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R:\"/>
    </mc:Choice>
  </mc:AlternateContent>
  <bookViews>
    <workbookView xWindow="16455" yWindow="1695" windowWidth="13095" windowHeight="10635" tabRatio="821" firstSheet="2" activeTab="2"/>
  </bookViews>
  <sheets>
    <sheet name="Рефинансирование" sheetId="61" state="hidden" r:id="rId1"/>
    <sheet name="КЭШ, Реф" sheetId="59" state="hidden" r:id="rId2"/>
    <sheet name="Оптимистичный" sheetId="94" r:id="rId3"/>
    <sheet name="КЭШ, Реф (БВ_ОПТИ_Льготный)" sheetId="111" state="hidden" r:id="rId4"/>
    <sheet name="КЭШ, Реф (БВ_ОПТИ_Базовый)" sheetId="103" state="hidden" r:id="rId5"/>
    <sheet name="Автомобильный (с залогом ТС)" sheetId="109" r:id="rId6"/>
    <sheet name="КЭШ, Реф (БВ_АВТО_Базовый)" sheetId="110" state="hidden" r:id="rId7"/>
    <sheet name="Суперсмарт" sheetId="105" state="hidden" r:id="rId8"/>
    <sheet name="Практичный" sheetId="106" state="hidden" r:id="rId9"/>
    <sheet name="КЭШ, Реф (БВ_АВТО_Льготный)" sheetId="112" state="hidden" r:id="rId10"/>
    <sheet name="Стабильный + Промо" sheetId="100" r:id="rId11"/>
    <sheet name="Снижаем ставку" sheetId="78" state="hidden" r:id="rId12"/>
    <sheet name="Для снижаем ставку" sheetId="79" state="hidden" r:id="rId13"/>
    <sheet name="Прайм" sheetId="75" state="hidden" r:id="rId14"/>
    <sheet name="Перспектива" sheetId="88" state="hidden" r:id="rId15"/>
    <sheet name="Перспектива Лайт" sheetId="86" state="hidden" r:id="rId16"/>
    <sheet name="Для Перспективы" sheetId="87" state="hidden" r:id="rId17"/>
    <sheet name="Для Прайм" sheetId="76" state="hidden" r:id="rId18"/>
    <sheet name="Реф.-Перспектива" sheetId="91" state="hidden" r:id="rId19"/>
    <sheet name="Расчет даты для переноса" sheetId="65" r:id="rId20"/>
    <sheet name="ДиВ!_График МЕП" sheetId="107" r:id="rId21"/>
    <sheet name="ДиВ!_График по сроку" sheetId="108" r:id="rId22"/>
    <sheet name="Сумма первого МЕП по КК" sheetId="63" r:id="rId23"/>
    <sheet name="Образовательный" sheetId="66" state="hidden" r:id="rId24"/>
  </sheets>
  <externalReferences>
    <externalReference r:id="rId25"/>
    <externalReference r:id="rId26"/>
  </externalReferences>
  <definedNames>
    <definedName name="_xlnm.Print_Area" localSheetId="5">'Автомобильный (с залогом ТС)'!$A$1:$BH$109</definedName>
    <definedName name="_xlnm.Print_Area" localSheetId="1">'КЭШ, Реф'!$A$1:$BC$109</definedName>
    <definedName name="_xlnm.Print_Area" localSheetId="6">'КЭШ, Реф (БВ_АВТО_Базовый)'!$A$1:$AW$116</definedName>
    <definedName name="_xlnm.Print_Area" localSheetId="4">'КЭШ, Реф (БВ_ОПТИ_Базовый)'!$A$1:$AW$116</definedName>
    <definedName name="_xlnm.Print_Area" localSheetId="2">Оптимистичный!$A$1:$BH$109</definedName>
    <definedName name="_xlnm.Print_Area" localSheetId="14">Перспектива!$A$1:$BG$109</definedName>
    <definedName name="_xlnm.Print_Area" localSheetId="15">'Перспектива Лайт'!$A$1:$BG$109</definedName>
    <definedName name="_xlnm.Print_Area" localSheetId="13">Прайм!$A$1:$BG$109</definedName>
    <definedName name="_xlnm.Print_Area" localSheetId="8">Практичный!$A$1:$BG$109</definedName>
    <definedName name="_xlnm.Print_Area" localSheetId="18">'Реф.-Перспектива'!$A$1:$BG$109</definedName>
    <definedName name="_xlnm.Print_Area" localSheetId="11">'Снижаем ставку'!$A$1:$BE$115</definedName>
    <definedName name="_xlnm.Print_Area" localSheetId="10">'Стабильный + Промо'!$A$1:$BG$109</definedName>
    <definedName name="_xlnm.Print_Area" localSheetId="7">Суперсмарт!$A$1:$BG$109</definedName>
  </definedNames>
  <calcPr calcId="162913" iterateDelta="9.9999999974897903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75" i="109" l="1"/>
  <c r="AT76" i="109"/>
  <c r="AT77" i="109"/>
  <c r="AT78" i="109"/>
  <c r="AT79" i="109"/>
  <c r="AT80" i="109"/>
  <c r="AT81" i="109"/>
  <c r="AT82" i="109"/>
  <c r="AT83" i="109"/>
  <c r="AT84" i="109"/>
  <c r="AT85" i="109"/>
  <c r="AT86" i="109"/>
  <c r="AT87" i="109"/>
  <c r="AT88" i="109"/>
  <c r="AT89" i="109"/>
  <c r="AT90" i="109"/>
  <c r="AT91" i="109"/>
  <c r="AT92" i="109"/>
  <c r="D24" i="109"/>
  <c r="D23" i="109"/>
  <c r="D13" i="109"/>
  <c r="D12" i="94"/>
  <c r="C21" i="94"/>
  <c r="C21" i="109"/>
  <c r="C30" i="109"/>
  <c r="C29" i="109"/>
  <c r="C27" i="109"/>
  <c r="C26" i="109"/>
  <c r="C25" i="109"/>
  <c r="C24" i="109"/>
  <c r="C23" i="109"/>
  <c r="C18" i="109"/>
  <c r="C19" i="109"/>
  <c r="C17" i="109"/>
  <c r="C13" i="109"/>
  <c r="C23" i="112"/>
  <c r="C22" i="112"/>
  <c r="C12" i="112"/>
  <c r="D8" i="112" l="1"/>
  <c r="C17" i="112"/>
  <c r="C11" i="112"/>
  <c r="C10" i="112"/>
  <c r="C8" i="112"/>
  <c r="AA7" i="112" s="1"/>
  <c r="C9" i="112"/>
  <c r="C7" i="112"/>
  <c r="AF66" i="112" s="1"/>
  <c r="G3" i="109"/>
  <c r="BA115" i="112"/>
  <c r="BA114" i="112"/>
  <c r="BA113" i="112"/>
  <c r="BA112" i="112"/>
  <c r="BA111" i="112"/>
  <c r="AZ110" i="112"/>
  <c r="AH80" i="112"/>
  <c r="AG80" i="112"/>
  <c r="AF80" i="112"/>
  <c r="AE80" i="112"/>
  <c r="AD80" i="112"/>
  <c r="AC80" i="112"/>
  <c r="AB80" i="112"/>
  <c r="AA80" i="112"/>
  <c r="Z80" i="112"/>
  <c r="AH69" i="112"/>
  <c r="AC68" i="112"/>
  <c r="AB68" i="112"/>
  <c r="W51" i="112"/>
  <c r="W52" i="112" s="1"/>
  <c r="W53" i="112" s="1"/>
  <c r="W54" i="112" s="1"/>
  <c r="W55" i="112" s="1"/>
  <c r="W56" i="112" s="1"/>
  <c r="W57" i="112" s="1"/>
  <c r="W58" i="112" s="1"/>
  <c r="W59" i="112" s="1"/>
  <c r="W60" i="112" s="1"/>
  <c r="W61" i="112" s="1"/>
  <c r="W62" i="112" s="1"/>
  <c r="W63" i="112" s="1"/>
  <c r="W64" i="112" s="1"/>
  <c r="W65" i="112" s="1"/>
  <c r="W66" i="112" s="1"/>
  <c r="W67" i="112" s="1"/>
  <c r="AJ47" i="112"/>
  <c r="AI47" i="112"/>
  <c r="T47" i="112"/>
  <c r="AJ46" i="112"/>
  <c r="D23" i="112"/>
  <c r="D18" i="112"/>
  <c r="D17" i="112"/>
  <c r="AC58" i="112" s="1"/>
  <c r="BE22" i="112"/>
  <c r="V13" i="112"/>
  <c r="U13" i="112"/>
  <c r="X11" i="112"/>
  <c r="W11" i="112"/>
  <c r="AM10" i="112"/>
  <c r="AM11" i="112" s="1"/>
  <c r="X10" i="112"/>
  <c r="W10" i="112"/>
  <c r="E10" i="112"/>
  <c r="AM9" i="112"/>
  <c r="X9" i="112"/>
  <c r="W9" i="112"/>
  <c r="R9" i="112"/>
  <c r="R10" i="112" s="1"/>
  <c r="R11" i="112" s="1"/>
  <c r="R12" i="112" s="1"/>
  <c r="R13" i="112" s="1"/>
  <c r="R14" i="112" s="1"/>
  <c r="R15" i="112" s="1"/>
  <c r="R16" i="112" s="1"/>
  <c r="R17" i="112" s="1"/>
  <c r="R18" i="112" s="1"/>
  <c r="R19" i="112" s="1"/>
  <c r="R20" i="112" s="1"/>
  <c r="R21" i="112" s="1"/>
  <c r="R22" i="112" s="1"/>
  <c r="R23" i="112" s="1"/>
  <c r="R24" i="112" s="1"/>
  <c r="R25" i="112" s="1"/>
  <c r="R26" i="112" s="1"/>
  <c r="R27" i="112" s="1"/>
  <c r="R28" i="112" s="1"/>
  <c r="R29" i="112" s="1"/>
  <c r="R30" i="112" s="1"/>
  <c r="R31" i="112" s="1"/>
  <c r="R32" i="112" s="1"/>
  <c r="R33" i="112" s="1"/>
  <c r="R34" i="112" s="1"/>
  <c r="R35" i="112" s="1"/>
  <c r="R36" i="112" s="1"/>
  <c r="R37" i="112" s="1"/>
  <c r="R38" i="112" s="1"/>
  <c r="R39" i="112" s="1"/>
  <c r="R40" i="112" s="1"/>
  <c r="R41" i="112" s="1"/>
  <c r="R42" i="112" s="1"/>
  <c r="R43" i="112" s="1"/>
  <c r="R44" i="112" s="1"/>
  <c r="R45" i="112" s="1"/>
  <c r="R46" i="112" s="1"/>
  <c r="R47" i="112" s="1"/>
  <c r="R48" i="112" s="1"/>
  <c r="R49" i="112" s="1"/>
  <c r="R50" i="112" s="1"/>
  <c r="R51" i="112" s="1"/>
  <c r="R52" i="112" s="1"/>
  <c r="R53" i="112" s="1"/>
  <c r="R54" i="112" s="1"/>
  <c r="R55" i="112" s="1"/>
  <c r="R56" i="112" s="1"/>
  <c r="R57" i="112" s="1"/>
  <c r="R58" i="112" s="1"/>
  <c r="R59" i="112" s="1"/>
  <c r="R60" i="112" s="1"/>
  <c r="R61" i="112" s="1"/>
  <c r="R62" i="112" s="1"/>
  <c r="R63" i="112" s="1"/>
  <c r="R64" i="112" s="1"/>
  <c r="R65" i="112" s="1"/>
  <c r="R66" i="112" s="1"/>
  <c r="R67" i="112" s="1"/>
  <c r="R68" i="112" s="1"/>
  <c r="R69" i="112" s="1"/>
  <c r="R70" i="112" s="1"/>
  <c r="R71" i="112" s="1"/>
  <c r="R72" i="112" s="1"/>
  <c r="R73" i="112" s="1"/>
  <c r="R74" i="112" s="1"/>
  <c r="R75" i="112" s="1"/>
  <c r="R76" i="112" s="1"/>
  <c r="R77" i="112" s="1"/>
  <c r="R78" i="112" s="1"/>
  <c r="R79" i="112" s="1"/>
  <c r="R80" i="112" s="1"/>
  <c r="R81" i="112" s="1"/>
  <c r="R82" i="112" s="1"/>
  <c r="R83" i="112" s="1"/>
  <c r="R84" i="112" s="1"/>
  <c r="R85" i="112" s="1"/>
  <c r="R86" i="112" s="1"/>
  <c r="R87" i="112" s="1"/>
  <c r="R88" i="112" s="1"/>
  <c r="R89" i="112" s="1"/>
  <c r="R90" i="112" s="1"/>
  <c r="R91" i="112" s="1"/>
  <c r="R92" i="112" s="1"/>
  <c r="R93" i="112" s="1"/>
  <c r="R94" i="112" s="1"/>
  <c r="R95" i="112" s="1"/>
  <c r="R96" i="112" s="1"/>
  <c r="R97" i="112" s="1"/>
  <c r="R98" i="112" s="1"/>
  <c r="R99" i="112" s="1"/>
  <c r="R100" i="112" s="1"/>
  <c r="R101" i="112" s="1"/>
  <c r="R102" i="112" s="1"/>
  <c r="R103" i="112" s="1"/>
  <c r="R104" i="112" s="1"/>
  <c r="R105" i="112" s="1"/>
  <c r="R106" i="112" s="1"/>
  <c r="R107" i="112" s="1"/>
  <c r="R108" i="112" s="1"/>
  <c r="R109" i="112" s="1"/>
  <c r="R110" i="112" s="1"/>
  <c r="R111" i="112" s="1"/>
  <c r="R112" i="112" s="1"/>
  <c r="R113" i="112" s="1"/>
  <c r="R114" i="112" s="1"/>
  <c r="R115" i="112" s="1"/>
  <c r="R116" i="112" s="1"/>
  <c r="R117" i="112" s="1"/>
  <c r="R118" i="112" s="1"/>
  <c r="R119" i="112" s="1"/>
  <c r="R120" i="112" s="1"/>
  <c r="R121" i="112" s="1"/>
  <c r="R122" i="112" s="1"/>
  <c r="R123" i="112" s="1"/>
  <c r="R124" i="112" s="1"/>
  <c r="R125" i="112" s="1"/>
  <c r="R126" i="112" s="1"/>
  <c r="R127" i="112" s="1"/>
  <c r="R128" i="112" s="1"/>
  <c r="R129" i="112" s="1"/>
  <c r="R130" i="112" s="1"/>
  <c r="R131" i="112" s="1"/>
  <c r="R132" i="112" s="1"/>
  <c r="R133" i="112" s="1"/>
  <c r="R134" i="112" s="1"/>
  <c r="R135" i="112" s="1"/>
  <c r="R136" i="112" s="1"/>
  <c r="R137" i="112" s="1"/>
  <c r="R138" i="112" s="1"/>
  <c r="R139" i="112" s="1"/>
  <c r="R140" i="112" s="1"/>
  <c r="R141" i="112" s="1"/>
  <c r="R142" i="112" s="1"/>
  <c r="R143" i="112" s="1"/>
  <c r="R144" i="112" s="1"/>
  <c r="R145" i="112" s="1"/>
  <c r="R146" i="112" s="1"/>
  <c r="R147" i="112" s="1"/>
  <c r="R148" i="112" s="1"/>
  <c r="R149" i="112" s="1"/>
  <c r="R150" i="112" s="1"/>
  <c r="R151" i="112" s="1"/>
  <c r="R152" i="112" s="1"/>
  <c r="R153" i="112" s="1"/>
  <c r="R154" i="112" s="1"/>
  <c r="R155" i="112" s="1"/>
  <c r="R156" i="112" s="1"/>
  <c r="R157" i="112" s="1"/>
  <c r="R158" i="112" s="1"/>
  <c r="R159" i="112" s="1"/>
  <c r="M9" i="112"/>
  <c r="E9" i="112"/>
  <c r="BC8" i="112"/>
  <c r="AN8" i="112"/>
  <c r="X8" i="112"/>
  <c r="W8" i="112"/>
  <c r="F8" i="112"/>
  <c r="H2" i="112" s="1"/>
  <c r="AB12" i="112"/>
  <c r="AB13" i="112" s="1"/>
  <c r="X7" i="112"/>
  <c r="W7" i="112"/>
  <c r="V7" i="112"/>
  <c r="U7" i="112"/>
  <c r="X6" i="112"/>
  <c r="W6" i="112"/>
  <c r="V6" i="112"/>
  <c r="U6" i="112"/>
  <c r="X5" i="112"/>
  <c r="W5" i="112"/>
  <c r="V5" i="112"/>
  <c r="V22" i="112" s="1"/>
  <c r="U5" i="112"/>
  <c r="AA4" i="112"/>
  <c r="AM3" i="112"/>
  <c r="E3" i="112"/>
  <c r="AI1" i="112"/>
  <c r="C27" i="94"/>
  <c r="C7" i="111"/>
  <c r="AF81" i="111" s="1"/>
  <c r="C17" i="94"/>
  <c r="C22" i="111"/>
  <c r="C11" i="111"/>
  <c r="C9" i="111"/>
  <c r="AB51" i="111" s="1"/>
  <c r="C10" i="111"/>
  <c r="AE89" i="111" s="1"/>
  <c r="C8" i="111"/>
  <c r="BA115" i="111"/>
  <c r="BA114" i="111"/>
  <c r="BA113" i="111"/>
  <c r="BA112" i="111"/>
  <c r="BA111" i="111"/>
  <c r="AZ110" i="111"/>
  <c r="AE90" i="111"/>
  <c r="AG81" i="111"/>
  <c r="AC81" i="111"/>
  <c r="AH80" i="111"/>
  <c r="AG80" i="111"/>
  <c r="AF80" i="111"/>
  <c r="AE80" i="111"/>
  <c r="AD80" i="111"/>
  <c r="AC80" i="111"/>
  <c r="AB80" i="111"/>
  <c r="AA80" i="111"/>
  <c r="Z80" i="111"/>
  <c r="AH69" i="111"/>
  <c r="AC68" i="111"/>
  <c r="AB68" i="111"/>
  <c r="AG66" i="111"/>
  <c r="AC66" i="111"/>
  <c r="Z52" i="111"/>
  <c r="Y52" i="111" s="1"/>
  <c r="W51" i="111"/>
  <c r="W52" i="111" s="1"/>
  <c r="W53" i="111" s="1"/>
  <c r="W54" i="111" s="1"/>
  <c r="W55" i="111" s="1"/>
  <c r="W56" i="111" s="1"/>
  <c r="W57" i="111" s="1"/>
  <c r="W58" i="111" s="1"/>
  <c r="W59" i="111" s="1"/>
  <c r="W60" i="111" s="1"/>
  <c r="W61" i="111" s="1"/>
  <c r="W62" i="111" s="1"/>
  <c r="W63" i="111" s="1"/>
  <c r="W64" i="111" s="1"/>
  <c r="W65" i="111" s="1"/>
  <c r="W66" i="111" s="1"/>
  <c r="W67" i="111" s="1"/>
  <c r="AJ47" i="111"/>
  <c r="AI47" i="111"/>
  <c r="T47" i="111"/>
  <c r="AJ46" i="111"/>
  <c r="Z41" i="111"/>
  <c r="V41" i="111"/>
  <c r="D23" i="111"/>
  <c r="D18" i="111"/>
  <c r="X11" i="111"/>
  <c r="W11" i="111"/>
  <c r="X10" i="111"/>
  <c r="W10" i="111"/>
  <c r="AM9" i="111"/>
  <c r="X9" i="111"/>
  <c r="W9" i="111"/>
  <c r="M9" i="111"/>
  <c r="E9" i="111"/>
  <c r="BC8" i="111"/>
  <c r="X8" i="111"/>
  <c r="W8" i="111"/>
  <c r="X7" i="111"/>
  <c r="W7" i="111"/>
  <c r="V7" i="111"/>
  <c r="U7" i="111"/>
  <c r="X6" i="111"/>
  <c r="W6" i="111"/>
  <c r="V6" i="111"/>
  <c r="U6" i="111"/>
  <c r="X5" i="111"/>
  <c r="W5" i="111"/>
  <c r="V5" i="111"/>
  <c r="U5" i="111"/>
  <c r="AM3" i="111"/>
  <c r="E3" i="111"/>
  <c r="AI1" i="111"/>
  <c r="AG67" i="111" l="1"/>
  <c r="C20" i="111"/>
  <c r="A13" i="111"/>
  <c r="AA5" i="111"/>
  <c r="AA11" i="111"/>
  <c r="R9" i="111"/>
  <c r="R10" i="111" s="1"/>
  <c r="R11" i="111" s="1"/>
  <c r="R12" i="111" s="1"/>
  <c r="R13" i="111" s="1"/>
  <c r="R14" i="111" s="1"/>
  <c r="R15" i="111" s="1"/>
  <c r="R16" i="111" s="1"/>
  <c r="R17" i="111" s="1"/>
  <c r="R18" i="111" s="1"/>
  <c r="R19" i="111" s="1"/>
  <c r="R20" i="111" s="1"/>
  <c r="R21" i="111" s="1"/>
  <c r="R22" i="111" s="1"/>
  <c r="R23" i="111" s="1"/>
  <c r="R24" i="111" s="1"/>
  <c r="R25" i="111" s="1"/>
  <c r="R26" i="111" s="1"/>
  <c r="R27" i="111" s="1"/>
  <c r="R28" i="111" s="1"/>
  <c r="R29" i="111" s="1"/>
  <c r="R30" i="111" s="1"/>
  <c r="R31" i="111" s="1"/>
  <c r="R32" i="111" s="1"/>
  <c r="R33" i="111" s="1"/>
  <c r="R34" i="111" s="1"/>
  <c r="R35" i="111" s="1"/>
  <c r="R36" i="111" s="1"/>
  <c r="R37" i="111" s="1"/>
  <c r="R38" i="111" s="1"/>
  <c r="R39" i="111" s="1"/>
  <c r="R40" i="111" s="1"/>
  <c r="R41" i="111" s="1"/>
  <c r="R42" i="111" s="1"/>
  <c r="R43" i="111" s="1"/>
  <c r="R44" i="111" s="1"/>
  <c r="R45" i="111" s="1"/>
  <c r="R46" i="111" s="1"/>
  <c r="R47" i="111" s="1"/>
  <c r="R48" i="111" s="1"/>
  <c r="R49" i="111" s="1"/>
  <c r="R50" i="111" s="1"/>
  <c r="R51" i="111" s="1"/>
  <c r="R52" i="111" s="1"/>
  <c r="R53" i="111" s="1"/>
  <c r="R54" i="111" s="1"/>
  <c r="R55" i="111" s="1"/>
  <c r="R56" i="111" s="1"/>
  <c r="R57" i="111" s="1"/>
  <c r="R58" i="111" s="1"/>
  <c r="R59" i="111" s="1"/>
  <c r="R60" i="111" s="1"/>
  <c r="R61" i="111" s="1"/>
  <c r="R62" i="111" s="1"/>
  <c r="R63" i="111" s="1"/>
  <c r="R64" i="111" s="1"/>
  <c r="R65" i="111" s="1"/>
  <c r="R66" i="111" s="1"/>
  <c r="R67" i="111" s="1"/>
  <c r="R68" i="111" s="1"/>
  <c r="R69" i="111" s="1"/>
  <c r="R70" i="111" s="1"/>
  <c r="R71" i="111" s="1"/>
  <c r="R72" i="111" s="1"/>
  <c r="R73" i="111" s="1"/>
  <c r="R74" i="111" s="1"/>
  <c r="R75" i="111" s="1"/>
  <c r="R76" i="111" s="1"/>
  <c r="R77" i="111" s="1"/>
  <c r="R78" i="111" s="1"/>
  <c r="R79" i="111" s="1"/>
  <c r="R80" i="111" s="1"/>
  <c r="R81" i="111" s="1"/>
  <c r="R82" i="111" s="1"/>
  <c r="R83" i="111" s="1"/>
  <c r="R84" i="111" s="1"/>
  <c r="R85" i="111" s="1"/>
  <c r="R86" i="111" s="1"/>
  <c r="R87" i="111" s="1"/>
  <c r="R88" i="111" s="1"/>
  <c r="R89" i="111" s="1"/>
  <c r="R90" i="111" s="1"/>
  <c r="R91" i="111" s="1"/>
  <c r="R92" i="111" s="1"/>
  <c r="R93" i="111" s="1"/>
  <c r="R94" i="111" s="1"/>
  <c r="R95" i="111" s="1"/>
  <c r="R96" i="111" s="1"/>
  <c r="R97" i="111" s="1"/>
  <c r="R98" i="111" s="1"/>
  <c r="R99" i="111" s="1"/>
  <c r="R100" i="111" s="1"/>
  <c r="R101" i="111" s="1"/>
  <c r="R102" i="111" s="1"/>
  <c r="R103" i="111" s="1"/>
  <c r="R104" i="111" s="1"/>
  <c r="R105" i="111" s="1"/>
  <c r="R106" i="111" s="1"/>
  <c r="R107" i="111" s="1"/>
  <c r="R108" i="111" s="1"/>
  <c r="R109" i="111" s="1"/>
  <c r="R110" i="111" s="1"/>
  <c r="R111" i="111" s="1"/>
  <c r="R112" i="111" s="1"/>
  <c r="R113" i="111" s="1"/>
  <c r="R114" i="111" s="1"/>
  <c r="R115" i="111" s="1"/>
  <c r="R116" i="111" s="1"/>
  <c r="R117" i="111" s="1"/>
  <c r="R118" i="111" s="1"/>
  <c r="R119" i="111" s="1"/>
  <c r="R120" i="111" s="1"/>
  <c r="R121" i="111" s="1"/>
  <c r="R122" i="111" s="1"/>
  <c r="R123" i="111" s="1"/>
  <c r="R124" i="111" s="1"/>
  <c r="R125" i="111" s="1"/>
  <c r="R126" i="111" s="1"/>
  <c r="R127" i="111" s="1"/>
  <c r="R128" i="111" s="1"/>
  <c r="R129" i="111" s="1"/>
  <c r="R130" i="111" s="1"/>
  <c r="R131" i="111" s="1"/>
  <c r="R132" i="111" s="1"/>
  <c r="R133" i="111" s="1"/>
  <c r="R134" i="111" s="1"/>
  <c r="R135" i="111" s="1"/>
  <c r="R136" i="111" s="1"/>
  <c r="R137" i="111" s="1"/>
  <c r="R138" i="111" s="1"/>
  <c r="R139" i="111" s="1"/>
  <c r="R140" i="111" s="1"/>
  <c r="R141" i="111" s="1"/>
  <c r="R142" i="111" s="1"/>
  <c r="R143" i="111" s="1"/>
  <c r="R144" i="111" s="1"/>
  <c r="R145" i="111" s="1"/>
  <c r="R146" i="111" s="1"/>
  <c r="R147" i="111" s="1"/>
  <c r="R148" i="111" s="1"/>
  <c r="R149" i="111" s="1"/>
  <c r="R150" i="111" s="1"/>
  <c r="R151" i="111" s="1"/>
  <c r="R152" i="111" s="1"/>
  <c r="R153" i="111" s="1"/>
  <c r="R154" i="111" s="1"/>
  <c r="R155" i="111" s="1"/>
  <c r="R156" i="111" s="1"/>
  <c r="R157" i="111" s="1"/>
  <c r="R158" i="111" s="1"/>
  <c r="R159" i="111" s="1"/>
  <c r="AX9" i="111"/>
  <c r="AX10" i="111" s="1"/>
  <c r="AX11" i="111" s="1"/>
  <c r="D10" i="111"/>
  <c r="AC67" i="111"/>
  <c r="AE87" i="111"/>
  <c r="T36" i="111"/>
  <c r="AE88" i="111"/>
  <c r="AA5" i="112"/>
  <c r="AA6" i="112"/>
  <c r="A13" i="112"/>
  <c r="AA15" i="112"/>
  <c r="C21" i="112" s="1"/>
  <c r="AA8" i="112"/>
  <c r="AA9" i="112"/>
  <c r="AB11" i="112"/>
  <c r="AB4" i="112"/>
  <c r="AB6" i="112"/>
  <c r="AB5" i="112"/>
  <c r="AB7" i="112"/>
  <c r="D7" i="112"/>
  <c r="W68" i="112"/>
  <c r="W69" i="112" s="1"/>
  <c r="W70" i="112" s="1"/>
  <c r="W71" i="112" s="1"/>
  <c r="W72" i="112" s="1"/>
  <c r="W73" i="112" s="1"/>
  <c r="W74" i="112" s="1"/>
  <c r="W75" i="112" s="1"/>
  <c r="W76" i="112" s="1"/>
  <c r="W77" i="112" s="1"/>
  <c r="W78" i="112" s="1"/>
  <c r="W79" i="112" s="1"/>
  <c r="W80" i="112" s="1"/>
  <c r="W81" i="112" s="1"/>
  <c r="W82" i="112" s="1"/>
  <c r="W83" i="112" s="1"/>
  <c r="W84" i="112" s="1"/>
  <c r="W85" i="112" s="1"/>
  <c r="W86" i="112" s="1"/>
  <c r="W87" i="112" s="1"/>
  <c r="W88" i="112" s="1"/>
  <c r="W89" i="112" s="1"/>
  <c r="W90" i="112" s="1"/>
  <c r="W91" i="112" s="1"/>
  <c r="W92" i="112" s="1"/>
  <c r="W93" i="112" s="1"/>
  <c r="W94" i="112" s="1"/>
  <c r="W95" i="112" s="1"/>
  <c r="W96" i="112" s="1"/>
  <c r="W97" i="112" s="1"/>
  <c r="W98" i="112" s="1"/>
  <c r="W99" i="112" s="1"/>
  <c r="W100" i="112" s="1"/>
  <c r="W101" i="112" s="1"/>
  <c r="W102" i="112" s="1"/>
  <c r="W103" i="112" s="1"/>
  <c r="W104" i="112" s="1"/>
  <c r="W105" i="112" s="1"/>
  <c r="W106" i="112" s="1"/>
  <c r="W107" i="112" s="1"/>
  <c r="W108" i="112" s="1"/>
  <c r="W109" i="112" s="1"/>
  <c r="W110" i="112" s="1"/>
  <c r="W111" i="112" s="1"/>
  <c r="W112" i="112" s="1"/>
  <c r="W113" i="112" s="1"/>
  <c r="W114" i="112" s="1"/>
  <c r="W115" i="112" s="1"/>
  <c r="W116" i="112" s="1"/>
  <c r="W117" i="112" s="1"/>
  <c r="W118" i="112" s="1"/>
  <c r="W119" i="112" s="1"/>
  <c r="W120" i="112" s="1"/>
  <c r="W121" i="112" s="1"/>
  <c r="W122" i="112" s="1"/>
  <c r="W123" i="112" s="1"/>
  <c r="W124" i="112" s="1"/>
  <c r="W125" i="112" s="1"/>
  <c r="W126" i="112" s="1"/>
  <c r="W127" i="112" s="1"/>
  <c r="W128" i="112" s="1"/>
  <c r="W129" i="112" s="1"/>
  <c r="W130" i="112" s="1"/>
  <c r="W131" i="112" s="1"/>
  <c r="W132" i="112" s="1"/>
  <c r="W133" i="112" s="1"/>
  <c r="W134" i="112" s="1"/>
  <c r="W135" i="112" s="1"/>
  <c r="W136" i="112" s="1"/>
  <c r="W137" i="112" s="1"/>
  <c r="W138" i="112" s="1"/>
  <c r="W139" i="112" s="1"/>
  <c r="W140" i="112" s="1"/>
  <c r="W141" i="112" s="1"/>
  <c r="W142" i="112" s="1"/>
  <c r="W143" i="112" s="1"/>
  <c r="W144" i="112" s="1"/>
  <c r="W145" i="112" s="1"/>
  <c r="W146" i="112" s="1"/>
  <c r="W147" i="112" s="1"/>
  <c r="W148" i="112" s="1"/>
  <c r="W149" i="112" s="1"/>
  <c r="W150" i="112" s="1"/>
  <c r="W151" i="112" s="1"/>
  <c r="W152" i="112" s="1"/>
  <c r="W153" i="112" s="1"/>
  <c r="W154" i="112" s="1"/>
  <c r="W155" i="112" s="1"/>
  <c r="W156" i="112" s="1"/>
  <c r="W157" i="112" s="1"/>
  <c r="W158" i="112" s="1"/>
  <c r="W159" i="112" s="1"/>
  <c r="W160" i="112" s="1"/>
  <c r="W161" i="112" s="1"/>
  <c r="W162" i="112" s="1"/>
  <c r="W163" i="112" s="1"/>
  <c r="W164" i="112" s="1"/>
  <c r="W165" i="112" s="1"/>
  <c r="W166" i="112" s="1"/>
  <c r="W167" i="112" s="1"/>
  <c r="W168" i="112" s="1"/>
  <c r="W169" i="112" s="1"/>
  <c r="W170" i="112" s="1"/>
  <c r="W171" i="112" s="1"/>
  <c r="W172" i="112" s="1"/>
  <c r="W173" i="112" s="1"/>
  <c r="W174" i="112" s="1"/>
  <c r="W175" i="112" s="1"/>
  <c r="W176" i="112" s="1"/>
  <c r="W177" i="112" s="1"/>
  <c r="W178" i="112" s="1"/>
  <c r="W179" i="112" s="1"/>
  <c r="W180" i="112" s="1"/>
  <c r="AA68" i="112"/>
  <c r="E11" i="112"/>
  <c r="J10" i="112"/>
  <c r="T36" i="112"/>
  <c r="T35" i="112"/>
  <c r="D11" i="112"/>
  <c r="U22" i="112"/>
  <c r="AA58" i="112"/>
  <c r="AB51" i="112"/>
  <c r="Z58" i="112"/>
  <c r="D9" i="112"/>
  <c r="V48" i="112"/>
  <c r="AA55" i="112"/>
  <c r="V49" i="112"/>
  <c r="AZ8" i="112"/>
  <c r="AZ7" i="112" s="1"/>
  <c r="T46" i="112"/>
  <c r="C25" i="112"/>
  <c r="AK49" i="112"/>
  <c r="AK48" i="112"/>
  <c r="AM12" i="112"/>
  <c r="AF81" i="112"/>
  <c r="AF67" i="112" s="1"/>
  <c r="AB81" i="112"/>
  <c r="F2" i="112" s="1"/>
  <c r="AE81" i="112"/>
  <c r="AA81" i="112"/>
  <c r="AD81" i="112"/>
  <c r="G2" i="112" s="1"/>
  <c r="Z81" i="112"/>
  <c r="T17" i="112" s="1"/>
  <c r="AC81" i="112"/>
  <c r="AE66" i="112"/>
  <c r="AA66" i="112"/>
  <c r="AH66" i="112" s="1"/>
  <c r="C31" i="112" s="1"/>
  <c r="Z52" i="112"/>
  <c r="Y52" i="112" s="1"/>
  <c r="Z41" i="112"/>
  <c r="T41" i="112" s="1"/>
  <c r="V41" i="112"/>
  <c r="AD66" i="112"/>
  <c r="AD67" i="112" s="1"/>
  <c r="Z66" i="112"/>
  <c r="Z67" i="112" s="1"/>
  <c r="AD68" i="112" s="1"/>
  <c r="Z50" i="112"/>
  <c r="AG66" i="112"/>
  <c r="AC66" i="112"/>
  <c r="Z49" i="112"/>
  <c r="X41" i="112"/>
  <c r="AG81" i="112"/>
  <c r="AB66" i="112"/>
  <c r="W41" i="112"/>
  <c r="AB15" i="112"/>
  <c r="D21" i="112" s="1"/>
  <c r="AB8" i="112"/>
  <c r="AB10" i="112"/>
  <c r="D30" i="112"/>
  <c r="AB9" i="112"/>
  <c r="AE90" i="112"/>
  <c r="AE89" i="112"/>
  <c r="AE88" i="112"/>
  <c r="AE87" i="112"/>
  <c r="AE86" i="112"/>
  <c r="AE85" i="112"/>
  <c r="D10" i="112"/>
  <c r="AX9" i="112"/>
  <c r="AX10" i="112" s="1"/>
  <c r="D20" i="112"/>
  <c r="Y41" i="112"/>
  <c r="AA10" i="112"/>
  <c r="T14" i="112"/>
  <c r="C19" i="112"/>
  <c r="AA14" i="112" s="1"/>
  <c r="W22" i="112"/>
  <c r="A28" i="112"/>
  <c r="D19" i="112"/>
  <c r="T22" i="112"/>
  <c r="Z32" i="112" s="1"/>
  <c r="X22" i="112"/>
  <c r="Y53" i="112"/>
  <c r="AA11" i="112"/>
  <c r="AA12" i="112"/>
  <c r="AA13" i="112" s="1"/>
  <c r="C20" i="112"/>
  <c r="A29" i="112"/>
  <c r="D7" i="111"/>
  <c r="Z49" i="111"/>
  <c r="W41" i="111"/>
  <c r="Z66" i="111"/>
  <c r="AD66" i="111"/>
  <c r="Z81" i="111"/>
  <c r="T17" i="111" s="1"/>
  <c r="AD81" i="111"/>
  <c r="G2" i="111" s="1"/>
  <c r="X41" i="111"/>
  <c r="Z50" i="111"/>
  <c r="AA66" i="111"/>
  <c r="AE66" i="111"/>
  <c r="AA81" i="111"/>
  <c r="AE81" i="111"/>
  <c r="Y41" i="111"/>
  <c r="AB66" i="111"/>
  <c r="AF66" i="111"/>
  <c r="AF67" i="111" s="1"/>
  <c r="AB81" i="111"/>
  <c r="F2" i="111" s="1"/>
  <c r="D8" i="111"/>
  <c r="D20" i="111" s="1"/>
  <c r="AA58" i="111"/>
  <c r="F8" i="111"/>
  <c r="AZ8" i="111" s="1"/>
  <c r="AZ7" i="111" s="1"/>
  <c r="AN8" i="111"/>
  <c r="AK48" i="111" s="1"/>
  <c r="D9" i="111"/>
  <c r="AA9" i="111"/>
  <c r="T41" i="111"/>
  <c r="D11" i="111"/>
  <c r="T35" i="111"/>
  <c r="AE85" i="111"/>
  <c r="AA7" i="111"/>
  <c r="AA4" i="111"/>
  <c r="AA6" i="111"/>
  <c r="AA8" i="111"/>
  <c r="AA12" i="111"/>
  <c r="AA15" i="111"/>
  <c r="AE86" i="111"/>
  <c r="AA10" i="111"/>
  <c r="Y53" i="111"/>
  <c r="T14" i="111"/>
  <c r="AA55" i="111"/>
  <c r="E10" i="111"/>
  <c r="AM10" i="111"/>
  <c r="W68" i="111"/>
  <c r="W69" i="111" s="1"/>
  <c r="W70" i="111" s="1"/>
  <c r="W71" i="111" s="1"/>
  <c r="W72" i="111" s="1"/>
  <c r="W73" i="111" s="1"/>
  <c r="W74" i="111" s="1"/>
  <c r="W75" i="111" s="1"/>
  <c r="W76" i="111" s="1"/>
  <c r="W77" i="111" s="1"/>
  <c r="W78" i="111" s="1"/>
  <c r="W79" i="111" s="1"/>
  <c r="W80" i="111" s="1"/>
  <c r="W81" i="111" s="1"/>
  <c r="W82" i="111" s="1"/>
  <c r="W83" i="111" s="1"/>
  <c r="W84" i="111" s="1"/>
  <c r="W85" i="111" s="1"/>
  <c r="W86" i="111" s="1"/>
  <c r="W87" i="111" s="1"/>
  <c r="W88" i="111" s="1"/>
  <c r="W89" i="111" s="1"/>
  <c r="W90" i="111" s="1"/>
  <c r="W91" i="111" s="1"/>
  <c r="W92" i="111" s="1"/>
  <c r="W93" i="111" s="1"/>
  <c r="W94" i="111" s="1"/>
  <c r="W95" i="111" s="1"/>
  <c r="W96" i="111" s="1"/>
  <c r="W97" i="111" s="1"/>
  <c r="W98" i="111" s="1"/>
  <c r="W99" i="111" s="1"/>
  <c r="W100" i="111" s="1"/>
  <c r="W101" i="111" s="1"/>
  <c r="W102" i="111" s="1"/>
  <c r="W103" i="111" s="1"/>
  <c r="W104" i="111" s="1"/>
  <c r="W105" i="111" s="1"/>
  <c r="W106" i="111" s="1"/>
  <c r="W107" i="111" s="1"/>
  <c r="W108" i="111" s="1"/>
  <c r="W109" i="111" s="1"/>
  <c r="W110" i="111" s="1"/>
  <c r="W111" i="111" s="1"/>
  <c r="W112" i="111" s="1"/>
  <c r="W113" i="111" s="1"/>
  <c r="W114" i="111" s="1"/>
  <c r="W115" i="111" s="1"/>
  <c r="W116" i="111" s="1"/>
  <c r="W117" i="111" s="1"/>
  <c r="W118" i="111" s="1"/>
  <c r="W119" i="111" s="1"/>
  <c r="W120" i="111" s="1"/>
  <c r="W121" i="111" s="1"/>
  <c r="W122" i="111" s="1"/>
  <c r="W123" i="111" s="1"/>
  <c r="W124" i="111" s="1"/>
  <c r="W125" i="111" s="1"/>
  <c r="W126" i="111" s="1"/>
  <c r="W127" i="111" s="1"/>
  <c r="W128" i="111" s="1"/>
  <c r="W129" i="111" s="1"/>
  <c r="W130" i="111" s="1"/>
  <c r="W131" i="111" s="1"/>
  <c r="W132" i="111" s="1"/>
  <c r="W133" i="111" s="1"/>
  <c r="W134" i="111" s="1"/>
  <c r="W135" i="111" s="1"/>
  <c r="W136" i="111" s="1"/>
  <c r="W137" i="111" s="1"/>
  <c r="W138" i="111" s="1"/>
  <c r="W139" i="111" s="1"/>
  <c r="W140" i="111" s="1"/>
  <c r="W141" i="111" s="1"/>
  <c r="W142" i="111" s="1"/>
  <c r="W143" i="111" s="1"/>
  <c r="W144" i="111" s="1"/>
  <c r="W145" i="111" s="1"/>
  <c r="W146" i="111" s="1"/>
  <c r="W147" i="111" s="1"/>
  <c r="W148" i="111" s="1"/>
  <c r="W149" i="111" s="1"/>
  <c r="W150" i="111" s="1"/>
  <c r="W151" i="111" s="1"/>
  <c r="W152" i="111" s="1"/>
  <c r="W153" i="111" s="1"/>
  <c r="W154" i="111" s="1"/>
  <c r="W155" i="111" s="1"/>
  <c r="W156" i="111" s="1"/>
  <c r="W157" i="111" s="1"/>
  <c r="W158" i="111" s="1"/>
  <c r="W159" i="111" s="1"/>
  <c r="W160" i="111" s="1"/>
  <c r="W161" i="111" s="1"/>
  <c r="W162" i="111" s="1"/>
  <c r="W163" i="111" s="1"/>
  <c r="W164" i="111" s="1"/>
  <c r="W165" i="111" s="1"/>
  <c r="W166" i="111" s="1"/>
  <c r="W167" i="111" s="1"/>
  <c r="W168" i="111" s="1"/>
  <c r="W169" i="111" s="1"/>
  <c r="W170" i="111" s="1"/>
  <c r="W171" i="111" s="1"/>
  <c r="W172" i="111" s="1"/>
  <c r="W173" i="111" s="1"/>
  <c r="W174" i="111" s="1"/>
  <c r="W175" i="111" s="1"/>
  <c r="W176" i="111" s="1"/>
  <c r="W177" i="111" s="1"/>
  <c r="W178" i="111" s="1"/>
  <c r="W179" i="111" s="1"/>
  <c r="W180" i="111" s="1"/>
  <c r="AA68" i="111"/>
  <c r="AF80" i="103"/>
  <c r="AK49" i="111" l="1"/>
  <c r="H2" i="111"/>
  <c r="V49" i="111"/>
  <c r="V48" i="111"/>
  <c r="A28" i="111"/>
  <c r="Z67" i="111"/>
  <c r="AD68" i="111" s="1"/>
  <c r="A29" i="111"/>
  <c r="AB67" i="111"/>
  <c r="AG68" i="111" s="1"/>
  <c r="AE67" i="111"/>
  <c r="Y54" i="112"/>
  <c r="V50" i="112"/>
  <c r="V47" i="112" s="1"/>
  <c r="V46" i="112"/>
  <c r="U36" i="112"/>
  <c r="U35" i="112"/>
  <c r="AX11" i="112"/>
  <c r="AB67" i="112"/>
  <c r="AG68" i="112" s="1"/>
  <c r="AC67" i="112"/>
  <c r="AA67" i="112"/>
  <c r="AN12" i="112"/>
  <c r="AN11" i="112"/>
  <c r="F11" i="112"/>
  <c r="AZ11" i="112" s="1"/>
  <c r="AN10" i="112"/>
  <c r="F10" i="112"/>
  <c r="AZ10" i="112" s="1"/>
  <c r="F9" i="112"/>
  <c r="AZ9" i="112" s="1"/>
  <c r="AN9" i="112"/>
  <c r="AB14" i="112"/>
  <c r="AI46" i="112" s="1"/>
  <c r="AG67" i="112"/>
  <c r="AE67" i="112"/>
  <c r="AM13" i="112"/>
  <c r="AK50" i="112"/>
  <c r="AK47" i="112" s="1"/>
  <c r="AK46" i="112"/>
  <c r="J11" i="112"/>
  <c r="E12" i="112"/>
  <c r="AH66" i="111"/>
  <c r="C31" i="111" s="1"/>
  <c r="C26" i="94" s="1"/>
  <c r="D30" i="111"/>
  <c r="AB12" i="111"/>
  <c r="AB5" i="111"/>
  <c r="AB11" i="111"/>
  <c r="AB10" i="111"/>
  <c r="AB7" i="111"/>
  <c r="AB9" i="111"/>
  <c r="AB8" i="111"/>
  <c r="AB4" i="111"/>
  <c r="AB15" i="111"/>
  <c r="AB6" i="111"/>
  <c r="AA67" i="111"/>
  <c r="Y54" i="111"/>
  <c r="AD67" i="111"/>
  <c r="U36" i="111"/>
  <c r="U35" i="111"/>
  <c r="F9" i="111"/>
  <c r="AZ9" i="111" s="1"/>
  <c r="AN10" i="111"/>
  <c r="F10" i="111"/>
  <c r="AZ10" i="111" s="1"/>
  <c r="AN9" i="111"/>
  <c r="AM11" i="111"/>
  <c r="V50" i="111"/>
  <c r="V47" i="111" s="1"/>
  <c r="V46" i="111"/>
  <c r="E11" i="111"/>
  <c r="F11" i="111" s="1"/>
  <c r="AZ11" i="111" s="1"/>
  <c r="J10" i="111"/>
  <c r="AK46" i="111"/>
  <c r="AK50" i="111"/>
  <c r="AK47" i="111" s="1"/>
  <c r="AX12" i="111"/>
  <c r="AJ109" i="109"/>
  <c r="AK109" i="109"/>
  <c r="AI109" i="109"/>
  <c r="AH109" i="109"/>
  <c r="AG109" i="109"/>
  <c r="AF109" i="109"/>
  <c r="AI109" i="94"/>
  <c r="AJ109" i="94"/>
  <c r="AK109" i="94" s="1"/>
  <c r="C15" i="94" s="1"/>
  <c r="AH109" i="94"/>
  <c r="AG109" i="94"/>
  <c r="AF109" i="94"/>
  <c r="AF93" i="109"/>
  <c r="C17" i="103"/>
  <c r="C11" i="109"/>
  <c r="C22" i="110"/>
  <c r="C11" i="110"/>
  <c r="D11" i="110" s="1"/>
  <c r="C10" i="110"/>
  <c r="C9" i="110"/>
  <c r="F8" i="110" s="1"/>
  <c r="C8" i="110"/>
  <c r="Y53" i="110" s="1"/>
  <c r="C7" i="110"/>
  <c r="Z52" i="110"/>
  <c r="Y52" i="110" s="1"/>
  <c r="BA115" i="110"/>
  <c r="BA114" i="110"/>
  <c r="BA113" i="110"/>
  <c r="BA112" i="110"/>
  <c r="BA111" i="110"/>
  <c r="AH80" i="110"/>
  <c r="AF80" i="110"/>
  <c r="AH69" i="110"/>
  <c r="W51" i="110"/>
  <c r="W52" i="110"/>
  <c r="W53" i="110"/>
  <c r="W54" i="110"/>
  <c r="W55" i="110"/>
  <c r="W56" i="110"/>
  <c r="W57" i="110"/>
  <c r="W58" i="110"/>
  <c r="W59" i="110"/>
  <c r="W60" i="110"/>
  <c r="W61" i="110"/>
  <c r="W62" i="110"/>
  <c r="W63" i="110"/>
  <c r="W64" i="110"/>
  <c r="W65" i="110"/>
  <c r="W66" i="110"/>
  <c r="W67" i="110"/>
  <c r="W68" i="110"/>
  <c r="W69" i="110"/>
  <c r="W70" i="110"/>
  <c r="W71" i="110"/>
  <c r="W72" i="110"/>
  <c r="W73" i="110"/>
  <c r="W74" i="110"/>
  <c r="W75" i="110"/>
  <c r="W76" i="110"/>
  <c r="W77" i="110"/>
  <c r="W78" i="110"/>
  <c r="W79" i="110"/>
  <c r="W80" i="110"/>
  <c r="W81" i="110"/>
  <c r="W82" i="110"/>
  <c r="W83" i="110"/>
  <c r="W84" i="110"/>
  <c r="W85" i="110"/>
  <c r="W86" i="110"/>
  <c r="W87" i="110"/>
  <c r="W88" i="110"/>
  <c r="W89" i="110"/>
  <c r="W90" i="110"/>
  <c r="W91" i="110"/>
  <c r="W92" i="110"/>
  <c r="W93" i="110"/>
  <c r="W94" i="110"/>
  <c r="W95" i="110"/>
  <c r="W96" i="110"/>
  <c r="W97" i="110"/>
  <c r="W98" i="110"/>
  <c r="W99" i="110"/>
  <c r="W100" i="110"/>
  <c r="W101" i="110"/>
  <c r="W102" i="110"/>
  <c r="W103" i="110"/>
  <c r="W104" i="110"/>
  <c r="W105" i="110"/>
  <c r="W106" i="110"/>
  <c r="W107" i="110"/>
  <c r="W108" i="110"/>
  <c r="W109" i="110"/>
  <c r="W110" i="110"/>
  <c r="W111" i="110"/>
  <c r="W112" i="110"/>
  <c r="W113" i="110"/>
  <c r="W114" i="110"/>
  <c r="W115" i="110"/>
  <c r="W116" i="110"/>
  <c r="W117" i="110"/>
  <c r="W118" i="110"/>
  <c r="W119" i="110"/>
  <c r="W120" i="110"/>
  <c r="W121" i="110"/>
  <c r="W122" i="110"/>
  <c r="W123" i="110"/>
  <c r="W124" i="110"/>
  <c r="W125" i="110"/>
  <c r="W126" i="110"/>
  <c r="W127" i="110"/>
  <c r="W128" i="110"/>
  <c r="W129" i="110"/>
  <c r="W130" i="110"/>
  <c r="W131" i="110"/>
  <c r="W132" i="110"/>
  <c r="W133" i="110"/>
  <c r="W134" i="110"/>
  <c r="W135" i="110"/>
  <c r="W136" i="110"/>
  <c r="W137" i="110"/>
  <c r="W138" i="110"/>
  <c r="W139" i="110"/>
  <c r="W140" i="110"/>
  <c r="W141" i="110"/>
  <c r="W142" i="110"/>
  <c r="W143" i="110"/>
  <c r="W144" i="110"/>
  <c r="W145" i="110"/>
  <c r="W146" i="110"/>
  <c r="W147" i="110"/>
  <c r="W148" i="110"/>
  <c r="W149" i="110"/>
  <c r="W150" i="110"/>
  <c r="W151" i="110"/>
  <c r="W152" i="110"/>
  <c r="W153" i="110"/>
  <c r="W154" i="110"/>
  <c r="W155" i="110"/>
  <c r="W156" i="110"/>
  <c r="W157" i="110"/>
  <c r="W158" i="110"/>
  <c r="W159" i="110"/>
  <c r="W160" i="110"/>
  <c r="W161" i="110"/>
  <c r="W162" i="110"/>
  <c r="W163" i="110"/>
  <c r="W164" i="110"/>
  <c r="W165" i="110"/>
  <c r="W166" i="110"/>
  <c r="W167" i="110"/>
  <c r="W168" i="110"/>
  <c r="W169" i="110"/>
  <c r="W170" i="110"/>
  <c r="W171" i="110"/>
  <c r="W172" i="110"/>
  <c r="W173" i="110"/>
  <c r="W174" i="110"/>
  <c r="W175" i="110"/>
  <c r="W176" i="110"/>
  <c r="W177" i="110"/>
  <c r="W178" i="110"/>
  <c r="W179" i="110"/>
  <c r="W180" i="110"/>
  <c r="AJ47" i="110"/>
  <c r="AI47" i="110"/>
  <c r="T47" i="110"/>
  <c r="AJ46" i="110"/>
  <c r="D23" i="110"/>
  <c r="D18" i="110"/>
  <c r="X11" i="110"/>
  <c r="W11" i="110"/>
  <c r="AM9" i="110"/>
  <c r="AM10" i="110"/>
  <c r="AM11" i="110"/>
  <c r="X10" i="110"/>
  <c r="W10" i="110"/>
  <c r="X9" i="110"/>
  <c r="W9" i="110"/>
  <c r="M9" i="110"/>
  <c r="E9" i="110"/>
  <c r="BC8" i="110"/>
  <c r="AN8" i="110"/>
  <c r="AK49" i="110"/>
  <c r="X8" i="110"/>
  <c r="W8" i="110"/>
  <c r="X7" i="110"/>
  <c r="W7" i="110"/>
  <c r="V7" i="110"/>
  <c r="U7" i="110"/>
  <c r="X6" i="110"/>
  <c r="W6" i="110"/>
  <c r="V6" i="110"/>
  <c r="U6" i="110"/>
  <c r="X5" i="110"/>
  <c r="W5" i="110"/>
  <c r="V5" i="110"/>
  <c r="U5" i="110"/>
  <c r="AM3" i="110"/>
  <c r="E3" i="110"/>
  <c r="AI1" i="110"/>
  <c r="AA16" i="109"/>
  <c r="BL114" i="109"/>
  <c r="BK114" i="109"/>
  <c r="BL113" i="109"/>
  <c r="BK113" i="109"/>
  <c r="BL112" i="109"/>
  <c r="BK112" i="109"/>
  <c r="BL111" i="109"/>
  <c r="BK111" i="109"/>
  <c r="BL110" i="109"/>
  <c r="BK110" i="109"/>
  <c r="BK109" i="109"/>
  <c r="O109" i="109"/>
  <c r="AF82" i="109"/>
  <c r="AJ79" i="109"/>
  <c r="AJ65" i="109"/>
  <c r="AJ66" i="109"/>
  <c r="AI79" i="109"/>
  <c r="AI65" i="109"/>
  <c r="AI66" i="109"/>
  <c r="AH79" i="109"/>
  <c r="AH65" i="109"/>
  <c r="AC48" i="109"/>
  <c r="AG79" i="109"/>
  <c r="AG65" i="109"/>
  <c r="AG66" i="109"/>
  <c r="AF79" i="109"/>
  <c r="AF65" i="109"/>
  <c r="AF66" i="109"/>
  <c r="AE79" i="109"/>
  <c r="AE65" i="109"/>
  <c r="AE66" i="109"/>
  <c r="AD79" i="109"/>
  <c r="AD65" i="109"/>
  <c r="AD66" i="109"/>
  <c r="AJ77" i="109"/>
  <c r="AI77" i="109"/>
  <c r="AH77" i="109"/>
  <c r="AG77" i="109"/>
  <c r="AF77" i="109"/>
  <c r="AD77" i="109"/>
  <c r="AE57" i="109"/>
  <c r="H8" i="109"/>
  <c r="AF50" i="109"/>
  <c r="AD49" i="109"/>
  <c r="AD48" i="109"/>
  <c r="AN47" i="109"/>
  <c r="Y43" i="109"/>
  <c r="AF41" i="109"/>
  <c r="AE41" i="109"/>
  <c r="AD41" i="109"/>
  <c r="AC41" i="109"/>
  <c r="AB41" i="109"/>
  <c r="AA41" i="109"/>
  <c r="Z41" i="109"/>
  <c r="Y41" i="109"/>
  <c r="X41" i="109"/>
  <c r="AF40" i="109"/>
  <c r="AE40" i="109"/>
  <c r="AD40" i="109"/>
  <c r="AC40" i="109"/>
  <c r="AB40" i="109"/>
  <c r="AA40" i="109"/>
  <c r="Z40" i="109"/>
  <c r="Y40" i="109"/>
  <c r="X40" i="109"/>
  <c r="AF38" i="109"/>
  <c r="AE38" i="109"/>
  <c r="AD38" i="109"/>
  <c r="AC38" i="109"/>
  <c r="AB38" i="109"/>
  <c r="AA38" i="109"/>
  <c r="Z38" i="109"/>
  <c r="Y38" i="109"/>
  <c r="X38" i="109"/>
  <c r="AF37" i="109"/>
  <c r="AE37" i="109"/>
  <c r="AD37" i="109"/>
  <c r="AC37" i="109"/>
  <c r="AB37" i="109"/>
  <c r="AA37" i="109"/>
  <c r="Z37" i="109"/>
  <c r="Y37" i="109"/>
  <c r="X37" i="109"/>
  <c r="AC34" i="109"/>
  <c r="A24" i="109"/>
  <c r="D14" i="109"/>
  <c r="D15" i="109" s="1"/>
  <c r="A23" i="109"/>
  <c r="BA20" i="109"/>
  <c r="BA19" i="109"/>
  <c r="BA18" i="109"/>
  <c r="BA17" i="109"/>
  <c r="D17" i="109"/>
  <c r="D18" i="109" s="1"/>
  <c r="D29" i="109" s="1"/>
  <c r="D30" i="109" s="1"/>
  <c r="AD51" i="109" s="1"/>
  <c r="AC47" i="109" s="1"/>
  <c r="BA16" i="109"/>
  <c r="BA15" i="109"/>
  <c r="AF15" i="109"/>
  <c r="AE15" i="109"/>
  <c r="C15" i="109"/>
  <c r="D12" i="112" s="1"/>
  <c r="BA14" i="109"/>
  <c r="BA13" i="109"/>
  <c r="BA12" i="109"/>
  <c r="AQ9" i="109"/>
  <c r="AQ10" i="109"/>
  <c r="AQ11" i="109"/>
  <c r="AQ12" i="109"/>
  <c r="AQ13" i="109"/>
  <c r="AF12" i="109"/>
  <c r="AE12" i="109"/>
  <c r="D12" i="109"/>
  <c r="BA11" i="109"/>
  <c r="X11" i="109"/>
  <c r="AM53" i="109" s="1"/>
  <c r="BA10" i="109"/>
  <c r="BA109" i="109" s="1"/>
  <c r="AF10" i="109"/>
  <c r="AE10" i="109"/>
  <c r="BI9" i="109"/>
  <c r="BJ9" i="109"/>
  <c r="BB9" i="109"/>
  <c r="BA9" i="109"/>
  <c r="AF9" i="109"/>
  <c r="AE9" i="109"/>
  <c r="U9" i="109"/>
  <c r="U10" i="109"/>
  <c r="V10" i="109"/>
  <c r="Q10" i="109"/>
  <c r="G9" i="109"/>
  <c r="AR8" i="109"/>
  <c r="AO47" i="109"/>
  <c r="AO48" i="109" s="1"/>
  <c r="AO49" i="109" s="1"/>
  <c r="AO50" i="109" s="1"/>
  <c r="AO51" i="109"/>
  <c r="AO52" i="109" s="1"/>
  <c r="AO53" i="109" s="1"/>
  <c r="AO54" i="109" s="1"/>
  <c r="AO55" i="109" s="1"/>
  <c r="AO56" i="109" s="1"/>
  <c r="AO57" i="109" s="1"/>
  <c r="AO58" i="109" s="1"/>
  <c r="AO59" i="109" s="1"/>
  <c r="AO60" i="109" s="1"/>
  <c r="AO61" i="109" s="1"/>
  <c r="AO62" i="109" s="1"/>
  <c r="AO63" i="109" s="1"/>
  <c r="AO64" i="109" s="1"/>
  <c r="AO65" i="109" s="1"/>
  <c r="AO66" i="109" s="1"/>
  <c r="AO67" i="109" s="1"/>
  <c r="AO68" i="109" s="1"/>
  <c r="AO69" i="109" s="1"/>
  <c r="AO70" i="109" s="1"/>
  <c r="AO71" i="109" s="1"/>
  <c r="AO72" i="109" s="1"/>
  <c r="AO73" i="109" s="1"/>
  <c r="AO74" i="109" s="1"/>
  <c r="AO75" i="109" s="1"/>
  <c r="AO76" i="109" s="1"/>
  <c r="AO77" i="109" s="1"/>
  <c r="AO78" i="109" s="1"/>
  <c r="AO79" i="109" s="1"/>
  <c r="AO80" i="109" s="1"/>
  <c r="AO81" i="109" s="1"/>
  <c r="AO82" i="109" s="1"/>
  <c r="AO83" i="109" s="1"/>
  <c r="AO84" i="109" s="1"/>
  <c r="AO85" i="109" s="1"/>
  <c r="AO86" i="109" s="1"/>
  <c r="AO87" i="109" s="1"/>
  <c r="AF8" i="109"/>
  <c r="AE8" i="109"/>
  <c r="AM1" i="109"/>
  <c r="C17" i="110"/>
  <c r="D17" i="110"/>
  <c r="AM12" i="110"/>
  <c r="AK50" i="110"/>
  <c r="AK47" i="110" s="1"/>
  <c r="E10" i="110"/>
  <c r="H2" i="110"/>
  <c r="D9" i="110"/>
  <c r="Y41" i="110"/>
  <c r="AK48" i="110"/>
  <c r="Z50" i="110"/>
  <c r="AA58" i="110"/>
  <c r="D7" i="110"/>
  <c r="V41" i="110"/>
  <c r="AC81" i="110"/>
  <c r="AC66" i="110" s="1"/>
  <c r="Z81" i="110"/>
  <c r="Z49" i="110"/>
  <c r="X41" i="110"/>
  <c r="AA81" i="110"/>
  <c r="Z41" i="110"/>
  <c r="AB78" i="110"/>
  <c r="AD74" i="110"/>
  <c r="W41" i="110"/>
  <c r="AB51" i="110"/>
  <c r="AK66" i="109"/>
  <c r="AB16" i="109"/>
  <c r="X17" i="109"/>
  <c r="AD32" i="109"/>
  <c r="Y17" i="109"/>
  <c r="AH36" i="109"/>
  <c r="AH39" i="109" s="1"/>
  <c r="AE13" i="109"/>
  <c r="X16" i="109"/>
  <c r="AB17" i="109"/>
  <c r="AQ14" i="109"/>
  <c r="U11" i="109"/>
  <c r="V9" i="109"/>
  <c r="R10" i="109"/>
  <c r="G10" i="109"/>
  <c r="W9" i="109"/>
  <c r="AH66" i="109"/>
  <c r="AC49" i="109"/>
  <c r="BK8" i="109"/>
  <c r="BK7" i="109" s="1"/>
  <c r="BI10" i="109"/>
  <c r="Y16" i="109"/>
  <c r="Z17" i="109"/>
  <c r="AI36" i="109"/>
  <c r="AM49" i="109"/>
  <c r="AD57" i="109"/>
  <c r="D11" i="109"/>
  <c r="AS105" i="109"/>
  <c r="AM79" i="109"/>
  <c r="AM72" i="109"/>
  <c r="AM68" i="109"/>
  <c r="AM84" i="109"/>
  <c r="AM77" i="109"/>
  <c r="AM51" i="109"/>
  <c r="Z16" i="109"/>
  <c r="AA17" i="109"/>
  <c r="AI35" i="109"/>
  <c r="AO46" i="109"/>
  <c r="AM63" i="109"/>
  <c r="AB13" i="110"/>
  <c r="Z58" i="110"/>
  <c r="U22" i="110"/>
  <c r="V13" i="110"/>
  <c r="AA13" i="110"/>
  <c r="U13" i="110"/>
  <c r="D30" i="110"/>
  <c r="E11" i="110"/>
  <c r="Z66" i="110"/>
  <c r="T17" i="110"/>
  <c r="AM13" i="110"/>
  <c r="AD31" i="109"/>
  <c r="BJ10" i="109"/>
  <c r="BI11" i="109"/>
  <c r="BM55" i="109"/>
  <c r="G11" i="109"/>
  <c r="W10" i="109"/>
  <c r="AQ15" i="109"/>
  <c r="AG35" i="109"/>
  <c r="AM35" i="109"/>
  <c r="AJ36" i="109"/>
  <c r="AM76" i="109"/>
  <c r="AN36" i="109"/>
  <c r="AN37" i="109" s="1"/>
  <c r="R9" i="109"/>
  <c r="Q9" i="109"/>
  <c r="U12" i="109"/>
  <c r="V11" i="109"/>
  <c r="E12" i="110"/>
  <c r="AM14" i="110"/>
  <c r="BB10" i="109"/>
  <c r="R11" i="109"/>
  <c r="Q11" i="109"/>
  <c r="G12" i="109"/>
  <c r="W11" i="109"/>
  <c r="V12" i="109"/>
  <c r="U13" i="109"/>
  <c r="AQ16" i="109"/>
  <c r="BJ11" i="109"/>
  <c r="BI12" i="109"/>
  <c r="E13" i="110"/>
  <c r="AM15" i="110"/>
  <c r="AQ17" i="109"/>
  <c r="BJ12" i="109"/>
  <c r="BI13" i="109"/>
  <c r="G13" i="109"/>
  <c r="W12" i="109"/>
  <c r="BB11" i="109"/>
  <c r="V13" i="109"/>
  <c r="U14" i="109"/>
  <c r="Q12" i="109"/>
  <c r="R12" i="109"/>
  <c r="E14" i="110"/>
  <c r="AM16" i="110"/>
  <c r="V14" i="109"/>
  <c r="U15" i="109"/>
  <c r="AQ18" i="109"/>
  <c r="Q13" i="109"/>
  <c r="R13" i="109"/>
  <c r="BI14" i="109"/>
  <c r="BJ13" i="109"/>
  <c r="BM58" i="109"/>
  <c r="G14" i="109"/>
  <c r="W13" i="109"/>
  <c r="BB12" i="109"/>
  <c r="AM17" i="110"/>
  <c r="J14" i="110"/>
  <c r="E15" i="110"/>
  <c r="BJ14" i="109"/>
  <c r="BI15" i="109"/>
  <c r="R14" i="109"/>
  <c r="Q14" i="109"/>
  <c r="AQ19" i="109"/>
  <c r="W14" i="109"/>
  <c r="G15" i="109"/>
  <c r="BB13" i="109"/>
  <c r="U16" i="109"/>
  <c r="V15" i="109"/>
  <c r="E16" i="110"/>
  <c r="AM18" i="110"/>
  <c r="R15" i="109"/>
  <c r="Q15" i="109"/>
  <c r="AQ20" i="109"/>
  <c r="BI16" i="109"/>
  <c r="BJ15" i="109"/>
  <c r="V16" i="109"/>
  <c r="U17" i="109"/>
  <c r="G16" i="109"/>
  <c r="W15" i="109"/>
  <c r="BB14" i="109"/>
  <c r="E17" i="110"/>
  <c r="AM19" i="110"/>
  <c r="V17" i="109"/>
  <c r="U18" i="109"/>
  <c r="G17" i="109"/>
  <c r="W16" i="109"/>
  <c r="Q16" i="109"/>
  <c r="R16" i="109"/>
  <c r="AQ21" i="109"/>
  <c r="BB15" i="109"/>
  <c r="BI17" i="109"/>
  <c r="BJ16" i="109"/>
  <c r="AM20" i="110"/>
  <c r="E18" i="110"/>
  <c r="BB16" i="109"/>
  <c r="R17" i="109"/>
  <c r="Q17" i="109"/>
  <c r="BJ17" i="109"/>
  <c r="BI18" i="109"/>
  <c r="U19" i="109"/>
  <c r="V18" i="109"/>
  <c r="AQ22" i="109"/>
  <c r="W17" i="109"/>
  <c r="G18" i="109"/>
  <c r="AM21" i="110"/>
  <c r="E19" i="110"/>
  <c r="W18" i="109"/>
  <c r="G19" i="109"/>
  <c r="BI19" i="109"/>
  <c r="BJ18" i="109"/>
  <c r="AQ23" i="109"/>
  <c r="R18" i="109"/>
  <c r="Q18" i="109"/>
  <c r="BB17" i="109"/>
  <c r="V19" i="109"/>
  <c r="U20" i="109"/>
  <c r="E20" i="110"/>
  <c r="AM22" i="110"/>
  <c r="R19" i="109"/>
  <c r="Q19" i="109"/>
  <c r="AQ24" i="109"/>
  <c r="BB18" i="109"/>
  <c r="W19" i="109"/>
  <c r="G20" i="109"/>
  <c r="U21" i="109"/>
  <c r="V20" i="109"/>
  <c r="BJ19" i="109"/>
  <c r="BI20" i="109"/>
  <c r="AM23" i="110"/>
  <c r="E21" i="110"/>
  <c r="V21" i="109"/>
  <c r="U22" i="109"/>
  <c r="AQ25" i="109"/>
  <c r="BI21" i="109"/>
  <c r="BJ20" i="109"/>
  <c r="R20" i="109"/>
  <c r="Q20" i="109"/>
  <c r="W20" i="109"/>
  <c r="G21" i="109"/>
  <c r="AM24" i="110"/>
  <c r="E22" i="110"/>
  <c r="G22" i="109"/>
  <c r="W21" i="109"/>
  <c r="AQ26" i="109"/>
  <c r="V22" i="109"/>
  <c r="U23" i="109"/>
  <c r="Q21" i="109"/>
  <c r="R21" i="109"/>
  <c r="BJ21" i="109"/>
  <c r="BI22" i="109"/>
  <c r="E23" i="110"/>
  <c r="AM25" i="110"/>
  <c r="V23" i="109"/>
  <c r="U24" i="109"/>
  <c r="Q22" i="109"/>
  <c r="R22" i="109"/>
  <c r="G23" i="109"/>
  <c r="W22" i="109"/>
  <c r="BJ22" i="109"/>
  <c r="BI23" i="109"/>
  <c r="AQ27" i="109"/>
  <c r="E24" i="110"/>
  <c r="AM26" i="110"/>
  <c r="V24" i="109"/>
  <c r="U25" i="109"/>
  <c r="BJ23" i="109"/>
  <c r="BI24" i="109"/>
  <c r="G24" i="109"/>
  <c r="W23" i="109"/>
  <c r="Q23" i="109"/>
  <c r="R23" i="109"/>
  <c r="AQ28" i="109"/>
  <c r="AM27" i="110"/>
  <c r="E25" i="110"/>
  <c r="BJ24" i="109"/>
  <c r="BI25" i="109"/>
  <c r="AQ29" i="109"/>
  <c r="U26" i="109"/>
  <c r="V25" i="109"/>
  <c r="W24" i="109"/>
  <c r="G25" i="109"/>
  <c r="Q24" i="109"/>
  <c r="R24" i="109"/>
  <c r="E26" i="110"/>
  <c r="AM28" i="110"/>
  <c r="BI26" i="109"/>
  <c r="BJ25" i="109"/>
  <c r="R25" i="109"/>
  <c r="Q25" i="109"/>
  <c r="AQ30" i="109"/>
  <c r="W25" i="109"/>
  <c r="G26" i="109"/>
  <c r="U27" i="109"/>
  <c r="V26" i="109"/>
  <c r="AM29" i="110"/>
  <c r="E27" i="110"/>
  <c r="J26" i="110"/>
  <c r="BB19" i="109"/>
  <c r="U28" i="109"/>
  <c r="V27" i="109"/>
  <c r="BI27" i="109"/>
  <c r="BJ26" i="109"/>
  <c r="R26" i="109"/>
  <c r="Q26" i="109"/>
  <c r="G27" i="109"/>
  <c r="W26" i="109"/>
  <c r="AQ31" i="109"/>
  <c r="E28" i="110"/>
  <c r="AM30" i="110"/>
  <c r="BB20" i="109"/>
  <c r="BI28" i="109"/>
  <c r="BJ27" i="109"/>
  <c r="R27" i="109"/>
  <c r="Q27" i="109"/>
  <c r="AQ32" i="109"/>
  <c r="V28" i="109"/>
  <c r="U29" i="109"/>
  <c r="G28" i="109"/>
  <c r="W27" i="109"/>
  <c r="AM31" i="110"/>
  <c r="E29" i="110"/>
  <c r="BJ28" i="109"/>
  <c r="BI29" i="109"/>
  <c r="AQ33" i="109"/>
  <c r="G29" i="109"/>
  <c r="W28" i="109"/>
  <c r="U30" i="109"/>
  <c r="V29" i="109"/>
  <c r="Q28" i="109"/>
  <c r="R28" i="109"/>
  <c r="BA21" i="109"/>
  <c r="BB21" i="109"/>
  <c r="AM32" i="110"/>
  <c r="E30" i="110"/>
  <c r="J29" i="110"/>
  <c r="U31" i="109"/>
  <c r="V30" i="109"/>
  <c r="G30" i="109"/>
  <c r="W29" i="109"/>
  <c r="AQ34" i="109"/>
  <c r="BI30" i="109"/>
  <c r="BJ29" i="109"/>
  <c r="R29" i="109"/>
  <c r="Q29" i="109"/>
  <c r="BA22" i="109"/>
  <c r="BB22" i="109"/>
  <c r="AM33" i="110"/>
  <c r="E31" i="110"/>
  <c r="R30" i="109"/>
  <c r="Q30" i="109"/>
  <c r="BA23" i="109"/>
  <c r="BB23" i="109"/>
  <c r="AQ35" i="109"/>
  <c r="U32" i="109"/>
  <c r="V31" i="109"/>
  <c r="BI31" i="109"/>
  <c r="BJ30" i="109"/>
  <c r="G31" i="109"/>
  <c r="W30" i="109"/>
  <c r="E32" i="110"/>
  <c r="AM34" i="110"/>
  <c r="U33" i="109"/>
  <c r="V32" i="109"/>
  <c r="BI32" i="109"/>
  <c r="BJ31" i="109"/>
  <c r="G32" i="109"/>
  <c r="W31" i="109"/>
  <c r="BA24" i="109"/>
  <c r="BB24" i="109"/>
  <c r="Q31" i="109"/>
  <c r="R31" i="109"/>
  <c r="AQ36" i="109"/>
  <c r="E33" i="110"/>
  <c r="AM35" i="110"/>
  <c r="G33" i="109"/>
  <c r="W32" i="109"/>
  <c r="R32" i="109"/>
  <c r="Q32" i="109"/>
  <c r="BJ32" i="109"/>
  <c r="BI33" i="109"/>
  <c r="AQ37" i="109"/>
  <c r="U34" i="109"/>
  <c r="V33" i="109"/>
  <c r="BB25" i="109"/>
  <c r="BA25" i="109"/>
  <c r="E34" i="110"/>
  <c r="AM36" i="110"/>
  <c r="BB26" i="109"/>
  <c r="BA26" i="109"/>
  <c r="AQ38" i="109"/>
  <c r="G34" i="109"/>
  <c r="W33" i="109"/>
  <c r="R33" i="109"/>
  <c r="Q33" i="109"/>
  <c r="U35" i="109"/>
  <c r="V34" i="109"/>
  <c r="BJ33" i="109"/>
  <c r="BI34" i="109"/>
  <c r="AM37" i="110"/>
  <c r="E35" i="110"/>
  <c r="J34" i="110"/>
  <c r="U36" i="109"/>
  <c r="V35" i="109"/>
  <c r="G35" i="109"/>
  <c r="W34" i="109"/>
  <c r="BI35" i="109"/>
  <c r="BJ34" i="109"/>
  <c r="AQ39" i="109"/>
  <c r="BB27" i="109"/>
  <c r="BA27" i="109"/>
  <c r="R34" i="109"/>
  <c r="Q34" i="109"/>
  <c r="AM38" i="110"/>
  <c r="E36" i="110"/>
  <c r="J35" i="110"/>
  <c r="AQ40" i="109"/>
  <c r="BA28" i="109"/>
  <c r="BB28" i="109"/>
  <c r="Q35" i="109"/>
  <c r="R35" i="109"/>
  <c r="BI36" i="109"/>
  <c r="BJ35" i="109"/>
  <c r="U37" i="109"/>
  <c r="V36" i="109"/>
  <c r="G36" i="109"/>
  <c r="W35" i="109"/>
  <c r="AM39" i="110"/>
  <c r="E37" i="110"/>
  <c r="J36" i="110"/>
  <c r="G37" i="109"/>
  <c r="W36" i="109"/>
  <c r="R36" i="109"/>
  <c r="Q36" i="109"/>
  <c r="BJ36" i="109"/>
  <c r="BI37" i="109"/>
  <c r="V37" i="109"/>
  <c r="U38" i="109"/>
  <c r="BB29" i="109"/>
  <c r="BA29" i="109"/>
  <c r="AQ41" i="109"/>
  <c r="AM40" i="110"/>
  <c r="E38" i="110"/>
  <c r="V38" i="109"/>
  <c r="U39" i="109"/>
  <c r="R37" i="109"/>
  <c r="Q37" i="109"/>
  <c r="AQ42" i="109"/>
  <c r="BJ37" i="109"/>
  <c r="BI38" i="109"/>
  <c r="BB30" i="109"/>
  <c r="BA30" i="109"/>
  <c r="W37" i="109"/>
  <c r="G38" i="109"/>
  <c r="AM41" i="110"/>
  <c r="E39" i="110"/>
  <c r="J38" i="110"/>
  <c r="W38" i="109"/>
  <c r="G39" i="109"/>
  <c r="BB31" i="109"/>
  <c r="BA31" i="109"/>
  <c r="U40" i="109"/>
  <c r="V39" i="109"/>
  <c r="AQ43" i="109"/>
  <c r="R38" i="109"/>
  <c r="Q38" i="109"/>
  <c r="BJ38" i="109"/>
  <c r="BI39" i="109"/>
  <c r="J39" i="110"/>
  <c r="E40" i="110"/>
  <c r="AM42" i="110"/>
  <c r="BI40" i="109"/>
  <c r="BJ39" i="109"/>
  <c r="U41" i="109"/>
  <c r="V40" i="109"/>
  <c r="BB32" i="109"/>
  <c r="BA32" i="109"/>
  <c r="W39" i="109"/>
  <c r="G40" i="109"/>
  <c r="AQ44" i="109"/>
  <c r="R39" i="109"/>
  <c r="Q39" i="109"/>
  <c r="AM43" i="110"/>
  <c r="E41" i="110"/>
  <c r="R40" i="109"/>
  <c r="Q40" i="109"/>
  <c r="AQ45" i="109"/>
  <c r="W40" i="109"/>
  <c r="G41" i="109"/>
  <c r="U42" i="109"/>
  <c r="V41" i="109"/>
  <c r="BB33" i="109"/>
  <c r="BA33" i="109"/>
  <c r="BI41" i="109"/>
  <c r="BJ40" i="109"/>
  <c r="E42" i="110"/>
  <c r="J41" i="110"/>
  <c r="AM44" i="110"/>
  <c r="BI42" i="109"/>
  <c r="BJ41" i="109"/>
  <c r="Q41" i="109"/>
  <c r="R41" i="109"/>
  <c r="U43" i="109"/>
  <c r="V42" i="109"/>
  <c r="G42" i="109"/>
  <c r="W41" i="109"/>
  <c r="BB34" i="109"/>
  <c r="BA34" i="109"/>
  <c r="AQ46" i="109"/>
  <c r="AM45" i="110"/>
  <c r="E43" i="110"/>
  <c r="R42" i="109"/>
  <c r="Q42" i="109"/>
  <c r="AQ47" i="109"/>
  <c r="G43" i="109"/>
  <c r="W42" i="109"/>
  <c r="V43" i="109"/>
  <c r="U44" i="109"/>
  <c r="BA35" i="109"/>
  <c r="BB35" i="109"/>
  <c r="BI43" i="109"/>
  <c r="BJ42" i="109"/>
  <c r="AM46" i="110"/>
  <c r="J43" i="110"/>
  <c r="E44" i="110"/>
  <c r="BI44" i="109"/>
  <c r="BJ43" i="109"/>
  <c r="R43" i="109"/>
  <c r="Q43" i="109"/>
  <c r="G44" i="109"/>
  <c r="W43" i="109"/>
  <c r="AQ48" i="109"/>
  <c r="BA36" i="109"/>
  <c r="BB36" i="109"/>
  <c r="V44" i="109"/>
  <c r="U45" i="109"/>
  <c r="E45" i="110"/>
  <c r="AM47" i="110"/>
  <c r="R44" i="109"/>
  <c r="Q44" i="109"/>
  <c r="BB37" i="109"/>
  <c r="BA37" i="109"/>
  <c r="BI45" i="109"/>
  <c r="BJ44" i="109"/>
  <c r="V45" i="109"/>
  <c r="U46" i="109"/>
  <c r="AQ49" i="109"/>
  <c r="G45" i="109"/>
  <c r="AM48" i="110"/>
  <c r="J45" i="110"/>
  <c r="E46" i="110"/>
  <c r="V46" i="109"/>
  <c r="U47" i="109"/>
  <c r="BB38" i="109"/>
  <c r="BA38" i="109"/>
  <c r="R45" i="109"/>
  <c r="Q45" i="109"/>
  <c r="BI46" i="109"/>
  <c r="BJ45" i="109"/>
  <c r="G46" i="109"/>
  <c r="T45" i="109"/>
  <c r="W45" i="109"/>
  <c r="AQ50" i="109"/>
  <c r="E47" i="110"/>
  <c r="J46" i="110"/>
  <c r="AM49" i="110"/>
  <c r="AQ51" i="109"/>
  <c r="T46" i="109"/>
  <c r="G47" i="109"/>
  <c r="W46" i="109"/>
  <c r="BB39" i="109"/>
  <c r="BA39" i="109"/>
  <c r="V47" i="109"/>
  <c r="U48" i="109"/>
  <c r="BI47" i="109"/>
  <c r="BJ46" i="109"/>
  <c r="R46" i="109"/>
  <c r="Q46" i="109"/>
  <c r="AM50" i="110"/>
  <c r="E48" i="110"/>
  <c r="U49" i="109"/>
  <c r="V48" i="109"/>
  <c r="BI48" i="109"/>
  <c r="BJ47" i="109"/>
  <c r="R47" i="109"/>
  <c r="Q47" i="109"/>
  <c r="T47" i="109"/>
  <c r="G48" i="109"/>
  <c r="W47" i="109"/>
  <c r="BA40" i="109"/>
  <c r="BB40" i="109"/>
  <c r="AQ52" i="109"/>
  <c r="J48" i="110"/>
  <c r="E49" i="110"/>
  <c r="AM51" i="110"/>
  <c r="BB41" i="109"/>
  <c r="BA41" i="109"/>
  <c r="AQ53" i="109"/>
  <c r="T48" i="109"/>
  <c r="G49" i="109"/>
  <c r="W48" i="109"/>
  <c r="BJ48" i="109"/>
  <c r="BI49" i="109"/>
  <c r="R48" i="109"/>
  <c r="Q48" i="109"/>
  <c r="U50" i="109"/>
  <c r="V49" i="109"/>
  <c r="AM52" i="110"/>
  <c r="J49" i="110"/>
  <c r="E50" i="110"/>
  <c r="Q49" i="109"/>
  <c r="R49" i="109"/>
  <c r="BI50" i="109"/>
  <c r="BJ49" i="109"/>
  <c r="BB42" i="109"/>
  <c r="BA42" i="109"/>
  <c r="W49" i="109"/>
  <c r="G50" i="109"/>
  <c r="T49" i="109"/>
  <c r="V50" i="109"/>
  <c r="U51" i="109"/>
  <c r="AQ54" i="109"/>
  <c r="J50" i="110"/>
  <c r="E51" i="110"/>
  <c r="AM53" i="110"/>
  <c r="G51" i="109"/>
  <c r="T50" i="109"/>
  <c r="W50" i="109"/>
  <c r="BB43" i="109"/>
  <c r="BA43" i="109"/>
  <c r="U52" i="109"/>
  <c r="V51" i="109"/>
  <c r="Q50" i="109"/>
  <c r="R50" i="109"/>
  <c r="AQ55" i="109"/>
  <c r="BI51" i="109"/>
  <c r="BJ50" i="109"/>
  <c r="AM54" i="110"/>
  <c r="E52" i="110"/>
  <c r="J51" i="110"/>
  <c r="BB44" i="109"/>
  <c r="BA44" i="109"/>
  <c r="U53" i="109"/>
  <c r="V52" i="109"/>
  <c r="G52" i="109"/>
  <c r="T51" i="109"/>
  <c r="W51" i="109"/>
  <c r="BJ51" i="109"/>
  <c r="BI52" i="109"/>
  <c r="AQ56" i="109"/>
  <c r="R51" i="109"/>
  <c r="Q51" i="109"/>
  <c r="E53" i="110"/>
  <c r="J52" i="110"/>
  <c r="AM55" i="110"/>
  <c r="BB45" i="109"/>
  <c r="BA45" i="109"/>
  <c r="AQ57" i="109"/>
  <c r="R52" i="109"/>
  <c r="Q52" i="109"/>
  <c r="BJ52" i="109"/>
  <c r="BI53" i="109"/>
  <c r="U54" i="109"/>
  <c r="V53" i="109"/>
  <c r="T52" i="109"/>
  <c r="G53" i="109"/>
  <c r="W52" i="109"/>
  <c r="AM56" i="110"/>
  <c r="J53" i="110"/>
  <c r="E54" i="110"/>
  <c r="G54" i="109"/>
  <c r="W53" i="109"/>
  <c r="T53" i="109"/>
  <c r="Q53" i="109"/>
  <c r="R53" i="109"/>
  <c r="V54" i="109"/>
  <c r="U55" i="109"/>
  <c r="BI54" i="109"/>
  <c r="BJ53" i="109"/>
  <c r="BB46" i="109"/>
  <c r="BA46" i="109"/>
  <c r="AQ58" i="109"/>
  <c r="E55" i="110"/>
  <c r="J54" i="110"/>
  <c r="AM57" i="110"/>
  <c r="V55" i="109"/>
  <c r="U56" i="109"/>
  <c r="AQ59" i="109"/>
  <c r="BB47" i="109"/>
  <c r="BA47" i="109"/>
  <c r="R54" i="109"/>
  <c r="Q54" i="109"/>
  <c r="T54" i="109"/>
  <c r="W54" i="109"/>
  <c r="G55" i="109"/>
  <c r="BI55" i="109"/>
  <c r="BJ54" i="109"/>
  <c r="AM58" i="110"/>
  <c r="E56" i="110"/>
  <c r="G56" i="109"/>
  <c r="R55" i="109"/>
  <c r="Q55" i="109"/>
  <c r="BI56" i="109"/>
  <c r="BJ55" i="109"/>
  <c r="AQ60" i="109"/>
  <c r="BA48" i="109"/>
  <c r="BB48" i="109"/>
  <c r="U57" i="109"/>
  <c r="V56" i="109"/>
  <c r="AM59" i="110"/>
  <c r="E57" i="110"/>
  <c r="BA49" i="109"/>
  <c r="BB49" i="109"/>
  <c r="G57" i="109"/>
  <c r="R56" i="109"/>
  <c r="Q56" i="109"/>
  <c r="BJ56" i="109"/>
  <c r="BI57" i="109"/>
  <c r="AQ61" i="109"/>
  <c r="U58" i="109"/>
  <c r="V57" i="109"/>
  <c r="E58" i="110"/>
  <c r="J57" i="110"/>
  <c r="AM60" i="110"/>
  <c r="R57" i="109"/>
  <c r="Q57" i="109"/>
  <c r="AQ62" i="109"/>
  <c r="BJ57" i="109"/>
  <c r="BI58" i="109"/>
  <c r="G58" i="109"/>
  <c r="T57" i="109"/>
  <c r="W57" i="109"/>
  <c r="U59" i="109"/>
  <c r="V58" i="109"/>
  <c r="BB50" i="109"/>
  <c r="BA50" i="109"/>
  <c r="AM61" i="110"/>
  <c r="J58" i="110"/>
  <c r="E59" i="110"/>
  <c r="G59" i="109"/>
  <c r="T58" i="109"/>
  <c r="W58" i="109"/>
  <c r="BB51" i="109"/>
  <c r="BA51" i="109"/>
  <c r="Q58" i="109"/>
  <c r="R58" i="109"/>
  <c r="U60" i="109"/>
  <c r="V59" i="109"/>
  <c r="BJ58" i="109"/>
  <c r="BI59" i="109"/>
  <c r="AQ63" i="109"/>
  <c r="E60" i="110"/>
  <c r="J59" i="110"/>
  <c r="AM62" i="110"/>
  <c r="BA52" i="109"/>
  <c r="BB52" i="109"/>
  <c r="Q59" i="109"/>
  <c r="R59" i="109"/>
  <c r="AQ64" i="109"/>
  <c r="U61" i="109"/>
  <c r="V60" i="109"/>
  <c r="BJ59" i="109"/>
  <c r="BI60" i="109"/>
  <c r="G60" i="109"/>
  <c r="T59" i="109"/>
  <c r="W59" i="109"/>
  <c r="E61" i="110"/>
  <c r="J60" i="110"/>
  <c r="AM63" i="110"/>
  <c r="BJ60" i="109"/>
  <c r="BI61" i="109"/>
  <c r="G61" i="109"/>
  <c r="T60" i="109"/>
  <c r="W60" i="109"/>
  <c r="BB53" i="109"/>
  <c r="BA53" i="109"/>
  <c r="AQ65" i="109"/>
  <c r="U62" i="109"/>
  <c r="V61" i="109"/>
  <c r="Q60" i="109"/>
  <c r="R60" i="109"/>
  <c r="AM64" i="110"/>
  <c r="J61" i="110"/>
  <c r="E62" i="110"/>
  <c r="AQ66" i="109"/>
  <c r="Q61" i="109"/>
  <c r="R61" i="109"/>
  <c r="BJ61" i="109"/>
  <c r="BI62" i="109"/>
  <c r="V62" i="109"/>
  <c r="U63" i="109"/>
  <c r="G62" i="109"/>
  <c r="T61" i="109"/>
  <c r="W61" i="109"/>
  <c r="BB54" i="109"/>
  <c r="BA54" i="109"/>
  <c r="J62" i="110"/>
  <c r="E63" i="110"/>
  <c r="AM65" i="110"/>
  <c r="BB55" i="109"/>
  <c r="BA55" i="109"/>
  <c r="V63" i="109"/>
  <c r="U64" i="109"/>
  <c r="AQ67" i="109"/>
  <c r="G63" i="109"/>
  <c r="T62" i="109"/>
  <c r="W62" i="109"/>
  <c r="Q62" i="109"/>
  <c r="R62" i="109"/>
  <c r="BJ62" i="109"/>
  <c r="BI63" i="109"/>
  <c r="E64" i="110"/>
  <c r="J63" i="110"/>
  <c r="AM66" i="110"/>
  <c r="W63" i="109"/>
  <c r="G64" i="109"/>
  <c r="T63" i="109"/>
  <c r="BI64" i="109"/>
  <c r="BJ63" i="109"/>
  <c r="AQ68" i="109"/>
  <c r="V64" i="109"/>
  <c r="U65" i="109"/>
  <c r="BB56" i="109"/>
  <c r="BA56" i="109"/>
  <c r="R63" i="109"/>
  <c r="Q63" i="109"/>
  <c r="AM67" i="110"/>
  <c r="E65" i="110"/>
  <c r="J64" i="110"/>
  <c r="BB57" i="109"/>
  <c r="BA57" i="109"/>
  <c r="BI65" i="109"/>
  <c r="BJ64" i="109"/>
  <c r="V65" i="109"/>
  <c r="U66" i="109"/>
  <c r="AQ69" i="109"/>
  <c r="G65" i="109"/>
  <c r="T64" i="109"/>
  <c r="W64" i="109"/>
  <c r="R64" i="109"/>
  <c r="Q64" i="109"/>
  <c r="AM68" i="110"/>
  <c r="E66" i="110"/>
  <c r="J65" i="110"/>
  <c r="G66" i="109"/>
  <c r="W65" i="109"/>
  <c r="T65" i="109"/>
  <c r="BB58" i="109"/>
  <c r="BA58" i="109"/>
  <c r="R65" i="109"/>
  <c r="Q65" i="109"/>
  <c r="AQ70" i="109"/>
  <c r="BI66" i="109"/>
  <c r="BJ65" i="109"/>
  <c r="V66" i="109"/>
  <c r="U67" i="109"/>
  <c r="J66" i="110"/>
  <c r="E67" i="110"/>
  <c r="AM69" i="110"/>
  <c r="BI67" i="109"/>
  <c r="BJ66" i="109"/>
  <c r="U68" i="109"/>
  <c r="V67" i="109"/>
  <c r="R66" i="109"/>
  <c r="Q66" i="109"/>
  <c r="BB59" i="109"/>
  <c r="BA59" i="109"/>
  <c r="AQ71" i="109"/>
  <c r="W66" i="109"/>
  <c r="G67" i="109"/>
  <c r="T66" i="109"/>
  <c r="AM70" i="110"/>
  <c r="J67" i="110"/>
  <c r="E68" i="110"/>
  <c r="W67" i="109"/>
  <c r="T67" i="109"/>
  <c r="G68" i="109"/>
  <c r="V68" i="109"/>
  <c r="U69" i="109"/>
  <c r="AQ72" i="109"/>
  <c r="BB60" i="109"/>
  <c r="BA60" i="109"/>
  <c r="BI68" i="109"/>
  <c r="BJ67" i="109"/>
  <c r="R67" i="109"/>
  <c r="Q67" i="109"/>
  <c r="AM71" i="110"/>
  <c r="E69" i="110"/>
  <c r="BB61" i="109"/>
  <c r="BA61" i="109"/>
  <c r="AQ73" i="109"/>
  <c r="BI69" i="109"/>
  <c r="BJ68" i="109"/>
  <c r="U70" i="109"/>
  <c r="V69" i="109"/>
  <c r="G69" i="109"/>
  <c r="Q68" i="109"/>
  <c r="R68" i="109"/>
  <c r="E70" i="110"/>
  <c r="J69" i="110"/>
  <c r="AM72" i="110"/>
  <c r="V70" i="109"/>
  <c r="U71" i="109"/>
  <c r="BB62" i="109"/>
  <c r="BA62" i="109"/>
  <c r="AQ74" i="109"/>
  <c r="BI70" i="109"/>
  <c r="BJ69" i="109"/>
  <c r="W69" i="109"/>
  <c r="T69" i="109"/>
  <c r="G70" i="109"/>
  <c r="R69" i="109"/>
  <c r="Q69" i="109"/>
  <c r="J70" i="110"/>
  <c r="E71" i="110"/>
  <c r="AM73" i="110"/>
  <c r="W70" i="109"/>
  <c r="G71" i="109"/>
  <c r="T70" i="109"/>
  <c r="BA63" i="109"/>
  <c r="BB63" i="109"/>
  <c r="AQ75" i="109"/>
  <c r="U72" i="109"/>
  <c r="V71" i="109"/>
  <c r="BI71" i="109"/>
  <c r="BJ70" i="109"/>
  <c r="Q70" i="109"/>
  <c r="R70" i="109"/>
  <c r="AM74" i="110"/>
  <c r="J71" i="110"/>
  <c r="E72" i="110"/>
  <c r="AQ76" i="109"/>
  <c r="V72" i="109"/>
  <c r="U73" i="109"/>
  <c r="W71" i="109"/>
  <c r="T71" i="109"/>
  <c r="G72" i="109"/>
  <c r="R71" i="109"/>
  <c r="Q71" i="109"/>
  <c r="BB64" i="109"/>
  <c r="BA64" i="109"/>
  <c r="BI72" i="109"/>
  <c r="BJ71" i="109"/>
  <c r="AM75" i="110"/>
  <c r="J72" i="110"/>
  <c r="E73" i="110"/>
  <c r="BI73" i="109"/>
  <c r="BJ72" i="109"/>
  <c r="W72" i="109"/>
  <c r="G73" i="109"/>
  <c r="T72" i="109"/>
  <c r="BB65" i="109"/>
  <c r="BA65" i="109"/>
  <c r="V73" i="109"/>
  <c r="U74" i="109"/>
  <c r="AQ77" i="109"/>
  <c r="Q72" i="109"/>
  <c r="R72" i="109"/>
  <c r="AM76" i="110"/>
  <c r="E74" i="110"/>
  <c r="J73" i="110"/>
  <c r="AQ78" i="109"/>
  <c r="V74" i="109"/>
  <c r="U75" i="109"/>
  <c r="R73" i="109"/>
  <c r="Q73" i="109"/>
  <c r="G74" i="109"/>
  <c r="W73" i="109"/>
  <c r="T73" i="109"/>
  <c r="BB66" i="109"/>
  <c r="BA66" i="109"/>
  <c r="BJ73" i="109"/>
  <c r="BI74" i="109"/>
  <c r="J74" i="110"/>
  <c r="E75" i="110"/>
  <c r="AM77" i="110"/>
  <c r="BJ74" i="109"/>
  <c r="BI75" i="109"/>
  <c r="BA67" i="109"/>
  <c r="BB67" i="109"/>
  <c r="G75" i="109"/>
  <c r="T74" i="109"/>
  <c r="W74" i="109"/>
  <c r="V75" i="109"/>
  <c r="U76" i="109"/>
  <c r="AQ79" i="109"/>
  <c r="Q74" i="109"/>
  <c r="R74" i="109"/>
  <c r="E76" i="110"/>
  <c r="J75" i="110"/>
  <c r="AM78" i="110"/>
  <c r="V76" i="109"/>
  <c r="U77" i="109"/>
  <c r="Q75" i="109"/>
  <c r="R75" i="109"/>
  <c r="BJ75" i="109"/>
  <c r="BI76" i="109"/>
  <c r="BB68" i="109"/>
  <c r="BA68" i="109"/>
  <c r="AQ80" i="109"/>
  <c r="G76" i="109"/>
  <c r="T75" i="109"/>
  <c r="W75" i="109"/>
  <c r="AM79" i="110"/>
  <c r="E77" i="110"/>
  <c r="J76" i="110"/>
  <c r="BA69" i="109"/>
  <c r="BB69" i="109"/>
  <c r="G77" i="109"/>
  <c r="T76" i="109"/>
  <c r="W76" i="109"/>
  <c r="AQ81" i="109"/>
  <c r="BJ76" i="109"/>
  <c r="BI77" i="109"/>
  <c r="U78" i="109"/>
  <c r="V77" i="109"/>
  <c r="Q76" i="109"/>
  <c r="R76" i="109"/>
  <c r="E78" i="110"/>
  <c r="J77" i="110"/>
  <c r="AM80" i="110"/>
  <c r="BB70" i="109"/>
  <c r="BA70" i="109"/>
  <c r="T77" i="109"/>
  <c r="W77" i="109"/>
  <c r="G78" i="109"/>
  <c r="V78" i="109"/>
  <c r="U79" i="109"/>
  <c r="BI78" i="109"/>
  <c r="BJ77" i="109"/>
  <c r="AQ82" i="109"/>
  <c r="Q77" i="109"/>
  <c r="R77" i="109"/>
  <c r="AM81" i="110"/>
  <c r="J78" i="110"/>
  <c r="E79" i="110"/>
  <c r="BA71" i="109"/>
  <c r="BB71" i="109"/>
  <c r="BI79" i="109"/>
  <c r="BJ78" i="109"/>
  <c r="G79" i="109"/>
  <c r="T44" i="109"/>
  <c r="T55" i="109"/>
  <c r="T56" i="109"/>
  <c r="T68" i="109"/>
  <c r="T78" i="109"/>
  <c r="W78" i="109"/>
  <c r="R78" i="109"/>
  <c r="Q78" i="109"/>
  <c r="AQ83" i="109"/>
  <c r="V79" i="109"/>
  <c r="U80" i="109"/>
  <c r="AM82" i="110"/>
  <c r="E80" i="110"/>
  <c r="J79" i="110"/>
  <c r="G80" i="109"/>
  <c r="W79" i="109"/>
  <c r="T79" i="109"/>
  <c r="BI80" i="109"/>
  <c r="BJ79" i="109"/>
  <c r="AQ84" i="109"/>
  <c r="V80" i="109"/>
  <c r="U81" i="109"/>
  <c r="R79" i="109"/>
  <c r="Q79" i="109"/>
  <c r="BB72" i="109"/>
  <c r="BA72" i="109"/>
  <c r="E81" i="110"/>
  <c r="J80" i="110"/>
  <c r="AM83" i="110"/>
  <c r="V81" i="109"/>
  <c r="U82" i="109"/>
  <c r="W80" i="109"/>
  <c r="T80" i="109"/>
  <c r="G81" i="109"/>
  <c r="R80" i="109"/>
  <c r="Q80" i="109"/>
  <c r="BA73" i="109"/>
  <c r="BB73" i="109"/>
  <c r="AQ85" i="109"/>
  <c r="BI81" i="109"/>
  <c r="BJ80" i="109"/>
  <c r="AM84" i="110"/>
  <c r="J81" i="110"/>
  <c r="E82" i="110"/>
  <c r="W81" i="109"/>
  <c r="T81" i="109"/>
  <c r="G82" i="109"/>
  <c r="BA74" i="109"/>
  <c r="BB74" i="109"/>
  <c r="AQ86" i="109"/>
  <c r="U83" i="109"/>
  <c r="V82" i="109"/>
  <c r="BI82" i="109"/>
  <c r="BJ81" i="109"/>
  <c r="R81" i="109"/>
  <c r="Q81" i="109"/>
  <c r="E83" i="110"/>
  <c r="J82" i="110"/>
  <c r="AM85" i="110"/>
  <c r="V83" i="109"/>
  <c r="U84" i="109"/>
  <c r="W82" i="109"/>
  <c r="G83" i="109"/>
  <c r="T82" i="109"/>
  <c r="BA75" i="109"/>
  <c r="BB75" i="109"/>
  <c r="BI83" i="109"/>
  <c r="BJ82" i="109"/>
  <c r="AQ87" i="109"/>
  <c r="R82" i="109"/>
  <c r="Q82" i="109"/>
  <c r="AM86" i="110"/>
  <c r="E84" i="110"/>
  <c r="J83" i="110"/>
  <c r="V84" i="109"/>
  <c r="U85" i="109"/>
  <c r="BA76" i="109"/>
  <c r="BB76" i="109"/>
  <c r="BI84" i="109"/>
  <c r="BJ83" i="109"/>
  <c r="AQ88" i="109"/>
  <c r="G84" i="109"/>
  <c r="W83" i="109"/>
  <c r="T83" i="109"/>
  <c r="R83" i="109"/>
  <c r="Q83" i="109"/>
  <c r="AM87" i="110"/>
  <c r="E85" i="110"/>
  <c r="J84" i="110"/>
  <c r="BB77" i="109"/>
  <c r="BA77" i="109"/>
  <c r="BI85" i="109"/>
  <c r="BJ84" i="109"/>
  <c r="G85" i="109"/>
  <c r="W84" i="109"/>
  <c r="T84" i="109"/>
  <c r="V85" i="109"/>
  <c r="U86" i="109"/>
  <c r="AQ89" i="109"/>
  <c r="R84" i="109"/>
  <c r="Q84" i="109"/>
  <c r="J85" i="110"/>
  <c r="E86" i="110"/>
  <c r="AM88" i="110"/>
  <c r="R85" i="109"/>
  <c r="Q85" i="109"/>
  <c r="BB78" i="109"/>
  <c r="BA78" i="109"/>
  <c r="V86" i="109"/>
  <c r="U87" i="109"/>
  <c r="G86" i="109"/>
  <c r="W85" i="109"/>
  <c r="T85" i="109"/>
  <c r="BI86" i="109"/>
  <c r="BJ85" i="109"/>
  <c r="AQ90" i="109"/>
  <c r="J86" i="110"/>
  <c r="E87" i="110"/>
  <c r="AM89" i="110"/>
  <c r="R86" i="109"/>
  <c r="Q86" i="109"/>
  <c r="AQ91" i="109"/>
  <c r="G87" i="109"/>
  <c r="W86" i="109"/>
  <c r="T86" i="109"/>
  <c r="BA79" i="109"/>
  <c r="BB79" i="109"/>
  <c r="BI87" i="109"/>
  <c r="BJ86" i="109"/>
  <c r="V87" i="109"/>
  <c r="U88" i="109"/>
  <c r="AM90" i="110"/>
  <c r="J87" i="110"/>
  <c r="E88" i="110"/>
  <c r="V88" i="109"/>
  <c r="U89" i="109"/>
  <c r="G88" i="109"/>
  <c r="W87" i="109"/>
  <c r="T87" i="109"/>
  <c r="BI88" i="109"/>
  <c r="BJ87" i="109"/>
  <c r="R87" i="109"/>
  <c r="Q87" i="109"/>
  <c r="BA80" i="109"/>
  <c r="BB80" i="109"/>
  <c r="AQ92" i="109"/>
  <c r="AM91" i="110"/>
  <c r="J88" i="110"/>
  <c r="E89" i="110"/>
  <c r="G89" i="109"/>
  <c r="W88" i="109"/>
  <c r="T88" i="109"/>
  <c r="AQ93" i="109"/>
  <c r="BA81" i="109"/>
  <c r="BB81" i="109"/>
  <c r="V89" i="109"/>
  <c r="U90" i="109"/>
  <c r="BJ88" i="109"/>
  <c r="BI89" i="109"/>
  <c r="R88" i="109"/>
  <c r="Q88" i="109"/>
  <c r="AM92" i="110"/>
  <c r="J89" i="110"/>
  <c r="E90" i="110"/>
  <c r="Q89" i="109"/>
  <c r="R89" i="109"/>
  <c r="G90" i="109"/>
  <c r="T89" i="109"/>
  <c r="W89" i="109"/>
  <c r="BJ89" i="109"/>
  <c r="BI90" i="109"/>
  <c r="AU93" i="109"/>
  <c r="AN132" i="109" s="1"/>
  <c r="AQ94" i="109"/>
  <c r="BB82" i="109"/>
  <c r="BA82" i="109"/>
  <c r="V90" i="109"/>
  <c r="U91" i="109"/>
  <c r="J90" i="110"/>
  <c r="E91" i="110"/>
  <c r="AM93" i="110"/>
  <c r="BB83" i="109"/>
  <c r="BA83" i="109"/>
  <c r="Q90" i="109"/>
  <c r="R90" i="109"/>
  <c r="AQ95" i="109"/>
  <c r="AU94" i="109"/>
  <c r="AP94" i="109" s="1"/>
  <c r="G91" i="109"/>
  <c r="T90" i="109"/>
  <c r="W90" i="109"/>
  <c r="V91" i="109"/>
  <c r="U92" i="109"/>
  <c r="BJ90" i="109"/>
  <c r="BI91" i="109"/>
  <c r="J91" i="110"/>
  <c r="E92" i="110"/>
  <c r="AM94" i="110"/>
  <c r="Q91" i="109"/>
  <c r="R91" i="109"/>
  <c r="BB84" i="109"/>
  <c r="BA84" i="109"/>
  <c r="AU95" i="109"/>
  <c r="AP95" i="109" s="1"/>
  <c r="AQ96" i="109"/>
  <c r="V92" i="109"/>
  <c r="U93" i="109"/>
  <c r="BJ91" i="109"/>
  <c r="BI92" i="109"/>
  <c r="G92" i="109"/>
  <c r="T91" i="109"/>
  <c r="W91" i="109"/>
  <c r="W44" i="109"/>
  <c r="AM95" i="110"/>
  <c r="E93" i="110"/>
  <c r="U94" i="109"/>
  <c r="V93" i="109"/>
  <c r="G93" i="109"/>
  <c r="BB85" i="109"/>
  <c r="BA85" i="109"/>
  <c r="BJ92" i="109"/>
  <c r="BI93" i="109"/>
  <c r="Q92" i="109"/>
  <c r="R92" i="109"/>
  <c r="AU96" i="109"/>
  <c r="AP96" i="109" s="1"/>
  <c r="AQ97" i="109"/>
  <c r="E94" i="110"/>
  <c r="J93" i="110"/>
  <c r="AM96" i="110"/>
  <c r="BI94" i="109"/>
  <c r="BJ93" i="109"/>
  <c r="Q93" i="109"/>
  <c r="M93" i="109"/>
  <c r="R93" i="109"/>
  <c r="K93" i="109"/>
  <c r="BL93" i="109" s="1"/>
  <c r="W93" i="109"/>
  <c r="G94" i="109"/>
  <c r="AU97" i="109"/>
  <c r="AP97" i="109" s="1"/>
  <c r="AQ98" i="109"/>
  <c r="BB86" i="109"/>
  <c r="BA86" i="109"/>
  <c r="V94" i="109"/>
  <c r="U95" i="109"/>
  <c r="AM97" i="110"/>
  <c r="J94" i="110"/>
  <c r="E95" i="110"/>
  <c r="V95" i="109"/>
  <c r="U96" i="109"/>
  <c r="AQ99" i="109"/>
  <c r="AU98" i="109"/>
  <c r="AP98" i="109" s="1"/>
  <c r="BB87" i="109"/>
  <c r="AW93" i="109"/>
  <c r="BA87" i="109"/>
  <c r="R94" i="109"/>
  <c r="M94" i="109"/>
  <c r="Q94" i="109"/>
  <c r="G95" i="109"/>
  <c r="K94" i="109"/>
  <c r="BL94" i="109" s="1"/>
  <c r="W94" i="109"/>
  <c r="BI95" i="109"/>
  <c r="BJ94" i="109"/>
  <c r="J95" i="110"/>
  <c r="E96" i="110"/>
  <c r="AM98" i="110"/>
  <c r="R95" i="109"/>
  <c r="M95" i="109"/>
  <c r="Q95" i="109"/>
  <c r="BI96" i="109"/>
  <c r="BJ95" i="109"/>
  <c r="AU99" i="109"/>
  <c r="AN138" i="109" s="1"/>
  <c r="AQ100" i="109"/>
  <c r="AW94" i="109"/>
  <c r="BA88" i="109"/>
  <c r="BB88" i="109"/>
  <c r="W95" i="109"/>
  <c r="K95" i="109"/>
  <c r="Y130" i="109" s="1"/>
  <c r="T95" i="109"/>
  <c r="G96" i="109"/>
  <c r="V96" i="109"/>
  <c r="U97" i="109"/>
  <c r="J96" i="110"/>
  <c r="E97" i="110"/>
  <c r="AM99" i="110"/>
  <c r="V97" i="109"/>
  <c r="U98" i="109"/>
  <c r="AU100" i="109"/>
  <c r="AN139" i="109" s="1"/>
  <c r="AQ101" i="109"/>
  <c r="BA89" i="109"/>
  <c r="BB89" i="109"/>
  <c r="AW95" i="109"/>
  <c r="R96" i="109"/>
  <c r="M96" i="109"/>
  <c r="Q96" i="109"/>
  <c r="G97" i="109"/>
  <c r="T96" i="109"/>
  <c r="W96" i="109"/>
  <c r="K96" i="109"/>
  <c r="Y131" i="109" s="1"/>
  <c r="BJ96" i="109"/>
  <c r="BI97" i="109"/>
  <c r="AM100" i="110"/>
  <c r="E98" i="110"/>
  <c r="J97" i="110"/>
  <c r="AW96" i="109"/>
  <c r="BA90" i="109"/>
  <c r="BB90" i="109"/>
  <c r="AU101" i="109"/>
  <c r="AP101" i="109" s="1"/>
  <c r="AQ102" i="109"/>
  <c r="V98" i="109"/>
  <c r="U99" i="109"/>
  <c r="BI98" i="109"/>
  <c r="BJ97" i="109"/>
  <c r="W97" i="109"/>
  <c r="K97" i="109"/>
  <c r="BL97" i="109" s="1"/>
  <c r="G98" i="109"/>
  <c r="T97" i="109"/>
  <c r="R97" i="109"/>
  <c r="M97" i="109"/>
  <c r="Q97" i="109"/>
  <c r="E99" i="110"/>
  <c r="J98" i="110"/>
  <c r="AM101" i="110"/>
  <c r="G99" i="109"/>
  <c r="T98" i="109"/>
  <c r="W98" i="109"/>
  <c r="K98" i="109"/>
  <c r="Y133" i="109" s="1"/>
  <c r="R98" i="109"/>
  <c r="M98" i="109"/>
  <c r="Q98" i="109"/>
  <c r="BA91" i="109"/>
  <c r="BB91" i="109"/>
  <c r="AW97" i="109"/>
  <c r="AQ103" i="109"/>
  <c r="AU102" i="109"/>
  <c r="AP102" i="109" s="1"/>
  <c r="V99" i="109"/>
  <c r="U100" i="109"/>
  <c r="BJ98" i="109"/>
  <c r="BI99" i="109"/>
  <c r="AM102" i="110"/>
  <c r="J99" i="110"/>
  <c r="E100" i="110"/>
  <c r="AW98" i="109"/>
  <c r="BA92" i="109"/>
  <c r="BB92" i="109"/>
  <c r="AQ104" i="109"/>
  <c r="AU103" i="109"/>
  <c r="AT103" i="109" s="1"/>
  <c r="R99" i="109"/>
  <c r="M99" i="109"/>
  <c r="Q99" i="109"/>
  <c r="W99" i="109"/>
  <c r="K99" i="109"/>
  <c r="Y134" i="109" s="1"/>
  <c r="T99" i="109"/>
  <c r="G100" i="109"/>
  <c r="BI100" i="109"/>
  <c r="BJ99" i="109"/>
  <c r="V100" i="109"/>
  <c r="U101" i="109"/>
  <c r="AM103" i="110"/>
  <c r="J100" i="110"/>
  <c r="E101" i="110"/>
  <c r="R100" i="109"/>
  <c r="M100" i="109"/>
  <c r="Q100" i="109"/>
  <c r="BA93" i="109"/>
  <c r="AW99" i="109"/>
  <c r="BB93" i="109"/>
  <c r="BJ100" i="109"/>
  <c r="BI101" i="109"/>
  <c r="V101" i="109"/>
  <c r="U102" i="109"/>
  <c r="G101" i="109"/>
  <c r="T100" i="109"/>
  <c r="W100" i="109"/>
  <c r="K100" i="109"/>
  <c r="BL100" i="109" s="1"/>
  <c r="AQ105" i="109"/>
  <c r="AU104" i="109"/>
  <c r="AP104" i="109" s="1"/>
  <c r="E102" i="110"/>
  <c r="J101" i="110"/>
  <c r="AM104" i="110"/>
  <c r="AQ106" i="109"/>
  <c r="AU105" i="109"/>
  <c r="AN144" i="109" s="1"/>
  <c r="V102" i="109"/>
  <c r="U103" i="109"/>
  <c r="W101" i="109"/>
  <c r="K101" i="109"/>
  <c r="Y136" i="109" s="1"/>
  <c r="G102" i="109"/>
  <c r="T101" i="109"/>
  <c r="R101" i="109"/>
  <c r="M101" i="109"/>
  <c r="Q101" i="109"/>
  <c r="BI102" i="109"/>
  <c r="BJ101" i="109"/>
  <c r="AW100" i="109"/>
  <c r="BB94" i="109"/>
  <c r="BA94" i="109"/>
  <c r="AM105" i="110"/>
  <c r="E103" i="110"/>
  <c r="J102" i="110"/>
  <c r="R102" i="109"/>
  <c r="M102" i="109"/>
  <c r="Q102" i="109"/>
  <c r="BA95" i="109"/>
  <c r="BB95" i="109"/>
  <c r="AW101" i="109"/>
  <c r="G103" i="109"/>
  <c r="T102" i="109"/>
  <c r="K102" i="109"/>
  <c r="Y137" i="109" s="1"/>
  <c r="W102" i="109"/>
  <c r="BI103" i="109"/>
  <c r="BJ102" i="109"/>
  <c r="V103" i="109"/>
  <c r="U104" i="109"/>
  <c r="AQ107" i="109"/>
  <c r="AU106" i="109"/>
  <c r="AP106" i="109" s="1"/>
  <c r="J103" i="110"/>
  <c r="E104" i="110"/>
  <c r="AM106" i="110"/>
  <c r="V104" i="109"/>
  <c r="U105" i="109"/>
  <c r="W103" i="109"/>
  <c r="K103" i="109"/>
  <c r="BL103" i="109" s="1"/>
  <c r="T103" i="109"/>
  <c r="G104" i="109"/>
  <c r="AU107" i="109"/>
  <c r="AP107" i="109" s="1"/>
  <c r="AQ108" i="109"/>
  <c r="R103" i="109"/>
  <c r="M103" i="109"/>
  <c r="Q103" i="109"/>
  <c r="AW102" i="109"/>
  <c r="BB96" i="109"/>
  <c r="BA96" i="109"/>
  <c r="BI104" i="109"/>
  <c r="BJ103" i="109"/>
  <c r="AM107" i="110"/>
  <c r="E105" i="110"/>
  <c r="J104" i="110"/>
  <c r="W104" i="109"/>
  <c r="T104" i="109"/>
  <c r="K104" i="109"/>
  <c r="BL104" i="109" s="1"/>
  <c r="G105" i="109"/>
  <c r="V105" i="109"/>
  <c r="U106" i="109"/>
  <c r="BA97" i="109"/>
  <c r="AW103" i="109"/>
  <c r="BB97" i="109"/>
  <c r="M104" i="109"/>
  <c r="Q104" i="109"/>
  <c r="R104" i="109"/>
  <c r="AU108" i="109"/>
  <c r="AP108" i="109" s="1"/>
  <c r="BI105" i="109"/>
  <c r="BJ104" i="109"/>
  <c r="AM108" i="110"/>
  <c r="E106" i="110"/>
  <c r="J105" i="110"/>
  <c r="BI106" i="109"/>
  <c r="BJ105" i="109"/>
  <c r="Q105" i="109"/>
  <c r="R105" i="109"/>
  <c r="M105" i="109"/>
  <c r="W105" i="109"/>
  <c r="K105" i="109"/>
  <c r="BL105" i="109" s="1"/>
  <c r="G106" i="109"/>
  <c r="T105" i="109"/>
  <c r="AW104" i="109"/>
  <c r="BB98" i="109"/>
  <c r="BA98" i="109"/>
  <c r="V106" i="109"/>
  <c r="U107" i="109"/>
  <c r="E107" i="110"/>
  <c r="J106" i="110"/>
  <c r="AM109" i="110"/>
  <c r="U108" i="109"/>
  <c r="V107" i="109"/>
  <c r="BI107" i="109"/>
  <c r="BJ106" i="109"/>
  <c r="W106" i="109"/>
  <c r="T106" i="109"/>
  <c r="K106" i="109"/>
  <c r="Y141" i="109" s="1"/>
  <c r="G107" i="109"/>
  <c r="M106" i="109"/>
  <c r="Q106" i="109"/>
  <c r="R106" i="109"/>
  <c r="BA99" i="109"/>
  <c r="BB99" i="109"/>
  <c r="AW105" i="109"/>
  <c r="J107" i="110"/>
  <c r="E108" i="110"/>
  <c r="AM110" i="110"/>
  <c r="AW106" i="109"/>
  <c r="BB100" i="109"/>
  <c r="BA100" i="109"/>
  <c r="BJ107" i="109"/>
  <c r="BI108" i="109"/>
  <c r="W107" i="109"/>
  <c r="K107" i="109"/>
  <c r="BL107" i="109" s="1"/>
  <c r="G108" i="109"/>
  <c r="T107" i="109"/>
  <c r="Q107" i="109"/>
  <c r="R107" i="109"/>
  <c r="M107" i="109"/>
  <c r="J108" i="110"/>
  <c r="E109" i="110"/>
  <c r="AM111" i="110"/>
  <c r="BI109" i="109"/>
  <c r="BJ108" i="109"/>
  <c r="BA101" i="109"/>
  <c r="AW107" i="109"/>
  <c r="BB101" i="109"/>
  <c r="T108" i="109"/>
  <c r="K108" i="109"/>
  <c r="W108" i="109"/>
  <c r="AM112" i="110"/>
  <c r="E110" i="110"/>
  <c r="J109" i="110"/>
  <c r="BB102" i="109"/>
  <c r="AW108" i="109"/>
  <c r="BA102" i="109"/>
  <c r="BI110" i="109"/>
  <c r="BJ109" i="109"/>
  <c r="E111" i="110"/>
  <c r="J110" i="110"/>
  <c r="AM113" i="110"/>
  <c r="BA103" i="109"/>
  <c r="BB103" i="109"/>
  <c r="BJ110" i="109"/>
  <c r="BI111" i="109"/>
  <c r="AM114" i="110"/>
  <c r="E112" i="110"/>
  <c r="J111" i="110"/>
  <c r="BJ111" i="109"/>
  <c r="BI112" i="109"/>
  <c r="BB104" i="109"/>
  <c r="BA104" i="109"/>
  <c r="E113" i="110"/>
  <c r="J112" i="110"/>
  <c r="AM115" i="110"/>
  <c r="BI113" i="109"/>
  <c r="BJ112" i="109"/>
  <c r="BB105" i="109"/>
  <c r="BA105" i="109"/>
  <c r="E114" i="110"/>
  <c r="J113" i="110"/>
  <c r="AM116" i="110"/>
  <c r="BI114" i="109"/>
  <c r="BJ114" i="109"/>
  <c r="BJ113" i="109"/>
  <c r="BB106" i="109"/>
  <c r="BA106" i="109"/>
  <c r="E115" i="110"/>
  <c r="J114" i="110"/>
  <c r="AM117" i="110"/>
  <c r="BA107" i="109"/>
  <c r="BB107" i="109"/>
  <c r="BA108" i="109"/>
  <c r="BB108" i="109"/>
  <c r="E116" i="110"/>
  <c r="J115" i="110"/>
  <c r="AM118" i="110"/>
  <c r="J116" i="110"/>
  <c r="E117" i="110"/>
  <c r="AM119" i="110"/>
  <c r="AM120" i="110"/>
  <c r="J117" i="110"/>
  <c r="E118" i="110"/>
  <c r="J118" i="110"/>
  <c r="E119" i="110"/>
  <c r="AM121" i="110"/>
  <c r="AM122" i="110"/>
  <c r="E120" i="110"/>
  <c r="J119" i="110"/>
  <c r="W55" i="109"/>
  <c r="W56" i="109"/>
  <c r="J120" i="110"/>
  <c r="E121" i="110"/>
  <c r="AM123" i="110"/>
  <c r="E122" i="110"/>
  <c r="J121" i="110"/>
  <c r="AM124" i="110"/>
  <c r="AM125" i="110"/>
  <c r="J122" i="110"/>
  <c r="E123" i="110"/>
  <c r="E124" i="110"/>
  <c r="J123" i="110"/>
  <c r="AM126" i="110"/>
  <c r="E125" i="110"/>
  <c r="J124" i="110"/>
  <c r="AM127" i="110"/>
  <c r="E126" i="110"/>
  <c r="J125" i="110"/>
  <c r="AM128" i="110"/>
  <c r="AM129" i="110"/>
  <c r="E127" i="110"/>
  <c r="J126" i="110"/>
  <c r="E128" i="110"/>
  <c r="J127" i="110"/>
  <c r="E129" i="110"/>
  <c r="J128" i="110"/>
  <c r="E130" i="110"/>
  <c r="J129" i="110"/>
  <c r="J130" i="110"/>
  <c r="E131" i="110"/>
  <c r="J131" i="110"/>
  <c r="E132" i="110"/>
  <c r="J132" i="110"/>
  <c r="E133" i="110"/>
  <c r="E134" i="110"/>
  <c r="J133" i="110"/>
  <c r="E135" i="110"/>
  <c r="J134" i="110"/>
  <c r="J135" i="110"/>
  <c r="E136" i="110"/>
  <c r="E137" i="110"/>
  <c r="J136" i="110"/>
  <c r="E138" i="110"/>
  <c r="J137" i="110"/>
  <c r="E139" i="110"/>
  <c r="J138" i="110"/>
  <c r="J139" i="110"/>
  <c r="E140" i="110"/>
  <c r="E141" i="110"/>
  <c r="J140" i="110"/>
  <c r="E142" i="110"/>
  <c r="J141" i="110"/>
  <c r="J142" i="110"/>
  <c r="E143" i="110"/>
  <c r="E144" i="110"/>
  <c r="J143" i="110"/>
  <c r="E145" i="110"/>
  <c r="J144" i="110"/>
  <c r="J145" i="110"/>
  <c r="E146" i="110"/>
  <c r="J146" i="110"/>
  <c r="E147" i="110"/>
  <c r="E148" i="110"/>
  <c r="J147" i="110"/>
  <c r="W68" i="109"/>
  <c r="E149" i="110"/>
  <c r="J148" i="110"/>
  <c r="J149" i="110"/>
  <c r="E150" i="110"/>
  <c r="J150" i="110"/>
  <c r="E151" i="110"/>
  <c r="E152" i="110"/>
  <c r="J151" i="110"/>
  <c r="J152" i="110"/>
  <c r="E153" i="110"/>
  <c r="E154" i="110"/>
  <c r="J153" i="110"/>
  <c r="J154" i="110"/>
  <c r="E155" i="110"/>
  <c r="E156" i="110"/>
  <c r="J155" i="110"/>
  <c r="E157" i="110"/>
  <c r="J156" i="110"/>
  <c r="E158" i="110"/>
  <c r="J157" i="110"/>
  <c r="J158" i="110"/>
  <c r="E159" i="110"/>
  <c r="J159" i="110"/>
  <c r="C27" i="105"/>
  <c r="C26" i="105"/>
  <c r="C25" i="105"/>
  <c r="A24" i="108"/>
  <c r="B24" i="108"/>
  <c r="A25" i="108"/>
  <c r="C23" i="108"/>
  <c r="F23" i="108"/>
  <c r="E23" i="108"/>
  <c r="B23" i="108"/>
  <c r="D10" i="108"/>
  <c r="D15" i="108"/>
  <c r="D8" i="108"/>
  <c r="A25" i="107"/>
  <c r="B25" i="107"/>
  <c r="C24" i="107"/>
  <c r="B24" i="107"/>
  <c r="E24" i="107"/>
  <c r="D14" i="107"/>
  <c r="D10" i="107"/>
  <c r="D8" i="107"/>
  <c r="G23" i="108"/>
  <c r="B25" i="108"/>
  <c r="A26" i="108"/>
  <c r="F24" i="107"/>
  <c r="G24" i="107"/>
  <c r="A26" i="107"/>
  <c r="D23" i="108"/>
  <c r="C24" i="108"/>
  <c r="A27" i="108"/>
  <c r="B26" i="108"/>
  <c r="D24" i="107"/>
  <c r="C25" i="107"/>
  <c r="A27" i="107"/>
  <c r="B26" i="107"/>
  <c r="F24" i="108"/>
  <c r="E24" i="108"/>
  <c r="G24" i="108"/>
  <c r="A28" i="108"/>
  <c r="B27" i="108"/>
  <c r="A28" i="107"/>
  <c r="B27" i="107"/>
  <c r="F25" i="107"/>
  <c r="E25" i="107"/>
  <c r="G25" i="107"/>
  <c r="B28" i="108"/>
  <c r="A29" i="108"/>
  <c r="D24" i="108"/>
  <c r="C25" i="108"/>
  <c r="D25" i="107"/>
  <c r="C26" i="107"/>
  <c r="A29" i="107"/>
  <c r="B28" i="107"/>
  <c r="G25" i="108"/>
  <c r="F25" i="108"/>
  <c r="E25" i="108"/>
  <c r="B29" i="108"/>
  <c r="A30" i="108"/>
  <c r="B29" i="107"/>
  <c r="A30" i="107"/>
  <c r="F26" i="107"/>
  <c r="E26" i="107"/>
  <c r="G26" i="107"/>
  <c r="D25" i="108"/>
  <c r="C26" i="108"/>
  <c r="A31" i="108"/>
  <c r="B30" i="108"/>
  <c r="D26" i="107"/>
  <c r="C27" i="107"/>
  <c r="A31" i="107"/>
  <c r="B30" i="107"/>
  <c r="G26" i="108"/>
  <c r="E26" i="108"/>
  <c r="F26" i="108"/>
  <c r="A32" i="108"/>
  <c r="B31" i="108"/>
  <c r="A32" i="107"/>
  <c r="B31" i="107"/>
  <c r="E27" i="107"/>
  <c r="F27" i="107"/>
  <c r="G27" i="107"/>
  <c r="B32" i="108"/>
  <c r="A33" i="108"/>
  <c r="D26" i="108"/>
  <c r="C27" i="108"/>
  <c r="D27" i="107"/>
  <c r="C28" i="107"/>
  <c r="B32" i="107"/>
  <c r="A33" i="107"/>
  <c r="E27" i="108"/>
  <c r="F27" i="108"/>
  <c r="G27" i="108"/>
  <c r="B33" i="108"/>
  <c r="A34" i="108"/>
  <c r="B33" i="107"/>
  <c r="A34" i="107"/>
  <c r="E28" i="107"/>
  <c r="F28" i="107"/>
  <c r="G28" i="107"/>
  <c r="D27" i="108"/>
  <c r="C28" i="108"/>
  <c r="A35" i="108"/>
  <c r="B34" i="108"/>
  <c r="D28" i="107"/>
  <c r="C29" i="107"/>
  <c r="A35" i="107"/>
  <c r="B34" i="107"/>
  <c r="A36" i="108"/>
  <c r="B35" i="108"/>
  <c r="F28" i="108"/>
  <c r="E28" i="108"/>
  <c r="G28" i="108"/>
  <c r="A36" i="107"/>
  <c r="B35" i="107"/>
  <c r="F29" i="107"/>
  <c r="E29" i="107"/>
  <c r="G29" i="107"/>
  <c r="D29" i="107"/>
  <c r="C30" i="107"/>
  <c r="D28" i="108"/>
  <c r="C29" i="108"/>
  <c r="B36" i="108"/>
  <c r="A37" i="108"/>
  <c r="E30" i="107"/>
  <c r="F30" i="107"/>
  <c r="G30" i="107"/>
  <c r="D30" i="107"/>
  <c r="C31" i="107"/>
  <c r="A37" i="107"/>
  <c r="B36" i="107"/>
  <c r="B37" i="108"/>
  <c r="A38" i="108"/>
  <c r="G29" i="108"/>
  <c r="F29" i="108"/>
  <c r="E29" i="108"/>
  <c r="F31" i="107"/>
  <c r="E31" i="107"/>
  <c r="G31" i="107"/>
  <c r="D31" i="107"/>
  <c r="C32" i="107"/>
  <c r="B37" i="107"/>
  <c r="A38" i="107"/>
  <c r="D29" i="108"/>
  <c r="C30" i="108"/>
  <c r="A39" i="108"/>
  <c r="B38" i="108"/>
  <c r="E32" i="107"/>
  <c r="F32" i="107"/>
  <c r="G32" i="107"/>
  <c r="D32" i="107"/>
  <c r="C33" i="107"/>
  <c r="A39" i="107"/>
  <c r="B38" i="107"/>
  <c r="A40" i="108"/>
  <c r="B39" i="108"/>
  <c r="G30" i="108"/>
  <c r="E30" i="108"/>
  <c r="F30" i="108"/>
  <c r="F33" i="107"/>
  <c r="E33" i="107"/>
  <c r="G33" i="107"/>
  <c r="D33" i="107"/>
  <c r="C34" i="107"/>
  <c r="A40" i="107"/>
  <c r="B39" i="107"/>
  <c r="D30" i="108"/>
  <c r="C31" i="108"/>
  <c r="B40" i="108"/>
  <c r="A41" i="108"/>
  <c r="F34" i="107"/>
  <c r="E34" i="107"/>
  <c r="G34" i="107"/>
  <c r="D34" i="107"/>
  <c r="C35" i="107"/>
  <c r="A41" i="107"/>
  <c r="B40" i="107"/>
  <c r="B41" i="108"/>
  <c r="A42" i="108"/>
  <c r="E31" i="108"/>
  <c r="F31" i="108"/>
  <c r="G31" i="108"/>
  <c r="F35" i="107"/>
  <c r="E35" i="107"/>
  <c r="G35" i="107"/>
  <c r="D35" i="107"/>
  <c r="C36" i="107"/>
  <c r="B41" i="107"/>
  <c r="A42" i="107"/>
  <c r="A43" i="108"/>
  <c r="B42" i="108"/>
  <c r="D31" i="108"/>
  <c r="C32" i="108"/>
  <c r="E36" i="107"/>
  <c r="F36" i="107"/>
  <c r="G36" i="107"/>
  <c r="D36" i="107"/>
  <c r="C37" i="107"/>
  <c r="A43" i="107"/>
  <c r="B42" i="107"/>
  <c r="F32" i="108"/>
  <c r="E32" i="108"/>
  <c r="G32" i="108"/>
  <c r="A44" i="108"/>
  <c r="B43" i="108"/>
  <c r="F37" i="107"/>
  <c r="E37" i="107"/>
  <c r="G37" i="107"/>
  <c r="D37" i="107"/>
  <c r="C38" i="107"/>
  <c r="A44" i="107"/>
  <c r="B43" i="107"/>
  <c r="D32" i="108"/>
  <c r="C33" i="108"/>
  <c r="B44" i="108"/>
  <c r="A45" i="108"/>
  <c r="F38" i="107"/>
  <c r="E38" i="107"/>
  <c r="G38" i="107"/>
  <c r="D38" i="107"/>
  <c r="C39" i="107"/>
  <c r="B44" i="107"/>
  <c r="A45" i="107"/>
  <c r="B45" i="108"/>
  <c r="A46" i="108"/>
  <c r="G33" i="108"/>
  <c r="F33" i="108"/>
  <c r="E33" i="108"/>
  <c r="F39" i="107"/>
  <c r="E39" i="107"/>
  <c r="G39" i="107"/>
  <c r="D39" i="107"/>
  <c r="C40" i="107"/>
  <c r="B45" i="107"/>
  <c r="A46" i="107"/>
  <c r="D33" i="108"/>
  <c r="C34" i="108"/>
  <c r="A47" i="108"/>
  <c r="B46" i="108"/>
  <c r="E40" i="107"/>
  <c r="F40" i="107"/>
  <c r="G40" i="107"/>
  <c r="D40" i="107"/>
  <c r="C41" i="107"/>
  <c r="A47" i="107"/>
  <c r="B46" i="107"/>
  <c r="A48" i="108"/>
  <c r="B47" i="108"/>
  <c r="G34" i="108"/>
  <c r="E34" i="108"/>
  <c r="F34" i="108"/>
  <c r="F41" i="107"/>
  <c r="E41" i="107"/>
  <c r="G41" i="107"/>
  <c r="D41" i="107"/>
  <c r="C42" i="107"/>
  <c r="A48" i="107"/>
  <c r="B47" i="107"/>
  <c r="D34" i="108"/>
  <c r="C35" i="108"/>
  <c r="B48" i="108"/>
  <c r="A49" i="108"/>
  <c r="F42" i="107"/>
  <c r="E42" i="107"/>
  <c r="G42" i="107"/>
  <c r="D42" i="107"/>
  <c r="C43" i="107"/>
  <c r="B48" i="107"/>
  <c r="A49" i="107"/>
  <c r="A50" i="108"/>
  <c r="B49" i="108"/>
  <c r="E35" i="108"/>
  <c r="F35" i="108"/>
  <c r="G35" i="108"/>
  <c r="E43" i="107"/>
  <c r="F43" i="107"/>
  <c r="G43" i="107"/>
  <c r="D43" i="107"/>
  <c r="C44" i="107"/>
  <c r="B49" i="107"/>
  <c r="A50" i="107"/>
  <c r="D35" i="108"/>
  <c r="C36" i="108"/>
  <c r="A51" i="108"/>
  <c r="B50" i="108"/>
  <c r="F44" i="107"/>
  <c r="E44" i="107"/>
  <c r="G44" i="107"/>
  <c r="D44" i="107"/>
  <c r="C45" i="107"/>
  <c r="A51" i="107"/>
  <c r="B50" i="107"/>
  <c r="B51" i="108"/>
  <c r="A52" i="108"/>
  <c r="F36" i="108"/>
  <c r="E36" i="108"/>
  <c r="G36" i="108"/>
  <c r="F45" i="107"/>
  <c r="E45" i="107"/>
  <c r="G45" i="107"/>
  <c r="D45" i="107"/>
  <c r="C46" i="107"/>
  <c r="A52" i="107"/>
  <c r="B51" i="107"/>
  <c r="D36" i="108"/>
  <c r="C37" i="108"/>
  <c r="B52" i="108"/>
  <c r="A53" i="108"/>
  <c r="F46" i="107"/>
  <c r="E46" i="107"/>
  <c r="G46" i="107"/>
  <c r="D46" i="107"/>
  <c r="C47" i="107"/>
  <c r="B52" i="107"/>
  <c r="A53" i="107"/>
  <c r="A54" i="108"/>
  <c r="B53" i="108"/>
  <c r="G37" i="108"/>
  <c r="F37" i="108"/>
  <c r="E37" i="108"/>
  <c r="E47" i="107"/>
  <c r="F47" i="107"/>
  <c r="G47" i="107"/>
  <c r="D47" i="107"/>
  <c r="C48" i="107"/>
  <c r="B53" i="107"/>
  <c r="A54" i="107"/>
  <c r="D37" i="108"/>
  <c r="C38" i="108"/>
  <c r="A55" i="108"/>
  <c r="B54" i="108"/>
  <c r="F48" i="107"/>
  <c r="E48" i="107"/>
  <c r="G48" i="107"/>
  <c r="D48" i="107"/>
  <c r="C49" i="107"/>
  <c r="A55" i="107"/>
  <c r="B54" i="107"/>
  <c r="A56" i="108"/>
  <c r="B55" i="108"/>
  <c r="G38" i="108"/>
  <c r="E38" i="108"/>
  <c r="F38" i="108"/>
  <c r="F49" i="107"/>
  <c r="E49" i="107"/>
  <c r="G49" i="107"/>
  <c r="D49" i="107"/>
  <c r="C50" i="107"/>
  <c r="A56" i="107"/>
  <c r="B55" i="107"/>
  <c r="D38" i="108"/>
  <c r="C39" i="108"/>
  <c r="B56" i="108"/>
  <c r="A57" i="108"/>
  <c r="F50" i="107"/>
  <c r="E50" i="107"/>
  <c r="G50" i="107"/>
  <c r="D50" i="107"/>
  <c r="C51" i="107"/>
  <c r="B56" i="107"/>
  <c r="A57" i="107"/>
  <c r="A58" i="108"/>
  <c r="B57" i="108"/>
  <c r="E39" i="108"/>
  <c r="F39" i="108"/>
  <c r="G39" i="108"/>
  <c r="E51" i="107"/>
  <c r="F51" i="107"/>
  <c r="G51" i="107"/>
  <c r="D51" i="107"/>
  <c r="C52" i="107"/>
  <c r="B57" i="107"/>
  <c r="A58" i="107"/>
  <c r="D39" i="108"/>
  <c r="C40" i="108"/>
  <c r="A59" i="108"/>
  <c r="B58" i="108"/>
  <c r="F52" i="107"/>
  <c r="E52" i="107"/>
  <c r="G52" i="107"/>
  <c r="D52" i="107"/>
  <c r="C53" i="107"/>
  <c r="A59" i="107"/>
  <c r="B58" i="107"/>
  <c r="A60" i="108"/>
  <c r="B59" i="108"/>
  <c r="F40" i="108"/>
  <c r="E40" i="108"/>
  <c r="G40" i="108"/>
  <c r="F53" i="107"/>
  <c r="E53" i="107"/>
  <c r="G53" i="107"/>
  <c r="D53" i="107"/>
  <c r="C54" i="107"/>
  <c r="A60" i="107"/>
  <c r="B59" i="107"/>
  <c r="D40" i="108"/>
  <c r="C41" i="108"/>
  <c r="B60" i="108"/>
  <c r="A61" i="108"/>
  <c r="F54" i="107"/>
  <c r="E54" i="107"/>
  <c r="G54" i="107"/>
  <c r="D54" i="107"/>
  <c r="C55" i="107"/>
  <c r="B60" i="107"/>
  <c r="A61" i="107"/>
  <c r="B61" i="108"/>
  <c r="A62" i="108"/>
  <c r="G41" i="108"/>
  <c r="F41" i="108"/>
  <c r="E41" i="108"/>
  <c r="E55" i="107"/>
  <c r="F55" i="107"/>
  <c r="G55" i="107"/>
  <c r="D55" i="107"/>
  <c r="C56" i="107"/>
  <c r="B61" i="107"/>
  <c r="A62" i="107"/>
  <c r="D41" i="108"/>
  <c r="C42" i="108"/>
  <c r="A63" i="108"/>
  <c r="B62" i="108"/>
  <c r="F56" i="107"/>
  <c r="E56" i="107"/>
  <c r="G56" i="107"/>
  <c r="D56" i="107"/>
  <c r="C57" i="107"/>
  <c r="A63" i="107"/>
  <c r="B62" i="107"/>
  <c r="A64" i="108"/>
  <c r="B63" i="108"/>
  <c r="G42" i="108"/>
  <c r="F42" i="108"/>
  <c r="E42" i="108"/>
  <c r="F57" i="107"/>
  <c r="E57" i="107"/>
  <c r="G57" i="107"/>
  <c r="D57" i="107"/>
  <c r="C58" i="107"/>
  <c r="A64" i="107"/>
  <c r="B63" i="107"/>
  <c r="D42" i="108"/>
  <c r="C43" i="108"/>
  <c r="B64" i="108"/>
  <c r="A65" i="108"/>
  <c r="F58" i="107"/>
  <c r="E58" i="107"/>
  <c r="G58" i="107"/>
  <c r="D58" i="107"/>
  <c r="C59" i="107"/>
  <c r="B64" i="107"/>
  <c r="A65" i="107"/>
  <c r="A66" i="108"/>
  <c r="B65" i="108"/>
  <c r="E43" i="108"/>
  <c r="G43" i="108"/>
  <c r="F43" i="108"/>
  <c r="E59" i="107"/>
  <c r="F59" i="107"/>
  <c r="G59" i="107"/>
  <c r="D59" i="107"/>
  <c r="C60" i="107"/>
  <c r="A66" i="107"/>
  <c r="B65" i="107"/>
  <c r="D43" i="108"/>
  <c r="C44" i="108"/>
  <c r="A67" i="108"/>
  <c r="B66" i="108"/>
  <c r="F60" i="107"/>
  <c r="E60" i="107"/>
  <c r="G60" i="107"/>
  <c r="D60" i="107"/>
  <c r="C61" i="107"/>
  <c r="B66" i="107"/>
  <c r="A67" i="107"/>
  <c r="B67" i="108"/>
  <c r="A68" i="108"/>
  <c r="F44" i="108"/>
  <c r="E44" i="108"/>
  <c r="G44" i="108"/>
  <c r="F61" i="107"/>
  <c r="E61" i="107"/>
  <c r="G61" i="107"/>
  <c r="D61" i="107"/>
  <c r="C62" i="107"/>
  <c r="B67" i="107"/>
  <c r="A68" i="107"/>
  <c r="D44" i="108"/>
  <c r="C45" i="108"/>
  <c r="B68" i="108"/>
  <c r="A69" i="108"/>
  <c r="F62" i="107"/>
  <c r="E62" i="107"/>
  <c r="G62" i="107"/>
  <c r="D62" i="107"/>
  <c r="C63" i="107"/>
  <c r="A69" i="107"/>
  <c r="B68" i="107"/>
  <c r="A70" i="108"/>
  <c r="B69" i="108"/>
  <c r="G45" i="108"/>
  <c r="F45" i="108"/>
  <c r="E45" i="108"/>
  <c r="E63" i="107"/>
  <c r="F63" i="107"/>
  <c r="G63" i="107"/>
  <c r="D63" i="107"/>
  <c r="C64" i="107"/>
  <c r="A70" i="107"/>
  <c r="B69" i="107"/>
  <c r="D45" i="108"/>
  <c r="C46" i="108"/>
  <c r="A71" i="108"/>
  <c r="B70" i="108"/>
  <c r="F64" i="107"/>
  <c r="E64" i="107"/>
  <c r="G64" i="107"/>
  <c r="D64" i="107"/>
  <c r="C65" i="107"/>
  <c r="B70" i="107"/>
  <c r="A71" i="107"/>
  <c r="A72" i="108"/>
  <c r="B71" i="108"/>
  <c r="E46" i="108"/>
  <c r="G46" i="108"/>
  <c r="F46" i="108"/>
  <c r="F65" i="107"/>
  <c r="E65" i="107"/>
  <c r="G65" i="107"/>
  <c r="D65" i="107"/>
  <c r="C66" i="107"/>
  <c r="B71" i="107"/>
  <c r="A72" i="107"/>
  <c r="D46" i="108"/>
  <c r="C47" i="108"/>
  <c r="B72" i="108"/>
  <c r="A73" i="108"/>
  <c r="F66" i="107"/>
  <c r="E66" i="107"/>
  <c r="G66" i="107"/>
  <c r="D66" i="107"/>
  <c r="C67" i="107"/>
  <c r="A73" i="107"/>
  <c r="B72" i="107"/>
  <c r="A74" i="108"/>
  <c r="B73" i="108"/>
  <c r="E47" i="108"/>
  <c r="G47" i="108"/>
  <c r="F47" i="108"/>
  <c r="F67" i="107"/>
  <c r="E67" i="107"/>
  <c r="G67" i="107"/>
  <c r="D67" i="107"/>
  <c r="C68" i="107"/>
  <c r="A74" i="107"/>
  <c r="B73" i="107"/>
  <c r="D47" i="108"/>
  <c r="C48" i="108"/>
  <c r="A75" i="108"/>
  <c r="B74" i="108"/>
  <c r="F68" i="107"/>
  <c r="E68" i="107"/>
  <c r="G68" i="107"/>
  <c r="D68" i="107"/>
  <c r="C69" i="107"/>
  <c r="B74" i="107"/>
  <c r="A75" i="107"/>
  <c r="A76" i="108"/>
  <c r="B75" i="108"/>
  <c r="F48" i="108"/>
  <c r="G48" i="108"/>
  <c r="E48" i="108"/>
  <c r="E69" i="107"/>
  <c r="F69" i="107"/>
  <c r="G69" i="107"/>
  <c r="D69" i="107"/>
  <c r="C70" i="107"/>
  <c r="B75" i="107"/>
  <c r="A76" i="107"/>
  <c r="D48" i="108"/>
  <c r="C49" i="108"/>
  <c r="B76" i="108"/>
  <c r="A77" i="108"/>
  <c r="F70" i="107"/>
  <c r="E70" i="107"/>
  <c r="G70" i="107"/>
  <c r="D70" i="107"/>
  <c r="C71" i="107"/>
  <c r="A77" i="107"/>
  <c r="B76" i="107"/>
  <c r="B77" i="108"/>
  <c r="A78" i="108"/>
  <c r="G49" i="108"/>
  <c r="E49" i="108"/>
  <c r="F49" i="108"/>
  <c r="F71" i="107"/>
  <c r="E71" i="107"/>
  <c r="G71" i="107"/>
  <c r="D71" i="107"/>
  <c r="C72" i="107"/>
  <c r="A78" i="107"/>
  <c r="B77" i="107"/>
  <c r="D49" i="108"/>
  <c r="C50" i="108"/>
  <c r="A79" i="108"/>
  <c r="B78" i="108"/>
  <c r="F72" i="107"/>
  <c r="E72" i="107"/>
  <c r="G72" i="107"/>
  <c r="D72" i="107"/>
  <c r="C73" i="107"/>
  <c r="B78" i="107"/>
  <c r="A79" i="107"/>
  <c r="B79" i="108"/>
  <c r="A80" i="108"/>
  <c r="G50" i="108"/>
  <c r="E50" i="108"/>
  <c r="F50" i="108"/>
  <c r="E73" i="107"/>
  <c r="F73" i="107"/>
  <c r="G73" i="107"/>
  <c r="D73" i="107"/>
  <c r="C74" i="107"/>
  <c r="B79" i="107"/>
  <c r="A80" i="107"/>
  <c r="D50" i="108"/>
  <c r="C51" i="108"/>
  <c r="B80" i="108"/>
  <c r="A81" i="108"/>
  <c r="F74" i="107"/>
  <c r="E74" i="107"/>
  <c r="G74" i="107"/>
  <c r="D74" i="107"/>
  <c r="C75" i="107"/>
  <c r="A81" i="107"/>
  <c r="B80" i="107"/>
  <c r="B81" i="108"/>
  <c r="A82" i="108"/>
  <c r="E51" i="108"/>
  <c r="G51" i="108"/>
  <c r="F51" i="108"/>
  <c r="F75" i="107"/>
  <c r="E75" i="107"/>
  <c r="G75" i="107"/>
  <c r="D75" i="107"/>
  <c r="C76" i="107"/>
  <c r="A82" i="107"/>
  <c r="B81" i="107"/>
  <c r="D51" i="108"/>
  <c r="C52" i="108"/>
  <c r="A83" i="108"/>
  <c r="B82" i="108"/>
  <c r="F76" i="107"/>
  <c r="E76" i="107"/>
  <c r="G76" i="107"/>
  <c r="D76" i="107"/>
  <c r="C77" i="107"/>
  <c r="B82" i="107"/>
  <c r="A83" i="107"/>
  <c r="B83" i="108"/>
  <c r="A84" i="108"/>
  <c r="F52" i="108"/>
  <c r="E52" i="108"/>
  <c r="G52" i="108"/>
  <c r="E77" i="107"/>
  <c r="F77" i="107"/>
  <c r="G77" i="107"/>
  <c r="D77" i="107"/>
  <c r="C78" i="107"/>
  <c r="B83" i="107"/>
  <c r="A84" i="107"/>
  <c r="D52" i="108"/>
  <c r="C53" i="108"/>
  <c r="B84" i="108"/>
  <c r="A85" i="108"/>
  <c r="F78" i="107"/>
  <c r="E78" i="107"/>
  <c r="G78" i="107"/>
  <c r="D78" i="107"/>
  <c r="C79" i="107"/>
  <c r="A85" i="107"/>
  <c r="B84" i="107"/>
  <c r="A86" i="108"/>
  <c r="B85" i="108"/>
  <c r="G53" i="108"/>
  <c r="E53" i="108"/>
  <c r="F53" i="108"/>
  <c r="F79" i="107"/>
  <c r="E79" i="107"/>
  <c r="G79" i="107"/>
  <c r="D79" i="107"/>
  <c r="C80" i="107"/>
  <c r="A86" i="107"/>
  <c r="B85" i="107"/>
  <c r="D53" i="108"/>
  <c r="C54" i="108"/>
  <c r="A87" i="108"/>
  <c r="B86" i="108"/>
  <c r="F80" i="107"/>
  <c r="E80" i="107"/>
  <c r="G80" i="107"/>
  <c r="D80" i="107"/>
  <c r="C81" i="107"/>
  <c r="B86" i="107"/>
  <c r="A87" i="107"/>
  <c r="A88" i="108"/>
  <c r="B87" i="108"/>
  <c r="G54" i="108"/>
  <c r="F54" i="108"/>
  <c r="E54" i="108"/>
  <c r="E81" i="107"/>
  <c r="F81" i="107"/>
  <c r="G81" i="107"/>
  <c r="D81" i="107"/>
  <c r="C82" i="107"/>
  <c r="B87" i="107"/>
  <c r="A88" i="107"/>
  <c r="D54" i="108"/>
  <c r="C55" i="108"/>
  <c r="B88" i="108"/>
  <c r="A89" i="108"/>
  <c r="F82" i="107"/>
  <c r="E82" i="107"/>
  <c r="G82" i="107"/>
  <c r="D82" i="107"/>
  <c r="C83" i="107"/>
  <c r="A89" i="107"/>
  <c r="B88" i="107"/>
  <c r="A90" i="108"/>
  <c r="B89" i="108"/>
  <c r="E55" i="108"/>
  <c r="F55" i="108"/>
  <c r="G55" i="108"/>
  <c r="F83" i="107"/>
  <c r="E83" i="107"/>
  <c r="G83" i="107"/>
  <c r="D83" i="107"/>
  <c r="C84" i="107"/>
  <c r="A90" i="107"/>
  <c r="B89" i="107"/>
  <c r="D55" i="108"/>
  <c r="C56" i="108"/>
  <c r="A91" i="108"/>
  <c r="B90" i="108"/>
  <c r="F84" i="107"/>
  <c r="E84" i="107"/>
  <c r="G84" i="107"/>
  <c r="D84" i="107"/>
  <c r="C85" i="107"/>
  <c r="B90" i="107"/>
  <c r="A91" i="107"/>
  <c r="A92" i="108"/>
  <c r="B91" i="108"/>
  <c r="F56" i="108"/>
  <c r="E56" i="108"/>
  <c r="G56" i="108"/>
  <c r="E85" i="107"/>
  <c r="F85" i="107"/>
  <c r="G85" i="107"/>
  <c r="D85" i="107"/>
  <c r="C86" i="107"/>
  <c r="B91" i="107"/>
  <c r="A92" i="107"/>
  <c r="D56" i="108"/>
  <c r="C57" i="108"/>
  <c r="B92" i="108"/>
  <c r="A93" i="108"/>
  <c r="F86" i="107"/>
  <c r="E86" i="107"/>
  <c r="G86" i="107"/>
  <c r="D86" i="107"/>
  <c r="C87" i="107"/>
  <c r="A93" i="107"/>
  <c r="B92" i="107"/>
  <c r="A94" i="108"/>
  <c r="B93" i="108"/>
  <c r="G57" i="108"/>
  <c r="F57" i="108"/>
  <c r="E57" i="108"/>
  <c r="F87" i="107"/>
  <c r="E87" i="107"/>
  <c r="G87" i="107"/>
  <c r="D87" i="107"/>
  <c r="C88" i="107"/>
  <c r="A94" i="107"/>
  <c r="B93" i="107"/>
  <c r="D57" i="108"/>
  <c r="C58" i="108"/>
  <c r="A95" i="108"/>
  <c r="B94" i="108"/>
  <c r="F88" i="107"/>
  <c r="E88" i="107"/>
  <c r="G88" i="107"/>
  <c r="D88" i="107"/>
  <c r="C89" i="107"/>
  <c r="B94" i="107"/>
  <c r="A95" i="107"/>
  <c r="B95" i="108"/>
  <c r="A96" i="108"/>
  <c r="F58" i="108"/>
  <c r="E58" i="108"/>
  <c r="G58" i="108"/>
  <c r="E89" i="107"/>
  <c r="F89" i="107"/>
  <c r="G89" i="107"/>
  <c r="D89" i="107"/>
  <c r="C90" i="107"/>
  <c r="B95" i="107"/>
  <c r="A96" i="107"/>
  <c r="D58" i="108"/>
  <c r="C59" i="108"/>
  <c r="B96" i="108"/>
  <c r="A97" i="108"/>
  <c r="F90" i="107"/>
  <c r="E90" i="107"/>
  <c r="G90" i="107"/>
  <c r="D90" i="107"/>
  <c r="C91" i="107"/>
  <c r="A97" i="107"/>
  <c r="B96" i="107"/>
  <c r="A98" i="108"/>
  <c r="B97" i="108"/>
  <c r="E59" i="108"/>
  <c r="G59" i="108"/>
  <c r="F59" i="108"/>
  <c r="E91" i="107"/>
  <c r="F91" i="107"/>
  <c r="G91" i="107"/>
  <c r="D91" i="107"/>
  <c r="C92" i="107"/>
  <c r="A98" i="107"/>
  <c r="B97" i="107"/>
  <c r="D59" i="108"/>
  <c r="C60" i="108"/>
  <c r="A99" i="108"/>
  <c r="B98" i="108"/>
  <c r="F92" i="107"/>
  <c r="E92" i="107"/>
  <c r="G92" i="107"/>
  <c r="D92" i="107"/>
  <c r="C93" i="107"/>
  <c r="B98" i="107"/>
  <c r="A99" i="107"/>
  <c r="B99" i="108"/>
  <c r="A100" i="108"/>
  <c r="F60" i="108"/>
  <c r="G60" i="108"/>
  <c r="E60" i="108"/>
  <c r="E93" i="107"/>
  <c r="F93" i="107"/>
  <c r="G93" i="107"/>
  <c r="D93" i="107"/>
  <c r="C94" i="107"/>
  <c r="B99" i="107"/>
  <c r="A100" i="107"/>
  <c r="B100" i="108"/>
  <c r="A101" i="108"/>
  <c r="D60" i="108"/>
  <c r="C61" i="108"/>
  <c r="F94" i="107"/>
  <c r="E94" i="107"/>
  <c r="G94" i="107"/>
  <c r="D94" i="107"/>
  <c r="C95" i="107"/>
  <c r="A101" i="107"/>
  <c r="B100" i="107"/>
  <c r="G61" i="108"/>
  <c r="F61" i="108"/>
  <c r="E61" i="108"/>
  <c r="A102" i="108"/>
  <c r="B101" i="108"/>
  <c r="F95" i="107"/>
  <c r="E95" i="107"/>
  <c r="G95" i="107"/>
  <c r="D95" i="107"/>
  <c r="C96" i="107"/>
  <c r="A102" i="107"/>
  <c r="B101" i="107"/>
  <c r="A103" i="108"/>
  <c r="B102" i="108"/>
  <c r="D61" i="108"/>
  <c r="C62" i="108"/>
  <c r="F96" i="107"/>
  <c r="E96" i="107"/>
  <c r="G96" i="107"/>
  <c r="D96" i="107"/>
  <c r="C97" i="107"/>
  <c r="B102" i="107"/>
  <c r="A103" i="107"/>
  <c r="E62" i="108"/>
  <c r="G62" i="108"/>
  <c r="F62" i="108"/>
  <c r="A104" i="108"/>
  <c r="B103" i="108"/>
  <c r="E97" i="107"/>
  <c r="F97" i="107"/>
  <c r="G97" i="107"/>
  <c r="D97" i="107"/>
  <c r="C98" i="107"/>
  <c r="B103" i="107"/>
  <c r="A104" i="107"/>
  <c r="D62" i="108"/>
  <c r="C63" i="108"/>
  <c r="B104" i="108"/>
  <c r="A105" i="108"/>
  <c r="F98" i="107"/>
  <c r="E98" i="107"/>
  <c r="G98" i="107"/>
  <c r="D98" i="107"/>
  <c r="C99" i="107"/>
  <c r="A105" i="107"/>
  <c r="B104" i="107"/>
  <c r="A106" i="108"/>
  <c r="B105" i="108"/>
  <c r="E63" i="108"/>
  <c r="G63" i="108"/>
  <c r="F63" i="108"/>
  <c r="D63" i="108"/>
  <c r="C64" i="108"/>
  <c r="F99" i="107"/>
  <c r="E99" i="107"/>
  <c r="G99" i="107"/>
  <c r="D99" i="107"/>
  <c r="C100" i="107"/>
  <c r="A106" i="107"/>
  <c r="B105" i="107"/>
  <c r="F64" i="108"/>
  <c r="G64" i="108"/>
  <c r="E64" i="108"/>
  <c r="A107" i="108"/>
  <c r="B106" i="108"/>
  <c r="F100" i="107"/>
  <c r="E100" i="107"/>
  <c r="G100" i="107"/>
  <c r="D100" i="107"/>
  <c r="C101" i="107"/>
  <c r="B106" i="107"/>
  <c r="A107" i="107"/>
  <c r="D64" i="108"/>
  <c r="C65" i="108"/>
  <c r="A108" i="108"/>
  <c r="B107" i="108"/>
  <c r="E101" i="107"/>
  <c r="F101" i="107"/>
  <c r="G101" i="107"/>
  <c r="D101" i="107"/>
  <c r="C102" i="107"/>
  <c r="B107" i="107"/>
  <c r="A108" i="107"/>
  <c r="B108" i="108"/>
  <c r="A109" i="108"/>
  <c r="G65" i="108"/>
  <c r="E65" i="108"/>
  <c r="F65" i="108"/>
  <c r="E102" i="107"/>
  <c r="F102" i="107"/>
  <c r="G102" i="107"/>
  <c r="D102" i="107"/>
  <c r="C103" i="107"/>
  <c r="A109" i="107"/>
  <c r="B108" i="107"/>
  <c r="D65" i="108"/>
  <c r="C66" i="108"/>
  <c r="B109" i="108"/>
  <c r="A110" i="108"/>
  <c r="F103" i="107"/>
  <c r="E103" i="107"/>
  <c r="G103" i="107"/>
  <c r="D103" i="107"/>
  <c r="C104" i="107"/>
  <c r="A110" i="107"/>
  <c r="B109" i="107"/>
  <c r="A111" i="108"/>
  <c r="B110" i="108"/>
  <c r="G66" i="108"/>
  <c r="F66" i="108"/>
  <c r="E66" i="108"/>
  <c r="F104" i="107"/>
  <c r="E104" i="107"/>
  <c r="G104" i="107"/>
  <c r="D104" i="107"/>
  <c r="C105" i="107"/>
  <c r="A111" i="107"/>
  <c r="B110" i="107"/>
  <c r="D66" i="108"/>
  <c r="C67" i="108"/>
  <c r="B111" i="108"/>
  <c r="A112" i="108"/>
  <c r="F105" i="107"/>
  <c r="E105" i="107"/>
  <c r="G105" i="107"/>
  <c r="D105" i="107"/>
  <c r="C106" i="107"/>
  <c r="B111" i="107"/>
  <c r="A112" i="107"/>
  <c r="B112" i="108"/>
  <c r="A113" i="108"/>
  <c r="E67" i="108"/>
  <c r="G67" i="108"/>
  <c r="F67" i="108"/>
  <c r="E106" i="107"/>
  <c r="F106" i="107"/>
  <c r="G106" i="107"/>
  <c r="D106" i="107"/>
  <c r="C107" i="107"/>
  <c r="B112" i="107"/>
  <c r="A113" i="107"/>
  <c r="D67" i="108"/>
  <c r="C68" i="108"/>
  <c r="A114" i="108"/>
  <c r="B113" i="108"/>
  <c r="F107" i="107"/>
  <c r="E107" i="107"/>
  <c r="G107" i="107"/>
  <c r="D107" i="107"/>
  <c r="C108" i="107"/>
  <c r="A114" i="107"/>
  <c r="B113" i="107"/>
  <c r="A115" i="108"/>
  <c r="B114" i="108"/>
  <c r="F68" i="108"/>
  <c r="E68" i="108"/>
  <c r="G68" i="108"/>
  <c r="F108" i="107"/>
  <c r="E108" i="107"/>
  <c r="G108" i="107"/>
  <c r="D108" i="107"/>
  <c r="C109" i="107"/>
  <c r="A115" i="107"/>
  <c r="B114" i="107"/>
  <c r="A116" i="108"/>
  <c r="B115" i="108"/>
  <c r="D68" i="108"/>
  <c r="C69" i="108"/>
  <c r="F109" i="107"/>
  <c r="E109" i="107"/>
  <c r="G109" i="107"/>
  <c r="D109" i="107"/>
  <c r="C110" i="107"/>
  <c r="B115" i="107"/>
  <c r="A116" i="107"/>
  <c r="G69" i="108"/>
  <c r="E69" i="108"/>
  <c r="F69" i="108"/>
  <c r="B116" i="108"/>
  <c r="A117" i="108"/>
  <c r="E110" i="107"/>
  <c r="F110" i="107"/>
  <c r="G110" i="107"/>
  <c r="D110" i="107"/>
  <c r="C111" i="107"/>
  <c r="A117" i="107"/>
  <c r="B116" i="107"/>
  <c r="B117" i="108"/>
  <c r="A118" i="108"/>
  <c r="D69" i="108"/>
  <c r="C70" i="108"/>
  <c r="F111" i="107"/>
  <c r="E111" i="107"/>
  <c r="G111" i="107"/>
  <c r="D111" i="107"/>
  <c r="C112" i="107"/>
  <c r="A118" i="107"/>
  <c r="B117" i="107"/>
  <c r="A119" i="108"/>
  <c r="B118" i="108"/>
  <c r="G70" i="108"/>
  <c r="F70" i="108"/>
  <c r="E70" i="108"/>
  <c r="F112" i="107"/>
  <c r="E112" i="107"/>
  <c r="G112" i="107"/>
  <c r="D112" i="107"/>
  <c r="C113" i="107"/>
  <c r="B118" i="107"/>
  <c r="A119" i="107"/>
  <c r="D70" i="108"/>
  <c r="C71" i="108"/>
  <c r="B119" i="108"/>
  <c r="A120" i="108"/>
  <c r="E113" i="107"/>
  <c r="F113" i="107"/>
  <c r="G113" i="107"/>
  <c r="D113" i="107"/>
  <c r="C114" i="107"/>
  <c r="B119" i="107"/>
  <c r="A120" i="107"/>
  <c r="B120" i="108"/>
  <c r="A121" i="108"/>
  <c r="E71" i="108"/>
  <c r="F71" i="108"/>
  <c r="G71" i="108"/>
  <c r="E114" i="107"/>
  <c r="F114" i="107"/>
  <c r="G114" i="107"/>
  <c r="D114" i="107"/>
  <c r="C115" i="107"/>
  <c r="A121" i="107"/>
  <c r="B120" i="107"/>
  <c r="D71" i="108"/>
  <c r="C72" i="108"/>
  <c r="B121" i="108"/>
  <c r="A122" i="108"/>
  <c r="F115" i="107"/>
  <c r="E115" i="107"/>
  <c r="G115" i="107"/>
  <c r="D115" i="107"/>
  <c r="C116" i="107"/>
  <c r="A122" i="107"/>
  <c r="B121" i="107"/>
  <c r="A123" i="108"/>
  <c r="B122" i="108"/>
  <c r="F72" i="108"/>
  <c r="G72" i="108"/>
  <c r="E72" i="108"/>
  <c r="E116" i="107"/>
  <c r="F116" i="107"/>
  <c r="G116" i="107"/>
  <c r="D116" i="107"/>
  <c r="C117" i="107"/>
  <c r="A123" i="107"/>
  <c r="B122" i="107"/>
  <c r="D72" i="108"/>
  <c r="C73" i="108"/>
  <c r="A124" i="108"/>
  <c r="B123" i="108"/>
  <c r="F117" i="107"/>
  <c r="E117" i="107"/>
  <c r="G117" i="107"/>
  <c r="D117" i="107"/>
  <c r="C118" i="107"/>
  <c r="B123" i="107"/>
  <c r="A124" i="107"/>
  <c r="B124" i="108"/>
  <c r="A125" i="108"/>
  <c r="G73" i="108"/>
  <c r="F73" i="108"/>
  <c r="E73" i="108"/>
  <c r="E118" i="107"/>
  <c r="F118" i="107"/>
  <c r="G118" i="107"/>
  <c r="D118" i="107"/>
  <c r="C119" i="107"/>
  <c r="A125" i="107"/>
  <c r="B124" i="107"/>
  <c r="D73" i="108"/>
  <c r="C74" i="108"/>
  <c r="A126" i="108"/>
  <c r="B125" i="108"/>
  <c r="F119" i="107"/>
  <c r="E119" i="107"/>
  <c r="G119" i="107"/>
  <c r="D119" i="107"/>
  <c r="C120" i="107"/>
  <c r="A126" i="107"/>
  <c r="B125" i="107"/>
  <c r="B126" i="108"/>
  <c r="A127" i="108"/>
  <c r="F74" i="108"/>
  <c r="E74" i="108"/>
  <c r="G74" i="108"/>
  <c r="F120" i="107"/>
  <c r="E120" i="107"/>
  <c r="G120" i="107"/>
  <c r="D120" i="107"/>
  <c r="C121" i="107"/>
  <c r="A127" i="107"/>
  <c r="B126" i="107"/>
  <c r="D74" i="108"/>
  <c r="C75" i="108"/>
  <c r="B127" i="108"/>
  <c r="A128" i="108"/>
  <c r="F121" i="107"/>
  <c r="E121" i="107"/>
  <c r="G121" i="107"/>
  <c r="D121" i="107"/>
  <c r="C122" i="107"/>
  <c r="B127" i="107"/>
  <c r="A128" i="107"/>
  <c r="A129" i="108"/>
  <c r="B128" i="108"/>
  <c r="E75" i="108"/>
  <c r="G75" i="108"/>
  <c r="F75" i="108"/>
  <c r="E122" i="107"/>
  <c r="F122" i="107"/>
  <c r="G122" i="107"/>
  <c r="D122" i="107"/>
  <c r="C123" i="107"/>
  <c r="A129" i="107"/>
  <c r="B128" i="107"/>
  <c r="D75" i="108"/>
  <c r="C76" i="108"/>
  <c r="A130" i="108"/>
  <c r="B129" i="108"/>
  <c r="F123" i="107"/>
  <c r="E123" i="107"/>
  <c r="G123" i="107"/>
  <c r="D123" i="107"/>
  <c r="C124" i="107"/>
  <c r="A130" i="107"/>
  <c r="B129" i="107"/>
  <c r="A131" i="108"/>
  <c r="B130" i="108"/>
  <c r="F76" i="108"/>
  <c r="G76" i="108"/>
  <c r="E76" i="108"/>
  <c r="F124" i="107"/>
  <c r="E124" i="107"/>
  <c r="G124" i="107"/>
  <c r="D124" i="107"/>
  <c r="C125" i="107"/>
  <c r="A131" i="107"/>
  <c r="B130" i="107"/>
  <c r="D76" i="108"/>
  <c r="C77" i="108"/>
  <c r="B131" i="108"/>
  <c r="A132" i="108"/>
  <c r="F125" i="107"/>
  <c r="E125" i="107"/>
  <c r="G125" i="107"/>
  <c r="D125" i="107"/>
  <c r="C126" i="107"/>
  <c r="B131" i="107"/>
  <c r="A132" i="107"/>
  <c r="A133" i="108"/>
  <c r="B132" i="108"/>
  <c r="G77" i="108"/>
  <c r="F77" i="108"/>
  <c r="E77" i="108"/>
  <c r="E126" i="107"/>
  <c r="F126" i="107"/>
  <c r="G126" i="107"/>
  <c r="D126" i="107"/>
  <c r="C127" i="107"/>
  <c r="B132" i="107"/>
  <c r="A133" i="107"/>
  <c r="D77" i="108"/>
  <c r="C78" i="108"/>
  <c r="A134" i="108"/>
  <c r="B133" i="108"/>
  <c r="F127" i="107"/>
  <c r="E127" i="107"/>
  <c r="G127" i="107"/>
  <c r="D127" i="107"/>
  <c r="C128" i="107"/>
  <c r="A134" i="107"/>
  <c r="B133" i="107"/>
  <c r="B134" i="108"/>
  <c r="A135" i="108"/>
  <c r="E78" i="108"/>
  <c r="F78" i="108"/>
  <c r="G78" i="108"/>
  <c r="F128" i="107"/>
  <c r="E128" i="107"/>
  <c r="G128" i="107"/>
  <c r="D128" i="107"/>
  <c r="C129" i="107"/>
  <c r="B134" i="107"/>
  <c r="A135" i="107"/>
  <c r="D78" i="108"/>
  <c r="C79" i="108"/>
  <c r="B135" i="108"/>
  <c r="A136" i="108"/>
  <c r="E129" i="107"/>
  <c r="F129" i="107"/>
  <c r="G129" i="107"/>
  <c r="D129" i="107"/>
  <c r="C130" i="107"/>
  <c r="B135" i="107"/>
  <c r="A136" i="107"/>
  <c r="A137" i="108"/>
  <c r="B136" i="108"/>
  <c r="E79" i="108"/>
  <c r="G79" i="108"/>
  <c r="F79" i="108"/>
  <c r="D79" i="108"/>
  <c r="C80" i="108"/>
  <c r="E130" i="107"/>
  <c r="F130" i="107"/>
  <c r="G130" i="107"/>
  <c r="D130" i="107"/>
  <c r="C131" i="107"/>
  <c r="A137" i="107"/>
  <c r="B136" i="107"/>
  <c r="F80" i="108"/>
  <c r="E80" i="108"/>
  <c r="G80" i="108"/>
  <c r="D80" i="108"/>
  <c r="C81" i="108"/>
  <c r="A138" i="108"/>
  <c r="B137" i="108"/>
  <c r="F131" i="107"/>
  <c r="E131" i="107"/>
  <c r="G131" i="107"/>
  <c r="D131" i="107"/>
  <c r="C132" i="107"/>
  <c r="A138" i="107"/>
  <c r="B137" i="107"/>
  <c r="G81" i="108"/>
  <c r="E81" i="108"/>
  <c r="F81" i="108"/>
  <c r="B138" i="108"/>
  <c r="A139" i="108"/>
  <c r="E132" i="107"/>
  <c r="F132" i="107"/>
  <c r="G132" i="107"/>
  <c r="D132" i="107"/>
  <c r="C133" i="107"/>
  <c r="B138" i="107"/>
  <c r="A139" i="107"/>
  <c r="B139" i="108"/>
  <c r="A140" i="108"/>
  <c r="D81" i="108"/>
  <c r="C82" i="108"/>
  <c r="F133" i="107"/>
  <c r="E133" i="107"/>
  <c r="G133" i="107"/>
  <c r="D133" i="107"/>
  <c r="C134" i="107"/>
  <c r="B139" i="107"/>
  <c r="A140" i="107"/>
  <c r="G82" i="108"/>
  <c r="E82" i="108"/>
  <c r="F82" i="108"/>
  <c r="A141" i="108"/>
  <c r="B140" i="108"/>
  <c r="E134" i="107"/>
  <c r="F134" i="107"/>
  <c r="G134" i="107"/>
  <c r="D134" i="107"/>
  <c r="C135" i="107"/>
  <c r="A141" i="107"/>
  <c r="B140" i="107"/>
  <c r="A142" i="108"/>
  <c r="B141" i="108"/>
  <c r="D82" i="108"/>
  <c r="C83" i="108"/>
  <c r="F135" i="107"/>
  <c r="E135" i="107"/>
  <c r="G135" i="107"/>
  <c r="D135" i="107"/>
  <c r="C136" i="107"/>
  <c r="A142" i="107"/>
  <c r="B141" i="107"/>
  <c r="E83" i="108"/>
  <c r="F83" i="108"/>
  <c r="G83" i="108"/>
  <c r="D83" i="108"/>
  <c r="C84" i="108"/>
  <c r="B142" i="108"/>
  <c r="A143" i="108"/>
  <c r="F136" i="107"/>
  <c r="E136" i="107"/>
  <c r="G136" i="107"/>
  <c r="D136" i="107"/>
  <c r="C137" i="107"/>
  <c r="A143" i="107"/>
  <c r="B142" i="107"/>
  <c r="F84" i="108"/>
  <c r="E84" i="108"/>
  <c r="G84" i="108"/>
  <c r="B143" i="108"/>
  <c r="A144" i="108"/>
  <c r="F137" i="107"/>
  <c r="E137" i="107"/>
  <c r="G137" i="107"/>
  <c r="D137" i="107"/>
  <c r="C138" i="107"/>
  <c r="B143" i="107"/>
  <c r="A144" i="107"/>
  <c r="D84" i="108"/>
  <c r="C85" i="108"/>
  <c r="A145" i="108"/>
  <c r="B144" i="108"/>
  <c r="E138" i="107"/>
  <c r="F138" i="107"/>
  <c r="G138" i="107"/>
  <c r="D138" i="107"/>
  <c r="C139" i="107"/>
  <c r="B144" i="107"/>
  <c r="A145" i="107"/>
  <c r="A146" i="108"/>
  <c r="B145" i="108"/>
  <c r="G85" i="108"/>
  <c r="F85" i="108"/>
  <c r="E85" i="108"/>
  <c r="F139" i="107"/>
  <c r="E139" i="107"/>
  <c r="G139" i="107"/>
  <c r="D139" i="107"/>
  <c r="C140" i="107"/>
  <c r="A146" i="107"/>
  <c r="B145" i="107"/>
  <c r="D85" i="108"/>
  <c r="C86" i="108"/>
  <c r="A147" i="108"/>
  <c r="B146" i="108"/>
  <c r="F140" i="107"/>
  <c r="E140" i="107"/>
  <c r="G140" i="107"/>
  <c r="D140" i="107"/>
  <c r="C141" i="107"/>
  <c r="A147" i="107"/>
  <c r="B146" i="107"/>
  <c r="B147" i="108"/>
  <c r="A148" i="108"/>
  <c r="F86" i="108"/>
  <c r="E86" i="108"/>
  <c r="G86" i="108"/>
  <c r="F141" i="107"/>
  <c r="E141" i="107"/>
  <c r="G141" i="107"/>
  <c r="D141" i="107"/>
  <c r="C142" i="107"/>
  <c r="B147" i="107"/>
  <c r="A148" i="107"/>
  <c r="D86" i="108"/>
  <c r="C87" i="108"/>
  <c r="B148" i="108"/>
  <c r="A149" i="108"/>
  <c r="E142" i="107"/>
  <c r="F142" i="107"/>
  <c r="G142" i="107"/>
  <c r="D142" i="107"/>
  <c r="C143" i="107"/>
  <c r="A149" i="107"/>
  <c r="B148" i="107"/>
  <c r="A150" i="108"/>
  <c r="B149" i="108"/>
  <c r="E87" i="108"/>
  <c r="F87" i="108"/>
  <c r="G87" i="108"/>
  <c r="D87" i="108"/>
  <c r="C88" i="108"/>
  <c r="F143" i="107"/>
  <c r="E143" i="107"/>
  <c r="G143" i="107"/>
  <c r="D143" i="107"/>
  <c r="C144" i="107"/>
  <c r="A150" i="107"/>
  <c r="B150" i="107"/>
  <c r="B149" i="107"/>
  <c r="F88" i="108"/>
  <c r="G88" i="108"/>
  <c r="E88" i="108"/>
  <c r="A151" i="108"/>
  <c r="B150" i="108"/>
  <c r="F144" i="107"/>
  <c r="E144" i="107"/>
  <c r="G144" i="107"/>
  <c r="D144" i="107"/>
  <c r="C145" i="107"/>
  <c r="D88" i="108"/>
  <c r="C89" i="108"/>
  <c r="B151" i="108"/>
  <c r="A152" i="108"/>
  <c r="E145" i="107"/>
  <c r="F145" i="107"/>
  <c r="G145" i="107"/>
  <c r="D145" i="107"/>
  <c r="C146" i="107"/>
  <c r="B152" i="108"/>
  <c r="A153" i="108"/>
  <c r="G89" i="108"/>
  <c r="F89" i="108"/>
  <c r="E89" i="108"/>
  <c r="E146" i="107"/>
  <c r="F146" i="107"/>
  <c r="G146" i="107"/>
  <c r="D146" i="107"/>
  <c r="C147" i="107"/>
  <c r="D89" i="108"/>
  <c r="C90" i="108"/>
  <c r="A154" i="108"/>
  <c r="B153" i="108"/>
  <c r="F147" i="107"/>
  <c r="E147" i="107"/>
  <c r="G147" i="107"/>
  <c r="D147" i="107"/>
  <c r="C148" i="107"/>
  <c r="B154" i="108"/>
  <c r="A155" i="108"/>
  <c r="E90" i="108"/>
  <c r="F90" i="108"/>
  <c r="G90" i="108"/>
  <c r="E148" i="107"/>
  <c r="F148" i="107"/>
  <c r="G148" i="107"/>
  <c r="D148" i="107"/>
  <c r="C149" i="107"/>
  <c r="D90" i="108"/>
  <c r="C91" i="108"/>
  <c r="B155" i="108"/>
  <c r="A156" i="108"/>
  <c r="F149" i="107"/>
  <c r="E149" i="107"/>
  <c r="G149" i="107"/>
  <c r="D149" i="107"/>
  <c r="C150" i="107"/>
  <c r="A157" i="108"/>
  <c r="B156" i="108"/>
  <c r="E91" i="108"/>
  <c r="G91" i="108"/>
  <c r="F91" i="108"/>
  <c r="D91" i="108"/>
  <c r="C92" i="108"/>
  <c r="F150" i="107"/>
  <c r="E150" i="107"/>
  <c r="G150" i="107"/>
  <c r="F92" i="108"/>
  <c r="G92" i="108"/>
  <c r="E92" i="108"/>
  <c r="A158" i="108"/>
  <c r="B157" i="108"/>
  <c r="D150" i="107"/>
  <c r="D15" i="107"/>
  <c r="D16" i="107"/>
  <c r="D92" i="108"/>
  <c r="C93" i="108"/>
  <c r="B158" i="108"/>
  <c r="A159" i="108"/>
  <c r="B159" i="108"/>
  <c r="A160" i="108"/>
  <c r="G93" i="108"/>
  <c r="E93" i="108"/>
  <c r="F93" i="108"/>
  <c r="D93" i="108"/>
  <c r="C94" i="108"/>
  <c r="A161" i="108"/>
  <c r="B160" i="108"/>
  <c r="A162" i="108"/>
  <c r="B161" i="108"/>
  <c r="G94" i="108"/>
  <c r="E94" i="108"/>
  <c r="F94" i="108"/>
  <c r="D94" i="108"/>
  <c r="C95" i="108"/>
  <c r="A163" i="108"/>
  <c r="B162" i="108"/>
  <c r="B163" i="108"/>
  <c r="A164" i="108"/>
  <c r="E95" i="108"/>
  <c r="G95" i="108"/>
  <c r="F95" i="108"/>
  <c r="D95" i="108"/>
  <c r="C96" i="108"/>
  <c r="A165" i="108"/>
  <c r="B164" i="108"/>
  <c r="A166" i="108"/>
  <c r="B165" i="108"/>
  <c r="F96" i="108"/>
  <c r="E96" i="108"/>
  <c r="G96" i="108"/>
  <c r="D96" i="108"/>
  <c r="C97" i="108"/>
  <c r="A167" i="108"/>
  <c r="B166" i="108"/>
  <c r="G97" i="108"/>
  <c r="E97" i="108"/>
  <c r="F97" i="108"/>
  <c r="B167" i="108"/>
  <c r="A168" i="108"/>
  <c r="B168" i="108"/>
  <c r="A169" i="108"/>
  <c r="D97" i="108"/>
  <c r="C98" i="108"/>
  <c r="G98" i="108"/>
  <c r="F98" i="108"/>
  <c r="E98" i="108"/>
  <c r="A170" i="108"/>
  <c r="B169" i="108"/>
  <c r="B170" i="108"/>
  <c r="A171" i="108"/>
  <c r="D98" i="108"/>
  <c r="C99" i="108"/>
  <c r="E99" i="108"/>
  <c r="F99" i="108"/>
  <c r="G99" i="108"/>
  <c r="D99" i="108"/>
  <c r="C100" i="108"/>
  <c r="B171" i="108"/>
  <c r="A172" i="108"/>
  <c r="F100" i="108"/>
  <c r="E100" i="108"/>
  <c r="G100" i="108"/>
  <c r="D100" i="108"/>
  <c r="C101" i="108"/>
  <c r="A173" i="108"/>
  <c r="B172" i="108"/>
  <c r="G101" i="108"/>
  <c r="F101" i="108"/>
  <c r="E101" i="108"/>
  <c r="A174" i="108"/>
  <c r="B174" i="108"/>
  <c r="B173" i="108"/>
  <c r="D101" i="108"/>
  <c r="C102" i="108"/>
  <c r="F102" i="108"/>
  <c r="E102" i="108"/>
  <c r="G102" i="108"/>
  <c r="D102" i="108"/>
  <c r="C103" i="108"/>
  <c r="E103" i="108"/>
  <c r="F103" i="108"/>
  <c r="G103" i="108"/>
  <c r="D103" i="108"/>
  <c r="C104" i="108"/>
  <c r="F104" i="108"/>
  <c r="G104" i="108"/>
  <c r="E104" i="108"/>
  <c r="D104" i="108"/>
  <c r="C105" i="108"/>
  <c r="G105" i="108"/>
  <c r="F105" i="108"/>
  <c r="E105" i="108"/>
  <c r="D105" i="108"/>
  <c r="C106" i="108"/>
  <c r="E106" i="108"/>
  <c r="F106" i="108"/>
  <c r="G106" i="108"/>
  <c r="D106" i="108"/>
  <c r="C107" i="108"/>
  <c r="E107" i="108"/>
  <c r="G107" i="108"/>
  <c r="F107" i="108"/>
  <c r="D107" i="108"/>
  <c r="C108" i="108"/>
  <c r="F108" i="108"/>
  <c r="G108" i="108"/>
  <c r="E108" i="108"/>
  <c r="D108" i="108"/>
  <c r="C109" i="108"/>
  <c r="G109" i="108"/>
  <c r="E109" i="108"/>
  <c r="F109" i="108"/>
  <c r="D109" i="108"/>
  <c r="C110" i="108"/>
  <c r="G110" i="108"/>
  <c r="E110" i="108"/>
  <c r="F110" i="108"/>
  <c r="D110" i="108"/>
  <c r="C111" i="108"/>
  <c r="E111" i="108"/>
  <c r="G111" i="108"/>
  <c r="F111" i="108"/>
  <c r="D111" i="108"/>
  <c r="C112" i="108"/>
  <c r="F112" i="108"/>
  <c r="E112" i="108"/>
  <c r="G112" i="108"/>
  <c r="D112" i="108"/>
  <c r="C113" i="108"/>
  <c r="G113" i="108"/>
  <c r="E113" i="108"/>
  <c r="F113" i="108"/>
  <c r="D113" i="108"/>
  <c r="C114" i="108"/>
  <c r="E114" i="108"/>
  <c r="G114" i="108"/>
  <c r="F114" i="108"/>
  <c r="D114" i="108"/>
  <c r="C115" i="108"/>
  <c r="E115" i="108"/>
  <c r="G115" i="108"/>
  <c r="F115" i="108"/>
  <c r="D115" i="108"/>
  <c r="C116" i="108"/>
  <c r="F116" i="108"/>
  <c r="G116" i="108"/>
  <c r="E116" i="108"/>
  <c r="D116" i="108"/>
  <c r="C117" i="108"/>
  <c r="G117" i="108"/>
  <c r="E117" i="108"/>
  <c r="F117" i="108"/>
  <c r="D117" i="108"/>
  <c r="C118" i="108"/>
  <c r="G118" i="108"/>
  <c r="E118" i="108"/>
  <c r="F118" i="108"/>
  <c r="D118" i="108"/>
  <c r="C119" i="108"/>
  <c r="E119" i="108"/>
  <c r="G119" i="108"/>
  <c r="F119" i="108"/>
  <c r="D119" i="108"/>
  <c r="C120" i="108"/>
  <c r="F120" i="108"/>
  <c r="E120" i="108"/>
  <c r="G120" i="108"/>
  <c r="D120" i="108"/>
  <c r="C121" i="108"/>
  <c r="G121" i="108"/>
  <c r="E121" i="108"/>
  <c r="F121" i="108"/>
  <c r="D121" i="108"/>
  <c r="C122" i="108"/>
  <c r="G122" i="108"/>
  <c r="E122" i="108"/>
  <c r="F122" i="108"/>
  <c r="D122" i="108"/>
  <c r="C123" i="108"/>
  <c r="E123" i="108"/>
  <c r="F123" i="108"/>
  <c r="G123" i="108"/>
  <c r="D123" i="108"/>
  <c r="C124" i="108"/>
  <c r="F124" i="108"/>
  <c r="E124" i="108"/>
  <c r="G124" i="108"/>
  <c r="D124" i="108"/>
  <c r="C125" i="108"/>
  <c r="G125" i="108"/>
  <c r="E125" i="108"/>
  <c r="F125" i="108"/>
  <c r="D125" i="108"/>
  <c r="C126" i="108"/>
  <c r="E126" i="108"/>
  <c r="G126" i="108"/>
  <c r="F126" i="108"/>
  <c r="D126" i="108"/>
  <c r="C127" i="108"/>
  <c r="F127" i="108"/>
  <c r="G127" i="108"/>
  <c r="E127" i="108"/>
  <c r="D127" i="108"/>
  <c r="C128" i="108"/>
  <c r="G128" i="108"/>
  <c r="F128" i="108"/>
  <c r="E128" i="108"/>
  <c r="D128" i="108"/>
  <c r="C129" i="108"/>
  <c r="E129" i="108"/>
  <c r="G129" i="108"/>
  <c r="F129" i="108"/>
  <c r="D129" i="108"/>
  <c r="C130" i="108"/>
  <c r="E130" i="108"/>
  <c r="G130" i="108"/>
  <c r="F130" i="108"/>
  <c r="D130" i="108"/>
  <c r="C131" i="108"/>
  <c r="F131" i="108"/>
  <c r="G131" i="108"/>
  <c r="E131" i="108"/>
  <c r="D131" i="108"/>
  <c r="C132" i="108"/>
  <c r="G132" i="108"/>
  <c r="E132" i="108"/>
  <c r="F132" i="108"/>
  <c r="D132" i="108"/>
  <c r="C133" i="108"/>
  <c r="G133" i="108"/>
  <c r="E133" i="108"/>
  <c r="F133" i="108"/>
  <c r="D133" i="108"/>
  <c r="C134" i="108"/>
  <c r="E134" i="108"/>
  <c r="G134" i="108"/>
  <c r="F134" i="108"/>
  <c r="D134" i="108"/>
  <c r="C135" i="108"/>
  <c r="F135" i="108"/>
  <c r="E135" i="108"/>
  <c r="G135" i="108"/>
  <c r="D135" i="108"/>
  <c r="C136" i="108"/>
  <c r="G136" i="108"/>
  <c r="E136" i="108"/>
  <c r="F136" i="108"/>
  <c r="D136" i="108"/>
  <c r="C137" i="108"/>
  <c r="G137" i="108"/>
  <c r="E137" i="108"/>
  <c r="F137" i="108"/>
  <c r="D137" i="108"/>
  <c r="C138" i="108"/>
  <c r="E138" i="108"/>
  <c r="G138" i="108"/>
  <c r="F138" i="108"/>
  <c r="D138" i="108"/>
  <c r="C139" i="108"/>
  <c r="F139" i="108"/>
  <c r="E139" i="108"/>
  <c r="G139" i="108"/>
  <c r="D139" i="108"/>
  <c r="C140" i="108"/>
  <c r="G140" i="108"/>
  <c r="E140" i="108"/>
  <c r="F140" i="108"/>
  <c r="D140" i="108"/>
  <c r="C141" i="108"/>
  <c r="G141" i="108"/>
  <c r="F141" i="108"/>
  <c r="E141" i="108"/>
  <c r="D141" i="108"/>
  <c r="C142" i="108"/>
  <c r="E142" i="108"/>
  <c r="F142" i="108"/>
  <c r="G142" i="108"/>
  <c r="D142" i="108"/>
  <c r="C143" i="108"/>
  <c r="F143" i="108"/>
  <c r="E143" i="108"/>
  <c r="G143" i="108"/>
  <c r="D143" i="108"/>
  <c r="C144" i="108"/>
  <c r="G144" i="108"/>
  <c r="F144" i="108"/>
  <c r="E144" i="108"/>
  <c r="D144" i="108"/>
  <c r="C145" i="108"/>
  <c r="F145" i="108"/>
  <c r="E145" i="108"/>
  <c r="G145" i="108"/>
  <c r="D145" i="108"/>
  <c r="C146" i="108"/>
  <c r="E146" i="108"/>
  <c r="F146" i="108"/>
  <c r="G146" i="108"/>
  <c r="D146" i="108"/>
  <c r="C147" i="108"/>
  <c r="F147" i="108"/>
  <c r="G147" i="108"/>
  <c r="E147" i="108"/>
  <c r="D147" i="108"/>
  <c r="C148" i="108"/>
  <c r="G148" i="108"/>
  <c r="F148" i="108"/>
  <c r="E148" i="108"/>
  <c r="D148" i="108"/>
  <c r="C149" i="108"/>
  <c r="E149" i="108"/>
  <c r="F149" i="108"/>
  <c r="G149" i="108"/>
  <c r="D149" i="108"/>
  <c r="C150" i="108"/>
  <c r="E150" i="108"/>
  <c r="G150" i="108"/>
  <c r="F150" i="108"/>
  <c r="D150" i="108"/>
  <c r="C151" i="108"/>
  <c r="F151" i="108"/>
  <c r="G151" i="108"/>
  <c r="E151" i="108"/>
  <c r="D151" i="108"/>
  <c r="C152" i="108"/>
  <c r="G152" i="108"/>
  <c r="E152" i="108"/>
  <c r="F152" i="108"/>
  <c r="D152" i="108"/>
  <c r="C153" i="108"/>
  <c r="G153" i="108"/>
  <c r="F153" i="108"/>
  <c r="E153" i="108"/>
  <c r="D153" i="108"/>
  <c r="C154" i="108"/>
  <c r="E154" i="108"/>
  <c r="G154" i="108"/>
  <c r="F154" i="108"/>
  <c r="D154" i="108"/>
  <c r="C155" i="108"/>
  <c r="F155" i="108"/>
  <c r="E155" i="108"/>
  <c r="G155" i="108"/>
  <c r="D155" i="108"/>
  <c r="C156" i="108"/>
  <c r="G156" i="108"/>
  <c r="E156" i="108"/>
  <c r="F156" i="108"/>
  <c r="D156" i="108"/>
  <c r="C157" i="108"/>
  <c r="G157" i="108"/>
  <c r="F157" i="108"/>
  <c r="E157" i="108"/>
  <c r="D157" i="108"/>
  <c r="C158" i="108"/>
  <c r="E158" i="108"/>
  <c r="F158" i="108"/>
  <c r="G158" i="108"/>
  <c r="D158" i="108"/>
  <c r="C159" i="108"/>
  <c r="F159" i="108"/>
  <c r="G159" i="108"/>
  <c r="E159" i="108"/>
  <c r="D159" i="108"/>
  <c r="C160" i="108"/>
  <c r="G160" i="108"/>
  <c r="F160" i="108"/>
  <c r="E160" i="108"/>
  <c r="D160" i="108"/>
  <c r="C161" i="108"/>
  <c r="F161" i="108"/>
  <c r="E161" i="108"/>
  <c r="G161" i="108"/>
  <c r="D161" i="108"/>
  <c r="C162" i="108"/>
  <c r="E162" i="108"/>
  <c r="F162" i="108"/>
  <c r="G162" i="108"/>
  <c r="D162" i="108"/>
  <c r="C163" i="108"/>
  <c r="F163" i="108"/>
  <c r="G163" i="108"/>
  <c r="E163" i="108"/>
  <c r="D163" i="108"/>
  <c r="C164" i="108"/>
  <c r="G164" i="108"/>
  <c r="F164" i="108"/>
  <c r="E164" i="108"/>
  <c r="D164" i="108"/>
  <c r="C165" i="108"/>
  <c r="E165" i="108"/>
  <c r="G165" i="108"/>
  <c r="F165" i="108"/>
  <c r="D165" i="108"/>
  <c r="C166" i="108"/>
  <c r="E166" i="108"/>
  <c r="G166" i="108"/>
  <c r="F166" i="108"/>
  <c r="D166" i="108"/>
  <c r="C167" i="108"/>
  <c r="F167" i="108"/>
  <c r="G167" i="108"/>
  <c r="E167" i="108"/>
  <c r="D167" i="108"/>
  <c r="C168" i="108"/>
  <c r="G168" i="108"/>
  <c r="E168" i="108"/>
  <c r="F168" i="108"/>
  <c r="D168" i="108"/>
  <c r="C169" i="108"/>
  <c r="G169" i="108"/>
  <c r="E169" i="108"/>
  <c r="F169" i="108"/>
  <c r="D169" i="108"/>
  <c r="C170" i="108"/>
  <c r="E170" i="108"/>
  <c r="G170" i="108"/>
  <c r="F170" i="108"/>
  <c r="D170" i="108"/>
  <c r="C171" i="108"/>
  <c r="F171" i="108"/>
  <c r="E171" i="108"/>
  <c r="G171" i="108"/>
  <c r="D171" i="108"/>
  <c r="C172" i="108"/>
  <c r="G172" i="108"/>
  <c r="E172" i="108"/>
  <c r="F172" i="108"/>
  <c r="D172" i="108"/>
  <c r="C173" i="108"/>
  <c r="G173" i="108"/>
  <c r="F173" i="108"/>
  <c r="E173" i="108"/>
  <c r="D173" i="108"/>
  <c r="C174" i="108"/>
  <c r="D16" i="108"/>
  <c r="D17" i="108"/>
  <c r="G174" i="108"/>
  <c r="E174" i="108"/>
  <c r="F174" i="108"/>
  <c r="D174" i="108"/>
  <c r="D26" i="105"/>
  <c r="G9" i="94"/>
  <c r="W9" i="94" s="1"/>
  <c r="BK114" i="106"/>
  <c r="BJ114" i="106"/>
  <c r="BK113" i="106"/>
  <c r="BJ113" i="106"/>
  <c r="BK112" i="106"/>
  <c r="BJ112" i="106"/>
  <c r="BK111" i="106"/>
  <c r="BJ111" i="106"/>
  <c r="BK110" i="106"/>
  <c r="BJ110" i="106"/>
  <c r="BJ109" i="106"/>
  <c r="AI109" i="106"/>
  <c r="AH109" i="106"/>
  <c r="AG109" i="106"/>
  <c r="AJ109" i="106"/>
  <c r="AF109" i="106"/>
  <c r="AE109" i="106"/>
  <c r="O109" i="106"/>
  <c r="AE82" i="106"/>
  <c r="AI79" i="106"/>
  <c r="AI65" i="106"/>
  <c r="AI66" i="106"/>
  <c r="AH79" i="106"/>
  <c r="AG79" i="106"/>
  <c r="AF79" i="106"/>
  <c r="AE79" i="106"/>
  <c r="AE65" i="106"/>
  <c r="AE66" i="106"/>
  <c r="AD79" i="106"/>
  <c r="AD65" i="106"/>
  <c r="AD66" i="106"/>
  <c r="AC79" i="106"/>
  <c r="AI77" i="106"/>
  <c r="AH77" i="106"/>
  <c r="AG77" i="106"/>
  <c r="AF77" i="106"/>
  <c r="AE77" i="106"/>
  <c r="AC77" i="106"/>
  <c r="AH65" i="106"/>
  <c r="AH66" i="106"/>
  <c r="AG65" i="106"/>
  <c r="AG66" i="106"/>
  <c r="AF65" i="106"/>
  <c r="AF66" i="106"/>
  <c r="AC65" i="106"/>
  <c r="AC66" i="106"/>
  <c r="AD57" i="106"/>
  <c r="AC57" i="106"/>
  <c r="AE50" i="106"/>
  <c r="AC49" i="106"/>
  <c r="AC48" i="106"/>
  <c r="AB48" i="106"/>
  <c r="AM47" i="106"/>
  <c r="X43" i="106"/>
  <c r="AE41" i="106"/>
  <c r="AD41" i="106"/>
  <c r="AC41" i="106"/>
  <c r="AB41" i="106"/>
  <c r="AA41" i="106"/>
  <c r="Z41" i="106"/>
  <c r="Y41" i="106"/>
  <c r="X41" i="106"/>
  <c r="W41" i="106"/>
  <c r="AE40" i="106"/>
  <c r="AD40" i="106"/>
  <c r="AC40" i="106"/>
  <c r="AB40" i="106"/>
  <c r="AA40" i="106"/>
  <c r="Z40" i="106"/>
  <c r="Y40" i="106"/>
  <c r="X40" i="106"/>
  <c r="W40" i="106"/>
  <c r="AE38" i="106"/>
  <c r="AD38" i="106"/>
  <c r="AC38" i="106"/>
  <c r="AB38" i="106"/>
  <c r="AA38" i="106"/>
  <c r="Z38" i="106"/>
  <c r="Y38" i="106"/>
  <c r="AH36" i="106"/>
  <c r="X38" i="106"/>
  <c r="W38" i="106"/>
  <c r="AE37" i="106"/>
  <c r="AD37" i="106"/>
  <c r="AC37" i="106"/>
  <c r="AB37" i="106"/>
  <c r="AA37" i="106"/>
  <c r="Z37" i="106"/>
  <c r="Y37" i="106"/>
  <c r="AH35" i="106" s="1"/>
  <c r="X37" i="106"/>
  <c r="W37" i="106"/>
  <c r="AG36" i="106"/>
  <c r="AG38" i="106"/>
  <c r="AB34" i="106"/>
  <c r="AC32" i="106"/>
  <c r="AC31" i="106"/>
  <c r="CF21" i="106"/>
  <c r="CF18" i="106"/>
  <c r="BY21" i="106"/>
  <c r="CC21" i="106"/>
  <c r="AZ20" i="106"/>
  <c r="D20" i="106"/>
  <c r="AZ19" i="106"/>
  <c r="A19" i="106"/>
  <c r="AZ18" i="106"/>
  <c r="AZ17" i="106"/>
  <c r="AZ16" i="106"/>
  <c r="AZ15" i="106"/>
  <c r="AE15" i="106"/>
  <c r="AD15" i="106"/>
  <c r="D14" i="106"/>
  <c r="D15" i="106"/>
  <c r="C15" i="106"/>
  <c r="BY22" i="106"/>
  <c r="AZ14" i="106"/>
  <c r="Q14" i="106"/>
  <c r="E14" i="106"/>
  <c r="C13" i="106"/>
  <c r="D18" i="106"/>
  <c r="AZ13" i="106"/>
  <c r="AD13" i="106"/>
  <c r="Q13" i="106"/>
  <c r="AZ12" i="106"/>
  <c r="AE12" i="106"/>
  <c r="AD12" i="106"/>
  <c r="Q12" i="106"/>
  <c r="D12" i="106"/>
  <c r="BH9" i="106"/>
  <c r="BH10" i="106"/>
  <c r="BH11" i="106"/>
  <c r="BH12" i="106"/>
  <c r="AZ11" i="106"/>
  <c r="Q11" i="106"/>
  <c r="D11" i="106"/>
  <c r="AM36" i="106"/>
  <c r="BI10" i="106"/>
  <c r="AZ10" i="106"/>
  <c r="AE10" i="106"/>
  <c r="AD10" i="106"/>
  <c r="Q10" i="106"/>
  <c r="BI9" i="106"/>
  <c r="BA9" i="106"/>
  <c r="AZ9" i="106"/>
  <c r="AZ109" i="106"/>
  <c r="AP9" i="106"/>
  <c r="AE9" i="106"/>
  <c r="AD9" i="106"/>
  <c r="W9" i="106"/>
  <c r="U9" i="106"/>
  <c r="U10" i="106"/>
  <c r="Q9" i="106"/>
  <c r="Q109" i="106"/>
  <c r="G9" i="106"/>
  <c r="G10" i="106"/>
  <c r="AQ8" i="106"/>
  <c r="AE8" i="106"/>
  <c r="AD8" i="106"/>
  <c r="H8" i="106"/>
  <c r="BJ8" i="106"/>
  <c r="BJ7" i="106"/>
  <c r="AA7" i="106"/>
  <c r="Z7" i="106"/>
  <c r="Y7" i="106"/>
  <c r="X7" i="106"/>
  <c r="AA6" i="106"/>
  <c r="Z6" i="106"/>
  <c r="Y6" i="106"/>
  <c r="X6" i="106"/>
  <c r="AA5" i="106"/>
  <c r="Z5" i="106"/>
  <c r="Y5" i="106"/>
  <c r="X5" i="106"/>
  <c r="AA4" i="106"/>
  <c r="Z4" i="106"/>
  <c r="Y4" i="106"/>
  <c r="X4" i="106"/>
  <c r="G3" i="106"/>
  <c r="AL1" i="106"/>
  <c r="AB49" i="106"/>
  <c r="AG39" i="106"/>
  <c r="U11" i="106"/>
  <c r="V10" i="106"/>
  <c r="R10" i="106"/>
  <c r="BA10" i="106"/>
  <c r="BI12" i="106"/>
  <c r="BH13" i="106"/>
  <c r="BG8" i="106"/>
  <c r="AT9" i="106"/>
  <c r="AT8" i="106"/>
  <c r="AM46" i="106"/>
  <c r="BY23" i="106"/>
  <c r="CC22" i="106"/>
  <c r="BL55" i="106"/>
  <c r="W45" i="106"/>
  <c r="G11" i="106"/>
  <c r="I108" i="106"/>
  <c r="I106" i="106"/>
  <c r="I104" i="106"/>
  <c r="I107" i="106"/>
  <c r="I103" i="106"/>
  <c r="I102" i="106"/>
  <c r="I101" i="106"/>
  <c r="I100" i="106"/>
  <c r="I99" i="106"/>
  <c r="I95" i="106"/>
  <c r="I93" i="106"/>
  <c r="I89" i="106"/>
  <c r="I105" i="106"/>
  <c r="I97" i="106"/>
  <c r="I96" i="106"/>
  <c r="I86" i="106"/>
  <c r="I92" i="106"/>
  <c r="I91" i="106"/>
  <c r="I90" i="106"/>
  <c r="I94" i="106"/>
  <c r="I88" i="106"/>
  <c r="I85" i="106"/>
  <c r="I82" i="106"/>
  <c r="I75" i="106"/>
  <c r="I79" i="106"/>
  <c r="I78" i="106"/>
  <c r="I87" i="106"/>
  <c r="I98" i="106"/>
  <c r="I84" i="106"/>
  <c r="I72" i="106"/>
  <c r="I68" i="106"/>
  <c r="I63" i="106"/>
  <c r="I59" i="106"/>
  <c r="I80" i="106"/>
  <c r="I73" i="106"/>
  <c r="I67" i="106"/>
  <c r="I65" i="106"/>
  <c r="I64" i="106"/>
  <c r="I81" i="106"/>
  <c r="I66" i="106"/>
  <c r="I58" i="106"/>
  <c r="I56" i="106"/>
  <c r="I76" i="106"/>
  <c r="I62" i="106"/>
  <c r="I61" i="106"/>
  <c r="I60" i="106"/>
  <c r="I57" i="106"/>
  <c r="I54" i="106"/>
  <c r="I49" i="106"/>
  <c r="I44" i="106"/>
  <c r="I43" i="106"/>
  <c r="I42" i="106"/>
  <c r="I39" i="106"/>
  <c r="I31" i="106"/>
  <c r="I29" i="106"/>
  <c r="I28" i="106"/>
  <c r="I83" i="106"/>
  <c r="I71" i="106"/>
  <c r="I50" i="106"/>
  <c r="I46" i="106"/>
  <c r="I74" i="106"/>
  <c r="I69" i="106"/>
  <c r="I53" i="106"/>
  <c r="I52" i="106"/>
  <c r="I45" i="106"/>
  <c r="I36" i="106"/>
  <c r="I34" i="106"/>
  <c r="I33" i="106"/>
  <c r="I26" i="106"/>
  <c r="I77" i="106"/>
  <c r="I70" i="106"/>
  <c r="I55" i="106"/>
  <c r="I51" i="106"/>
  <c r="I48" i="106"/>
  <c r="I47" i="106"/>
  <c r="I41" i="106"/>
  <c r="I40" i="106"/>
  <c r="I38" i="106"/>
  <c r="I19" i="106"/>
  <c r="I17" i="106"/>
  <c r="I35" i="106"/>
  <c r="I30" i="106"/>
  <c r="I13" i="106"/>
  <c r="I16" i="106"/>
  <c r="I9" i="106"/>
  <c r="I37" i="106"/>
  <c r="I32" i="106"/>
  <c r="I21" i="106"/>
  <c r="I15" i="106"/>
  <c r="I27" i="106"/>
  <c r="I23" i="106"/>
  <c r="I20" i="106"/>
  <c r="I18" i="106"/>
  <c r="I14" i="106"/>
  <c r="I12" i="106"/>
  <c r="I25" i="106"/>
  <c r="I24" i="106"/>
  <c r="I22" i="106"/>
  <c r="I10" i="106"/>
  <c r="I11" i="106"/>
  <c r="AM40" i="106"/>
  <c r="AM39" i="106"/>
  <c r="AM38" i="106"/>
  <c r="AM37" i="106"/>
  <c r="BI11" i="106"/>
  <c r="AL49" i="106"/>
  <c r="AP10" i="106"/>
  <c r="D13" i="106"/>
  <c r="V9" i="106"/>
  <c r="R9" i="106"/>
  <c r="AI36" i="106"/>
  <c r="AL76" i="106"/>
  <c r="BY27" i="106"/>
  <c r="CF22" i="106"/>
  <c r="CF23" i="106"/>
  <c r="AN47" i="106"/>
  <c r="AN48" i="106"/>
  <c r="AN49" i="106"/>
  <c r="AN50" i="106"/>
  <c r="AN51" i="106"/>
  <c r="AN52" i="106"/>
  <c r="AN53" i="106"/>
  <c r="AN54" i="106"/>
  <c r="AN55" i="106"/>
  <c r="AN56" i="106"/>
  <c r="AN57" i="106"/>
  <c r="AN58" i="106"/>
  <c r="AN59" i="106"/>
  <c r="AN60" i="106"/>
  <c r="AN61" i="106"/>
  <c r="AN62" i="106"/>
  <c r="AN63" i="106"/>
  <c r="AN64" i="106"/>
  <c r="AN65" i="106"/>
  <c r="AN66" i="106"/>
  <c r="AN67" i="106"/>
  <c r="AN68" i="106"/>
  <c r="AN69" i="106"/>
  <c r="AN70" i="106"/>
  <c r="AN71" i="106"/>
  <c r="AN72" i="106"/>
  <c r="AN73" i="106"/>
  <c r="AN74" i="106"/>
  <c r="AN75" i="106"/>
  <c r="AN76" i="106"/>
  <c r="AN77" i="106"/>
  <c r="AN78" i="106"/>
  <c r="AN79" i="106"/>
  <c r="AN80" i="106"/>
  <c r="AN81" i="106"/>
  <c r="AN82" i="106"/>
  <c r="AN83" i="106"/>
  <c r="AN84" i="106"/>
  <c r="AN85" i="106"/>
  <c r="AN86" i="106"/>
  <c r="AN87" i="106"/>
  <c r="AN46" i="106"/>
  <c r="AD54" i="106"/>
  <c r="Y43" i="106"/>
  <c r="Y42" i="106"/>
  <c r="AL85" i="106"/>
  <c r="AL82" i="106"/>
  <c r="AL79" i="106"/>
  <c r="AL78" i="106"/>
  <c r="AL84" i="106"/>
  <c r="AL77" i="106"/>
  <c r="AL83" i="106"/>
  <c r="AL81" i="106"/>
  <c r="AL80" i="106"/>
  <c r="AL73" i="106"/>
  <c r="AL69" i="106"/>
  <c r="AL65" i="106"/>
  <c r="AL64" i="106"/>
  <c r="AL60" i="106"/>
  <c r="AL54" i="106"/>
  <c r="AL50" i="106"/>
  <c r="AL63" i="106"/>
  <c r="AL62" i="106"/>
  <c r="AL61" i="106"/>
  <c r="AL74" i="106"/>
  <c r="AL72" i="106"/>
  <c r="AL71" i="106"/>
  <c r="AL70" i="106"/>
  <c r="AL75" i="106"/>
  <c r="AL59" i="106"/>
  <c r="AL58" i="106"/>
  <c r="AL57" i="106"/>
  <c r="AL56" i="106"/>
  <c r="AL55" i="106"/>
  <c r="AL53" i="106"/>
  <c r="AL66" i="106"/>
  <c r="AL67" i="106"/>
  <c r="AL68" i="106"/>
  <c r="AL52" i="106"/>
  <c r="AL48" i="106"/>
  <c r="AL148" i="106"/>
  <c r="AL51" i="106"/>
  <c r="BL54" i="106"/>
  <c r="W44" i="106"/>
  <c r="AG40" i="106"/>
  <c r="AG37" i="106"/>
  <c r="AJ66" i="106"/>
  <c r="AM48" i="106"/>
  <c r="AS9" i="106"/>
  <c r="AS109" i="106"/>
  <c r="AO9" i="106"/>
  <c r="D19" i="106"/>
  <c r="AL36" i="106"/>
  <c r="AN118" i="106"/>
  <c r="AN119" i="106"/>
  <c r="AN120" i="106"/>
  <c r="AN121" i="106"/>
  <c r="AN122" i="106"/>
  <c r="AN123" i="106"/>
  <c r="AN124" i="106"/>
  <c r="AN125" i="106"/>
  <c r="AN126" i="106"/>
  <c r="AN127" i="106"/>
  <c r="AN128" i="106"/>
  <c r="AN129" i="106"/>
  <c r="AN130" i="106"/>
  <c r="AN131" i="106"/>
  <c r="AN132" i="106"/>
  <c r="AN133" i="106"/>
  <c r="AN134" i="106"/>
  <c r="AN135" i="106"/>
  <c r="AN136" i="106"/>
  <c r="AN137" i="106"/>
  <c r="AN138" i="106"/>
  <c r="AN139" i="106"/>
  <c r="AN140" i="106"/>
  <c r="AN141" i="106"/>
  <c r="AN142" i="106"/>
  <c r="AN143" i="106"/>
  <c r="AN144" i="106"/>
  <c r="AN145" i="106"/>
  <c r="AN146" i="106"/>
  <c r="AN147" i="106"/>
  <c r="AN88" i="106"/>
  <c r="AN89" i="106"/>
  <c r="AN90" i="106"/>
  <c r="AN91" i="106"/>
  <c r="AN92" i="106"/>
  <c r="AN93" i="106"/>
  <c r="AN94" i="106"/>
  <c r="AN95" i="106"/>
  <c r="AN96" i="106"/>
  <c r="AN97" i="106"/>
  <c r="AN98" i="106"/>
  <c r="AN99" i="106"/>
  <c r="AN100" i="106"/>
  <c r="AN101" i="106"/>
  <c r="AN102" i="106"/>
  <c r="AN103" i="106"/>
  <c r="AN104" i="106"/>
  <c r="AN105" i="106"/>
  <c r="AN106" i="106"/>
  <c r="AN107" i="106"/>
  <c r="AN108" i="106"/>
  <c r="AN109" i="106"/>
  <c r="AN110" i="106"/>
  <c r="AN111" i="106"/>
  <c r="AN112" i="106"/>
  <c r="AN113" i="106"/>
  <c r="AN114" i="106"/>
  <c r="AN115" i="106"/>
  <c r="AN116" i="106"/>
  <c r="AN117" i="106"/>
  <c r="AR107" i="106"/>
  <c r="AR105" i="106"/>
  <c r="AR103" i="106"/>
  <c r="AR101" i="106"/>
  <c r="AR99" i="106"/>
  <c r="AR97" i="106"/>
  <c r="AR106" i="106"/>
  <c r="AR102" i="106"/>
  <c r="AR100" i="106"/>
  <c r="AR92" i="106"/>
  <c r="AR88" i="106"/>
  <c r="AR104" i="106"/>
  <c r="AR89" i="106"/>
  <c r="AR95" i="106"/>
  <c r="AR94" i="106"/>
  <c r="AR93" i="106"/>
  <c r="AR85" i="106"/>
  <c r="AR84" i="106"/>
  <c r="AR81" i="106"/>
  <c r="AR74" i="106"/>
  <c r="AR98" i="106"/>
  <c r="AR96" i="106"/>
  <c r="AR78" i="106"/>
  <c r="AR77" i="106"/>
  <c r="AR108" i="106"/>
  <c r="AR91" i="106"/>
  <c r="AR90" i="106"/>
  <c r="AR87" i="106"/>
  <c r="AR86" i="106"/>
  <c r="AR83" i="106"/>
  <c r="AR71" i="106"/>
  <c r="AR67" i="106"/>
  <c r="AR62" i="106"/>
  <c r="AR58" i="106"/>
  <c r="AR49" i="106"/>
  <c r="AR80" i="106"/>
  <c r="AR66" i="106"/>
  <c r="AR64" i="106"/>
  <c r="AR63" i="106"/>
  <c r="AF57" i="106"/>
  <c r="AF56" i="106"/>
  <c r="AR79" i="106"/>
  <c r="AR72" i="106"/>
  <c r="AR65" i="106"/>
  <c r="AR57" i="106"/>
  <c r="AR82" i="106"/>
  <c r="AR76" i="106"/>
  <c r="AR61" i="106"/>
  <c r="AR60" i="106"/>
  <c r="AR59" i="106"/>
  <c r="AR56" i="106"/>
  <c r="AR31" i="106"/>
  <c r="AR75" i="106"/>
  <c r="AR73" i="106"/>
  <c r="AR54" i="106"/>
  <c r="AR45" i="106"/>
  <c r="AR39" i="106"/>
  <c r="AR37" i="106"/>
  <c r="AR68" i="106"/>
  <c r="AR55" i="106"/>
  <c r="AR44" i="106"/>
  <c r="AR69" i="106"/>
  <c r="AR53" i="106"/>
  <c r="AR52" i="106"/>
  <c r="AR51" i="106"/>
  <c r="AR48" i="106"/>
  <c r="AR47" i="106"/>
  <c r="AR46" i="106"/>
  <c r="AR43" i="106"/>
  <c r="AR40" i="106"/>
  <c r="AR38" i="106"/>
  <c r="AR36" i="106"/>
  <c r="AR34" i="106"/>
  <c r="AR27" i="106"/>
  <c r="AR70" i="106"/>
  <c r="AR50" i="106"/>
  <c r="AR42" i="106"/>
  <c r="AR41" i="106"/>
  <c r="AR23" i="106"/>
  <c r="AR20" i="106"/>
  <c r="AE13" i="106"/>
  <c r="AR9" i="106"/>
  <c r="AR32" i="106"/>
  <c r="AR30" i="106"/>
  <c r="AR29" i="106"/>
  <c r="AR25" i="106"/>
  <c r="AR24" i="106"/>
  <c r="AR22" i="106"/>
  <c r="AR19" i="106"/>
  <c r="AR17" i="106"/>
  <c r="AR15" i="106"/>
  <c r="AR10" i="106"/>
  <c r="AR35" i="106"/>
  <c r="AR12" i="106"/>
  <c r="AR33" i="106"/>
  <c r="AR28" i="106"/>
  <c r="AR21" i="106"/>
  <c r="AR16" i="106"/>
  <c r="AR14" i="106"/>
  <c r="AE14" i="106"/>
  <c r="AR11" i="106"/>
  <c r="AR26" i="106"/>
  <c r="AR18" i="106"/>
  <c r="AR13" i="106"/>
  <c r="CC23" i="106"/>
  <c r="BH14" i="106"/>
  <c r="BI13" i="106"/>
  <c r="AL86" i="106"/>
  <c r="Y44" i="106"/>
  <c r="AP11" i="106"/>
  <c r="AT10" i="106"/>
  <c r="BA11" i="106"/>
  <c r="BA12" i="106"/>
  <c r="H11" i="106"/>
  <c r="BJ11" i="106"/>
  <c r="AQ10" i="106"/>
  <c r="H9" i="106"/>
  <c r="BJ9" i="106"/>
  <c r="AQ11" i="106"/>
  <c r="AQ9" i="106"/>
  <c r="AU9" i="106"/>
  <c r="H10" i="106"/>
  <c r="BJ10" i="106"/>
  <c r="BY28" i="106"/>
  <c r="CC28" i="106"/>
  <c r="CC27" i="106"/>
  <c r="W46" i="106"/>
  <c r="BL56" i="106"/>
  <c r="G12" i="106"/>
  <c r="H12" i="106"/>
  <c r="BJ12" i="106"/>
  <c r="V11" i="106"/>
  <c r="R11" i="106"/>
  <c r="U12" i="106"/>
  <c r="C20" i="106"/>
  <c r="C18" i="106"/>
  <c r="AY9" i="106"/>
  <c r="AV9" i="106"/>
  <c r="AP12" i="106"/>
  <c r="AT11" i="106"/>
  <c r="BA13" i="106"/>
  <c r="AG57" i="106"/>
  <c r="AG56" i="106"/>
  <c r="AG55" i="106"/>
  <c r="AF55" i="106"/>
  <c r="AG54" i="106"/>
  <c r="U13" i="106"/>
  <c r="V12" i="106"/>
  <c r="R12" i="106"/>
  <c r="BL57" i="106"/>
  <c r="W47" i="106"/>
  <c r="G13" i="106"/>
  <c r="BI14" i="106"/>
  <c r="BH15" i="106"/>
  <c r="AM49" i="106"/>
  <c r="AS10" i="106"/>
  <c r="AO10" i="106"/>
  <c r="AL87" i="106"/>
  <c r="Y45" i="106"/>
  <c r="BK8" i="106"/>
  <c r="E20" i="106"/>
  <c r="AM50" i="106"/>
  <c r="AO11" i="106"/>
  <c r="AS11" i="106"/>
  <c r="BA14" i="106"/>
  <c r="AT12" i="106"/>
  <c r="AP13" i="106"/>
  <c r="AQ12" i="106"/>
  <c r="AE56" i="106"/>
  <c r="AD56" i="106"/>
  <c r="AE54" i="106"/>
  <c r="AE57" i="106"/>
  <c r="AE55" i="106"/>
  <c r="AD55" i="106"/>
  <c r="S8" i="106"/>
  <c r="E18" i="106"/>
  <c r="K8" i="106"/>
  <c r="BI15" i="106"/>
  <c r="BH16" i="106"/>
  <c r="AL88" i="106"/>
  <c r="Y46" i="106"/>
  <c r="BL58" i="106"/>
  <c r="W48" i="106"/>
  <c r="G14" i="106"/>
  <c r="H13" i="106"/>
  <c r="BJ13" i="106"/>
  <c r="U14" i="106"/>
  <c r="V13" i="106"/>
  <c r="R13" i="106"/>
  <c r="BG9" i="106"/>
  <c r="AL89" i="106"/>
  <c r="Y47" i="106"/>
  <c r="X42" i="106"/>
  <c r="BK7" i="106"/>
  <c r="U15" i="106"/>
  <c r="V14" i="106"/>
  <c r="R14" i="106"/>
  <c r="W49" i="106"/>
  <c r="BL59" i="106"/>
  <c r="G15" i="106"/>
  <c r="H14" i="106"/>
  <c r="BJ14" i="106"/>
  <c r="AU10" i="106"/>
  <c r="BH17" i="106"/>
  <c r="BI16" i="106"/>
  <c r="AG47" i="106"/>
  <c r="AC56" i="106"/>
  <c r="W10" i="106"/>
  <c r="L9" i="106"/>
  <c r="X10" i="106"/>
  <c r="K9" i="106"/>
  <c r="AP14" i="106"/>
  <c r="AT13" i="106"/>
  <c r="AQ13" i="106"/>
  <c r="BA15" i="106"/>
  <c r="AM51" i="106"/>
  <c r="AS12" i="106"/>
  <c r="AO12" i="106"/>
  <c r="AH49" i="106"/>
  <c r="AT14" i="106"/>
  <c r="AP15" i="106"/>
  <c r="AQ14" i="106"/>
  <c r="AY10" i="106"/>
  <c r="BH18" i="106"/>
  <c r="BI17" i="106"/>
  <c r="P9" i="106"/>
  <c r="BA16" i="106"/>
  <c r="X44" i="106"/>
  <c r="C19" i="106"/>
  <c r="J9" i="106"/>
  <c r="J109" i="106"/>
  <c r="M9" i="106"/>
  <c r="BK9" i="106"/>
  <c r="K10" i="106"/>
  <c r="G16" i="106"/>
  <c r="H15" i="106"/>
  <c r="BJ15" i="106"/>
  <c r="AL90" i="106"/>
  <c r="Y48" i="106"/>
  <c r="AM52" i="106"/>
  <c r="AS13" i="106"/>
  <c r="AO13" i="106"/>
  <c r="AV10" i="106"/>
  <c r="V15" i="106"/>
  <c r="U16" i="106"/>
  <c r="R15" i="106"/>
  <c r="Q15" i="106"/>
  <c r="X45" i="106"/>
  <c r="J10" i="106"/>
  <c r="BK10" i="106"/>
  <c r="AF36" i="106"/>
  <c r="E19" i="106"/>
  <c r="AP16" i="106"/>
  <c r="AT15" i="106"/>
  <c r="AQ15" i="106"/>
  <c r="BG10" i="106"/>
  <c r="AL91" i="106"/>
  <c r="Y49" i="106"/>
  <c r="G17" i="106"/>
  <c r="H16" i="106"/>
  <c r="BJ16" i="106"/>
  <c r="AM53" i="106"/>
  <c r="AS14" i="106"/>
  <c r="AO14" i="106"/>
  <c r="S9" i="106"/>
  <c r="BA17" i="106"/>
  <c r="V16" i="106"/>
  <c r="U17" i="106"/>
  <c r="P109" i="106"/>
  <c r="N9" i="106"/>
  <c r="N109" i="106"/>
  <c r="BH19" i="106"/>
  <c r="BI18" i="106"/>
  <c r="AL92" i="106"/>
  <c r="Y50" i="106"/>
  <c r="BH20" i="106"/>
  <c r="BI19" i="106"/>
  <c r="R16" i="106"/>
  <c r="Q16" i="106"/>
  <c r="L10" i="106"/>
  <c r="AU11" i="106"/>
  <c r="AV11" i="106"/>
  <c r="BG11" i="106"/>
  <c r="AT16" i="106"/>
  <c r="AP17" i="106"/>
  <c r="AQ16" i="106"/>
  <c r="BA18" i="106"/>
  <c r="U18" i="106"/>
  <c r="V17" i="106"/>
  <c r="G18" i="106"/>
  <c r="H17" i="106"/>
  <c r="BJ17" i="106"/>
  <c r="AM54" i="106"/>
  <c r="AS15" i="106"/>
  <c r="AO15" i="106"/>
  <c r="Q17" i="106"/>
  <c r="R17" i="106"/>
  <c r="P10" i="106"/>
  <c r="N10" i="106"/>
  <c r="AU12" i="106"/>
  <c r="AY12" i="106"/>
  <c r="M10" i="106"/>
  <c r="BI20" i="106"/>
  <c r="BH21" i="106"/>
  <c r="AM55" i="106"/>
  <c r="AS16" i="106"/>
  <c r="AO16" i="106"/>
  <c r="G19" i="106"/>
  <c r="H18" i="106"/>
  <c r="BJ18" i="106"/>
  <c r="U19" i="106"/>
  <c r="V18" i="106"/>
  <c r="AP18" i="106"/>
  <c r="AT17" i="106"/>
  <c r="AQ17" i="106"/>
  <c r="AY11" i="106"/>
  <c r="AL93" i="106"/>
  <c r="Y51" i="106"/>
  <c r="Q18" i="106"/>
  <c r="R18" i="106"/>
  <c r="AV12" i="106"/>
  <c r="G20" i="106"/>
  <c r="H19" i="106"/>
  <c r="BJ19" i="106"/>
  <c r="BI21" i="106"/>
  <c r="BH22" i="106"/>
  <c r="AM56" i="106"/>
  <c r="AS17" i="106"/>
  <c r="AO17" i="106"/>
  <c r="U20" i="106"/>
  <c r="V19" i="106"/>
  <c r="S10" i="106"/>
  <c r="K11" i="106"/>
  <c r="AL94" i="106"/>
  <c r="Y52" i="106"/>
  <c r="AT18" i="106"/>
  <c r="AP19" i="106"/>
  <c r="AQ18" i="106"/>
  <c r="J11" i="106"/>
  <c r="X46" i="106"/>
  <c r="BK11" i="106"/>
  <c r="K12" i="106"/>
  <c r="BH23" i="106"/>
  <c r="BI22" i="106"/>
  <c r="G21" i="106"/>
  <c r="H20" i="106"/>
  <c r="BJ20" i="106"/>
  <c r="BG12" i="106"/>
  <c r="AP20" i="106"/>
  <c r="AT19" i="106"/>
  <c r="AQ19" i="106"/>
  <c r="AL95" i="106"/>
  <c r="Y53" i="106"/>
  <c r="R19" i="106"/>
  <c r="Q19" i="106"/>
  <c r="AM57" i="106"/>
  <c r="AS18" i="106"/>
  <c r="AO18" i="106"/>
  <c r="U21" i="106"/>
  <c r="V20" i="106"/>
  <c r="L11" i="106"/>
  <c r="M11" i="106"/>
  <c r="BK12" i="106"/>
  <c r="X47" i="106"/>
  <c r="J12" i="106"/>
  <c r="K13" i="106"/>
  <c r="P11" i="106"/>
  <c r="N11" i="106"/>
  <c r="AL96" i="106"/>
  <c r="Y54" i="106"/>
  <c r="AP21" i="106"/>
  <c r="AT20" i="106"/>
  <c r="AQ20" i="106"/>
  <c r="G22" i="106"/>
  <c r="H21" i="106"/>
  <c r="BJ21" i="106"/>
  <c r="AU13" i="106"/>
  <c r="AV13" i="106"/>
  <c r="BG13" i="106"/>
  <c r="S11" i="106"/>
  <c r="U22" i="106"/>
  <c r="V21" i="106"/>
  <c r="R20" i="106"/>
  <c r="Q20" i="106"/>
  <c r="AM58" i="106"/>
  <c r="AS19" i="106"/>
  <c r="AO19" i="106"/>
  <c r="BI23" i="106"/>
  <c r="BH24" i="106"/>
  <c r="X48" i="106"/>
  <c r="BK13" i="106"/>
  <c r="J13" i="106"/>
  <c r="K14" i="106"/>
  <c r="U23" i="106"/>
  <c r="V22" i="106"/>
  <c r="BI24" i="106"/>
  <c r="BH25" i="106"/>
  <c r="Q21" i="106"/>
  <c r="R21" i="106"/>
  <c r="AL97" i="106"/>
  <c r="Y55" i="106"/>
  <c r="L12" i="106"/>
  <c r="M12" i="106"/>
  <c r="AY13" i="106"/>
  <c r="AM59" i="106"/>
  <c r="AS20" i="106"/>
  <c r="AO20" i="106"/>
  <c r="AU14" i="106"/>
  <c r="AY14" i="106"/>
  <c r="G23" i="106"/>
  <c r="H22" i="106"/>
  <c r="BJ22" i="106"/>
  <c r="AT21" i="106"/>
  <c r="AP22" i="106"/>
  <c r="AQ21" i="106"/>
  <c r="K15" i="106"/>
  <c r="X49" i="106"/>
  <c r="J14" i="106"/>
  <c r="BK14" i="106"/>
  <c r="S12" i="106"/>
  <c r="U24" i="106"/>
  <c r="V23" i="106"/>
  <c r="AP23" i="106"/>
  <c r="AT22" i="106"/>
  <c r="AQ22" i="106"/>
  <c r="AV14" i="106"/>
  <c r="BG14" i="106"/>
  <c r="BH26" i="106"/>
  <c r="BI25" i="106"/>
  <c r="AM60" i="106"/>
  <c r="AO21" i="106"/>
  <c r="G24" i="106"/>
  <c r="H23" i="106"/>
  <c r="BJ23" i="106"/>
  <c r="P12" i="106"/>
  <c r="N12" i="106"/>
  <c r="AL98" i="106"/>
  <c r="Y56" i="106"/>
  <c r="R22" i="106"/>
  <c r="Q22" i="106"/>
  <c r="X50" i="106"/>
  <c r="BK15" i="106"/>
  <c r="J15" i="106"/>
  <c r="K16" i="106"/>
  <c r="U25" i="106"/>
  <c r="V24" i="106"/>
  <c r="AL99" i="106"/>
  <c r="Y57" i="106"/>
  <c r="AU15" i="106"/>
  <c r="AY15" i="106"/>
  <c r="BL60" i="106"/>
  <c r="R23" i="106"/>
  <c r="Q23" i="106"/>
  <c r="G25" i="106"/>
  <c r="H24" i="106"/>
  <c r="BJ24" i="106"/>
  <c r="BA19" i="106"/>
  <c r="AM61" i="106"/>
  <c r="AO22" i="106"/>
  <c r="L13" i="106"/>
  <c r="M13" i="106"/>
  <c r="S13" i="106"/>
  <c r="BH27" i="106"/>
  <c r="BI26" i="106"/>
  <c r="AP24" i="106"/>
  <c r="AT23" i="106"/>
  <c r="AQ23" i="106"/>
  <c r="X51" i="106"/>
  <c r="J16" i="106"/>
  <c r="BK16" i="106"/>
  <c r="K17" i="106"/>
  <c r="AV15" i="106"/>
  <c r="BG15" i="106"/>
  <c r="L14" i="106"/>
  <c r="P14" i="106"/>
  <c r="N14" i="106"/>
  <c r="M14" i="106"/>
  <c r="S14" i="106"/>
  <c r="AM62" i="106"/>
  <c r="AO23" i="106"/>
  <c r="AL100" i="106"/>
  <c r="Y58" i="106"/>
  <c r="AU16" i="106"/>
  <c r="AY16" i="106"/>
  <c r="BL61" i="106"/>
  <c r="BA20" i="106"/>
  <c r="R24" i="106"/>
  <c r="Q24" i="106"/>
  <c r="AP25" i="106"/>
  <c r="AT24" i="106"/>
  <c r="AQ24" i="106"/>
  <c r="P13" i="106"/>
  <c r="N13" i="106"/>
  <c r="BH28" i="106"/>
  <c r="BI27" i="106"/>
  <c r="G26" i="106"/>
  <c r="H25" i="106"/>
  <c r="BJ25" i="106"/>
  <c r="U26" i="106"/>
  <c r="V25" i="106"/>
  <c r="J17" i="106"/>
  <c r="BK17" i="106"/>
  <c r="K18" i="106"/>
  <c r="X52" i="106"/>
  <c r="AV16" i="106"/>
  <c r="BG16" i="106"/>
  <c r="AU17" i="106"/>
  <c r="AY17" i="106"/>
  <c r="L15" i="106"/>
  <c r="P15" i="106"/>
  <c r="N15" i="106"/>
  <c r="W50" i="106"/>
  <c r="AL101" i="106"/>
  <c r="Y59" i="106"/>
  <c r="AZ21" i="106"/>
  <c r="AS21" i="106"/>
  <c r="BA21" i="106"/>
  <c r="BH29" i="106"/>
  <c r="BI28" i="106"/>
  <c r="R25" i="106"/>
  <c r="Q25" i="106"/>
  <c r="AM63" i="106"/>
  <c r="AO24" i="106"/>
  <c r="U27" i="106"/>
  <c r="V26" i="106"/>
  <c r="AT25" i="106"/>
  <c r="AP26" i="106"/>
  <c r="AQ25" i="106"/>
  <c r="G27" i="106"/>
  <c r="H26" i="106"/>
  <c r="BJ26" i="106"/>
  <c r="BL62" i="106"/>
  <c r="J18" i="106"/>
  <c r="K19" i="106"/>
  <c r="X53" i="106"/>
  <c r="BK18" i="106"/>
  <c r="AV17" i="106"/>
  <c r="BG17" i="106"/>
  <c r="AU18" i="106"/>
  <c r="BL63" i="106"/>
  <c r="AM64" i="106"/>
  <c r="AO25" i="106"/>
  <c r="R26" i="106"/>
  <c r="Q26" i="106"/>
  <c r="BH30" i="106"/>
  <c r="BI29" i="106"/>
  <c r="V27" i="106"/>
  <c r="U28" i="106"/>
  <c r="AL102" i="106"/>
  <c r="Y60" i="106"/>
  <c r="BA22" i="106"/>
  <c r="AZ22" i="106"/>
  <c r="AS22" i="106"/>
  <c r="G28" i="106"/>
  <c r="H27" i="106"/>
  <c r="BJ27" i="106"/>
  <c r="AP27" i="106"/>
  <c r="AT26" i="106"/>
  <c r="AQ26" i="106"/>
  <c r="M15" i="106"/>
  <c r="S15" i="106"/>
  <c r="BK19" i="106"/>
  <c r="J19" i="106"/>
  <c r="K20" i="106"/>
  <c r="X54" i="106"/>
  <c r="AY18" i="106"/>
  <c r="AV18" i="106"/>
  <c r="BG18" i="106"/>
  <c r="AU19" i="106"/>
  <c r="AY19" i="106"/>
  <c r="AV19" i="106"/>
  <c r="L16" i="106"/>
  <c r="P16" i="106"/>
  <c r="N16" i="106"/>
  <c r="M16" i="106"/>
  <c r="S16" i="106"/>
  <c r="W51" i="106"/>
  <c r="AL103" i="106"/>
  <c r="Y61" i="106"/>
  <c r="AZ23" i="106"/>
  <c r="AS23" i="106"/>
  <c r="BA23" i="106"/>
  <c r="BH31" i="106"/>
  <c r="BI30" i="106"/>
  <c r="Q27" i="106"/>
  <c r="R27" i="106"/>
  <c r="AM65" i="106"/>
  <c r="AO26" i="106"/>
  <c r="G29" i="106"/>
  <c r="H28" i="106"/>
  <c r="BJ28" i="106"/>
  <c r="AP28" i="106"/>
  <c r="AT27" i="106"/>
  <c r="AQ27" i="106"/>
  <c r="V28" i="106"/>
  <c r="U29" i="106"/>
  <c r="BG19" i="106"/>
  <c r="BL64" i="106"/>
  <c r="X55" i="106"/>
  <c r="J20" i="106"/>
  <c r="BK20" i="106"/>
  <c r="K21" i="106"/>
  <c r="L17" i="106"/>
  <c r="P17" i="106"/>
  <c r="N17" i="106"/>
  <c r="W52" i="106"/>
  <c r="G30" i="106"/>
  <c r="H29" i="106"/>
  <c r="BJ29" i="106"/>
  <c r="U30" i="106"/>
  <c r="V29" i="106"/>
  <c r="AT28" i="106"/>
  <c r="AP29" i="106"/>
  <c r="AQ28" i="106"/>
  <c r="BH32" i="106"/>
  <c r="BI31" i="106"/>
  <c r="AU20" i="106"/>
  <c r="AY20" i="106"/>
  <c r="BL65" i="106"/>
  <c r="AM66" i="106"/>
  <c r="AO27" i="106"/>
  <c r="AZ24" i="106"/>
  <c r="AS24" i="106"/>
  <c r="BA24" i="106"/>
  <c r="R28" i="106"/>
  <c r="Q28" i="106"/>
  <c r="AL104" i="106"/>
  <c r="Y62" i="106"/>
  <c r="BK21" i="106"/>
  <c r="X56" i="106"/>
  <c r="K22" i="106"/>
  <c r="J21" i="106"/>
  <c r="AV20" i="106"/>
  <c r="BG20" i="106"/>
  <c r="AU21" i="106"/>
  <c r="AY21" i="106"/>
  <c r="AZ25" i="106"/>
  <c r="AS25" i="106"/>
  <c r="BA25" i="106"/>
  <c r="AM67" i="106"/>
  <c r="AO28" i="106"/>
  <c r="AL105" i="106"/>
  <c r="Y63" i="106"/>
  <c r="BH33" i="106"/>
  <c r="BI32" i="106"/>
  <c r="R29" i="106"/>
  <c r="Q29" i="106"/>
  <c r="G31" i="106"/>
  <c r="H30" i="106"/>
  <c r="BJ30" i="106"/>
  <c r="U31" i="106"/>
  <c r="V30" i="106"/>
  <c r="AP30" i="106"/>
  <c r="AT29" i="106"/>
  <c r="AQ29" i="106"/>
  <c r="M17" i="106"/>
  <c r="S17" i="106"/>
  <c r="AV21" i="106"/>
  <c r="BG21" i="106"/>
  <c r="X57" i="106"/>
  <c r="J22" i="106"/>
  <c r="BK22" i="106"/>
  <c r="K23" i="106"/>
  <c r="BL66" i="106"/>
  <c r="AU22" i="106"/>
  <c r="AY22" i="106"/>
  <c r="BL67" i="106"/>
  <c r="L18" i="106"/>
  <c r="P18" i="106"/>
  <c r="N18" i="106"/>
  <c r="W53" i="106"/>
  <c r="R30" i="106"/>
  <c r="Q30" i="106"/>
  <c r="U32" i="106"/>
  <c r="V31" i="106"/>
  <c r="AZ26" i="106"/>
  <c r="AS26" i="106"/>
  <c r="BA26" i="106"/>
  <c r="AM68" i="106"/>
  <c r="AO29" i="106"/>
  <c r="BI33" i="106"/>
  <c r="BH34" i="106"/>
  <c r="AP31" i="106"/>
  <c r="AT30" i="106"/>
  <c r="AQ30" i="106"/>
  <c r="G32" i="106"/>
  <c r="H31" i="106"/>
  <c r="BJ31" i="106"/>
  <c r="AL106" i="106"/>
  <c r="Y64" i="106"/>
  <c r="J23" i="106"/>
  <c r="BK23" i="106"/>
  <c r="K24" i="106"/>
  <c r="X58" i="106"/>
  <c r="AV22" i="106"/>
  <c r="BG22" i="106"/>
  <c r="AM69" i="106"/>
  <c r="AO30" i="106"/>
  <c r="U33" i="106"/>
  <c r="V32" i="106"/>
  <c r="AU23" i="106"/>
  <c r="AY23" i="106"/>
  <c r="BL68" i="106"/>
  <c r="BA27" i="106"/>
  <c r="AZ27" i="106"/>
  <c r="AS27" i="106"/>
  <c r="R31" i="106"/>
  <c r="Q31" i="106"/>
  <c r="AT31" i="106"/>
  <c r="AP32" i="106"/>
  <c r="AQ31" i="106"/>
  <c r="M18" i="106"/>
  <c r="S18" i="106"/>
  <c r="AL107" i="106"/>
  <c r="Y65" i="106"/>
  <c r="G33" i="106"/>
  <c r="H32" i="106"/>
  <c r="BJ32" i="106"/>
  <c r="BH35" i="106"/>
  <c r="BI34" i="106"/>
  <c r="X59" i="106"/>
  <c r="J24" i="106"/>
  <c r="BK24" i="106"/>
  <c r="K25" i="106"/>
  <c r="AV23" i="106"/>
  <c r="BG23" i="106"/>
  <c r="AU24" i="106"/>
  <c r="AY24" i="106"/>
  <c r="BL69" i="106"/>
  <c r="AM70" i="106"/>
  <c r="AO31" i="106"/>
  <c r="U34" i="106"/>
  <c r="V33" i="106"/>
  <c r="BA28" i="106"/>
  <c r="AZ28" i="106"/>
  <c r="AS28" i="106"/>
  <c r="G34" i="106"/>
  <c r="H33" i="106"/>
  <c r="BJ33" i="106"/>
  <c r="BH36" i="106"/>
  <c r="BI35" i="106"/>
  <c r="L19" i="106"/>
  <c r="P19" i="106"/>
  <c r="N19" i="106"/>
  <c r="W54" i="106"/>
  <c r="AL108" i="106"/>
  <c r="Y66" i="106"/>
  <c r="AP33" i="106"/>
  <c r="AT32" i="106"/>
  <c r="AQ32" i="106"/>
  <c r="R32" i="106"/>
  <c r="Q32" i="106"/>
  <c r="J25" i="106"/>
  <c r="X60" i="106"/>
  <c r="BK25" i="106"/>
  <c r="K26" i="106"/>
  <c r="AV24" i="106"/>
  <c r="BG24" i="106"/>
  <c r="AU25" i="106"/>
  <c r="AY25" i="106"/>
  <c r="BA29" i="106"/>
  <c r="AZ29" i="106"/>
  <c r="AS29" i="106"/>
  <c r="G35" i="106"/>
  <c r="H34" i="106"/>
  <c r="BJ34" i="106"/>
  <c r="V34" i="106"/>
  <c r="U35" i="106"/>
  <c r="AP34" i="106"/>
  <c r="AT33" i="106"/>
  <c r="AQ33" i="106"/>
  <c r="BI36" i="106"/>
  <c r="BH37" i="106"/>
  <c r="AO32" i="106"/>
  <c r="AM71" i="106"/>
  <c r="AL109" i="106"/>
  <c r="Y67" i="106"/>
  <c r="M19" i="106"/>
  <c r="S19" i="106"/>
  <c r="Q33" i="106"/>
  <c r="R33" i="106"/>
  <c r="BL70" i="106"/>
  <c r="BK26" i="106"/>
  <c r="J26" i="106"/>
  <c r="K27" i="106"/>
  <c r="X61" i="106"/>
  <c r="AV25" i="106"/>
  <c r="BG25" i="106"/>
  <c r="AU26" i="106"/>
  <c r="AV26" i="106"/>
  <c r="BG26" i="106"/>
  <c r="BI37" i="106"/>
  <c r="BH38" i="106"/>
  <c r="AT34" i="106"/>
  <c r="AP35" i="106"/>
  <c r="AQ34" i="106"/>
  <c r="G36" i="106"/>
  <c r="H35" i="106"/>
  <c r="BJ35" i="106"/>
  <c r="BA30" i="106"/>
  <c r="AZ30" i="106"/>
  <c r="AS30" i="106"/>
  <c r="U36" i="106"/>
  <c r="V35" i="106"/>
  <c r="AY26" i="106"/>
  <c r="BL71" i="106"/>
  <c r="L20" i="106"/>
  <c r="P20" i="106"/>
  <c r="N20" i="106"/>
  <c r="W55" i="106"/>
  <c r="R34" i="106"/>
  <c r="Q34" i="106"/>
  <c r="AL110" i="106"/>
  <c r="Y68" i="106"/>
  <c r="AM72" i="106"/>
  <c r="AO33" i="106"/>
  <c r="BK27" i="106"/>
  <c r="X62" i="106"/>
  <c r="J27" i="106"/>
  <c r="K28" i="106"/>
  <c r="AU27" i="106"/>
  <c r="AY27" i="106"/>
  <c r="AV27" i="106"/>
  <c r="BG27" i="106"/>
  <c r="BL72" i="106"/>
  <c r="Q35" i="106"/>
  <c r="R35" i="106"/>
  <c r="G37" i="106"/>
  <c r="H36" i="106"/>
  <c r="BJ36" i="106"/>
  <c r="AP36" i="106"/>
  <c r="AT35" i="106"/>
  <c r="AQ35" i="106"/>
  <c r="U37" i="106"/>
  <c r="V36" i="106"/>
  <c r="AM73" i="106"/>
  <c r="AO34" i="106"/>
  <c r="AL111" i="106"/>
  <c r="Y69" i="106"/>
  <c r="M20" i="106"/>
  <c r="S20" i="106"/>
  <c r="BH39" i="106"/>
  <c r="BI38" i="106"/>
  <c r="BA31" i="106"/>
  <c r="AZ31" i="106"/>
  <c r="AS31" i="106"/>
  <c r="X63" i="106"/>
  <c r="J28" i="106"/>
  <c r="BK28" i="106"/>
  <c r="K29" i="106"/>
  <c r="AU28" i="106"/>
  <c r="AY28" i="106"/>
  <c r="AV28" i="106"/>
  <c r="BG28" i="106"/>
  <c r="BL73" i="106"/>
  <c r="BH40" i="106"/>
  <c r="BI39" i="106"/>
  <c r="U38" i="106"/>
  <c r="V37" i="106"/>
  <c r="AP37" i="106"/>
  <c r="AT36" i="106"/>
  <c r="AQ36" i="106"/>
  <c r="BA32" i="106"/>
  <c r="AZ32" i="106"/>
  <c r="AS32" i="106"/>
  <c r="R36" i="106"/>
  <c r="Q36" i="106"/>
  <c r="G38" i="106"/>
  <c r="H37" i="106"/>
  <c r="BJ37" i="106"/>
  <c r="AG33" i="106"/>
  <c r="AF33" i="106"/>
  <c r="L21" i="106"/>
  <c r="P21" i="106"/>
  <c r="N21" i="106"/>
  <c r="W56" i="106"/>
  <c r="AL112" i="106"/>
  <c r="Y70" i="106"/>
  <c r="AO35" i="106"/>
  <c r="AM74" i="106"/>
  <c r="X64" i="106"/>
  <c r="BK29" i="106"/>
  <c r="J29" i="106"/>
  <c r="K30" i="106"/>
  <c r="V38" i="106"/>
  <c r="U39" i="106"/>
  <c r="AU29" i="106"/>
  <c r="AY29" i="106"/>
  <c r="AV29" i="106"/>
  <c r="BG29" i="106"/>
  <c r="BL74" i="106"/>
  <c r="Q37" i="106"/>
  <c r="R37" i="106"/>
  <c r="AM75" i="106"/>
  <c r="AO36" i="106"/>
  <c r="AZ33" i="106"/>
  <c r="AS33" i="106"/>
  <c r="BA33" i="106"/>
  <c r="AL113" i="106"/>
  <c r="Y71" i="106"/>
  <c r="M21" i="106"/>
  <c r="S21" i="106"/>
  <c r="G39" i="106"/>
  <c r="H38" i="106"/>
  <c r="BJ38" i="106"/>
  <c r="AT37" i="106"/>
  <c r="AP38" i="106"/>
  <c r="AQ37" i="106"/>
  <c r="BI40" i="106"/>
  <c r="BH41" i="106"/>
  <c r="K31" i="106"/>
  <c r="BK30" i="106"/>
  <c r="J30" i="106"/>
  <c r="X65" i="106"/>
  <c r="AU30" i="106"/>
  <c r="AY30" i="106"/>
  <c r="AV30" i="106"/>
  <c r="BG30" i="106"/>
  <c r="BL75" i="106"/>
  <c r="BH42" i="106"/>
  <c r="BI41" i="106"/>
  <c r="AM76" i="106"/>
  <c r="AO37" i="106"/>
  <c r="U40" i="106"/>
  <c r="V39" i="106"/>
  <c r="AZ34" i="106"/>
  <c r="AS34" i="106"/>
  <c r="BA34" i="106"/>
  <c r="L22" i="106"/>
  <c r="P22" i="106"/>
  <c r="N22" i="106"/>
  <c r="W57" i="106"/>
  <c r="AT38" i="106"/>
  <c r="AP39" i="106"/>
  <c r="AQ38" i="106"/>
  <c r="G40" i="106"/>
  <c r="H39" i="106"/>
  <c r="BJ39" i="106"/>
  <c r="AL114" i="106"/>
  <c r="Y72" i="106"/>
  <c r="Q38" i="106"/>
  <c r="R38" i="106"/>
  <c r="J31" i="106"/>
  <c r="BK31" i="106"/>
  <c r="K32" i="106"/>
  <c r="X66" i="106"/>
  <c r="R39" i="106"/>
  <c r="Q39" i="106"/>
  <c r="AU31" i="106"/>
  <c r="AY31" i="106"/>
  <c r="BL76" i="106"/>
  <c r="V40" i="106"/>
  <c r="U41" i="106"/>
  <c r="BA35" i="106"/>
  <c r="AZ35" i="106"/>
  <c r="AS35" i="106"/>
  <c r="AM77" i="106"/>
  <c r="AO38" i="106"/>
  <c r="AL115" i="106"/>
  <c r="Y73" i="106"/>
  <c r="G41" i="106"/>
  <c r="H40" i="106"/>
  <c r="BJ40" i="106"/>
  <c r="AP40" i="106"/>
  <c r="AT39" i="106"/>
  <c r="AQ39" i="106"/>
  <c r="M22" i="106"/>
  <c r="S22" i="106"/>
  <c r="BH43" i="106"/>
  <c r="BI42" i="106"/>
  <c r="J32" i="106"/>
  <c r="K33" i="106"/>
  <c r="BK32" i="106"/>
  <c r="X67" i="106"/>
  <c r="V41" i="106"/>
  <c r="U42" i="106"/>
  <c r="BH44" i="106"/>
  <c r="BI43" i="106"/>
  <c r="AT40" i="106"/>
  <c r="AP41" i="106"/>
  <c r="AQ40" i="106"/>
  <c r="Q40" i="106"/>
  <c r="R40" i="106"/>
  <c r="AZ36" i="106"/>
  <c r="AS36" i="106"/>
  <c r="BA36" i="106"/>
  <c r="AM78" i="106"/>
  <c r="AO39" i="106"/>
  <c r="L23" i="106"/>
  <c r="P23" i="106"/>
  <c r="N23" i="106"/>
  <c r="W58" i="106"/>
  <c r="G42" i="106"/>
  <c r="H41" i="106"/>
  <c r="BJ41" i="106"/>
  <c r="AL116" i="106"/>
  <c r="Y74" i="106"/>
  <c r="AV31" i="106"/>
  <c r="BG31" i="106"/>
  <c r="X68" i="106"/>
  <c r="J33" i="106"/>
  <c r="BK33" i="106"/>
  <c r="K34" i="106"/>
  <c r="AZ37" i="106"/>
  <c r="AS37" i="106"/>
  <c r="BA37" i="106"/>
  <c r="BH45" i="106"/>
  <c r="BI44" i="106"/>
  <c r="M23" i="106"/>
  <c r="S23" i="106"/>
  <c r="AP42" i="106"/>
  <c r="AT41" i="106"/>
  <c r="AQ41" i="106"/>
  <c r="U43" i="106"/>
  <c r="V42" i="106"/>
  <c r="AU32" i="106"/>
  <c r="AY32" i="106"/>
  <c r="AV32" i="106"/>
  <c r="BG32" i="106"/>
  <c r="BL77" i="106"/>
  <c r="AL117" i="106"/>
  <c r="Y75" i="106"/>
  <c r="G43" i="106"/>
  <c r="H42" i="106"/>
  <c r="BJ42" i="106"/>
  <c r="AM79" i="106"/>
  <c r="AO40" i="106"/>
  <c r="Q41" i="106"/>
  <c r="R41" i="106"/>
  <c r="J34" i="106"/>
  <c r="K35" i="106"/>
  <c r="BK34" i="106"/>
  <c r="X69" i="106"/>
  <c r="AU33" i="106"/>
  <c r="AY33" i="106"/>
  <c r="AV33" i="106"/>
  <c r="BG33" i="106"/>
  <c r="BL78" i="106"/>
  <c r="R42" i="106"/>
  <c r="Q42" i="106"/>
  <c r="AT42" i="106"/>
  <c r="AP43" i="106"/>
  <c r="AQ42" i="106"/>
  <c r="U44" i="106"/>
  <c r="V43" i="106"/>
  <c r="L24" i="106"/>
  <c r="P24" i="106"/>
  <c r="N24" i="106"/>
  <c r="W59" i="106"/>
  <c r="G44" i="106"/>
  <c r="H43" i="106"/>
  <c r="BJ43" i="106"/>
  <c r="AL118" i="106"/>
  <c r="Y76" i="106"/>
  <c r="BA38" i="106"/>
  <c r="AZ38" i="106"/>
  <c r="AS38" i="106"/>
  <c r="AM80" i="106"/>
  <c r="AO41" i="106"/>
  <c r="BI45" i="106"/>
  <c r="BH46" i="106"/>
  <c r="BK35" i="106"/>
  <c r="J35" i="106"/>
  <c r="K36" i="106"/>
  <c r="X70" i="106"/>
  <c r="M24" i="106"/>
  <c r="S24" i="106"/>
  <c r="L25" i="106"/>
  <c r="P25" i="106"/>
  <c r="N25" i="106"/>
  <c r="R43" i="106"/>
  <c r="Q43" i="106"/>
  <c r="AM81" i="106"/>
  <c r="AO42" i="106"/>
  <c r="AU34" i="106"/>
  <c r="AY34" i="106"/>
  <c r="BL79" i="106"/>
  <c r="W60" i="106"/>
  <c r="AP44" i="106"/>
  <c r="AT43" i="106"/>
  <c r="AQ43" i="106"/>
  <c r="BH47" i="106"/>
  <c r="BI46" i="106"/>
  <c r="AZ39" i="106"/>
  <c r="AS39" i="106"/>
  <c r="BA39" i="106"/>
  <c r="AL119" i="106"/>
  <c r="Y77" i="106"/>
  <c r="G45" i="106"/>
  <c r="H44" i="106"/>
  <c r="BJ44" i="106"/>
  <c r="U45" i="106"/>
  <c r="V44" i="106"/>
  <c r="AV34" i="106"/>
  <c r="BG34" i="106"/>
  <c r="J36" i="106"/>
  <c r="K37" i="106"/>
  <c r="X71" i="106"/>
  <c r="BK36" i="106"/>
  <c r="AU35" i="106"/>
  <c r="AY35" i="106"/>
  <c r="BL80" i="106"/>
  <c r="BH48" i="106"/>
  <c r="BI47" i="106"/>
  <c r="G46" i="106"/>
  <c r="H45" i="106"/>
  <c r="BJ45" i="106"/>
  <c r="AL120" i="106"/>
  <c r="Y78" i="106"/>
  <c r="R44" i="106"/>
  <c r="Q44" i="106"/>
  <c r="AO43" i="106"/>
  <c r="AM82" i="106"/>
  <c r="M25" i="106"/>
  <c r="S25" i="106"/>
  <c r="U46" i="106"/>
  <c r="V45" i="106"/>
  <c r="AZ40" i="106"/>
  <c r="AS40" i="106"/>
  <c r="BA40" i="106"/>
  <c r="AT44" i="106"/>
  <c r="AP45" i="106"/>
  <c r="AQ44" i="106"/>
  <c r="AV35" i="106"/>
  <c r="BG35" i="106"/>
  <c r="K38" i="106"/>
  <c r="J37" i="106"/>
  <c r="BK37" i="106"/>
  <c r="X72" i="106"/>
  <c r="AU36" i="106"/>
  <c r="AY36" i="106"/>
  <c r="BL81" i="106"/>
  <c r="L26" i="106"/>
  <c r="P26" i="106"/>
  <c r="N26" i="106"/>
  <c r="W61" i="106"/>
  <c r="BA41" i="106"/>
  <c r="AZ41" i="106"/>
  <c r="AS41" i="106"/>
  <c r="V46" i="106"/>
  <c r="U47" i="106"/>
  <c r="AP46" i="106"/>
  <c r="AT45" i="106"/>
  <c r="AQ45" i="106"/>
  <c r="AM83" i="106"/>
  <c r="AO44" i="106"/>
  <c r="Q45" i="106"/>
  <c r="R45" i="106"/>
  <c r="AL121" i="106"/>
  <c r="Y79" i="106"/>
  <c r="G47" i="106"/>
  <c r="H46" i="106"/>
  <c r="BJ46" i="106"/>
  <c r="BH49" i="106"/>
  <c r="BI48" i="106"/>
  <c r="AV36" i="106"/>
  <c r="BG36" i="106"/>
  <c r="X73" i="106"/>
  <c r="K39" i="106"/>
  <c r="J38" i="106"/>
  <c r="BK38" i="106"/>
  <c r="BA42" i="106"/>
  <c r="AZ42" i="106"/>
  <c r="AS42" i="106"/>
  <c r="G48" i="106"/>
  <c r="H47" i="106"/>
  <c r="BJ47" i="106"/>
  <c r="AT46" i="106"/>
  <c r="AP47" i="106"/>
  <c r="AQ46" i="106"/>
  <c r="AU37" i="106"/>
  <c r="AY37" i="106"/>
  <c r="BL82" i="106"/>
  <c r="BH50" i="106"/>
  <c r="BI49" i="106"/>
  <c r="U48" i="106"/>
  <c r="V47" i="106"/>
  <c r="AL122" i="106"/>
  <c r="Y80" i="106"/>
  <c r="AM84" i="106"/>
  <c r="AO45" i="106"/>
  <c r="Q46" i="106"/>
  <c r="R46" i="106"/>
  <c r="M26" i="106"/>
  <c r="S26" i="106"/>
  <c r="BK39" i="106"/>
  <c r="K40" i="106"/>
  <c r="J39" i="106"/>
  <c r="X74" i="106"/>
  <c r="U49" i="106"/>
  <c r="V48" i="106"/>
  <c r="AV37" i="106"/>
  <c r="BG37" i="106"/>
  <c r="AT47" i="106"/>
  <c r="AP48" i="106"/>
  <c r="AQ47" i="106"/>
  <c r="G49" i="106"/>
  <c r="H48" i="106"/>
  <c r="BJ48" i="106"/>
  <c r="L27" i="106"/>
  <c r="P27" i="106"/>
  <c r="N27" i="106"/>
  <c r="W62" i="106"/>
  <c r="Q47" i="106"/>
  <c r="R47" i="106"/>
  <c r="AL123" i="106"/>
  <c r="Y81" i="106"/>
  <c r="BA43" i="106"/>
  <c r="AZ43" i="106"/>
  <c r="AS43" i="106"/>
  <c r="AM85" i="106"/>
  <c r="AO46" i="106"/>
  <c r="BH51" i="106"/>
  <c r="BI50" i="106"/>
  <c r="K41" i="106"/>
  <c r="J40" i="106"/>
  <c r="BK40" i="106"/>
  <c r="X75" i="106"/>
  <c r="AM86" i="106"/>
  <c r="AO47" i="106"/>
  <c r="BH52" i="106"/>
  <c r="BI51" i="106"/>
  <c r="AL124" i="106"/>
  <c r="Y82" i="106"/>
  <c r="AU38" i="106"/>
  <c r="AY38" i="106"/>
  <c r="BL83" i="106"/>
  <c r="AZ44" i="106"/>
  <c r="AS44" i="106"/>
  <c r="BA44" i="106"/>
  <c r="R48" i="106"/>
  <c r="Q48" i="106"/>
  <c r="M27" i="106"/>
  <c r="S27" i="106"/>
  <c r="G50" i="106"/>
  <c r="H49" i="106"/>
  <c r="BJ49" i="106"/>
  <c r="AT48" i="106"/>
  <c r="AP49" i="106"/>
  <c r="AQ48" i="106"/>
  <c r="V49" i="106"/>
  <c r="U50" i="106"/>
  <c r="BK41" i="106"/>
  <c r="J41" i="106"/>
  <c r="X76" i="106"/>
  <c r="K42" i="106"/>
  <c r="AM87" i="106"/>
  <c r="AO48" i="106"/>
  <c r="BH53" i="106"/>
  <c r="BI52" i="106"/>
  <c r="R49" i="106"/>
  <c r="Q49" i="106"/>
  <c r="AL125" i="106"/>
  <c r="Y83" i="106"/>
  <c r="L28" i="106"/>
  <c r="P28" i="106"/>
  <c r="N28" i="106"/>
  <c r="W63" i="106"/>
  <c r="U51" i="106"/>
  <c r="V50" i="106"/>
  <c r="AP50" i="106"/>
  <c r="AT49" i="106"/>
  <c r="AQ49" i="106"/>
  <c r="G51" i="106"/>
  <c r="H50" i="106"/>
  <c r="BJ50" i="106"/>
  <c r="AV38" i="106"/>
  <c r="BG38" i="106"/>
  <c r="AZ45" i="106"/>
  <c r="AS45" i="106"/>
  <c r="BA45" i="106"/>
  <c r="J42" i="106"/>
  <c r="X77" i="106"/>
  <c r="BK42" i="106"/>
  <c r="K43" i="106"/>
  <c r="BI53" i="106"/>
  <c r="BH54" i="106"/>
  <c r="R50" i="106"/>
  <c r="Q50" i="106"/>
  <c r="AU39" i="106"/>
  <c r="AY39" i="106"/>
  <c r="AV39" i="106"/>
  <c r="BG39" i="106"/>
  <c r="BL84" i="106"/>
  <c r="AT50" i="106"/>
  <c r="AP51" i="106"/>
  <c r="AQ50" i="106"/>
  <c r="U52" i="106"/>
  <c r="V51" i="106"/>
  <c r="M28" i="106"/>
  <c r="S28" i="106"/>
  <c r="G52" i="106"/>
  <c r="H51" i="106"/>
  <c r="BJ51" i="106"/>
  <c r="AM88" i="106"/>
  <c r="AO49" i="106"/>
  <c r="Y114" i="106"/>
  <c r="Y115" i="106"/>
  <c r="Y116" i="106"/>
  <c r="Y117" i="106"/>
  <c r="Y118" i="106"/>
  <c r="Y119" i="106"/>
  <c r="Y120" i="106"/>
  <c r="Y121" i="106"/>
  <c r="Y122" i="106"/>
  <c r="Y123" i="106"/>
  <c r="Y124" i="106"/>
  <c r="Y125" i="106"/>
  <c r="Y126" i="106"/>
  <c r="Y127" i="106"/>
  <c r="Y128" i="106"/>
  <c r="Y129" i="106"/>
  <c r="Y130" i="106"/>
  <c r="Y131" i="106"/>
  <c r="Y132" i="106"/>
  <c r="Y133" i="106"/>
  <c r="Y134" i="106"/>
  <c r="Y135" i="106"/>
  <c r="Y136" i="106"/>
  <c r="Y137" i="106"/>
  <c r="Y138" i="106"/>
  <c r="Y139" i="106"/>
  <c r="Y140" i="106"/>
  <c r="Y141" i="106"/>
  <c r="Y142" i="106"/>
  <c r="Y143" i="106"/>
  <c r="AL126" i="106"/>
  <c r="Y84" i="106"/>
  <c r="AZ46" i="106"/>
  <c r="AS46" i="106"/>
  <c r="BA46" i="106"/>
  <c r="X78" i="106"/>
  <c r="BK43" i="106"/>
  <c r="K44" i="106"/>
  <c r="J43" i="106"/>
  <c r="U53" i="106"/>
  <c r="V52" i="106"/>
  <c r="AU40" i="106"/>
  <c r="AY40" i="106"/>
  <c r="BL85" i="106"/>
  <c r="L29" i="106"/>
  <c r="P29" i="106"/>
  <c r="N29" i="106"/>
  <c r="W64" i="106"/>
  <c r="AP52" i="106"/>
  <c r="AT51" i="106"/>
  <c r="AQ51" i="106"/>
  <c r="BH55" i="106"/>
  <c r="BI54" i="106"/>
  <c r="AL127" i="106"/>
  <c r="Y85" i="106"/>
  <c r="G53" i="106"/>
  <c r="H52" i="106"/>
  <c r="BJ52" i="106"/>
  <c r="Q51" i="106"/>
  <c r="R51" i="106"/>
  <c r="AM89" i="106"/>
  <c r="AO50" i="106"/>
  <c r="BA47" i="106"/>
  <c r="AZ47" i="106"/>
  <c r="AS47" i="106"/>
  <c r="J44" i="106"/>
  <c r="X79" i="106"/>
  <c r="BK44" i="106"/>
  <c r="K45" i="106"/>
  <c r="AM90" i="106"/>
  <c r="AO51" i="106"/>
  <c r="G54" i="106"/>
  <c r="H53" i="106"/>
  <c r="BJ53" i="106"/>
  <c r="BA48" i="106"/>
  <c r="AZ48" i="106"/>
  <c r="AS48" i="106"/>
  <c r="AT52" i="106"/>
  <c r="AP53" i="106"/>
  <c r="AQ52" i="106"/>
  <c r="M29" i="106"/>
  <c r="S29" i="106"/>
  <c r="BH56" i="106"/>
  <c r="BI55" i="106"/>
  <c r="R52" i="106"/>
  <c r="Q52" i="106"/>
  <c r="AL128" i="106"/>
  <c r="Y86" i="106"/>
  <c r="AV40" i="106"/>
  <c r="BG40" i="106"/>
  <c r="U54" i="106"/>
  <c r="V53" i="106"/>
  <c r="BK45" i="106"/>
  <c r="K46" i="106"/>
  <c r="J45" i="106"/>
  <c r="X80" i="106"/>
  <c r="U55" i="106"/>
  <c r="V54" i="106"/>
  <c r="L30" i="106"/>
  <c r="P30" i="106"/>
  <c r="N30" i="106"/>
  <c r="W65" i="106"/>
  <c r="AU41" i="106"/>
  <c r="AY41" i="106"/>
  <c r="BL86" i="106"/>
  <c r="R53" i="106"/>
  <c r="Q53" i="106"/>
  <c r="AL129" i="106"/>
  <c r="Y87" i="106"/>
  <c r="BA49" i="106"/>
  <c r="AZ49" i="106"/>
  <c r="AS49" i="106"/>
  <c r="AP54" i="106"/>
  <c r="AT53" i="106"/>
  <c r="AQ53" i="106"/>
  <c r="G55" i="106"/>
  <c r="H54" i="106"/>
  <c r="BJ54" i="106"/>
  <c r="BH57" i="106"/>
  <c r="BI56" i="106"/>
  <c r="AM91" i="106"/>
  <c r="AO52" i="106"/>
  <c r="K47" i="106"/>
  <c r="J46" i="106"/>
  <c r="BK46" i="106"/>
  <c r="X81" i="106"/>
  <c r="AL130" i="106"/>
  <c r="Y88" i="106"/>
  <c r="AZ50" i="106"/>
  <c r="AS50" i="106"/>
  <c r="BA50" i="106"/>
  <c r="G56" i="106"/>
  <c r="H55" i="106"/>
  <c r="BJ55" i="106"/>
  <c r="AM92" i="106"/>
  <c r="AO53" i="106"/>
  <c r="AV41" i="106"/>
  <c r="BG41" i="106"/>
  <c r="BH58" i="106"/>
  <c r="BI57" i="106"/>
  <c r="AT54" i="106"/>
  <c r="AP55" i="106"/>
  <c r="AQ54" i="106"/>
  <c r="R54" i="106"/>
  <c r="Q54" i="106"/>
  <c r="M30" i="106"/>
  <c r="S30" i="106"/>
  <c r="U56" i="106"/>
  <c r="V55" i="106"/>
  <c r="X82" i="106"/>
  <c r="J47" i="106"/>
  <c r="BK47" i="106"/>
  <c r="K48" i="106"/>
  <c r="BH59" i="106"/>
  <c r="BI58" i="106"/>
  <c r="L31" i="106"/>
  <c r="P31" i="106"/>
  <c r="N31" i="106"/>
  <c r="W66" i="106"/>
  <c r="AT55" i="106"/>
  <c r="AP56" i="106"/>
  <c r="AQ55" i="106"/>
  <c r="R55" i="106"/>
  <c r="Q55" i="106"/>
  <c r="V56" i="106"/>
  <c r="U57" i="106"/>
  <c r="AU42" i="106"/>
  <c r="AY42" i="106"/>
  <c r="BL87" i="106"/>
  <c r="AM93" i="106"/>
  <c r="AO54" i="106"/>
  <c r="G57" i="106"/>
  <c r="H56" i="106"/>
  <c r="BJ56" i="106"/>
  <c r="AL131" i="106"/>
  <c r="Y89" i="106"/>
  <c r="BA51" i="106"/>
  <c r="AZ51" i="106"/>
  <c r="AS51" i="106"/>
  <c r="X83" i="106"/>
  <c r="BK48" i="106"/>
  <c r="K49" i="106"/>
  <c r="J48" i="106"/>
  <c r="Q56" i="106"/>
  <c r="R56" i="106"/>
  <c r="AP57" i="106"/>
  <c r="AT56" i="106"/>
  <c r="AQ56" i="106"/>
  <c r="AL132" i="106"/>
  <c r="Y90" i="106"/>
  <c r="G58" i="106"/>
  <c r="H57" i="106"/>
  <c r="BJ57" i="106"/>
  <c r="AV42" i="106"/>
  <c r="BG42" i="106"/>
  <c r="AM94" i="106"/>
  <c r="AO55" i="106"/>
  <c r="M31" i="106"/>
  <c r="S31" i="106"/>
  <c r="BA52" i="106"/>
  <c r="AZ52" i="106"/>
  <c r="AS52" i="106"/>
  <c r="V57" i="106"/>
  <c r="U58" i="106"/>
  <c r="BH60" i="106"/>
  <c r="BI59" i="106"/>
  <c r="X84" i="106"/>
  <c r="BK49" i="106"/>
  <c r="K50" i="106"/>
  <c r="J49" i="106"/>
  <c r="AM95" i="106"/>
  <c r="AO56" i="106"/>
  <c r="V58" i="106"/>
  <c r="U59" i="106"/>
  <c r="AL133" i="106"/>
  <c r="Y91" i="106"/>
  <c r="AP58" i="106"/>
  <c r="AT57" i="106"/>
  <c r="AQ57" i="106"/>
  <c r="BH61" i="106"/>
  <c r="BI60" i="106"/>
  <c r="Q57" i="106"/>
  <c r="R57" i="106"/>
  <c r="G59" i="106"/>
  <c r="H58" i="106"/>
  <c r="BJ58" i="106"/>
  <c r="BA53" i="106"/>
  <c r="AZ53" i="106"/>
  <c r="AS53" i="106"/>
  <c r="L32" i="106"/>
  <c r="P32" i="106"/>
  <c r="N32" i="106"/>
  <c r="W67" i="106"/>
  <c r="AU43" i="106"/>
  <c r="AY43" i="106"/>
  <c r="BL88" i="106"/>
  <c r="J50" i="106"/>
  <c r="K51" i="106"/>
  <c r="BK50" i="106"/>
  <c r="X85" i="106"/>
  <c r="BI61" i="106"/>
  <c r="BH62" i="106"/>
  <c r="AZ54" i="106"/>
  <c r="AS54" i="106"/>
  <c r="BA54" i="106"/>
  <c r="AP59" i="106"/>
  <c r="AT58" i="106"/>
  <c r="AQ58" i="106"/>
  <c r="R58" i="106"/>
  <c r="Q58" i="106"/>
  <c r="AL134" i="106"/>
  <c r="Y92" i="106"/>
  <c r="AV43" i="106"/>
  <c r="BG43" i="106"/>
  <c r="M32" i="106"/>
  <c r="S32" i="106"/>
  <c r="G60" i="106"/>
  <c r="H59" i="106"/>
  <c r="BJ59" i="106"/>
  <c r="AM96" i="106"/>
  <c r="AO57" i="106"/>
  <c r="V59" i="106"/>
  <c r="U60" i="106"/>
  <c r="X86" i="106"/>
  <c r="BK51" i="106"/>
  <c r="J51" i="106"/>
  <c r="K52" i="106"/>
  <c r="AM97" i="106"/>
  <c r="AO58" i="106"/>
  <c r="L33" i="106"/>
  <c r="P33" i="106"/>
  <c r="N33" i="106"/>
  <c r="W68" i="106"/>
  <c r="AP60" i="106"/>
  <c r="AT59" i="106"/>
  <c r="AQ59" i="106"/>
  <c r="G61" i="106"/>
  <c r="H60" i="106"/>
  <c r="BJ60" i="106"/>
  <c r="AU44" i="106"/>
  <c r="AY44" i="106"/>
  <c r="BL89" i="106"/>
  <c r="BI62" i="106"/>
  <c r="BH63" i="106"/>
  <c r="R59" i="106"/>
  <c r="Q59" i="106"/>
  <c r="U61" i="106"/>
  <c r="V60" i="106"/>
  <c r="AL135" i="106"/>
  <c r="Y93" i="106"/>
  <c r="AZ55" i="106"/>
  <c r="AS55" i="106"/>
  <c r="BA55" i="106"/>
  <c r="BK52" i="106"/>
  <c r="X87" i="106"/>
  <c r="J52" i="106"/>
  <c r="K53" i="106"/>
  <c r="M33" i="106"/>
  <c r="S33" i="106"/>
  <c r="L34" i="106"/>
  <c r="P34" i="106"/>
  <c r="N34" i="106"/>
  <c r="W69" i="106"/>
  <c r="U62" i="106"/>
  <c r="V61" i="106"/>
  <c r="BA56" i="106"/>
  <c r="AZ56" i="106"/>
  <c r="AS56" i="106"/>
  <c r="AT60" i="106"/>
  <c r="AP61" i="106"/>
  <c r="AQ60" i="106"/>
  <c r="AL136" i="106"/>
  <c r="Y94" i="106"/>
  <c r="Q60" i="106"/>
  <c r="R60" i="106"/>
  <c r="BI63" i="106"/>
  <c r="BH64" i="106"/>
  <c r="AV44" i="106"/>
  <c r="BG44" i="106"/>
  <c r="G62" i="106"/>
  <c r="H61" i="106"/>
  <c r="BJ61" i="106"/>
  <c r="AM98" i="106"/>
  <c r="AO59" i="106"/>
  <c r="J53" i="106"/>
  <c r="K54" i="106"/>
  <c r="BK53" i="106"/>
  <c r="X88" i="106"/>
  <c r="G63" i="106"/>
  <c r="H62" i="106"/>
  <c r="BJ62" i="106"/>
  <c r="AT61" i="106"/>
  <c r="AP62" i="106"/>
  <c r="AQ61" i="106"/>
  <c r="BI64" i="106"/>
  <c r="BH65" i="106"/>
  <c r="AL137" i="106"/>
  <c r="Y95" i="106"/>
  <c r="AM99" i="106"/>
  <c r="AO60" i="106"/>
  <c r="Q61" i="106"/>
  <c r="R61" i="106"/>
  <c r="AU45" i="106"/>
  <c r="AY45" i="106"/>
  <c r="AV45" i="106"/>
  <c r="BG45" i="106"/>
  <c r="BL90" i="106"/>
  <c r="AZ57" i="106"/>
  <c r="AS57" i="106"/>
  <c r="BA57" i="106"/>
  <c r="U63" i="106"/>
  <c r="V62" i="106"/>
  <c r="M34" i="106"/>
  <c r="S34" i="106"/>
  <c r="K55" i="106"/>
  <c r="BK54" i="106"/>
  <c r="J54" i="106"/>
  <c r="X89" i="106"/>
  <c r="AU46" i="106"/>
  <c r="AY46" i="106"/>
  <c r="AV46" i="106"/>
  <c r="BG46" i="106"/>
  <c r="BL91" i="106"/>
  <c r="L35" i="106"/>
  <c r="P35" i="106"/>
  <c r="N35" i="106"/>
  <c r="W70" i="106"/>
  <c r="AL138" i="106"/>
  <c r="Y96" i="106"/>
  <c r="G64" i="106"/>
  <c r="H63" i="106"/>
  <c r="BJ63" i="106"/>
  <c r="AT62" i="106"/>
  <c r="AP63" i="106"/>
  <c r="AQ62" i="106"/>
  <c r="Q62" i="106"/>
  <c r="R62" i="106"/>
  <c r="U64" i="106"/>
  <c r="V63" i="106"/>
  <c r="BH66" i="106"/>
  <c r="BI65" i="106"/>
  <c r="AM100" i="106"/>
  <c r="AO61" i="106"/>
  <c r="AZ58" i="106"/>
  <c r="AS58" i="106"/>
  <c r="BA58" i="106"/>
  <c r="BK55" i="106"/>
  <c r="J55" i="106"/>
  <c r="X90" i="106"/>
  <c r="K56" i="106"/>
  <c r="M35" i="106"/>
  <c r="S35" i="106"/>
  <c r="L36" i="106"/>
  <c r="P36" i="106"/>
  <c r="N36" i="106"/>
  <c r="M36" i="106"/>
  <c r="S36" i="106"/>
  <c r="W71" i="106"/>
  <c r="BA59" i="106"/>
  <c r="AZ59" i="106"/>
  <c r="AS59" i="106"/>
  <c r="AM101" i="106"/>
  <c r="AO62" i="106"/>
  <c r="BH67" i="106"/>
  <c r="BI66" i="106"/>
  <c r="AU47" i="106"/>
  <c r="AY47" i="106"/>
  <c r="AV47" i="106"/>
  <c r="BG47" i="106"/>
  <c r="BL92" i="106"/>
  <c r="R63" i="106"/>
  <c r="Q63" i="106"/>
  <c r="G65" i="106"/>
  <c r="H64" i="106"/>
  <c r="BJ64" i="106"/>
  <c r="AL139" i="106"/>
  <c r="Y97" i="106"/>
  <c r="U65" i="106"/>
  <c r="V64" i="106"/>
  <c r="AP64" i="106"/>
  <c r="AT63" i="106"/>
  <c r="AQ63" i="106"/>
  <c r="J56" i="106"/>
  <c r="BK56" i="106"/>
  <c r="X91" i="106"/>
  <c r="K57" i="106"/>
  <c r="L37" i="106"/>
  <c r="P37" i="106"/>
  <c r="N37" i="106"/>
  <c r="W72" i="106"/>
  <c r="Q64" i="106"/>
  <c r="R64" i="106"/>
  <c r="U66" i="106"/>
  <c r="V65" i="106"/>
  <c r="AU48" i="106"/>
  <c r="AY48" i="106"/>
  <c r="AV48" i="106"/>
  <c r="BG48" i="106"/>
  <c r="BL93" i="106"/>
  <c r="BH68" i="106"/>
  <c r="BI67" i="106"/>
  <c r="AM102" i="106"/>
  <c r="AO63" i="106"/>
  <c r="AL140" i="106"/>
  <c r="Y98" i="106"/>
  <c r="G66" i="106"/>
  <c r="H65" i="106"/>
  <c r="BJ65" i="106"/>
  <c r="AP65" i="106"/>
  <c r="AT64" i="106"/>
  <c r="AQ64" i="106"/>
  <c r="AZ60" i="106"/>
  <c r="AS60" i="106"/>
  <c r="BA60" i="106"/>
  <c r="K58" i="106"/>
  <c r="X92" i="106"/>
  <c r="BK57" i="106"/>
  <c r="J57" i="106"/>
  <c r="M37" i="106"/>
  <c r="S37" i="106"/>
  <c r="AU49" i="106"/>
  <c r="AY49" i="106"/>
  <c r="BL94" i="106"/>
  <c r="L38" i="106"/>
  <c r="P38" i="106"/>
  <c r="N38" i="106"/>
  <c r="W73" i="106"/>
  <c r="R65" i="106"/>
  <c r="Q65" i="106"/>
  <c r="AL141" i="106"/>
  <c r="Y99" i="106"/>
  <c r="V66" i="106"/>
  <c r="U67" i="106"/>
  <c r="AM103" i="106"/>
  <c r="AO64" i="106"/>
  <c r="G67" i="106"/>
  <c r="H66" i="106"/>
  <c r="BJ66" i="106"/>
  <c r="BA61" i="106"/>
  <c r="AZ61" i="106"/>
  <c r="AS61" i="106"/>
  <c r="AT65" i="106"/>
  <c r="AP66" i="106"/>
  <c r="AQ65" i="106"/>
  <c r="BH69" i="106"/>
  <c r="BI68" i="106"/>
  <c r="M38" i="106"/>
  <c r="S38" i="106"/>
  <c r="AV49" i="106"/>
  <c r="BG49" i="106"/>
  <c r="K59" i="106"/>
  <c r="BK58" i="106"/>
  <c r="J58" i="106"/>
  <c r="X93" i="106"/>
  <c r="L39" i="106"/>
  <c r="P39" i="106"/>
  <c r="N39" i="106"/>
  <c r="W74" i="106"/>
  <c r="BA62" i="106"/>
  <c r="AZ62" i="106"/>
  <c r="AS62" i="106"/>
  <c r="AM104" i="106"/>
  <c r="AO65" i="106"/>
  <c r="V67" i="106"/>
  <c r="U68" i="106"/>
  <c r="AP67" i="106"/>
  <c r="AT66" i="106"/>
  <c r="AQ66" i="106"/>
  <c r="AL142" i="106"/>
  <c r="Y100" i="106"/>
  <c r="AU50" i="106"/>
  <c r="AY50" i="106"/>
  <c r="BL95" i="106"/>
  <c r="BH70" i="106"/>
  <c r="BI69" i="106"/>
  <c r="G68" i="106"/>
  <c r="H67" i="106"/>
  <c r="BJ67" i="106"/>
  <c r="R66" i="106"/>
  <c r="Q66" i="106"/>
  <c r="X94" i="106"/>
  <c r="BK59" i="106"/>
  <c r="J59" i="106"/>
  <c r="K60" i="106"/>
  <c r="AV50" i="106"/>
  <c r="BG50" i="106"/>
  <c r="AU51" i="106"/>
  <c r="BL96" i="106"/>
  <c r="BA63" i="106"/>
  <c r="AV69" i="106"/>
  <c r="AZ63" i="106"/>
  <c r="AS63" i="106"/>
  <c r="BI70" i="106"/>
  <c r="BH71" i="106"/>
  <c r="AM105" i="106"/>
  <c r="AO66" i="106"/>
  <c r="AL143" i="106"/>
  <c r="Y101" i="106"/>
  <c r="AP68" i="106"/>
  <c r="AT67" i="106"/>
  <c r="AQ67" i="106"/>
  <c r="R67" i="106"/>
  <c r="Q67" i="106"/>
  <c r="G69" i="106"/>
  <c r="H68" i="106"/>
  <c r="BJ68" i="106"/>
  <c r="V68" i="106"/>
  <c r="U69" i="106"/>
  <c r="M39" i="106"/>
  <c r="S39" i="106"/>
  <c r="J60" i="106"/>
  <c r="K61" i="106"/>
  <c r="BK60" i="106"/>
  <c r="X95" i="106"/>
  <c r="AY51" i="106"/>
  <c r="AV51" i="106"/>
  <c r="BG51" i="106"/>
  <c r="AU52" i="106"/>
  <c r="AP69" i="106"/>
  <c r="AT68" i="106"/>
  <c r="AQ68" i="106"/>
  <c r="U70" i="106"/>
  <c r="V69" i="106"/>
  <c r="G70" i="106"/>
  <c r="K69" i="106"/>
  <c r="H69" i="106"/>
  <c r="BJ69" i="106"/>
  <c r="AL144" i="106"/>
  <c r="Y102" i="106"/>
  <c r="L40" i="106"/>
  <c r="P40" i="106"/>
  <c r="N40" i="106"/>
  <c r="W75" i="106"/>
  <c r="BI71" i="106"/>
  <c r="BH72" i="106"/>
  <c r="R68" i="106"/>
  <c r="Q68" i="106"/>
  <c r="AM106" i="106"/>
  <c r="AO67" i="106"/>
  <c r="AZ64" i="106"/>
  <c r="AS64" i="106"/>
  <c r="AV70" i="106"/>
  <c r="BA64" i="106"/>
  <c r="BL97" i="106"/>
  <c r="X96" i="106"/>
  <c r="BK61" i="106"/>
  <c r="K62" i="106"/>
  <c r="J61" i="106"/>
  <c r="AY52" i="106"/>
  <c r="AV52" i="106"/>
  <c r="BG52" i="106"/>
  <c r="BL98" i="106"/>
  <c r="AU53" i="106"/>
  <c r="AY53" i="106"/>
  <c r="AV53" i="106"/>
  <c r="BG53" i="106"/>
  <c r="AL145" i="106"/>
  <c r="Y103" i="106"/>
  <c r="K70" i="106"/>
  <c r="G71" i="106"/>
  <c r="H70" i="106"/>
  <c r="BJ70" i="106"/>
  <c r="U71" i="106"/>
  <c r="V70" i="106"/>
  <c r="BH73" i="106"/>
  <c r="BI72" i="106"/>
  <c r="M40" i="106"/>
  <c r="S40" i="106"/>
  <c r="AM107" i="106"/>
  <c r="AO68" i="106"/>
  <c r="AV71" i="106"/>
  <c r="AZ65" i="106"/>
  <c r="AS65" i="106"/>
  <c r="BA65" i="106"/>
  <c r="X104" i="106"/>
  <c r="BK69" i="106"/>
  <c r="Q69" i="106"/>
  <c r="J69" i="106"/>
  <c r="R69" i="106"/>
  <c r="AT69" i="106"/>
  <c r="AP70" i="106"/>
  <c r="AQ69" i="106"/>
  <c r="J62" i="106"/>
  <c r="X97" i="106"/>
  <c r="BK62" i="106"/>
  <c r="K63" i="106"/>
  <c r="AU54" i="106"/>
  <c r="AY54" i="106"/>
  <c r="AV54" i="106"/>
  <c r="BG54" i="106"/>
  <c r="BL99" i="106"/>
  <c r="U72" i="106"/>
  <c r="V71" i="106"/>
  <c r="L41" i="106"/>
  <c r="P41" i="106"/>
  <c r="N41" i="106"/>
  <c r="W76" i="106"/>
  <c r="AZ66" i="106"/>
  <c r="AS66" i="106"/>
  <c r="AV72" i="106"/>
  <c r="BA66" i="106"/>
  <c r="AT70" i="106"/>
  <c r="AP71" i="106"/>
  <c r="AQ70" i="106"/>
  <c r="BI73" i="106"/>
  <c r="BH74" i="106"/>
  <c r="K71" i="106"/>
  <c r="G72" i="106"/>
  <c r="H71" i="106"/>
  <c r="BJ71" i="106"/>
  <c r="AL146" i="106"/>
  <c r="Y104" i="106"/>
  <c r="AM108" i="106"/>
  <c r="AO69" i="106"/>
  <c r="Q70" i="106"/>
  <c r="R70" i="106"/>
  <c r="X105" i="106"/>
  <c r="BK70" i="106"/>
  <c r="J70" i="106"/>
  <c r="BK63" i="106"/>
  <c r="X98" i="106"/>
  <c r="J63" i="106"/>
  <c r="K64" i="106"/>
  <c r="AU55" i="106"/>
  <c r="AY55" i="106"/>
  <c r="BL100" i="106"/>
  <c r="AT71" i="106"/>
  <c r="AP72" i="106"/>
  <c r="AQ71" i="106"/>
  <c r="G73" i="106"/>
  <c r="K72" i="106"/>
  <c r="H72" i="106"/>
  <c r="BJ72" i="106"/>
  <c r="BH75" i="106"/>
  <c r="BI74" i="106"/>
  <c r="AM109" i="106"/>
  <c r="AO70" i="106"/>
  <c r="AL147" i="106"/>
  <c r="Y105" i="106"/>
  <c r="Y106" i="106"/>
  <c r="Y107" i="106"/>
  <c r="Y108" i="106"/>
  <c r="Y109" i="106"/>
  <c r="Y110" i="106"/>
  <c r="Y111" i="106"/>
  <c r="Y112" i="106"/>
  <c r="Y113" i="106"/>
  <c r="X106" i="106"/>
  <c r="BK71" i="106"/>
  <c r="AZ67" i="106"/>
  <c r="AS67" i="106"/>
  <c r="AV73" i="106"/>
  <c r="BA67" i="106"/>
  <c r="Q71" i="106"/>
  <c r="J71" i="106"/>
  <c r="R71" i="106"/>
  <c r="M41" i="106"/>
  <c r="S41" i="106"/>
  <c r="U73" i="106"/>
  <c r="V72" i="106"/>
  <c r="X99" i="106"/>
  <c r="BK64" i="106"/>
  <c r="J64" i="106"/>
  <c r="K65" i="106"/>
  <c r="AV55" i="106"/>
  <c r="BG55" i="106"/>
  <c r="X107" i="106"/>
  <c r="BK72" i="106"/>
  <c r="AU56" i="106"/>
  <c r="AY56" i="106"/>
  <c r="BL101" i="106"/>
  <c r="AV74" i="106"/>
  <c r="BA68" i="106"/>
  <c r="AZ68" i="106"/>
  <c r="AS68" i="106"/>
  <c r="K73" i="106"/>
  <c r="G74" i="106"/>
  <c r="H73" i="106"/>
  <c r="BJ73" i="106"/>
  <c r="AP73" i="106"/>
  <c r="AT72" i="106"/>
  <c r="AQ72" i="106"/>
  <c r="R72" i="106"/>
  <c r="Q72" i="106"/>
  <c r="J72" i="106"/>
  <c r="U74" i="106"/>
  <c r="V73" i="106"/>
  <c r="L42" i="106"/>
  <c r="P42" i="106"/>
  <c r="N42" i="106"/>
  <c r="W77" i="106"/>
  <c r="BH76" i="106"/>
  <c r="BI75" i="106"/>
  <c r="AM110" i="106"/>
  <c r="AO71" i="106"/>
  <c r="J65" i="106"/>
  <c r="BK65" i="106"/>
  <c r="K66" i="106"/>
  <c r="X100" i="106"/>
  <c r="M42" i="106"/>
  <c r="S42" i="106"/>
  <c r="L43" i="106"/>
  <c r="P43" i="106"/>
  <c r="N43" i="106"/>
  <c r="W78" i="106"/>
  <c r="BI76" i="106"/>
  <c r="BH77" i="106"/>
  <c r="K74" i="106"/>
  <c r="G75" i="106"/>
  <c r="H74" i="106"/>
  <c r="BJ74" i="106"/>
  <c r="V74" i="106"/>
  <c r="U75" i="106"/>
  <c r="AM111" i="106"/>
  <c r="AO72" i="106"/>
  <c r="X108" i="106"/>
  <c r="BK73" i="106"/>
  <c r="AV56" i="106"/>
  <c r="BG56" i="106"/>
  <c r="Q73" i="106"/>
  <c r="J73" i="106"/>
  <c r="R73" i="106"/>
  <c r="AZ69" i="106"/>
  <c r="AS69" i="106"/>
  <c r="AV75" i="106"/>
  <c r="BA69" i="106"/>
  <c r="AT73" i="106"/>
  <c r="AP74" i="106"/>
  <c r="AQ73" i="106"/>
  <c r="BK66" i="106"/>
  <c r="J66" i="106"/>
  <c r="K67" i="106"/>
  <c r="X101" i="106"/>
  <c r="AU57" i="106"/>
  <c r="AY57" i="106"/>
  <c r="AV57" i="106"/>
  <c r="BG57" i="106"/>
  <c r="BL102" i="106"/>
  <c r="Q74" i="106"/>
  <c r="R74" i="106"/>
  <c r="AM112" i="106"/>
  <c r="AO73" i="106"/>
  <c r="K75" i="106"/>
  <c r="G76" i="106"/>
  <c r="H75" i="106"/>
  <c r="BJ75" i="106"/>
  <c r="BI77" i="106"/>
  <c r="BH78" i="106"/>
  <c r="AT74" i="106"/>
  <c r="AP75" i="106"/>
  <c r="AQ74" i="106"/>
  <c r="V75" i="106"/>
  <c r="U76" i="106"/>
  <c r="X109" i="106"/>
  <c r="BK74" i="106"/>
  <c r="J74" i="106"/>
  <c r="BA70" i="106"/>
  <c r="AV76" i="106"/>
  <c r="AZ70" i="106"/>
  <c r="AS70" i="106"/>
  <c r="M43" i="106"/>
  <c r="S43" i="106"/>
  <c r="J67" i="106"/>
  <c r="K68" i="106"/>
  <c r="BK67" i="106"/>
  <c r="X102" i="106"/>
  <c r="AU58" i="106"/>
  <c r="AY58" i="106"/>
  <c r="AV58" i="106"/>
  <c r="BG58" i="106"/>
  <c r="BL103" i="106"/>
  <c r="BI78" i="106"/>
  <c r="BH79" i="106"/>
  <c r="BA71" i="106"/>
  <c r="AV77" i="106"/>
  <c r="AZ71" i="106"/>
  <c r="AS71" i="106"/>
  <c r="R75" i="106"/>
  <c r="Q75" i="106"/>
  <c r="X110" i="106"/>
  <c r="BK75" i="106"/>
  <c r="J75" i="106"/>
  <c r="AP76" i="106"/>
  <c r="AT75" i="106"/>
  <c r="AQ75" i="106"/>
  <c r="L44" i="106"/>
  <c r="P44" i="106"/>
  <c r="N44" i="106"/>
  <c r="W79" i="106"/>
  <c r="U77" i="106"/>
  <c r="V76" i="106"/>
  <c r="AM113" i="106"/>
  <c r="AO74" i="106"/>
  <c r="G77" i="106"/>
  <c r="K76" i="106"/>
  <c r="H76" i="106"/>
  <c r="BJ76" i="106"/>
  <c r="BK68" i="106"/>
  <c r="J68" i="106"/>
  <c r="X103" i="106"/>
  <c r="M44" i="106"/>
  <c r="S44" i="106"/>
  <c r="AU59" i="106"/>
  <c r="AY59" i="106"/>
  <c r="AV59" i="106"/>
  <c r="BG59" i="106"/>
  <c r="BL104" i="106"/>
  <c r="X111" i="106"/>
  <c r="BK76" i="106"/>
  <c r="U78" i="106"/>
  <c r="V77" i="106"/>
  <c r="AM114" i="106"/>
  <c r="AO75" i="106"/>
  <c r="BH80" i="106"/>
  <c r="BI79" i="106"/>
  <c r="K77" i="106"/>
  <c r="G78" i="106"/>
  <c r="H77" i="106"/>
  <c r="BJ77" i="106"/>
  <c r="Q76" i="106"/>
  <c r="J76" i="106"/>
  <c r="R76" i="106"/>
  <c r="AT76" i="106"/>
  <c r="AP77" i="106"/>
  <c r="AQ76" i="106"/>
  <c r="BA72" i="106"/>
  <c r="AZ72" i="106"/>
  <c r="AS72" i="106"/>
  <c r="AV78" i="106"/>
  <c r="L45" i="106"/>
  <c r="P45" i="106"/>
  <c r="N45" i="106"/>
  <c r="W80" i="106"/>
  <c r="AU60" i="106"/>
  <c r="AY60" i="106"/>
  <c r="AV60" i="106"/>
  <c r="BG60" i="106"/>
  <c r="BL105" i="106"/>
  <c r="AM115" i="106"/>
  <c r="AO76" i="106"/>
  <c r="AP78" i="106"/>
  <c r="AT77" i="106"/>
  <c r="AQ77" i="106"/>
  <c r="G79" i="106"/>
  <c r="K78" i="106"/>
  <c r="H78" i="106"/>
  <c r="BJ78" i="106"/>
  <c r="AV79" i="106"/>
  <c r="AZ73" i="106"/>
  <c r="AS73" i="106"/>
  <c r="BA73" i="106"/>
  <c r="U79" i="106"/>
  <c r="V78" i="106"/>
  <c r="X112" i="106"/>
  <c r="BK77" i="106"/>
  <c r="BH81" i="106"/>
  <c r="BI80" i="106"/>
  <c r="Q77" i="106"/>
  <c r="J77" i="106"/>
  <c r="R77" i="106"/>
  <c r="M45" i="106"/>
  <c r="S45" i="106"/>
  <c r="AU61" i="106"/>
  <c r="AY61" i="106"/>
  <c r="AV61" i="106"/>
  <c r="BG61" i="106"/>
  <c r="BL106" i="106"/>
  <c r="AP79" i="106"/>
  <c r="AT78" i="106"/>
  <c r="AQ78" i="106"/>
  <c r="U80" i="106"/>
  <c r="V79" i="106"/>
  <c r="AZ74" i="106"/>
  <c r="AS74" i="106"/>
  <c r="AV80" i="106"/>
  <c r="BA74" i="106"/>
  <c r="X113" i="106"/>
  <c r="BK78" i="106"/>
  <c r="BH82" i="106"/>
  <c r="BI81" i="106"/>
  <c r="Q78" i="106"/>
  <c r="J78" i="106"/>
  <c r="R78" i="106"/>
  <c r="G80" i="106"/>
  <c r="K79" i="106"/>
  <c r="H79" i="106"/>
  <c r="BJ79" i="106"/>
  <c r="AM116" i="106"/>
  <c r="AO77" i="106"/>
  <c r="W81" i="106"/>
  <c r="L46" i="106"/>
  <c r="AU62" i="106"/>
  <c r="AY62" i="106"/>
  <c r="AV62" i="106"/>
  <c r="BG62" i="106"/>
  <c r="BL107" i="106"/>
  <c r="AV81" i="106"/>
  <c r="BA75" i="106"/>
  <c r="AZ75" i="106"/>
  <c r="AS75" i="106"/>
  <c r="X114" i="106"/>
  <c r="Q79" i="106"/>
  <c r="J79" i="106"/>
  <c r="BK79" i="106"/>
  <c r="AM117" i="106"/>
  <c r="AO78" i="106"/>
  <c r="BH83" i="106"/>
  <c r="BI82" i="106"/>
  <c r="R79" i="106"/>
  <c r="K80" i="106"/>
  <c r="G81" i="106"/>
  <c r="H80" i="106"/>
  <c r="BJ80" i="106"/>
  <c r="U81" i="106"/>
  <c r="V80" i="106"/>
  <c r="AT79" i="106"/>
  <c r="AP80" i="106"/>
  <c r="AQ79" i="106"/>
  <c r="P46" i="106"/>
  <c r="N46" i="106"/>
  <c r="M46" i="106"/>
  <c r="S46" i="106"/>
  <c r="AU63" i="106"/>
  <c r="AY63" i="106"/>
  <c r="AV63" i="106"/>
  <c r="BG63" i="106"/>
  <c r="BL108" i="106"/>
  <c r="AP81" i="106"/>
  <c r="AT80" i="106"/>
  <c r="AQ80" i="106"/>
  <c r="AZ76" i="106"/>
  <c r="AS76" i="106"/>
  <c r="BA76" i="106"/>
  <c r="AV82" i="106"/>
  <c r="AM118" i="106"/>
  <c r="AO79" i="106"/>
  <c r="G82" i="106"/>
  <c r="K81" i="106"/>
  <c r="H81" i="106"/>
  <c r="BJ81" i="106"/>
  <c r="BH84" i="106"/>
  <c r="BI83" i="106"/>
  <c r="R80" i="106"/>
  <c r="Q80" i="106"/>
  <c r="J80" i="106"/>
  <c r="X115" i="106"/>
  <c r="BK80" i="106"/>
  <c r="U82" i="106"/>
  <c r="V81" i="106"/>
  <c r="L47" i="106"/>
  <c r="P47" i="106"/>
  <c r="N47" i="106"/>
  <c r="W82" i="106"/>
  <c r="M47" i="106"/>
  <c r="S47" i="106"/>
  <c r="L48" i="106"/>
  <c r="P48" i="106"/>
  <c r="N48" i="106"/>
  <c r="AU64" i="106"/>
  <c r="AY64" i="106"/>
  <c r="BL109" i="106"/>
  <c r="U83" i="106"/>
  <c r="V82" i="106"/>
  <c r="BI84" i="106"/>
  <c r="BH85" i="106"/>
  <c r="AM119" i="106"/>
  <c r="AO80" i="106"/>
  <c r="W83" i="106"/>
  <c r="X116" i="106"/>
  <c r="BK81" i="106"/>
  <c r="Q81" i="106"/>
  <c r="J81" i="106"/>
  <c r="R81" i="106"/>
  <c r="BA77" i="106"/>
  <c r="AZ77" i="106"/>
  <c r="AS77" i="106"/>
  <c r="AV83" i="106"/>
  <c r="G83" i="106"/>
  <c r="K82" i="106"/>
  <c r="H82" i="106"/>
  <c r="BJ82" i="106"/>
  <c r="AP82" i="106"/>
  <c r="AT81" i="106"/>
  <c r="AQ81" i="106"/>
  <c r="AV64" i="106"/>
  <c r="BG64" i="106"/>
  <c r="G84" i="106"/>
  <c r="K83" i="106"/>
  <c r="H83" i="106"/>
  <c r="BJ83" i="106"/>
  <c r="AV84" i="106"/>
  <c r="AZ78" i="106"/>
  <c r="AS78" i="106"/>
  <c r="BA78" i="106"/>
  <c r="AU65" i="106"/>
  <c r="AY65" i="106"/>
  <c r="BL110" i="106"/>
  <c r="R82" i="106"/>
  <c r="Q82" i="106"/>
  <c r="J82" i="106"/>
  <c r="AM120" i="106"/>
  <c r="AO81" i="106"/>
  <c r="BH86" i="106"/>
  <c r="BI85" i="106"/>
  <c r="AP83" i="106"/>
  <c r="AT82" i="106"/>
  <c r="AQ82" i="106"/>
  <c r="X117" i="106"/>
  <c r="BK82" i="106"/>
  <c r="M48" i="106"/>
  <c r="S48" i="106"/>
  <c r="U84" i="106"/>
  <c r="V83" i="106"/>
  <c r="AV65" i="106"/>
  <c r="BG65" i="106"/>
  <c r="AU66" i="106"/>
  <c r="BL111" i="106"/>
  <c r="U85" i="106"/>
  <c r="V84" i="106"/>
  <c r="L49" i="106"/>
  <c r="P49" i="106"/>
  <c r="N49" i="106"/>
  <c r="W84" i="106"/>
  <c r="BH87" i="106"/>
  <c r="BI86" i="106"/>
  <c r="X118" i="106"/>
  <c r="BK83" i="106"/>
  <c r="AV85" i="106"/>
  <c r="AZ79" i="106"/>
  <c r="AS79" i="106"/>
  <c r="BA79" i="106"/>
  <c r="AM121" i="106"/>
  <c r="AO82" i="106"/>
  <c r="K84" i="106"/>
  <c r="G85" i="106"/>
  <c r="H84" i="106"/>
  <c r="BJ84" i="106"/>
  <c r="R83" i="106"/>
  <c r="Q83" i="106"/>
  <c r="J83" i="106"/>
  <c r="AT83" i="106"/>
  <c r="AP84" i="106"/>
  <c r="AQ83" i="106"/>
  <c r="AY66" i="106"/>
  <c r="AV66" i="106"/>
  <c r="BG66" i="106"/>
  <c r="AU67" i="106"/>
  <c r="AV67" i="106"/>
  <c r="M49" i="106"/>
  <c r="S49" i="106"/>
  <c r="AY67" i="106"/>
  <c r="BL112" i="106"/>
  <c r="AT84" i="106"/>
  <c r="AP85" i="106"/>
  <c r="AQ84" i="106"/>
  <c r="AZ80" i="106"/>
  <c r="AS80" i="106"/>
  <c r="AV86" i="106"/>
  <c r="BA80" i="106"/>
  <c r="AM122" i="106"/>
  <c r="AO83" i="106"/>
  <c r="BH88" i="106"/>
  <c r="BI87" i="106"/>
  <c r="Q84" i="106"/>
  <c r="R84" i="106"/>
  <c r="W85" i="106"/>
  <c r="G86" i="106"/>
  <c r="K85" i="106"/>
  <c r="H85" i="106"/>
  <c r="BJ85" i="106"/>
  <c r="X119" i="106"/>
  <c r="BK84" i="106"/>
  <c r="J84" i="106"/>
  <c r="U86" i="106"/>
  <c r="V85" i="106"/>
  <c r="L50" i="106"/>
  <c r="P50" i="106"/>
  <c r="N50" i="106"/>
  <c r="BG67" i="106"/>
  <c r="U87" i="106"/>
  <c r="V86" i="106"/>
  <c r="AV87" i="106"/>
  <c r="AZ81" i="106"/>
  <c r="AS81" i="106"/>
  <c r="BA81" i="106"/>
  <c r="AU68" i="106"/>
  <c r="AY68" i="106"/>
  <c r="AV68" i="106"/>
  <c r="BG68" i="106"/>
  <c r="BL113" i="106"/>
  <c r="X120" i="106"/>
  <c r="BK85" i="106"/>
  <c r="BH89" i="106"/>
  <c r="BI88" i="106"/>
  <c r="K86" i="106"/>
  <c r="G87" i="106"/>
  <c r="H86" i="106"/>
  <c r="BJ86" i="106"/>
  <c r="AP86" i="106"/>
  <c r="AT85" i="106"/>
  <c r="AQ85" i="106"/>
  <c r="R85" i="106"/>
  <c r="Q85" i="106"/>
  <c r="J85" i="106"/>
  <c r="AM123" i="106"/>
  <c r="AO84" i="106"/>
  <c r="M50" i="106"/>
  <c r="S50" i="106"/>
  <c r="K87" i="106"/>
  <c r="G88" i="106"/>
  <c r="H87" i="106"/>
  <c r="BJ87" i="106"/>
  <c r="AV88" i="106"/>
  <c r="AZ82" i="106"/>
  <c r="AS82" i="106"/>
  <c r="BA82" i="106"/>
  <c r="AM124" i="106"/>
  <c r="AO85" i="106"/>
  <c r="X121" i="106"/>
  <c r="BK86" i="106"/>
  <c r="BH90" i="106"/>
  <c r="BI89" i="106"/>
  <c r="R86" i="106"/>
  <c r="Q86" i="106"/>
  <c r="J86" i="106"/>
  <c r="AT86" i="106"/>
  <c r="AP87" i="106"/>
  <c r="AQ86" i="106"/>
  <c r="AU69" i="106"/>
  <c r="AY69" i="106"/>
  <c r="BG69" i="106"/>
  <c r="BL114" i="106"/>
  <c r="U88" i="106"/>
  <c r="V87" i="106"/>
  <c r="W86" i="106"/>
  <c r="L51" i="106"/>
  <c r="BH91" i="106"/>
  <c r="BI90" i="106"/>
  <c r="R87" i="106"/>
  <c r="Q87" i="106"/>
  <c r="X122" i="106"/>
  <c r="AH50" i="106"/>
  <c r="J87" i="106"/>
  <c r="BK87" i="106"/>
  <c r="AT87" i="106"/>
  <c r="AP88" i="106"/>
  <c r="AQ87" i="106"/>
  <c r="G89" i="106"/>
  <c r="K88" i="106"/>
  <c r="H88" i="106"/>
  <c r="BJ88" i="106"/>
  <c r="U89" i="106"/>
  <c r="V88" i="106"/>
  <c r="AU70" i="106"/>
  <c r="AY70" i="106"/>
  <c r="BG70" i="106"/>
  <c r="BL115" i="106"/>
  <c r="AM125" i="106"/>
  <c r="AO86" i="106"/>
  <c r="AZ83" i="106"/>
  <c r="AS83" i="106"/>
  <c r="AV89" i="106"/>
  <c r="BA83" i="106"/>
  <c r="P51" i="106"/>
  <c r="N51" i="106"/>
  <c r="M51" i="106"/>
  <c r="S51" i="106"/>
  <c r="R88" i="106"/>
  <c r="Q88" i="106"/>
  <c r="K89" i="106"/>
  <c r="G90" i="106"/>
  <c r="H89" i="106"/>
  <c r="BJ89" i="106"/>
  <c r="AT88" i="106"/>
  <c r="AP89" i="106"/>
  <c r="AQ88" i="106"/>
  <c r="AU71" i="106"/>
  <c r="AY71" i="106"/>
  <c r="BG71" i="106"/>
  <c r="BL116" i="106"/>
  <c r="X123" i="106"/>
  <c r="BK88" i="106"/>
  <c r="J88" i="106"/>
  <c r="AV90" i="106"/>
  <c r="BA84" i="106"/>
  <c r="AZ84" i="106"/>
  <c r="AS84" i="106"/>
  <c r="U90" i="106"/>
  <c r="V89" i="106"/>
  <c r="AM126" i="106"/>
  <c r="AO87" i="106"/>
  <c r="BH92" i="106"/>
  <c r="BI91" i="106"/>
  <c r="W87" i="106"/>
  <c r="L52" i="106"/>
  <c r="P52" i="106"/>
  <c r="N52" i="106"/>
  <c r="M52" i="106"/>
  <c r="S52" i="106"/>
  <c r="G91" i="106"/>
  <c r="K90" i="106"/>
  <c r="H90" i="106"/>
  <c r="BJ90" i="106"/>
  <c r="AP90" i="106"/>
  <c r="AT89" i="106"/>
  <c r="AQ89" i="106"/>
  <c r="X124" i="106"/>
  <c r="BK89" i="106"/>
  <c r="AV91" i="106"/>
  <c r="BA85" i="106"/>
  <c r="AZ85" i="106"/>
  <c r="AS85" i="106"/>
  <c r="BI92" i="106"/>
  <c r="BH93" i="106"/>
  <c r="R89" i="106"/>
  <c r="Q89" i="106"/>
  <c r="J89" i="106"/>
  <c r="U91" i="106"/>
  <c r="V90" i="106"/>
  <c r="AU72" i="106"/>
  <c r="AY72" i="106"/>
  <c r="BG72" i="106"/>
  <c r="BL117" i="106"/>
  <c r="AM127" i="106"/>
  <c r="AO88" i="106"/>
  <c r="L53" i="106"/>
  <c r="P53" i="106"/>
  <c r="N53" i="106"/>
  <c r="W88" i="106"/>
  <c r="M53" i="106"/>
  <c r="S53" i="106"/>
  <c r="AU73" i="106"/>
  <c r="AY73" i="106"/>
  <c r="BG73" i="106"/>
  <c r="BL118" i="106"/>
  <c r="AV92" i="106"/>
  <c r="BA86" i="106"/>
  <c r="AZ86" i="106"/>
  <c r="AS86" i="106"/>
  <c r="X125" i="106"/>
  <c r="BK90" i="106"/>
  <c r="AM128" i="106"/>
  <c r="AO89" i="106"/>
  <c r="K91" i="106"/>
  <c r="G92" i="106"/>
  <c r="H91" i="106"/>
  <c r="BJ91" i="106"/>
  <c r="Q90" i="106"/>
  <c r="J90" i="106"/>
  <c r="R90" i="106"/>
  <c r="AT90" i="106"/>
  <c r="AP91" i="106"/>
  <c r="AQ90" i="106"/>
  <c r="U92" i="106"/>
  <c r="V91" i="106"/>
  <c r="BI93" i="106"/>
  <c r="BH94" i="106"/>
  <c r="L54" i="106"/>
  <c r="P54" i="106"/>
  <c r="N54" i="106"/>
  <c r="W89" i="106"/>
  <c r="M54" i="106"/>
  <c r="S54" i="106"/>
  <c r="BH95" i="106"/>
  <c r="BI94" i="106"/>
  <c r="X126" i="106"/>
  <c r="BK91" i="106"/>
  <c r="AV93" i="106"/>
  <c r="BA87" i="106"/>
  <c r="AZ87" i="106"/>
  <c r="AS87" i="106"/>
  <c r="AP92" i="106"/>
  <c r="AT91" i="106"/>
  <c r="AQ91" i="106"/>
  <c r="R91" i="106"/>
  <c r="Q91" i="106"/>
  <c r="J91" i="106"/>
  <c r="AM129" i="106"/>
  <c r="AO90" i="106"/>
  <c r="AU74" i="106"/>
  <c r="AY74" i="106"/>
  <c r="BG74" i="106"/>
  <c r="BL119" i="106"/>
  <c r="V92" i="106"/>
  <c r="U93" i="106"/>
  <c r="G93" i="106"/>
  <c r="K92" i="106"/>
  <c r="H92" i="106"/>
  <c r="BJ92" i="106"/>
  <c r="L55" i="106"/>
  <c r="P55" i="106"/>
  <c r="N55" i="106"/>
  <c r="W90" i="106"/>
  <c r="M55" i="106"/>
  <c r="S55" i="106"/>
  <c r="AU75" i="106"/>
  <c r="AY75" i="106"/>
  <c r="BG75" i="106"/>
  <c r="BL120" i="106"/>
  <c r="AM130" i="106"/>
  <c r="AO91" i="106"/>
  <c r="X127" i="106"/>
  <c r="BK92" i="106"/>
  <c r="U94" i="106"/>
  <c r="V93" i="106"/>
  <c r="G94" i="106"/>
  <c r="K93" i="106"/>
  <c r="H93" i="106"/>
  <c r="BJ93" i="106"/>
  <c r="R92" i="106"/>
  <c r="Q92" i="106"/>
  <c r="J92" i="106"/>
  <c r="AP93" i="106"/>
  <c r="AT92" i="106"/>
  <c r="AQ92" i="106"/>
  <c r="BA88" i="106"/>
  <c r="AZ88" i="106"/>
  <c r="AS88" i="106"/>
  <c r="AV94" i="106"/>
  <c r="BH96" i="106"/>
  <c r="BI95" i="106"/>
  <c r="L56" i="106"/>
  <c r="P56" i="106"/>
  <c r="N56" i="106"/>
  <c r="M56" i="106"/>
  <c r="S56" i="106"/>
  <c r="W91" i="106"/>
  <c r="K94" i="106"/>
  <c r="G95" i="106"/>
  <c r="H94" i="106"/>
  <c r="BJ94" i="106"/>
  <c r="U95" i="106"/>
  <c r="V94" i="106"/>
  <c r="AU76" i="106"/>
  <c r="AY76" i="106"/>
  <c r="BG76" i="106"/>
  <c r="BL121" i="106"/>
  <c r="X128" i="106"/>
  <c r="BK93" i="106"/>
  <c r="AM131" i="106"/>
  <c r="AO92" i="106"/>
  <c r="R93" i="106"/>
  <c r="M93" i="106"/>
  <c r="Q93" i="106"/>
  <c r="J93" i="106"/>
  <c r="BA89" i="106"/>
  <c r="AV95" i="106"/>
  <c r="AZ89" i="106"/>
  <c r="AS89" i="106"/>
  <c r="AP94" i="106"/>
  <c r="AQ93" i="106"/>
  <c r="BH97" i="106"/>
  <c r="BI96" i="106"/>
  <c r="W92" i="106"/>
  <c r="L57" i="106"/>
  <c r="P57" i="106"/>
  <c r="N57" i="106"/>
  <c r="M57" i="106"/>
  <c r="S57" i="106"/>
  <c r="X129" i="106"/>
  <c r="BK94" i="106"/>
  <c r="AP95" i="106"/>
  <c r="AQ94" i="106"/>
  <c r="AV96" i="106"/>
  <c r="AZ90" i="106"/>
  <c r="AS90" i="106"/>
  <c r="BA90" i="106"/>
  <c r="G96" i="106"/>
  <c r="K95" i="106"/>
  <c r="H95" i="106"/>
  <c r="BJ95" i="106"/>
  <c r="U96" i="106"/>
  <c r="V95" i="106"/>
  <c r="AU77" i="106"/>
  <c r="AY77" i="106"/>
  <c r="BG77" i="106"/>
  <c r="BL122" i="106"/>
  <c r="BH98" i="106"/>
  <c r="BI97" i="106"/>
  <c r="R94" i="106"/>
  <c r="Q94" i="106"/>
  <c r="J94" i="106"/>
  <c r="M94" i="106"/>
  <c r="L58" i="106"/>
  <c r="P58" i="106"/>
  <c r="N58" i="106"/>
  <c r="M58" i="106"/>
  <c r="S58" i="106"/>
  <c r="W93" i="106"/>
  <c r="AU78" i="106"/>
  <c r="AY78" i="106"/>
  <c r="BG78" i="106"/>
  <c r="BL123" i="106"/>
  <c r="AV97" i="106"/>
  <c r="BA91" i="106"/>
  <c r="AZ91" i="106"/>
  <c r="AS91" i="106"/>
  <c r="X130" i="106"/>
  <c r="BK95" i="106"/>
  <c r="G97" i="106"/>
  <c r="K96" i="106"/>
  <c r="H96" i="106"/>
  <c r="BJ96" i="106"/>
  <c r="AP96" i="106"/>
  <c r="AQ95" i="106"/>
  <c r="BH99" i="106"/>
  <c r="BI98" i="106"/>
  <c r="R95" i="106"/>
  <c r="M95" i="106"/>
  <c r="Q95" i="106"/>
  <c r="J95" i="106"/>
  <c r="V96" i="106"/>
  <c r="U97" i="106"/>
  <c r="W94" i="106"/>
  <c r="L59" i="106"/>
  <c r="P59" i="106"/>
  <c r="N59" i="106"/>
  <c r="BH100" i="106"/>
  <c r="BI99" i="106"/>
  <c r="Q96" i="106"/>
  <c r="J96" i="106"/>
  <c r="R96" i="106"/>
  <c r="M96" i="106"/>
  <c r="AP97" i="106"/>
  <c r="AQ96" i="106"/>
  <c r="K97" i="106"/>
  <c r="G98" i="106"/>
  <c r="H97" i="106"/>
  <c r="BJ97" i="106"/>
  <c r="AU79" i="106"/>
  <c r="AY79" i="106"/>
  <c r="BG79" i="106"/>
  <c r="BL124" i="106"/>
  <c r="X131" i="106"/>
  <c r="BK96" i="106"/>
  <c r="V97" i="106"/>
  <c r="U98" i="106"/>
  <c r="BA92" i="106"/>
  <c r="AZ92" i="106"/>
  <c r="AS92" i="106"/>
  <c r="AV98" i="106"/>
  <c r="M59" i="106"/>
  <c r="S59" i="106"/>
  <c r="V98" i="106"/>
  <c r="U99" i="106"/>
  <c r="AP98" i="106"/>
  <c r="AQ97" i="106"/>
  <c r="R97" i="106"/>
  <c r="Q97" i="106"/>
  <c r="M97" i="106"/>
  <c r="K98" i="106"/>
  <c r="G99" i="106"/>
  <c r="H98" i="106"/>
  <c r="BJ98" i="106"/>
  <c r="AV99" i="106"/>
  <c r="AZ93" i="106"/>
  <c r="BA93" i="106"/>
  <c r="AU80" i="106"/>
  <c r="AY80" i="106"/>
  <c r="BG80" i="106"/>
  <c r="BL125" i="106"/>
  <c r="J97" i="106"/>
  <c r="X132" i="106"/>
  <c r="BK97" i="106"/>
  <c r="BH101" i="106"/>
  <c r="BI100" i="106"/>
  <c r="W95" i="106"/>
  <c r="L60" i="106"/>
  <c r="P60" i="106"/>
  <c r="N60" i="106"/>
  <c r="AV100" i="106"/>
  <c r="BA94" i="106"/>
  <c r="AZ94" i="106"/>
  <c r="BH102" i="106"/>
  <c r="BI101" i="106"/>
  <c r="AP99" i="106"/>
  <c r="AQ98" i="106"/>
  <c r="AU81" i="106"/>
  <c r="AY81" i="106"/>
  <c r="BG81" i="106"/>
  <c r="BL126" i="106"/>
  <c r="K99" i="106"/>
  <c r="G100" i="106"/>
  <c r="H99" i="106"/>
  <c r="BJ99" i="106"/>
  <c r="U100" i="106"/>
  <c r="V99" i="106"/>
  <c r="X133" i="106"/>
  <c r="BK98" i="106"/>
  <c r="Q98" i="106"/>
  <c r="J98" i="106"/>
  <c r="R98" i="106"/>
  <c r="M98" i="106"/>
  <c r="M60" i="106"/>
  <c r="S60" i="106"/>
  <c r="AP100" i="106"/>
  <c r="AQ99" i="106"/>
  <c r="Q99" i="106"/>
  <c r="R99" i="106"/>
  <c r="M99" i="106"/>
  <c r="G101" i="106"/>
  <c r="K100" i="106"/>
  <c r="H100" i="106"/>
  <c r="BJ100" i="106"/>
  <c r="AU82" i="106"/>
  <c r="AY82" i="106"/>
  <c r="BG82" i="106"/>
  <c r="BL127" i="106"/>
  <c r="AV101" i="106"/>
  <c r="AZ95" i="106"/>
  <c r="BA95" i="106"/>
  <c r="V100" i="106"/>
  <c r="U101" i="106"/>
  <c r="X134" i="106"/>
  <c r="J99" i="106"/>
  <c r="BK99" i="106"/>
  <c r="BI102" i="106"/>
  <c r="BH103" i="106"/>
  <c r="L61" i="106"/>
  <c r="P61" i="106"/>
  <c r="N61" i="106"/>
  <c r="W96" i="106"/>
  <c r="M61" i="106"/>
  <c r="S61" i="106"/>
  <c r="BH104" i="106"/>
  <c r="BI103" i="106"/>
  <c r="BA96" i="106"/>
  <c r="AZ96" i="106"/>
  <c r="AV102" i="106"/>
  <c r="V101" i="106"/>
  <c r="U102" i="106"/>
  <c r="AU83" i="106"/>
  <c r="AY83" i="106"/>
  <c r="BG83" i="106"/>
  <c r="BL128" i="106"/>
  <c r="X135" i="106"/>
  <c r="BK100" i="106"/>
  <c r="Q100" i="106"/>
  <c r="J100" i="106"/>
  <c r="M100" i="106"/>
  <c r="R100" i="106"/>
  <c r="G102" i="106"/>
  <c r="K101" i="106"/>
  <c r="H101" i="106"/>
  <c r="BJ101" i="106"/>
  <c r="AP101" i="106"/>
  <c r="AQ100" i="106"/>
  <c r="L62" i="106"/>
  <c r="P62" i="106"/>
  <c r="N62" i="106"/>
  <c r="W97" i="106"/>
  <c r="M62" i="106"/>
  <c r="S62" i="106"/>
  <c r="U103" i="106"/>
  <c r="V102" i="106"/>
  <c r="M101" i="106"/>
  <c r="R101" i="106"/>
  <c r="Q101" i="106"/>
  <c r="X136" i="106"/>
  <c r="J101" i="106"/>
  <c r="BK101" i="106"/>
  <c r="AP102" i="106"/>
  <c r="AQ101" i="106"/>
  <c r="AU84" i="106"/>
  <c r="AY84" i="106"/>
  <c r="BG84" i="106"/>
  <c r="BL129" i="106"/>
  <c r="AV103" i="106"/>
  <c r="BA97" i="106"/>
  <c r="AZ97" i="106"/>
  <c r="G103" i="106"/>
  <c r="K102" i="106"/>
  <c r="H102" i="106"/>
  <c r="BJ102" i="106"/>
  <c r="BI104" i="106"/>
  <c r="BH105" i="106"/>
  <c r="L63" i="106"/>
  <c r="P63" i="106"/>
  <c r="N63" i="106"/>
  <c r="W98" i="106"/>
  <c r="M63" i="106"/>
  <c r="S63" i="106"/>
  <c r="L64" i="106"/>
  <c r="P64" i="106"/>
  <c r="N64" i="106"/>
  <c r="BH106" i="106"/>
  <c r="BI105" i="106"/>
  <c r="BA98" i="106"/>
  <c r="AV104" i="106"/>
  <c r="AZ98" i="106"/>
  <c r="K103" i="106"/>
  <c r="G104" i="106"/>
  <c r="H103" i="106"/>
  <c r="BJ103" i="106"/>
  <c r="AU85" i="106"/>
  <c r="AY85" i="106"/>
  <c r="BG85" i="106"/>
  <c r="BL130" i="106"/>
  <c r="AP103" i="106"/>
  <c r="AQ102" i="106"/>
  <c r="R102" i="106"/>
  <c r="M102" i="106"/>
  <c r="Q102" i="106"/>
  <c r="X137" i="106"/>
  <c r="BK102" i="106"/>
  <c r="J102" i="106"/>
  <c r="U104" i="106"/>
  <c r="V103" i="106"/>
  <c r="W99" i="106"/>
  <c r="G105" i="106"/>
  <c r="K104" i="106"/>
  <c r="H104" i="106"/>
  <c r="BJ104" i="106"/>
  <c r="R103" i="106"/>
  <c r="Q103" i="106"/>
  <c r="J103" i="106"/>
  <c r="M103" i="106"/>
  <c r="AU86" i="106"/>
  <c r="AY86" i="106"/>
  <c r="BG86" i="106"/>
  <c r="BL131" i="106"/>
  <c r="U105" i="106"/>
  <c r="V104" i="106"/>
  <c r="AV105" i="106"/>
  <c r="BA99" i="106"/>
  <c r="AZ99" i="106"/>
  <c r="AP104" i="106"/>
  <c r="AQ103" i="106"/>
  <c r="X138" i="106"/>
  <c r="BK103" i="106"/>
  <c r="M64" i="106"/>
  <c r="S64" i="106"/>
  <c r="BI106" i="106"/>
  <c r="BH107" i="106"/>
  <c r="AZ100" i="106"/>
  <c r="BA100" i="106"/>
  <c r="AV106" i="106"/>
  <c r="L65" i="106"/>
  <c r="P65" i="106"/>
  <c r="N65" i="106"/>
  <c r="W100" i="106"/>
  <c r="K105" i="106"/>
  <c r="G106" i="106"/>
  <c r="H105" i="106"/>
  <c r="BJ105" i="106"/>
  <c r="BH108" i="106"/>
  <c r="BI107" i="106"/>
  <c r="R104" i="106"/>
  <c r="M104" i="106"/>
  <c r="Q104" i="106"/>
  <c r="J104" i="106"/>
  <c r="V105" i="106"/>
  <c r="U106" i="106"/>
  <c r="AP105" i="106"/>
  <c r="AQ104" i="106"/>
  <c r="AU87" i="106"/>
  <c r="AY87" i="106"/>
  <c r="BG87" i="106"/>
  <c r="BL132" i="106"/>
  <c r="X139" i="106"/>
  <c r="BK104" i="106"/>
  <c r="M65" i="106"/>
  <c r="S65" i="106"/>
  <c r="L66" i="106"/>
  <c r="W101" i="106"/>
  <c r="BK105" i="106"/>
  <c r="X140" i="106"/>
  <c r="AP106" i="106"/>
  <c r="AQ105" i="106"/>
  <c r="BH109" i="106"/>
  <c r="BI108" i="106"/>
  <c r="G107" i="106"/>
  <c r="K106" i="106"/>
  <c r="H106" i="106"/>
  <c r="BJ106" i="106"/>
  <c r="AU88" i="106"/>
  <c r="AY88" i="106"/>
  <c r="BG88" i="106"/>
  <c r="BL133" i="106"/>
  <c r="U107" i="106"/>
  <c r="V106" i="106"/>
  <c r="M105" i="106"/>
  <c r="R105" i="106"/>
  <c r="Q105" i="106"/>
  <c r="J105" i="106"/>
  <c r="AV107" i="106"/>
  <c r="BA101" i="106"/>
  <c r="AZ101" i="106"/>
  <c r="P66" i="106"/>
  <c r="N66" i="106"/>
  <c r="M66" i="106"/>
  <c r="S66" i="106"/>
  <c r="W102" i="106"/>
  <c r="AU89" i="106"/>
  <c r="AY89" i="106"/>
  <c r="BG89" i="106"/>
  <c r="BL134" i="106"/>
  <c r="AP107" i="106"/>
  <c r="AQ106" i="106"/>
  <c r="R106" i="106"/>
  <c r="M106" i="106"/>
  <c r="Q106" i="106"/>
  <c r="J106" i="106"/>
  <c r="AZ102" i="106"/>
  <c r="AV108" i="106"/>
  <c r="AV109" i="106"/>
  <c r="BA102" i="106"/>
  <c r="U108" i="106"/>
  <c r="V107" i="106"/>
  <c r="K107" i="106"/>
  <c r="G108" i="106"/>
  <c r="H107" i="106"/>
  <c r="BJ107" i="106"/>
  <c r="BH110" i="106"/>
  <c r="BI109" i="106"/>
  <c r="X141" i="106"/>
  <c r="BK106" i="106"/>
  <c r="L67" i="106"/>
  <c r="BA103" i="106"/>
  <c r="AZ103" i="106"/>
  <c r="AP108" i="106"/>
  <c r="AQ108" i="106"/>
  <c r="AQ107" i="106"/>
  <c r="X142" i="106"/>
  <c r="BK107" i="106"/>
  <c r="AU90" i="106"/>
  <c r="AY90" i="106"/>
  <c r="BG90" i="106"/>
  <c r="BL135" i="106"/>
  <c r="BI110" i="106"/>
  <c r="BH111" i="106"/>
  <c r="R107" i="106"/>
  <c r="Q107" i="106"/>
  <c r="J107" i="106"/>
  <c r="M107" i="106"/>
  <c r="K108" i="106"/>
  <c r="H108" i="106"/>
  <c r="BJ108" i="106"/>
  <c r="P67" i="106"/>
  <c r="N67" i="106"/>
  <c r="M67" i="106"/>
  <c r="S67" i="106"/>
  <c r="AZ104" i="106"/>
  <c r="BA104" i="106"/>
  <c r="BI111" i="106"/>
  <c r="BH112" i="106"/>
  <c r="BK108" i="106"/>
  <c r="X143" i="106"/>
  <c r="K109" i="106"/>
  <c r="AU91" i="106"/>
  <c r="AY91" i="106"/>
  <c r="BG91" i="106"/>
  <c r="BL136" i="106"/>
  <c r="W103" i="106"/>
  <c r="L68" i="106"/>
  <c r="BH113" i="106"/>
  <c r="BI112" i="106"/>
  <c r="BK109" i="106"/>
  <c r="BK115" i="106"/>
  <c r="C22" i="106"/>
  <c r="BA105" i="106"/>
  <c r="AZ105" i="106"/>
  <c r="AU92" i="106"/>
  <c r="AY92" i="106"/>
  <c r="BG92" i="106"/>
  <c r="BL137" i="106"/>
  <c r="Y144" i="106"/>
  <c r="X144" i="106"/>
  <c r="P68" i="106"/>
  <c r="N68" i="106"/>
  <c r="M68" i="106"/>
  <c r="S68" i="106"/>
  <c r="BG93" i="106"/>
  <c r="BG94" i="106" s="1"/>
  <c r="AU93" i="106"/>
  <c r="AY93" i="106"/>
  <c r="AW93" i="106"/>
  <c r="BL138" i="106"/>
  <c r="AZ106" i="106"/>
  <c r="BA106" i="106"/>
  <c r="BH114" i="106"/>
  <c r="BI114" i="106"/>
  <c r="BI113" i="106"/>
  <c r="L69" i="106"/>
  <c r="W104" i="106"/>
  <c r="AZ108" i="106"/>
  <c r="BA108" i="106"/>
  <c r="AT93" i="106"/>
  <c r="AO93" i="106" s="1"/>
  <c r="BA107" i="106"/>
  <c r="AZ107" i="106"/>
  <c r="BL139" i="106"/>
  <c r="AU94" i="106"/>
  <c r="AY94" i="106" s="1"/>
  <c r="AW94" i="106" s="1"/>
  <c r="P69" i="106"/>
  <c r="N69" i="106"/>
  <c r="M69" i="106"/>
  <c r="S69" i="106"/>
  <c r="W105" i="106"/>
  <c r="M70" i="106"/>
  <c r="L70" i="106"/>
  <c r="P70" i="106"/>
  <c r="N70" i="106"/>
  <c r="S70" i="106"/>
  <c r="L71" i="106"/>
  <c r="P71" i="106"/>
  <c r="N71" i="106"/>
  <c r="M71" i="106"/>
  <c r="S71" i="106"/>
  <c r="W106" i="106"/>
  <c r="M72" i="106"/>
  <c r="W107" i="106"/>
  <c r="S72" i="106"/>
  <c r="L72" i="106"/>
  <c r="P72" i="106"/>
  <c r="N72" i="106"/>
  <c r="L73" i="106"/>
  <c r="P73" i="106"/>
  <c r="N73" i="106"/>
  <c r="W108" i="106"/>
  <c r="M73" i="106"/>
  <c r="S73" i="106"/>
  <c r="L74" i="106"/>
  <c r="P74" i="106"/>
  <c r="N74" i="106"/>
  <c r="M74" i="106"/>
  <c r="S74" i="106"/>
  <c r="W109" i="106"/>
  <c r="L75" i="106"/>
  <c r="P75" i="106"/>
  <c r="N75" i="106"/>
  <c r="M75" i="106"/>
  <c r="W110" i="106"/>
  <c r="S75" i="106"/>
  <c r="M76" i="106"/>
  <c r="L76" i="106"/>
  <c r="P76" i="106"/>
  <c r="N76" i="106"/>
  <c r="W111" i="106"/>
  <c r="S76" i="106"/>
  <c r="M77" i="106"/>
  <c r="S77" i="106"/>
  <c r="W112" i="106"/>
  <c r="L77" i="106"/>
  <c r="P77" i="106"/>
  <c r="N77" i="106"/>
  <c r="W113" i="106"/>
  <c r="S78" i="106"/>
  <c r="M78" i="106"/>
  <c r="L78" i="106"/>
  <c r="P78" i="106"/>
  <c r="N78" i="106"/>
  <c r="W114" i="106"/>
  <c r="M79" i="106"/>
  <c r="S79" i="106"/>
  <c r="L79" i="106"/>
  <c r="P79" i="106"/>
  <c r="N79" i="106"/>
  <c r="W115" i="106"/>
  <c r="S80" i="106"/>
  <c r="L80" i="106"/>
  <c r="P80" i="106"/>
  <c r="N80" i="106"/>
  <c r="M80" i="106"/>
  <c r="W116" i="106"/>
  <c r="S81" i="106"/>
  <c r="L81" i="106"/>
  <c r="P81" i="106"/>
  <c r="N81" i="106"/>
  <c r="M81" i="106"/>
  <c r="W117" i="106"/>
  <c r="S82" i="106"/>
  <c r="M82" i="106"/>
  <c r="L82" i="106"/>
  <c r="P82" i="106"/>
  <c r="N82" i="106"/>
  <c r="BL154" i="106"/>
  <c r="W118" i="106"/>
  <c r="S83" i="106"/>
  <c r="L83" i="106"/>
  <c r="P83" i="106"/>
  <c r="N83" i="106"/>
  <c r="M83" i="106"/>
  <c r="L84" i="106"/>
  <c r="P84" i="106"/>
  <c r="N84" i="106"/>
  <c r="S84" i="106"/>
  <c r="M84" i="106"/>
  <c r="W119" i="106"/>
  <c r="M85" i="106"/>
  <c r="L85" i="106"/>
  <c r="P85" i="106"/>
  <c r="N85" i="106"/>
  <c r="W120" i="106"/>
  <c r="S85" i="106"/>
  <c r="M86" i="106"/>
  <c r="L86" i="106"/>
  <c r="P86" i="106"/>
  <c r="N86" i="106"/>
  <c r="W121" i="106"/>
  <c r="S86" i="106"/>
  <c r="M87" i="106"/>
  <c r="L87" i="106"/>
  <c r="P87" i="106"/>
  <c r="N87" i="106"/>
  <c r="W122" i="106"/>
  <c r="S87" i="106"/>
  <c r="M88" i="106"/>
  <c r="L88" i="106"/>
  <c r="P88" i="106"/>
  <c r="N88" i="106"/>
  <c r="W123" i="106"/>
  <c r="S88" i="106"/>
  <c r="M89" i="106"/>
  <c r="L89" i="106"/>
  <c r="P89" i="106"/>
  <c r="N89" i="106"/>
  <c r="W124" i="106"/>
  <c r="S89" i="106"/>
  <c r="L90" i="106"/>
  <c r="P90" i="106"/>
  <c r="N90" i="106"/>
  <c r="M90" i="106"/>
  <c r="W125" i="106"/>
  <c r="S90" i="106"/>
  <c r="L91" i="106"/>
  <c r="P91" i="106"/>
  <c r="N91" i="106"/>
  <c r="M91" i="106"/>
  <c r="W126" i="106"/>
  <c r="S91" i="106"/>
  <c r="L92" i="106"/>
  <c r="P92" i="106"/>
  <c r="N92" i="106"/>
  <c r="M92" i="106"/>
  <c r="W127" i="106"/>
  <c r="S92" i="106"/>
  <c r="L93" i="106"/>
  <c r="P93" i="106"/>
  <c r="N93" i="106"/>
  <c r="W128" i="106"/>
  <c r="S93" i="106"/>
  <c r="L94" i="106"/>
  <c r="P94" i="106"/>
  <c r="N94" i="106"/>
  <c r="W129" i="106"/>
  <c r="S94" i="106"/>
  <c r="W130" i="106"/>
  <c r="S95" i="106"/>
  <c r="L95" i="106"/>
  <c r="P95" i="106"/>
  <c r="N95" i="106"/>
  <c r="W131" i="106"/>
  <c r="S96" i="106"/>
  <c r="L96" i="106"/>
  <c r="P96" i="106"/>
  <c r="N96" i="106"/>
  <c r="S97" i="106"/>
  <c r="L97" i="106"/>
  <c r="P97" i="106"/>
  <c r="N97" i="106"/>
  <c r="W132" i="106"/>
  <c r="S98" i="106"/>
  <c r="L98" i="106"/>
  <c r="P98" i="106"/>
  <c r="N98" i="106"/>
  <c r="W133" i="106"/>
  <c r="W134" i="106"/>
  <c r="S99" i="106"/>
  <c r="L99" i="106"/>
  <c r="P99" i="106"/>
  <c r="N99" i="106"/>
  <c r="W135" i="106"/>
  <c r="S100" i="106"/>
  <c r="L100" i="106"/>
  <c r="P100" i="106"/>
  <c r="N100" i="106"/>
  <c r="S101" i="106"/>
  <c r="L101" i="106"/>
  <c r="P101" i="106"/>
  <c r="N101" i="106"/>
  <c r="W136" i="106"/>
  <c r="S102" i="106"/>
  <c r="W137" i="106"/>
  <c r="L102" i="106"/>
  <c r="P102" i="106"/>
  <c r="N102" i="106"/>
  <c r="W138" i="106"/>
  <c r="S103" i="106"/>
  <c r="L103" i="106"/>
  <c r="P103" i="106"/>
  <c r="N103" i="106"/>
  <c r="W139" i="106"/>
  <c r="S104" i="106"/>
  <c r="L104" i="106"/>
  <c r="P104" i="106"/>
  <c r="N104" i="106"/>
  <c r="S105" i="106"/>
  <c r="W140" i="106"/>
  <c r="L105" i="106"/>
  <c r="P105" i="106"/>
  <c r="N105" i="106"/>
  <c r="S106" i="106"/>
  <c r="W141" i="106"/>
  <c r="L106" i="106"/>
  <c r="P106" i="106"/>
  <c r="N106" i="106"/>
  <c r="W142" i="106"/>
  <c r="S107" i="106"/>
  <c r="L107" i="106"/>
  <c r="P107" i="106"/>
  <c r="N107" i="106"/>
  <c r="V108" i="106"/>
  <c r="W143" i="106"/>
  <c r="W144" i="106"/>
  <c r="L108" i="106"/>
  <c r="L109" i="106"/>
  <c r="C21" i="106"/>
  <c r="S108" i="106"/>
  <c r="R108" i="106"/>
  <c r="R109" i="106"/>
  <c r="M108" i="106"/>
  <c r="M109" i="106"/>
  <c r="Q108" i="106"/>
  <c r="J108" i="106"/>
  <c r="C24" i="106"/>
  <c r="P108" i="106"/>
  <c r="N108" i="106"/>
  <c r="C25" i="106"/>
  <c r="C26" i="106"/>
  <c r="BK114" i="105"/>
  <c r="BJ114" i="105"/>
  <c r="BK113" i="105"/>
  <c r="BJ113" i="105"/>
  <c r="BK112" i="105"/>
  <c r="BJ112" i="105"/>
  <c r="BK111" i="105"/>
  <c r="BJ111" i="105"/>
  <c r="BK110" i="105"/>
  <c r="BJ110" i="105"/>
  <c r="BJ109" i="105"/>
  <c r="AI109" i="105"/>
  <c r="AH109" i="105"/>
  <c r="AG109" i="105"/>
  <c r="AJ109" i="105"/>
  <c r="AF109" i="105"/>
  <c r="AE109" i="105"/>
  <c r="O109" i="105"/>
  <c r="AE82" i="105"/>
  <c r="AI79" i="105"/>
  <c r="AH79" i="105"/>
  <c r="AG79" i="105"/>
  <c r="AF79" i="105"/>
  <c r="AF65" i="105"/>
  <c r="AF66" i="105"/>
  <c r="AE79" i="105"/>
  <c r="AD79" i="105"/>
  <c r="AD65" i="105"/>
  <c r="AD66" i="105"/>
  <c r="AC79" i="105"/>
  <c r="AC65" i="105"/>
  <c r="AC66" i="105"/>
  <c r="AI77" i="105"/>
  <c r="AH77" i="105"/>
  <c r="AG77" i="105"/>
  <c r="AF77" i="105"/>
  <c r="AE77" i="105"/>
  <c r="AC77" i="105"/>
  <c r="AI65" i="105"/>
  <c r="AI66" i="105"/>
  <c r="AH65" i="105"/>
  <c r="AH66" i="105"/>
  <c r="AE65" i="105"/>
  <c r="AE66" i="105"/>
  <c r="AD57" i="105"/>
  <c r="AC57" i="105"/>
  <c r="H8" i="105"/>
  <c r="AD54" i="105"/>
  <c r="AE50" i="105"/>
  <c r="AC49" i="105"/>
  <c r="AC48" i="105"/>
  <c r="Y43" i="105"/>
  <c r="Y44" i="105"/>
  <c r="X43" i="105"/>
  <c r="Y42" i="105"/>
  <c r="AE41" i="105"/>
  <c r="AD41" i="105"/>
  <c r="AC41" i="105"/>
  <c r="AB41" i="105"/>
  <c r="AA41" i="105"/>
  <c r="Z41" i="105"/>
  <c r="Y41" i="105"/>
  <c r="X41" i="105"/>
  <c r="W41" i="105"/>
  <c r="AE40" i="105"/>
  <c r="AD40" i="105"/>
  <c r="AC40" i="105"/>
  <c r="AB40" i="105"/>
  <c r="AA40" i="105"/>
  <c r="Z40" i="105"/>
  <c r="Y40" i="105"/>
  <c r="X40" i="105"/>
  <c r="W40" i="105"/>
  <c r="AE38" i="105"/>
  <c r="AD38" i="105"/>
  <c r="AC38" i="105"/>
  <c r="AH36" i="105" s="1"/>
  <c r="AB38" i="105"/>
  <c r="AA38" i="105"/>
  <c r="Z38" i="105"/>
  <c r="Y38" i="105"/>
  <c r="X38" i="105"/>
  <c r="W38" i="105"/>
  <c r="AE37" i="105"/>
  <c r="AD37" i="105"/>
  <c r="AC37" i="105"/>
  <c r="AH35" i="105" s="1"/>
  <c r="AL35" i="105" s="1"/>
  <c r="AB37" i="105"/>
  <c r="AA37" i="105"/>
  <c r="Z37" i="105"/>
  <c r="Y37" i="105"/>
  <c r="X37" i="105"/>
  <c r="W37" i="105"/>
  <c r="AG36" i="105"/>
  <c r="AG40" i="105"/>
  <c r="AB34" i="105"/>
  <c r="W17" i="105"/>
  <c r="AC31" i="105"/>
  <c r="AZ20" i="105"/>
  <c r="AZ19" i="105"/>
  <c r="C19" i="105"/>
  <c r="AZ18" i="105"/>
  <c r="AZ17" i="105"/>
  <c r="AA17" i="105"/>
  <c r="Z17" i="105"/>
  <c r="Y17" i="105"/>
  <c r="X17" i="105"/>
  <c r="AC32" i="105"/>
  <c r="D17" i="105"/>
  <c r="D18" i="105"/>
  <c r="D29" i="105"/>
  <c r="C17" i="105"/>
  <c r="C18" i="105"/>
  <c r="AZ16" i="105"/>
  <c r="AA16" i="105"/>
  <c r="Z16" i="105"/>
  <c r="Y16" i="105"/>
  <c r="X16" i="105"/>
  <c r="W16" i="105"/>
  <c r="AZ15" i="105"/>
  <c r="AD15" i="105"/>
  <c r="AZ14" i="105"/>
  <c r="D14" i="105"/>
  <c r="AZ13" i="105"/>
  <c r="AD13" i="105"/>
  <c r="C13" i="105"/>
  <c r="AZ12" i="105"/>
  <c r="AD12" i="105"/>
  <c r="D12" i="105"/>
  <c r="AZ11" i="105"/>
  <c r="W11" i="105"/>
  <c r="G9" i="105"/>
  <c r="G10" i="105"/>
  <c r="G11" i="105"/>
  <c r="I11" i="105"/>
  <c r="D11" i="105"/>
  <c r="D13" i="105"/>
  <c r="BH9" i="105"/>
  <c r="BH10" i="105"/>
  <c r="BH11" i="105"/>
  <c r="AZ10" i="105"/>
  <c r="AD10" i="105"/>
  <c r="BI9" i="105"/>
  <c r="BA9" i="105"/>
  <c r="AZ9" i="105"/>
  <c r="AP9" i="105"/>
  <c r="AP10" i="105"/>
  <c r="AD9" i="105"/>
  <c r="U9" i="105"/>
  <c r="V9" i="105"/>
  <c r="R9" i="105"/>
  <c r="AQ8" i="105"/>
  <c r="AD8" i="105"/>
  <c r="D8" i="105"/>
  <c r="D27" i="105"/>
  <c r="G3" i="105"/>
  <c r="AL1" i="105"/>
  <c r="U10" i="105"/>
  <c r="AL61" i="105"/>
  <c r="AG37" i="105"/>
  <c r="AI36" i="105"/>
  <c r="AG38" i="105"/>
  <c r="BK8" i="105"/>
  <c r="C27" i="106"/>
  <c r="AG39" i="105"/>
  <c r="AG65" i="105"/>
  <c r="AB48" i="105"/>
  <c r="AJ66" i="105"/>
  <c r="D15" i="105"/>
  <c r="C15" i="105"/>
  <c r="C23" i="105"/>
  <c r="AP11" i="105"/>
  <c r="AQ10" i="105"/>
  <c r="BI11" i="105"/>
  <c r="BH12" i="105"/>
  <c r="AR107" i="105"/>
  <c r="AR108" i="105"/>
  <c r="AR106" i="105"/>
  <c r="AR104" i="105"/>
  <c r="AR103" i="105"/>
  <c r="AR99" i="105"/>
  <c r="AR97" i="105"/>
  <c r="AR95" i="105"/>
  <c r="AR93" i="105"/>
  <c r="AR91" i="105"/>
  <c r="AR89" i="105"/>
  <c r="AR100" i="105"/>
  <c r="AR98" i="105"/>
  <c r="AR90" i="105"/>
  <c r="AR94" i="105"/>
  <c r="AR85" i="105"/>
  <c r="AR84" i="105"/>
  <c r="AR78" i="105"/>
  <c r="AR96" i="105"/>
  <c r="AR86" i="105"/>
  <c r="AR83" i="105"/>
  <c r="AR77" i="105"/>
  <c r="AR76" i="105"/>
  <c r="AR74" i="105"/>
  <c r="AR102" i="105"/>
  <c r="AR92" i="105"/>
  <c r="AR88" i="105"/>
  <c r="AR82" i="105"/>
  <c r="AR105" i="105"/>
  <c r="AR101" i="105"/>
  <c r="AR81" i="105"/>
  <c r="AR80" i="105"/>
  <c r="AR75" i="105"/>
  <c r="AR73" i="105"/>
  <c r="AR71" i="105"/>
  <c r="AR72" i="105"/>
  <c r="AR70" i="105"/>
  <c r="AR69" i="105"/>
  <c r="AR87" i="105"/>
  <c r="AR68" i="105"/>
  <c r="AR79" i="105"/>
  <c r="AR63" i="105"/>
  <c r="AR61" i="105"/>
  <c r="AR59" i="105"/>
  <c r="AR57" i="105"/>
  <c r="AF57" i="105"/>
  <c r="AR54" i="105"/>
  <c r="AR53" i="105"/>
  <c r="AR50" i="105"/>
  <c r="AR46" i="105"/>
  <c r="AR45" i="105"/>
  <c r="AR43" i="105"/>
  <c r="AR66" i="105"/>
  <c r="AR60" i="105"/>
  <c r="AR48" i="105"/>
  <c r="AR58" i="105"/>
  <c r="AR47" i="105"/>
  <c r="AR65" i="105"/>
  <c r="AR64" i="105"/>
  <c r="AR56" i="105"/>
  <c r="AR55" i="105"/>
  <c r="AR49" i="105"/>
  <c r="AR44" i="105"/>
  <c r="AR38" i="105"/>
  <c r="AR37" i="105"/>
  <c r="AR36" i="105"/>
  <c r="AR35" i="105"/>
  <c r="AR24" i="105"/>
  <c r="AR20" i="105"/>
  <c r="AR17" i="105"/>
  <c r="AR10" i="105"/>
  <c r="AR67" i="105"/>
  <c r="AR62" i="105"/>
  <c r="AR52" i="105"/>
  <c r="AR51" i="105"/>
  <c r="AR42" i="105"/>
  <c r="AR39" i="105"/>
  <c r="AR30" i="105"/>
  <c r="AR27" i="105"/>
  <c r="AR21" i="105"/>
  <c r="AR19" i="105"/>
  <c r="AE13" i="105"/>
  <c r="AR13" i="105"/>
  <c r="AR14" i="105"/>
  <c r="AR34" i="105"/>
  <c r="AR29" i="105"/>
  <c r="AR26" i="105"/>
  <c r="AR22" i="105"/>
  <c r="AR18" i="105"/>
  <c r="AR16" i="105"/>
  <c r="AR15" i="105"/>
  <c r="AR41" i="105"/>
  <c r="AR40" i="105"/>
  <c r="AR32" i="105"/>
  <c r="AR31" i="105"/>
  <c r="AR28" i="105"/>
  <c r="AR11" i="105"/>
  <c r="AR9" i="105"/>
  <c r="AR33" i="105"/>
  <c r="AR25" i="105"/>
  <c r="AR23" i="105"/>
  <c r="AR12" i="105"/>
  <c r="Q9" i="105"/>
  <c r="BL55" i="105"/>
  <c r="W45" i="105"/>
  <c r="AE14" i="105"/>
  <c r="E27" i="105"/>
  <c r="BI10" i="105"/>
  <c r="AN46" i="105"/>
  <c r="AN47" i="105"/>
  <c r="AN48" i="105"/>
  <c r="AN49" i="105"/>
  <c r="AN50" i="105"/>
  <c r="AN51" i="105"/>
  <c r="AN52" i="105"/>
  <c r="AN53" i="105"/>
  <c r="AN54" i="105"/>
  <c r="AN55" i="105"/>
  <c r="AN56" i="105"/>
  <c r="AN57" i="105"/>
  <c r="AN58" i="105"/>
  <c r="AN59" i="105"/>
  <c r="AN60" i="105"/>
  <c r="AN61" i="105"/>
  <c r="AN62" i="105"/>
  <c r="AN63" i="105"/>
  <c r="AN64" i="105"/>
  <c r="AN65" i="105"/>
  <c r="AN66" i="105"/>
  <c r="AN67" i="105"/>
  <c r="AN68" i="105"/>
  <c r="AN69" i="105"/>
  <c r="AN70" i="105"/>
  <c r="AN71" i="105"/>
  <c r="AN72" i="105"/>
  <c r="AN73" i="105"/>
  <c r="AN74" i="105"/>
  <c r="AN75" i="105"/>
  <c r="AN76" i="105"/>
  <c r="AN77" i="105"/>
  <c r="AN78" i="105"/>
  <c r="AN79" i="105"/>
  <c r="AN80" i="105"/>
  <c r="AN81" i="105"/>
  <c r="AN82" i="105"/>
  <c r="AN83" i="105"/>
  <c r="AN84" i="105"/>
  <c r="AN85" i="105"/>
  <c r="AN86" i="105"/>
  <c r="AN87" i="105"/>
  <c r="W44" i="105"/>
  <c r="BL54" i="105"/>
  <c r="I10" i="105"/>
  <c r="W46" i="105"/>
  <c r="G12" i="105"/>
  <c r="BL56" i="105"/>
  <c r="AM47" i="105"/>
  <c r="AM36" i="105"/>
  <c r="A23" i="105"/>
  <c r="AE10" i="105"/>
  <c r="AE8" i="105"/>
  <c r="AE12" i="105"/>
  <c r="AE9" i="105"/>
  <c r="AL75" i="105"/>
  <c r="AL82" i="105"/>
  <c r="AL84" i="105"/>
  <c r="AL81" i="105"/>
  <c r="AL77" i="105"/>
  <c r="AL76" i="105"/>
  <c r="AL74" i="105"/>
  <c r="AL72" i="105"/>
  <c r="AL80" i="105"/>
  <c r="AL73" i="105"/>
  <c r="AL70" i="105"/>
  <c r="AL69" i="105"/>
  <c r="AL68" i="105"/>
  <c r="AL78" i="105"/>
  <c r="AL71" i="105"/>
  <c r="AL64" i="105"/>
  <c r="AL62" i="105"/>
  <c r="AL58" i="105"/>
  <c r="AL55" i="105"/>
  <c r="AL51" i="105"/>
  <c r="AL83" i="105"/>
  <c r="AL79" i="105"/>
  <c r="AL67" i="105"/>
  <c r="AL66" i="105"/>
  <c r="AL53" i="105"/>
  <c r="AL52" i="105"/>
  <c r="AL50" i="105"/>
  <c r="AL48" i="105"/>
  <c r="AL59" i="105"/>
  <c r="AL57" i="105"/>
  <c r="AL56" i="105"/>
  <c r="AL54" i="105"/>
  <c r="AL49" i="105"/>
  <c r="I9" i="105"/>
  <c r="AL65" i="105"/>
  <c r="AL63" i="105"/>
  <c r="H9" i="105"/>
  <c r="BJ9" i="105"/>
  <c r="I12" i="105"/>
  <c r="AE15" i="105"/>
  <c r="A24" i="105"/>
  <c r="AL87" i="105"/>
  <c r="Y45" i="105"/>
  <c r="AL85" i="105"/>
  <c r="AL86" i="105"/>
  <c r="BJ8" i="105"/>
  <c r="BJ7" i="105"/>
  <c r="AQ9" i="105"/>
  <c r="H10" i="105"/>
  <c r="BJ10" i="105"/>
  <c r="H11" i="105"/>
  <c r="BJ11" i="105"/>
  <c r="AQ11" i="105"/>
  <c r="AL60" i="105"/>
  <c r="V10" i="105"/>
  <c r="U11" i="105"/>
  <c r="AG66" i="105"/>
  <c r="AB49" i="105"/>
  <c r="D25" i="105"/>
  <c r="E25" i="105"/>
  <c r="AM38" i="105"/>
  <c r="AM37" i="105"/>
  <c r="AM40" i="105"/>
  <c r="AM39" i="105"/>
  <c r="W47" i="105"/>
  <c r="BL57" i="105"/>
  <c r="H12" i="105"/>
  <c r="BJ12" i="105"/>
  <c r="G13" i="105"/>
  <c r="AN118" i="105"/>
  <c r="AN119" i="105"/>
  <c r="AN120" i="105"/>
  <c r="AN121" i="105"/>
  <c r="AN122" i="105"/>
  <c r="AN123" i="105"/>
  <c r="AN124" i="105"/>
  <c r="AN125" i="105"/>
  <c r="AN126" i="105"/>
  <c r="AN127" i="105"/>
  <c r="AN128" i="105"/>
  <c r="AN129" i="105"/>
  <c r="AN130" i="105"/>
  <c r="AN131" i="105"/>
  <c r="AN132" i="105"/>
  <c r="AN133" i="105"/>
  <c r="AN134" i="105"/>
  <c r="AN135" i="105"/>
  <c r="AN136" i="105"/>
  <c r="AN137" i="105"/>
  <c r="AN138" i="105"/>
  <c r="AN139" i="105"/>
  <c r="AN140" i="105"/>
  <c r="AN141" i="105"/>
  <c r="AN142" i="105"/>
  <c r="AN143" i="105"/>
  <c r="AN144" i="105"/>
  <c r="AN145" i="105"/>
  <c r="AN146" i="105"/>
  <c r="AN147" i="105"/>
  <c r="AN88" i="105"/>
  <c r="AN89" i="105"/>
  <c r="AN90" i="105"/>
  <c r="AN91" i="105"/>
  <c r="AN92" i="105"/>
  <c r="AN93" i="105"/>
  <c r="AN94" i="105"/>
  <c r="AN95" i="105"/>
  <c r="AN96" i="105"/>
  <c r="AN97" i="105"/>
  <c r="AN98" i="105"/>
  <c r="AN99" i="105"/>
  <c r="AN100" i="105"/>
  <c r="AN101" i="105"/>
  <c r="AN102" i="105"/>
  <c r="AN103" i="105"/>
  <c r="AN104" i="105"/>
  <c r="AN105" i="105"/>
  <c r="AN106" i="105"/>
  <c r="AN107" i="105"/>
  <c r="AN108" i="105"/>
  <c r="AN109" i="105"/>
  <c r="AN110" i="105"/>
  <c r="AN111" i="105"/>
  <c r="AN112" i="105"/>
  <c r="AN113" i="105"/>
  <c r="AN114" i="105"/>
  <c r="AN115" i="105"/>
  <c r="AN116" i="105"/>
  <c r="AN117" i="105"/>
  <c r="AL88" i="105"/>
  <c r="Y46" i="105"/>
  <c r="BH13" i="105"/>
  <c r="BI12" i="105"/>
  <c r="AP12" i="105"/>
  <c r="BA10" i="105"/>
  <c r="AE56" i="105"/>
  <c r="AD55" i="105"/>
  <c r="AE54" i="105"/>
  <c r="AE57" i="105"/>
  <c r="AD56" i="105"/>
  <c r="AE55" i="105"/>
  <c r="K8" i="105"/>
  <c r="S8" i="105"/>
  <c r="BA11" i="105"/>
  <c r="AL148" i="105"/>
  <c r="U12" i="105"/>
  <c r="V11" i="105"/>
  <c r="Q10" i="105"/>
  <c r="R10" i="105"/>
  <c r="D23" i="105"/>
  <c r="AP13" i="105"/>
  <c r="AQ12" i="105"/>
  <c r="X42" i="105"/>
  <c r="BK7" i="105"/>
  <c r="BL58" i="105"/>
  <c r="W48" i="105"/>
  <c r="G14" i="105"/>
  <c r="I13" i="105"/>
  <c r="H13" i="105"/>
  <c r="BJ13" i="105"/>
  <c r="BA12" i="105"/>
  <c r="AL89" i="105"/>
  <c r="Y47" i="105"/>
  <c r="BH14" i="105"/>
  <c r="BI13" i="105"/>
  <c r="AG47" i="105"/>
  <c r="AC56" i="105"/>
  <c r="W10" i="105"/>
  <c r="L9" i="105"/>
  <c r="X10" i="105"/>
  <c r="K9" i="105"/>
  <c r="Q11" i="105"/>
  <c r="R11" i="105"/>
  <c r="V12" i="105"/>
  <c r="U13" i="105"/>
  <c r="E23" i="105"/>
  <c r="AG55" i="105"/>
  <c r="AG57" i="105"/>
  <c r="AG56" i="105"/>
  <c r="AF55" i="105"/>
  <c r="BG8" i="105"/>
  <c r="AF56" i="105"/>
  <c r="AG54" i="105"/>
  <c r="AT8" i="105"/>
  <c r="AM46" i="105"/>
  <c r="AH49" i="105"/>
  <c r="AL90" i="105"/>
  <c r="Y48" i="105"/>
  <c r="P9" i="105"/>
  <c r="BH15" i="105"/>
  <c r="BI14" i="105"/>
  <c r="AT13" i="105"/>
  <c r="AP14" i="105"/>
  <c r="AQ13" i="105"/>
  <c r="X44" i="105"/>
  <c r="C24" i="105"/>
  <c r="M9" i="105"/>
  <c r="BK9" i="105"/>
  <c r="J9" i="105"/>
  <c r="K10" i="105"/>
  <c r="H14" i="105"/>
  <c r="BJ14" i="105"/>
  <c r="G15" i="105"/>
  <c r="I14" i="105"/>
  <c r="BA13" i="105"/>
  <c r="Q12" i="105"/>
  <c r="R12" i="105"/>
  <c r="V13" i="105"/>
  <c r="U14" i="105"/>
  <c r="AU9" i="105"/>
  <c r="AY9" i="105"/>
  <c r="AT9" i="105"/>
  <c r="AT10" i="105"/>
  <c r="AT12" i="105"/>
  <c r="AT11" i="105"/>
  <c r="G16" i="105"/>
  <c r="I15" i="105"/>
  <c r="H15" i="105"/>
  <c r="BJ15" i="105"/>
  <c r="AL91" i="105"/>
  <c r="Y49" i="105"/>
  <c r="X45" i="105"/>
  <c r="J10" i="105"/>
  <c r="BK10" i="105"/>
  <c r="K11" i="105"/>
  <c r="AF36" i="105"/>
  <c r="BH16" i="105"/>
  <c r="BI15" i="105"/>
  <c r="N9" i="105"/>
  <c r="S9" i="105"/>
  <c r="AP15" i="105"/>
  <c r="AQ14" i="105"/>
  <c r="AT14" i="105"/>
  <c r="AM52" i="105"/>
  <c r="AS13" i="105"/>
  <c r="AO13" i="105"/>
  <c r="BA14" i="105"/>
  <c r="V14" i="105"/>
  <c r="U15" i="105"/>
  <c r="Q13" i="105"/>
  <c r="R13" i="105"/>
  <c r="AO12" i="105"/>
  <c r="AM51" i="105"/>
  <c r="AS12" i="105"/>
  <c r="AS10" i="105"/>
  <c r="AO10" i="105"/>
  <c r="AM49" i="105"/>
  <c r="AS9" i="105"/>
  <c r="D24" i="105"/>
  <c r="AO9" i="105"/>
  <c r="AM48" i="105"/>
  <c r="AM50" i="105"/>
  <c r="AS11" i="105"/>
  <c r="AO11" i="105"/>
  <c r="G17" i="105"/>
  <c r="H16" i="105"/>
  <c r="BJ16" i="105"/>
  <c r="I16" i="105"/>
  <c r="AS14" i="105"/>
  <c r="AO14" i="105"/>
  <c r="AM53" i="105"/>
  <c r="AP16" i="105"/>
  <c r="AT15" i="105"/>
  <c r="AQ15" i="105"/>
  <c r="X46" i="105"/>
  <c r="J11" i="105"/>
  <c r="BK11" i="105"/>
  <c r="K12" i="105"/>
  <c r="AL92" i="105"/>
  <c r="Y50" i="105"/>
  <c r="L10" i="105"/>
  <c r="M10" i="105"/>
  <c r="S10" i="105"/>
  <c r="BA15" i="105"/>
  <c r="BH17" i="105"/>
  <c r="BI16" i="105"/>
  <c r="R14" i="105"/>
  <c r="Q14" i="105"/>
  <c r="U16" i="105"/>
  <c r="V15" i="105"/>
  <c r="AL36" i="105"/>
  <c r="E24" i="105"/>
  <c r="AW9" i="105"/>
  <c r="AV9" i="105"/>
  <c r="BG9" i="105"/>
  <c r="L11" i="105"/>
  <c r="P11" i="105"/>
  <c r="N11" i="105"/>
  <c r="P10" i="105"/>
  <c r="X47" i="105"/>
  <c r="BK12" i="105"/>
  <c r="J12" i="105"/>
  <c r="K13" i="105"/>
  <c r="AT16" i="105"/>
  <c r="AQ16" i="105"/>
  <c r="AP17" i="105"/>
  <c r="G18" i="105"/>
  <c r="H17" i="105"/>
  <c r="BJ17" i="105"/>
  <c r="I17" i="105"/>
  <c r="BA16" i="105"/>
  <c r="AL93" i="105"/>
  <c r="Y51" i="105"/>
  <c r="AM54" i="105"/>
  <c r="AS15" i="105"/>
  <c r="AO15" i="105"/>
  <c r="BH18" i="105"/>
  <c r="BI17" i="105"/>
  <c r="Q15" i="105"/>
  <c r="R15" i="105"/>
  <c r="U17" i="105"/>
  <c r="V16" i="105"/>
  <c r="M11" i="105"/>
  <c r="S11" i="105"/>
  <c r="L12" i="105"/>
  <c r="BI18" i="105"/>
  <c r="BH19" i="105"/>
  <c r="AM55" i="105"/>
  <c r="AS16" i="105"/>
  <c r="AO16" i="105"/>
  <c r="N10" i="105"/>
  <c r="AU10" i="105"/>
  <c r="AL94" i="105"/>
  <c r="Y52" i="105"/>
  <c r="G19" i="105"/>
  <c r="H18" i="105"/>
  <c r="BJ18" i="105"/>
  <c r="I18" i="105"/>
  <c r="AT17" i="105"/>
  <c r="AQ17" i="105"/>
  <c r="AP18" i="105"/>
  <c r="BA17" i="105"/>
  <c r="X48" i="105"/>
  <c r="J13" i="105"/>
  <c r="BK13" i="105"/>
  <c r="K14" i="105"/>
  <c r="Q16" i="105"/>
  <c r="R16" i="105"/>
  <c r="U18" i="105"/>
  <c r="V17" i="105"/>
  <c r="P12" i="105"/>
  <c r="BI19" i="105"/>
  <c r="BH20" i="105"/>
  <c r="G20" i="105"/>
  <c r="H19" i="105"/>
  <c r="BJ19" i="105"/>
  <c r="I19" i="105"/>
  <c r="AP19" i="105"/>
  <c r="AT18" i="105"/>
  <c r="AQ18" i="105"/>
  <c r="X49" i="105"/>
  <c r="BK14" i="105"/>
  <c r="J14" i="105"/>
  <c r="K15" i="105"/>
  <c r="Y53" i="105"/>
  <c r="AL95" i="105"/>
  <c r="AM56" i="105"/>
  <c r="AO17" i="105"/>
  <c r="AS17" i="105"/>
  <c r="M12" i="105"/>
  <c r="AY10" i="105"/>
  <c r="AW10" i="105"/>
  <c r="BA18" i="105"/>
  <c r="R17" i="105"/>
  <c r="Q17" i="105"/>
  <c r="U19" i="105"/>
  <c r="V18" i="105"/>
  <c r="AV10" i="105"/>
  <c r="S12" i="105"/>
  <c r="AL96" i="105"/>
  <c r="Y54" i="105"/>
  <c r="X50" i="105"/>
  <c r="J15" i="105"/>
  <c r="BK15" i="105"/>
  <c r="K16" i="105"/>
  <c r="AM57" i="105"/>
  <c r="AS18" i="105"/>
  <c r="AO18" i="105"/>
  <c r="N12" i="105"/>
  <c r="AP20" i="105"/>
  <c r="AT19" i="105"/>
  <c r="AQ19" i="105"/>
  <c r="G21" i="105"/>
  <c r="I20" i="105"/>
  <c r="H20" i="105"/>
  <c r="BJ20" i="105"/>
  <c r="BH21" i="105"/>
  <c r="BI20" i="105"/>
  <c r="R18" i="105"/>
  <c r="Q18" i="105"/>
  <c r="V19" i="105"/>
  <c r="U20" i="105"/>
  <c r="BH22" i="105"/>
  <c r="BI21" i="105"/>
  <c r="H21" i="105"/>
  <c r="BJ21" i="105"/>
  <c r="G22" i="105"/>
  <c r="I21" i="105"/>
  <c r="AM58" i="105"/>
  <c r="AO19" i="105"/>
  <c r="AS19" i="105"/>
  <c r="AQ20" i="105"/>
  <c r="AP21" i="105"/>
  <c r="AT20" i="105"/>
  <c r="X51" i="105"/>
  <c r="J16" i="105"/>
  <c r="BK16" i="105"/>
  <c r="K17" i="105"/>
  <c r="AL97" i="105"/>
  <c r="Y55" i="105"/>
  <c r="BG10" i="105"/>
  <c r="L13" i="105"/>
  <c r="V20" i="105"/>
  <c r="U21" i="105"/>
  <c r="R19" i="105"/>
  <c r="Q19" i="105"/>
  <c r="AP22" i="105"/>
  <c r="AQ21" i="105"/>
  <c r="AT21" i="105"/>
  <c r="AM59" i="105"/>
  <c r="AO20" i="105"/>
  <c r="AS20" i="105"/>
  <c r="AU11" i="105"/>
  <c r="G23" i="105"/>
  <c r="H22" i="105"/>
  <c r="BJ22" i="105"/>
  <c r="I22" i="105"/>
  <c r="AL98" i="105"/>
  <c r="Y56" i="105"/>
  <c r="P13" i="105"/>
  <c r="M13" i="105"/>
  <c r="X52" i="105"/>
  <c r="BK17" i="105"/>
  <c r="J17" i="105"/>
  <c r="K18" i="105"/>
  <c r="BI22" i="105"/>
  <c r="BH23" i="105"/>
  <c r="V21" i="105"/>
  <c r="U22" i="105"/>
  <c r="Q20" i="105"/>
  <c r="R20" i="105"/>
  <c r="BI23" i="105"/>
  <c r="BH24" i="105"/>
  <c r="S13" i="105"/>
  <c r="N13" i="105"/>
  <c r="G24" i="105"/>
  <c r="H23" i="105"/>
  <c r="BJ23" i="105"/>
  <c r="I23" i="105"/>
  <c r="AL99" i="105"/>
  <c r="Y57" i="105"/>
  <c r="AY11" i="105"/>
  <c r="AW11" i="105"/>
  <c r="AM60" i="105"/>
  <c r="AO21" i="105"/>
  <c r="X53" i="105"/>
  <c r="J18" i="105"/>
  <c r="BK18" i="105"/>
  <c r="K19" i="105"/>
  <c r="AT22" i="105"/>
  <c r="AP23" i="105"/>
  <c r="AQ22" i="105"/>
  <c r="U23" i="105"/>
  <c r="V22" i="105"/>
  <c r="R21" i="105"/>
  <c r="Q21" i="105"/>
  <c r="L14" i="105"/>
  <c r="M14" i="105"/>
  <c r="S14" i="105"/>
  <c r="W49" i="105"/>
  <c r="AT23" i="105"/>
  <c r="AP24" i="105"/>
  <c r="AQ23" i="105"/>
  <c r="X54" i="105"/>
  <c r="BK19" i="105"/>
  <c r="J19" i="105"/>
  <c r="K20" i="105"/>
  <c r="AV11" i="105"/>
  <c r="AM61" i="105"/>
  <c r="AO22" i="105"/>
  <c r="AL100" i="105"/>
  <c r="Y58" i="105"/>
  <c r="G25" i="105"/>
  <c r="H24" i="105"/>
  <c r="BJ24" i="105"/>
  <c r="I24" i="105"/>
  <c r="BH25" i="105"/>
  <c r="BI24" i="105"/>
  <c r="R22" i="105"/>
  <c r="Q22" i="105"/>
  <c r="U24" i="105"/>
  <c r="V23" i="105"/>
  <c r="L15" i="105"/>
  <c r="P15" i="105"/>
  <c r="N15" i="105"/>
  <c r="W50" i="105"/>
  <c r="W144" i="105"/>
  <c r="X55" i="105"/>
  <c r="BK20" i="105"/>
  <c r="J20" i="105"/>
  <c r="K21" i="105"/>
  <c r="AL101" i="105"/>
  <c r="Y59" i="105"/>
  <c r="AP25" i="105"/>
  <c r="AQ24" i="105"/>
  <c r="AT24" i="105"/>
  <c r="BH26" i="105"/>
  <c r="BI25" i="105"/>
  <c r="G26" i="105"/>
  <c r="H25" i="105"/>
  <c r="BJ25" i="105"/>
  <c r="I25" i="105"/>
  <c r="BG11" i="105"/>
  <c r="AM62" i="105"/>
  <c r="AO23" i="105"/>
  <c r="P14" i="105"/>
  <c r="R23" i="105"/>
  <c r="Q23" i="105"/>
  <c r="V24" i="105"/>
  <c r="U25" i="105"/>
  <c r="M15" i="105"/>
  <c r="S15" i="105"/>
  <c r="L16" i="105"/>
  <c r="P16" i="105"/>
  <c r="N16" i="105"/>
  <c r="N14" i="105"/>
  <c r="AU12" i="105"/>
  <c r="G27" i="105"/>
  <c r="H26" i="105"/>
  <c r="BJ26" i="105"/>
  <c r="I26" i="105"/>
  <c r="BA19" i="105"/>
  <c r="AM63" i="105"/>
  <c r="AO24" i="105"/>
  <c r="BH27" i="105"/>
  <c r="BI26" i="105"/>
  <c r="AL102" i="105"/>
  <c r="Y60" i="105"/>
  <c r="X56" i="105"/>
  <c r="BK21" i="105"/>
  <c r="J21" i="105"/>
  <c r="K22" i="105"/>
  <c r="AT25" i="105"/>
  <c r="AQ25" i="105"/>
  <c r="AP26" i="105"/>
  <c r="V25" i="105"/>
  <c r="U26" i="105"/>
  <c r="R24" i="105"/>
  <c r="Q24" i="105"/>
  <c r="W51" i="105"/>
  <c r="M16" i="105"/>
  <c r="S16" i="105"/>
  <c r="L17" i="105"/>
  <c r="P17" i="105"/>
  <c r="N17" i="105"/>
  <c r="AT26" i="105"/>
  <c r="AP27" i="105"/>
  <c r="AQ26" i="105"/>
  <c r="H27" i="105"/>
  <c r="BJ27" i="105"/>
  <c r="G28" i="105"/>
  <c r="I27" i="105"/>
  <c r="J22" i="105"/>
  <c r="X57" i="105"/>
  <c r="BK22" i="105"/>
  <c r="K23" i="105"/>
  <c r="AL103" i="105"/>
  <c r="Y61" i="105"/>
  <c r="BA20" i="105"/>
  <c r="AY12" i="105"/>
  <c r="AW12" i="105"/>
  <c r="AM64" i="105"/>
  <c r="AO25" i="105"/>
  <c r="BI27" i="105"/>
  <c r="BH28" i="105"/>
  <c r="V26" i="105"/>
  <c r="U27" i="105"/>
  <c r="Q25" i="105"/>
  <c r="R25" i="105"/>
  <c r="W52" i="105"/>
  <c r="BH29" i="105"/>
  <c r="BI28" i="105"/>
  <c r="X58" i="105"/>
  <c r="BK23" i="105"/>
  <c r="J23" i="105"/>
  <c r="K24" i="105"/>
  <c r="BA21" i="105"/>
  <c r="AZ21" i="105"/>
  <c r="G29" i="105"/>
  <c r="H28" i="105"/>
  <c r="BJ28" i="105"/>
  <c r="I28" i="105"/>
  <c r="AP28" i="105"/>
  <c r="AT27" i="105"/>
  <c r="AQ27" i="105"/>
  <c r="AV12" i="105"/>
  <c r="AL104" i="105"/>
  <c r="Y62" i="105"/>
  <c r="AM65" i="105"/>
  <c r="AO26" i="105"/>
  <c r="M17" i="105"/>
  <c r="S17" i="105"/>
  <c r="U28" i="105"/>
  <c r="V27" i="105"/>
  <c r="R26" i="105"/>
  <c r="Q26" i="105"/>
  <c r="AM66" i="105"/>
  <c r="AO27" i="105"/>
  <c r="AS21" i="105"/>
  <c r="X59" i="105"/>
  <c r="BK24" i="105"/>
  <c r="J24" i="105"/>
  <c r="K25" i="105"/>
  <c r="AZ22" i="105"/>
  <c r="AS22" i="105"/>
  <c r="BA22" i="105"/>
  <c r="L18" i="105"/>
  <c r="P18" i="105"/>
  <c r="N18" i="105"/>
  <c r="W53" i="105"/>
  <c r="BG12" i="105"/>
  <c r="AT28" i="105"/>
  <c r="AP29" i="105"/>
  <c r="AQ28" i="105"/>
  <c r="G30" i="105"/>
  <c r="H29" i="105"/>
  <c r="BJ29" i="105"/>
  <c r="I29" i="105"/>
  <c r="BH30" i="105"/>
  <c r="BI29" i="105"/>
  <c r="AL105" i="105"/>
  <c r="Y63" i="105"/>
  <c r="Q27" i="105"/>
  <c r="R27" i="105"/>
  <c r="U29" i="105"/>
  <c r="V28" i="105"/>
  <c r="BI30" i="105"/>
  <c r="BH31" i="105"/>
  <c r="AP30" i="105"/>
  <c r="AT29" i="105"/>
  <c r="AQ29" i="105"/>
  <c r="AO28" i="105"/>
  <c r="AM67" i="105"/>
  <c r="AU13" i="105"/>
  <c r="M18" i="105"/>
  <c r="S18" i="105"/>
  <c r="AL106" i="105"/>
  <c r="Y64" i="105"/>
  <c r="AZ23" i="105"/>
  <c r="AS23" i="105"/>
  <c r="BA23" i="105"/>
  <c r="H30" i="105"/>
  <c r="BJ30" i="105"/>
  <c r="G31" i="105"/>
  <c r="I30" i="105"/>
  <c r="X60" i="105"/>
  <c r="J25" i="105"/>
  <c r="BK25" i="105"/>
  <c r="K26" i="105"/>
  <c r="R28" i="105"/>
  <c r="Q28" i="105"/>
  <c r="U30" i="105"/>
  <c r="V29" i="105"/>
  <c r="G32" i="105"/>
  <c r="H31" i="105"/>
  <c r="BJ31" i="105"/>
  <c r="I31" i="105"/>
  <c r="AM68" i="105"/>
  <c r="AO29" i="105"/>
  <c r="AL107" i="105"/>
  <c r="Y65" i="105"/>
  <c r="AT30" i="105"/>
  <c r="AQ30" i="105"/>
  <c r="AP31" i="105"/>
  <c r="AY13" i="105"/>
  <c r="AW13" i="105"/>
  <c r="BI31" i="105"/>
  <c r="BH32" i="105"/>
  <c r="X61" i="105"/>
  <c r="BK26" i="105"/>
  <c r="J26" i="105"/>
  <c r="K27" i="105"/>
  <c r="L19" i="105"/>
  <c r="P19" i="105"/>
  <c r="N19" i="105"/>
  <c r="W54" i="105"/>
  <c r="BA24" i="105"/>
  <c r="AZ24" i="105"/>
  <c r="AS24" i="105"/>
  <c r="R29" i="105"/>
  <c r="Q29" i="105"/>
  <c r="U31" i="105"/>
  <c r="V30" i="105"/>
  <c r="BA25" i="105"/>
  <c r="AZ25" i="105"/>
  <c r="AS25" i="105"/>
  <c r="G33" i="105"/>
  <c r="H32" i="105"/>
  <c r="BJ32" i="105"/>
  <c r="I32" i="105"/>
  <c r="M19" i="105"/>
  <c r="S19" i="105"/>
  <c r="AM69" i="105"/>
  <c r="AO30" i="105"/>
  <c r="AV13" i="105"/>
  <c r="X62" i="105"/>
  <c r="BK27" i="105"/>
  <c r="J27" i="105"/>
  <c r="K28" i="105"/>
  <c r="BI32" i="105"/>
  <c r="BH33" i="105"/>
  <c r="AT31" i="105"/>
  <c r="AP32" i="105"/>
  <c r="AQ31" i="105"/>
  <c r="AL108" i="105"/>
  <c r="Y66" i="105"/>
  <c r="R30" i="105"/>
  <c r="Q30" i="105"/>
  <c r="U32" i="105"/>
  <c r="V31" i="105"/>
  <c r="AP33" i="105"/>
  <c r="AT32" i="105"/>
  <c r="AQ32" i="105"/>
  <c r="X63" i="105"/>
  <c r="BK28" i="105"/>
  <c r="J28" i="105"/>
  <c r="K29" i="105"/>
  <c r="BG13" i="105"/>
  <c r="AL109" i="105"/>
  <c r="Y67" i="105"/>
  <c r="AM70" i="105"/>
  <c r="AO31" i="105"/>
  <c r="BI33" i="105"/>
  <c r="BH34" i="105"/>
  <c r="H33" i="105"/>
  <c r="BJ33" i="105"/>
  <c r="G34" i="105"/>
  <c r="I33" i="105"/>
  <c r="AZ26" i="105"/>
  <c r="AS26" i="105"/>
  <c r="BA26" i="105"/>
  <c r="L20" i="105"/>
  <c r="P20" i="105"/>
  <c r="N20" i="105"/>
  <c r="W55" i="105"/>
  <c r="Q31" i="105"/>
  <c r="R31" i="105"/>
  <c r="V32" i="105"/>
  <c r="U33" i="105"/>
  <c r="M20" i="105"/>
  <c r="S20" i="105"/>
  <c r="L21" i="105"/>
  <c r="P21" i="105"/>
  <c r="N21" i="105"/>
  <c r="BI34" i="105"/>
  <c r="BH35" i="105"/>
  <c r="AZ27" i="105"/>
  <c r="AS27" i="105"/>
  <c r="BA27" i="105"/>
  <c r="AL110" i="105"/>
  <c r="Y68" i="105"/>
  <c r="X64" i="105"/>
  <c r="BK29" i="105"/>
  <c r="J29" i="105"/>
  <c r="K30" i="105"/>
  <c r="AG33" i="105"/>
  <c r="AF33" i="105"/>
  <c r="W56" i="105"/>
  <c r="AM71" i="105"/>
  <c r="AO32" i="105"/>
  <c r="G35" i="105"/>
  <c r="H34" i="105"/>
  <c r="BJ34" i="105"/>
  <c r="I34" i="105"/>
  <c r="AU14" i="105"/>
  <c r="AY14" i="105"/>
  <c r="AW14" i="105"/>
  <c r="AV14" i="105"/>
  <c r="BG14" i="105"/>
  <c r="BL59" i="105"/>
  <c r="AT33" i="105"/>
  <c r="AP34" i="105"/>
  <c r="AQ33" i="105"/>
  <c r="U34" i="105"/>
  <c r="V33" i="105"/>
  <c r="R32" i="105"/>
  <c r="Q32" i="105"/>
  <c r="AU15" i="105"/>
  <c r="AY15" i="105"/>
  <c r="AW15" i="105"/>
  <c r="AV15" i="105"/>
  <c r="BG15" i="105"/>
  <c r="BL60" i="105"/>
  <c r="BL154" i="105"/>
  <c r="X65" i="105"/>
  <c r="J30" i="105"/>
  <c r="BK30" i="105"/>
  <c r="K31" i="105"/>
  <c r="AL111" i="105"/>
  <c r="Y69" i="105"/>
  <c r="BI35" i="105"/>
  <c r="BH36" i="105"/>
  <c r="H35" i="105"/>
  <c r="BJ35" i="105"/>
  <c r="G36" i="105"/>
  <c r="I35" i="105"/>
  <c r="BA28" i="105"/>
  <c r="AZ28" i="105"/>
  <c r="AS28" i="105"/>
  <c r="AT34" i="105"/>
  <c r="AQ34" i="105"/>
  <c r="AP35" i="105"/>
  <c r="AM72" i="105"/>
  <c r="AO33" i="105"/>
  <c r="M21" i="105"/>
  <c r="S21" i="105"/>
  <c r="R33" i="105"/>
  <c r="Q33" i="105"/>
  <c r="U35" i="105"/>
  <c r="V34" i="105"/>
  <c r="AU16" i="105"/>
  <c r="AY16" i="105"/>
  <c r="AW16" i="105"/>
  <c r="BL61" i="105"/>
  <c r="AV16" i="105"/>
  <c r="BG16" i="105"/>
  <c r="BI36" i="105"/>
  <c r="BH37" i="105"/>
  <c r="X66" i="105"/>
  <c r="BK31" i="105"/>
  <c r="J31" i="105"/>
  <c r="K32" i="105"/>
  <c r="L22" i="105"/>
  <c r="P22" i="105"/>
  <c r="N22" i="105"/>
  <c r="W57" i="105"/>
  <c r="AO34" i="105"/>
  <c r="AM73" i="105"/>
  <c r="AZ29" i="105"/>
  <c r="AS29" i="105"/>
  <c r="BA29" i="105"/>
  <c r="AL112" i="105"/>
  <c r="Y70" i="105"/>
  <c r="AP36" i="105"/>
  <c r="AT35" i="105"/>
  <c r="AQ35" i="105"/>
  <c r="G37" i="105"/>
  <c r="H36" i="105"/>
  <c r="BJ36" i="105"/>
  <c r="I36" i="105"/>
  <c r="Q34" i="105"/>
  <c r="R34" i="105"/>
  <c r="V35" i="105"/>
  <c r="U36" i="105"/>
  <c r="M22" i="105"/>
  <c r="S22" i="105"/>
  <c r="L23" i="105"/>
  <c r="P23" i="105"/>
  <c r="N23" i="105"/>
  <c r="X67" i="105"/>
  <c r="BK32" i="105"/>
  <c r="J32" i="105"/>
  <c r="K33" i="105"/>
  <c r="BI37" i="105"/>
  <c r="BH38" i="105"/>
  <c r="AP37" i="105"/>
  <c r="AT36" i="105"/>
  <c r="AQ36" i="105"/>
  <c r="BA30" i="105"/>
  <c r="AZ30" i="105"/>
  <c r="AS30" i="105"/>
  <c r="AU17" i="105"/>
  <c r="AY17" i="105"/>
  <c r="AW17" i="105"/>
  <c r="AV17" i="105"/>
  <c r="BG17" i="105"/>
  <c r="BL62" i="105"/>
  <c r="G38" i="105"/>
  <c r="H37" i="105"/>
  <c r="BJ37" i="105"/>
  <c r="I37" i="105"/>
  <c r="AM74" i="105"/>
  <c r="AO35" i="105"/>
  <c r="AL113" i="105"/>
  <c r="Y71" i="105"/>
  <c r="V36" i="105"/>
  <c r="U37" i="105"/>
  <c r="R35" i="105"/>
  <c r="Q35" i="105"/>
  <c r="W58" i="105"/>
  <c r="M23" i="105"/>
  <c r="S23" i="105"/>
  <c r="L24" i="105"/>
  <c r="P24" i="105"/>
  <c r="N24" i="105"/>
  <c r="AU18" i="105"/>
  <c r="AY18" i="105"/>
  <c r="AW18" i="105"/>
  <c r="AV18" i="105"/>
  <c r="BG18" i="105"/>
  <c r="BL63" i="105"/>
  <c r="X68" i="105"/>
  <c r="BK33" i="105"/>
  <c r="J33" i="105"/>
  <c r="K34" i="105"/>
  <c r="AP38" i="105"/>
  <c r="AT37" i="105"/>
  <c r="AQ37" i="105"/>
  <c r="AL114" i="105"/>
  <c r="Y72" i="105"/>
  <c r="G39" i="105"/>
  <c r="H38" i="105"/>
  <c r="BJ38" i="105"/>
  <c r="I38" i="105"/>
  <c r="BH39" i="105"/>
  <c r="BI38" i="105"/>
  <c r="AM75" i="105"/>
  <c r="AO36" i="105"/>
  <c r="AZ31" i="105"/>
  <c r="AS31" i="105"/>
  <c r="BA31" i="105"/>
  <c r="W59" i="105"/>
  <c r="U38" i="105"/>
  <c r="V37" i="105"/>
  <c r="R36" i="105"/>
  <c r="Q36" i="105"/>
  <c r="M24" i="105"/>
  <c r="S24" i="105"/>
  <c r="L25" i="105"/>
  <c r="P25" i="105"/>
  <c r="N25" i="105"/>
  <c r="AM76" i="105"/>
  <c r="AO37" i="105"/>
  <c r="X69" i="105"/>
  <c r="BK34" i="105"/>
  <c r="J34" i="105"/>
  <c r="K35" i="105"/>
  <c r="AU19" i="105"/>
  <c r="AY19" i="105"/>
  <c r="AW19" i="105"/>
  <c r="AV19" i="105"/>
  <c r="BG19" i="105"/>
  <c r="BL64" i="105"/>
  <c r="AZ32" i="105"/>
  <c r="AS32" i="105"/>
  <c r="BA32" i="105"/>
  <c r="AL115" i="105"/>
  <c r="Y73" i="105"/>
  <c r="AT38" i="105"/>
  <c r="AP39" i="105"/>
  <c r="AQ38" i="105"/>
  <c r="BH40" i="105"/>
  <c r="BI39" i="105"/>
  <c r="G40" i="105"/>
  <c r="H39" i="105"/>
  <c r="BJ39" i="105"/>
  <c r="I39" i="105"/>
  <c r="R37" i="105"/>
  <c r="Q37" i="105"/>
  <c r="V38" i="105"/>
  <c r="U39" i="105"/>
  <c r="W60" i="105"/>
  <c r="M25" i="105"/>
  <c r="S25" i="105"/>
  <c r="L26" i="105"/>
  <c r="P26" i="105"/>
  <c r="N26" i="105"/>
  <c r="AU20" i="105"/>
  <c r="AY20" i="105"/>
  <c r="AW20" i="105"/>
  <c r="AV20" i="105"/>
  <c r="BG20" i="105"/>
  <c r="BL65" i="105"/>
  <c r="W61" i="105"/>
  <c r="AM77" i="105"/>
  <c r="AO38" i="105"/>
  <c r="AZ33" i="105"/>
  <c r="AS33" i="105"/>
  <c r="BA33" i="105"/>
  <c r="BH41" i="105"/>
  <c r="BI40" i="105"/>
  <c r="AL116" i="105"/>
  <c r="Y74" i="105"/>
  <c r="G41" i="105"/>
  <c r="H40" i="105"/>
  <c r="BJ40" i="105"/>
  <c r="I40" i="105"/>
  <c r="AP40" i="105"/>
  <c r="AQ39" i="105"/>
  <c r="AT39" i="105"/>
  <c r="X70" i="105"/>
  <c r="BK35" i="105"/>
  <c r="J35" i="105"/>
  <c r="K36" i="105"/>
  <c r="V39" i="105"/>
  <c r="U40" i="105"/>
  <c r="R38" i="105"/>
  <c r="Q38" i="105"/>
  <c r="AM78" i="105"/>
  <c r="AO39" i="105"/>
  <c r="BH42" i="105"/>
  <c r="BI41" i="105"/>
  <c r="AU21" i="105"/>
  <c r="AY21" i="105"/>
  <c r="AW21" i="105"/>
  <c r="AV21" i="105"/>
  <c r="BG21" i="105"/>
  <c r="BL66" i="105"/>
  <c r="AL117" i="105"/>
  <c r="Y75" i="105"/>
  <c r="AP41" i="105"/>
  <c r="AT40" i="105"/>
  <c r="AQ40" i="105"/>
  <c r="G42" i="105"/>
  <c r="H41" i="105"/>
  <c r="BJ41" i="105"/>
  <c r="I41" i="105"/>
  <c r="X71" i="105"/>
  <c r="J36" i="105"/>
  <c r="BK36" i="105"/>
  <c r="K37" i="105"/>
  <c r="AZ34" i="105"/>
  <c r="AS34" i="105"/>
  <c r="BA34" i="105"/>
  <c r="M26" i="105"/>
  <c r="S26" i="105"/>
  <c r="U41" i="105"/>
  <c r="V40" i="105"/>
  <c r="R39" i="105"/>
  <c r="Q39" i="105"/>
  <c r="AU22" i="105"/>
  <c r="AY22" i="105"/>
  <c r="AW22" i="105"/>
  <c r="AV22" i="105"/>
  <c r="BG22" i="105"/>
  <c r="BL67" i="105"/>
  <c r="X72" i="105"/>
  <c r="BK37" i="105"/>
  <c r="J37" i="105"/>
  <c r="K38" i="105"/>
  <c r="BI42" i="105"/>
  <c r="BH43" i="105"/>
  <c r="G43" i="105"/>
  <c r="I42" i="105"/>
  <c r="H42" i="105"/>
  <c r="BJ42" i="105"/>
  <c r="AM79" i="105"/>
  <c r="AO40" i="105"/>
  <c r="AL118" i="105"/>
  <c r="Y76" i="105"/>
  <c r="AT41" i="105"/>
  <c r="AP42" i="105"/>
  <c r="AQ41" i="105"/>
  <c r="L27" i="105"/>
  <c r="P27" i="105"/>
  <c r="N27" i="105"/>
  <c r="W62" i="105"/>
  <c r="BA35" i="105"/>
  <c r="AZ35" i="105"/>
  <c r="AS35" i="105"/>
  <c r="R40" i="105"/>
  <c r="Q40" i="105"/>
  <c r="U42" i="105"/>
  <c r="V41" i="105"/>
  <c r="M27" i="105"/>
  <c r="S27" i="105"/>
  <c r="L28" i="105"/>
  <c r="P28" i="105"/>
  <c r="N28" i="105"/>
  <c r="BH44" i="105"/>
  <c r="BI43" i="105"/>
  <c r="X73" i="105"/>
  <c r="BK38" i="105"/>
  <c r="J38" i="105"/>
  <c r="K39" i="105"/>
  <c r="AU23" i="105"/>
  <c r="AY23" i="105"/>
  <c r="AW23" i="105"/>
  <c r="AV23" i="105"/>
  <c r="BG23" i="105"/>
  <c r="BL68" i="105"/>
  <c r="AT42" i="105"/>
  <c r="AP43" i="105"/>
  <c r="AQ42" i="105"/>
  <c r="BA36" i="105"/>
  <c r="AZ36" i="105"/>
  <c r="AS36" i="105"/>
  <c r="G44" i="105"/>
  <c r="H43" i="105"/>
  <c r="BJ43" i="105"/>
  <c r="I43" i="105"/>
  <c r="AM80" i="105"/>
  <c r="AO41" i="105"/>
  <c r="AL119" i="105"/>
  <c r="Y77" i="105"/>
  <c r="R41" i="105"/>
  <c r="Q41" i="105"/>
  <c r="V42" i="105"/>
  <c r="U43" i="105"/>
  <c r="W63" i="105"/>
  <c r="AU24" i="105"/>
  <c r="AY24" i="105"/>
  <c r="AW24" i="105"/>
  <c r="AV24" i="105"/>
  <c r="BG24" i="105"/>
  <c r="BL69" i="105"/>
  <c r="AP44" i="105"/>
  <c r="AT43" i="105"/>
  <c r="AQ43" i="105"/>
  <c r="AM81" i="105"/>
  <c r="AO42" i="105"/>
  <c r="AL120" i="105"/>
  <c r="Y78" i="105"/>
  <c r="X74" i="105"/>
  <c r="BK39" i="105"/>
  <c r="J39" i="105"/>
  <c r="K40" i="105"/>
  <c r="BA37" i="105"/>
  <c r="AZ37" i="105"/>
  <c r="AS37" i="105"/>
  <c r="G45" i="105"/>
  <c r="H44" i="105"/>
  <c r="BJ44" i="105"/>
  <c r="I44" i="105"/>
  <c r="BH45" i="105"/>
  <c r="BI44" i="105"/>
  <c r="M28" i="105"/>
  <c r="S28" i="105"/>
  <c r="U44" i="105"/>
  <c r="V43" i="105"/>
  <c r="Q42" i="105"/>
  <c r="R42" i="105"/>
  <c r="BA38" i="105"/>
  <c r="AZ38" i="105"/>
  <c r="AS38" i="105"/>
  <c r="AU25" i="105"/>
  <c r="AY25" i="105"/>
  <c r="AW25" i="105"/>
  <c r="AV25" i="105"/>
  <c r="BG25" i="105"/>
  <c r="BL70" i="105"/>
  <c r="X75" i="105"/>
  <c r="J40" i="105"/>
  <c r="BK40" i="105"/>
  <c r="K41" i="105"/>
  <c r="AL121" i="105"/>
  <c r="Y79" i="105"/>
  <c r="BH46" i="105"/>
  <c r="BI45" i="105"/>
  <c r="G46" i="105"/>
  <c r="H45" i="105"/>
  <c r="BJ45" i="105"/>
  <c r="I45" i="105"/>
  <c r="AM82" i="105"/>
  <c r="AO43" i="105"/>
  <c r="L29" i="105"/>
  <c r="P29" i="105"/>
  <c r="N29" i="105"/>
  <c r="W64" i="105"/>
  <c r="AT44" i="105"/>
  <c r="AP45" i="105"/>
  <c r="AQ44" i="105"/>
  <c r="R43" i="105"/>
  <c r="Q43" i="105"/>
  <c r="U45" i="105"/>
  <c r="V44" i="105"/>
  <c r="AU26" i="105"/>
  <c r="AY26" i="105"/>
  <c r="AW26" i="105"/>
  <c r="AV26" i="105"/>
  <c r="BG26" i="105"/>
  <c r="BL71" i="105"/>
  <c r="AP46" i="105"/>
  <c r="AT45" i="105"/>
  <c r="AQ45" i="105"/>
  <c r="AM83" i="105"/>
  <c r="AO44" i="105"/>
  <c r="G47" i="105"/>
  <c r="I46" i="105"/>
  <c r="H46" i="105"/>
  <c r="BJ46" i="105"/>
  <c r="BA39" i="105"/>
  <c r="AZ39" i="105"/>
  <c r="AS39" i="105"/>
  <c r="X76" i="105"/>
  <c r="BK41" i="105"/>
  <c r="J41" i="105"/>
  <c r="K42" i="105"/>
  <c r="AL122" i="105"/>
  <c r="Y80" i="105"/>
  <c r="M29" i="105"/>
  <c r="S29" i="105"/>
  <c r="BH47" i="105"/>
  <c r="BI46" i="105"/>
  <c r="Q44" i="105"/>
  <c r="R44" i="105"/>
  <c r="U46" i="105"/>
  <c r="V45" i="105"/>
  <c r="AU27" i="105"/>
  <c r="AY27" i="105"/>
  <c r="AW27" i="105"/>
  <c r="AV27" i="105"/>
  <c r="BG27" i="105"/>
  <c r="BL72" i="105"/>
  <c r="AL123" i="105"/>
  <c r="Y81" i="105"/>
  <c r="X77" i="105"/>
  <c r="BK42" i="105"/>
  <c r="J42" i="105"/>
  <c r="K43" i="105"/>
  <c r="BH48" i="105"/>
  <c r="BI47" i="105"/>
  <c r="AM84" i="105"/>
  <c r="AO45" i="105"/>
  <c r="BA40" i="105"/>
  <c r="AZ40" i="105"/>
  <c r="AS40" i="105"/>
  <c r="L30" i="105"/>
  <c r="P30" i="105"/>
  <c r="N30" i="105"/>
  <c r="W65" i="105"/>
  <c r="G48" i="105"/>
  <c r="H47" i="105"/>
  <c r="BJ47" i="105"/>
  <c r="I47" i="105"/>
  <c r="AP47" i="105"/>
  <c r="AT46" i="105"/>
  <c r="AQ46" i="105"/>
  <c r="Q45" i="105"/>
  <c r="R45" i="105"/>
  <c r="V46" i="105"/>
  <c r="U47" i="105"/>
  <c r="AU28" i="105"/>
  <c r="AY28" i="105"/>
  <c r="AW28" i="105"/>
  <c r="AV28" i="105"/>
  <c r="BG28" i="105"/>
  <c r="BL73" i="105"/>
  <c r="X78" i="105"/>
  <c r="J43" i="105"/>
  <c r="BK43" i="105"/>
  <c r="K44" i="105"/>
  <c r="AL124" i="105"/>
  <c r="Y82" i="105"/>
  <c r="AM85" i="105"/>
  <c r="AO46" i="105"/>
  <c r="AT47" i="105"/>
  <c r="AP48" i="105"/>
  <c r="AQ47" i="105"/>
  <c r="G49" i="105"/>
  <c r="I48" i="105"/>
  <c r="H48" i="105"/>
  <c r="BJ48" i="105"/>
  <c r="BA41" i="105"/>
  <c r="AZ41" i="105"/>
  <c r="AS41" i="105"/>
  <c r="M30" i="105"/>
  <c r="S30" i="105"/>
  <c r="BI48" i="105"/>
  <c r="BH49" i="105"/>
  <c r="U48" i="105"/>
  <c r="V47" i="105"/>
  <c r="R46" i="105"/>
  <c r="Q46" i="105"/>
  <c r="AU29" i="105"/>
  <c r="AY29" i="105"/>
  <c r="AW29" i="105"/>
  <c r="AV29" i="105"/>
  <c r="BG29" i="105"/>
  <c r="BL74" i="105"/>
  <c r="G50" i="105"/>
  <c r="I49" i="105"/>
  <c r="H49" i="105"/>
  <c r="BJ49" i="105"/>
  <c r="X79" i="105"/>
  <c r="J44" i="105"/>
  <c r="BK44" i="105"/>
  <c r="K45" i="105"/>
  <c r="BI49" i="105"/>
  <c r="BH50" i="105"/>
  <c r="AT48" i="105"/>
  <c r="AP49" i="105"/>
  <c r="AQ48" i="105"/>
  <c r="BA42" i="105"/>
  <c r="AZ42" i="105"/>
  <c r="AS42" i="105"/>
  <c r="AM86" i="105"/>
  <c r="AO47" i="105"/>
  <c r="AL125" i="105"/>
  <c r="Y83" i="105"/>
  <c r="L31" i="105"/>
  <c r="P31" i="105"/>
  <c r="N31" i="105"/>
  <c r="W66" i="105"/>
  <c r="R47" i="105"/>
  <c r="Q47" i="105"/>
  <c r="V48" i="105"/>
  <c r="U49" i="105"/>
  <c r="AU30" i="105"/>
  <c r="AY30" i="105"/>
  <c r="AW30" i="105"/>
  <c r="AV30" i="105"/>
  <c r="BG30" i="105"/>
  <c r="BL75" i="105"/>
  <c r="AT49" i="105"/>
  <c r="AP50" i="105"/>
  <c r="AQ49" i="105"/>
  <c r="X80" i="105"/>
  <c r="J45" i="105"/>
  <c r="BK45" i="105"/>
  <c r="K46" i="105"/>
  <c r="M31" i="105"/>
  <c r="S31" i="105"/>
  <c r="AM87" i="105"/>
  <c r="AO48" i="105"/>
  <c r="AL126" i="105"/>
  <c r="Y84" i="105"/>
  <c r="Y114" i="105"/>
  <c r="Y115" i="105"/>
  <c r="Y116" i="105"/>
  <c r="Y117" i="105"/>
  <c r="Y118" i="105"/>
  <c r="Y119" i="105"/>
  <c r="Y120" i="105"/>
  <c r="Y121" i="105"/>
  <c r="Y122" i="105"/>
  <c r="Y123" i="105"/>
  <c r="Y124" i="105"/>
  <c r="Y125" i="105"/>
  <c r="Y126" i="105"/>
  <c r="Y127" i="105"/>
  <c r="Y128" i="105"/>
  <c r="Y129" i="105"/>
  <c r="Y130" i="105"/>
  <c r="Y131" i="105"/>
  <c r="Y132" i="105"/>
  <c r="Y133" i="105"/>
  <c r="Y134" i="105"/>
  <c r="Y135" i="105"/>
  <c r="Y136" i="105"/>
  <c r="Y137" i="105"/>
  <c r="Y138" i="105"/>
  <c r="Y139" i="105"/>
  <c r="Y140" i="105"/>
  <c r="Y141" i="105"/>
  <c r="Y142" i="105"/>
  <c r="Y143" i="105"/>
  <c r="BH51" i="105"/>
  <c r="BI50" i="105"/>
  <c r="G51" i="105"/>
  <c r="I50" i="105"/>
  <c r="H50" i="105"/>
  <c r="BJ50" i="105"/>
  <c r="BA43" i="105"/>
  <c r="AZ43" i="105"/>
  <c r="AS43" i="105"/>
  <c r="V49" i="105"/>
  <c r="U50" i="105"/>
  <c r="Q48" i="105"/>
  <c r="R48" i="105"/>
  <c r="G52" i="105"/>
  <c r="H51" i="105"/>
  <c r="BJ51" i="105"/>
  <c r="I51" i="105"/>
  <c r="AZ44" i="105"/>
  <c r="AS44" i="105"/>
  <c r="BA44" i="105"/>
  <c r="L32" i="105"/>
  <c r="P32" i="105"/>
  <c r="N32" i="105"/>
  <c r="W67" i="105"/>
  <c r="BH52" i="105"/>
  <c r="BI51" i="105"/>
  <c r="X81" i="105"/>
  <c r="BK46" i="105"/>
  <c r="J46" i="105"/>
  <c r="K47" i="105"/>
  <c r="AU31" i="105"/>
  <c r="AY31" i="105"/>
  <c r="AW31" i="105"/>
  <c r="AV31" i="105"/>
  <c r="BG31" i="105"/>
  <c r="BL76" i="105"/>
  <c r="AP51" i="105"/>
  <c r="AQ50" i="105"/>
  <c r="AT50" i="105"/>
  <c r="AL127" i="105"/>
  <c r="Y85" i="105"/>
  <c r="AM88" i="105"/>
  <c r="AO49" i="105"/>
  <c r="V50" i="105"/>
  <c r="U51" i="105"/>
  <c r="Q49" i="105"/>
  <c r="R49" i="105"/>
  <c r="M32" i="105"/>
  <c r="S32" i="105"/>
  <c r="L33" i="105"/>
  <c r="P33" i="105"/>
  <c r="N33" i="105"/>
  <c r="AU32" i="105"/>
  <c r="AY32" i="105"/>
  <c r="AW32" i="105"/>
  <c r="AV32" i="105"/>
  <c r="BG32" i="105"/>
  <c r="BL77" i="105"/>
  <c r="X82" i="105"/>
  <c r="J47" i="105"/>
  <c r="BK47" i="105"/>
  <c r="K48" i="105"/>
  <c r="BA45" i="105"/>
  <c r="AZ45" i="105"/>
  <c r="AS45" i="105"/>
  <c r="AM89" i="105"/>
  <c r="AO50" i="105"/>
  <c r="BH53" i="105"/>
  <c r="BI52" i="105"/>
  <c r="AL128" i="105"/>
  <c r="Y86" i="105"/>
  <c r="AT51" i="105"/>
  <c r="AQ51" i="105"/>
  <c r="AP52" i="105"/>
  <c r="H52" i="105"/>
  <c r="BJ52" i="105"/>
  <c r="G53" i="105"/>
  <c r="I52" i="105"/>
  <c r="U52" i="105"/>
  <c r="V51" i="105"/>
  <c r="Q50" i="105"/>
  <c r="R50" i="105"/>
  <c r="W68" i="105"/>
  <c r="AU33" i="105"/>
  <c r="AY33" i="105"/>
  <c r="AW33" i="105"/>
  <c r="AV33" i="105"/>
  <c r="BG33" i="105"/>
  <c r="BL78" i="105"/>
  <c r="BH54" i="105"/>
  <c r="BI53" i="105"/>
  <c r="X83" i="105"/>
  <c r="J48" i="105"/>
  <c r="BK48" i="105"/>
  <c r="K49" i="105"/>
  <c r="AM90" i="105"/>
  <c r="AO51" i="105"/>
  <c r="AQ52" i="105"/>
  <c r="AP53" i="105"/>
  <c r="AT52" i="105"/>
  <c r="H53" i="105"/>
  <c r="BJ53" i="105"/>
  <c r="G54" i="105"/>
  <c r="I53" i="105"/>
  <c r="AL129" i="105"/>
  <c r="Y87" i="105"/>
  <c r="BA46" i="105"/>
  <c r="AZ46" i="105"/>
  <c r="AS46" i="105"/>
  <c r="M33" i="105"/>
  <c r="S33" i="105"/>
  <c r="R51" i="105"/>
  <c r="Q51" i="105"/>
  <c r="V52" i="105"/>
  <c r="U53" i="105"/>
  <c r="AL130" i="105"/>
  <c r="Y88" i="105"/>
  <c r="H54" i="105"/>
  <c r="BJ54" i="105"/>
  <c r="G55" i="105"/>
  <c r="I54" i="105"/>
  <c r="AO52" i="105"/>
  <c r="AM91" i="105"/>
  <c r="AU34" i="105"/>
  <c r="AY34" i="105"/>
  <c r="AW34" i="105"/>
  <c r="AV34" i="105"/>
  <c r="BG34" i="105"/>
  <c r="BL79" i="105"/>
  <c r="AQ53" i="105"/>
  <c r="AT53" i="105"/>
  <c r="AP54" i="105"/>
  <c r="X84" i="105"/>
  <c r="BK49" i="105"/>
  <c r="J49" i="105"/>
  <c r="K50" i="105"/>
  <c r="AZ47" i="105"/>
  <c r="AS47" i="105"/>
  <c r="BA47" i="105"/>
  <c r="L34" i="105"/>
  <c r="P34" i="105"/>
  <c r="N34" i="105"/>
  <c r="W69" i="105"/>
  <c r="BH55" i="105"/>
  <c r="BI54" i="105"/>
  <c r="U54" i="105"/>
  <c r="V53" i="105"/>
  <c r="R52" i="105"/>
  <c r="Q52" i="105"/>
  <c r="AZ48" i="105"/>
  <c r="AS48" i="105"/>
  <c r="BA48" i="105"/>
  <c r="M34" i="105"/>
  <c r="S34" i="105"/>
  <c r="AP55" i="105"/>
  <c r="AT54" i="105"/>
  <c r="AQ54" i="105"/>
  <c r="BH56" i="105"/>
  <c r="BI55" i="105"/>
  <c r="AM92" i="105"/>
  <c r="AO53" i="105"/>
  <c r="X85" i="105"/>
  <c r="J50" i="105"/>
  <c r="BK50" i="105"/>
  <c r="K51" i="105"/>
  <c r="G56" i="105"/>
  <c r="I55" i="105"/>
  <c r="H55" i="105"/>
  <c r="BJ55" i="105"/>
  <c r="AL131" i="105"/>
  <c r="Y89" i="105"/>
  <c r="AU35" i="105"/>
  <c r="AY35" i="105"/>
  <c r="AW35" i="105"/>
  <c r="AV35" i="105"/>
  <c r="BG35" i="105"/>
  <c r="BL80" i="105"/>
  <c r="Q53" i="105"/>
  <c r="R53" i="105"/>
  <c r="U55" i="105"/>
  <c r="V54" i="105"/>
  <c r="AU36" i="105"/>
  <c r="AY36" i="105"/>
  <c r="AW36" i="105"/>
  <c r="AV36" i="105"/>
  <c r="BG36" i="105"/>
  <c r="BL81" i="105"/>
  <c r="AL132" i="105"/>
  <c r="Y90" i="105"/>
  <c r="AM93" i="105"/>
  <c r="AO54" i="105"/>
  <c r="G57" i="105"/>
  <c r="I56" i="105"/>
  <c r="H56" i="105"/>
  <c r="BJ56" i="105"/>
  <c r="AZ49" i="105"/>
  <c r="AS49" i="105"/>
  <c r="BA49" i="105"/>
  <c r="AT55" i="105"/>
  <c r="AP56" i="105"/>
  <c r="AQ55" i="105"/>
  <c r="X86" i="105"/>
  <c r="BK51" i="105"/>
  <c r="J51" i="105"/>
  <c r="K52" i="105"/>
  <c r="BI56" i="105"/>
  <c r="BH57" i="105"/>
  <c r="L35" i="105"/>
  <c r="P35" i="105"/>
  <c r="N35" i="105"/>
  <c r="W70" i="105"/>
  <c r="R54" i="105"/>
  <c r="Q54" i="105"/>
  <c r="V55" i="105"/>
  <c r="U56" i="105"/>
  <c r="BH58" i="105"/>
  <c r="BI57" i="105"/>
  <c r="AL133" i="105"/>
  <c r="Y91" i="105"/>
  <c r="AU37" i="105"/>
  <c r="AY37" i="105"/>
  <c r="AW37" i="105"/>
  <c r="AV37" i="105"/>
  <c r="BG37" i="105"/>
  <c r="BL82" i="105"/>
  <c r="BA50" i="105"/>
  <c r="AZ50" i="105"/>
  <c r="AS50" i="105"/>
  <c r="AT56" i="105"/>
  <c r="AP57" i="105"/>
  <c r="AQ56" i="105"/>
  <c r="M35" i="105"/>
  <c r="S35" i="105"/>
  <c r="X87" i="105"/>
  <c r="BK52" i="105"/>
  <c r="J52" i="105"/>
  <c r="K53" i="105"/>
  <c r="AO55" i="105"/>
  <c r="AM94" i="105"/>
  <c r="G58" i="105"/>
  <c r="I57" i="105"/>
  <c r="H57" i="105"/>
  <c r="BJ57" i="105"/>
  <c r="U57" i="105"/>
  <c r="V56" i="105"/>
  <c r="R55" i="105"/>
  <c r="Q55" i="105"/>
  <c r="AU38" i="105"/>
  <c r="AY38" i="105"/>
  <c r="AW38" i="105"/>
  <c r="AV38" i="105"/>
  <c r="BG38" i="105"/>
  <c r="BL83" i="105"/>
  <c r="X88" i="105"/>
  <c r="J53" i="105"/>
  <c r="BK53" i="105"/>
  <c r="K54" i="105"/>
  <c r="L36" i="105"/>
  <c r="P36" i="105"/>
  <c r="N36" i="105"/>
  <c r="W71" i="105"/>
  <c r="AL134" i="105"/>
  <c r="Y92" i="105"/>
  <c r="AP58" i="105"/>
  <c r="AT57" i="105"/>
  <c r="AQ57" i="105"/>
  <c r="BA51" i="105"/>
  <c r="AZ51" i="105"/>
  <c r="AS51" i="105"/>
  <c r="G59" i="105"/>
  <c r="I58" i="105"/>
  <c r="H58" i="105"/>
  <c r="BJ58" i="105"/>
  <c r="AM95" i="105"/>
  <c r="AO56" i="105"/>
  <c r="BH59" i="105"/>
  <c r="BI58" i="105"/>
  <c r="Q56" i="105"/>
  <c r="R56" i="105"/>
  <c r="V57" i="105"/>
  <c r="U58" i="105"/>
  <c r="M36" i="105"/>
  <c r="S36" i="105"/>
  <c r="L37" i="105"/>
  <c r="P37" i="105"/>
  <c r="N37" i="105"/>
  <c r="BH60" i="105"/>
  <c r="BI59" i="105"/>
  <c r="BA52" i="105"/>
  <c r="AZ52" i="105"/>
  <c r="AS52" i="105"/>
  <c r="G60" i="105"/>
  <c r="I59" i="105"/>
  <c r="H59" i="105"/>
  <c r="BJ59" i="105"/>
  <c r="AL135" i="105"/>
  <c r="Y93" i="105"/>
  <c r="AU39" i="105"/>
  <c r="AY39" i="105"/>
  <c r="AW39" i="105"/>
  <c r="AV39" i="105"/>
  <c r="BG39" i="105"/>
  <c r="BL84" i="105"/>
  <c r="AM96" i="105"/>
  <c r="AO57" i="105"/>
  <c r="X89" i="105"/>
  <c r="BK54" i="105"/>
  <c r="J54" i="105"/>
  <c r="K55" i="105"/>
  <c r="AT58" i="105"/>
  <c r="AP59" i="105"/>
  <c r="AQ58" i="105"/>
  <c r="V58" i="105"/>
  <c r="U59" i="105"/>
  <c r="R57" i="105"/>
  <c r="Q57" i="105"/>
  <c r="W72" i="105"/>
  <c r="M37" i="105"/>
  <c r="S37" i="105"/>
  <c r="W73" i="105"/>
  <c r="AU40" i="105"/>
  <c r="AY40" i="105"/>
  <c r="AW40" i="105"/>
  <c r="AV40" i="105"/>
  <c r="BG40" i="105"/>
  <c r="BL85" i="105"/>
  <c r="Y94" i="105"/>
  <c r="AL136" i="105"/>
  <c r="BA53" i="105"/>
  <c r="AZ53" i="105"/>
  <c r="AS53" i="105"/>
  <c r="AM97" i="105"/>
  <c r="AO58" i="105"/>
  <c r="AP60" i="105"/>
  <c r="AT59" i="105"/>
  <c r="AQ59" i="105"/>
  <c r="X90" i="105"/>
  <c r="BK55" i="105"/>
  <c r="J55" i="105"/>
  <c r="K56" i="105"/>
  <c r="G61" i="105"/>
  <c r="I60" i="105"/>
  <c r="H60" i="105"/>
  <c r="BJ60" i="105"/>
  <c r="BH61" i="105"/>
  <c r="BI60" i="105"/>
  <c r="U60" i="105"/>
  <c r="V59" i="105"/>
  <c r="R58" i="105"/>
  <c r="Q58" i="105"/>
  <c r="L38" i="105"/>
  <c r="P38" i="105"/>
  <c r="N38" i="105"/>
  <c r="AU41" i="105"/>
  <c r="AY41" i="105"/>
  <c r="AW41" i="105"/>
  <c r="AV41" i="105"/>
  <c r="BG41" i="105"/>
  <c r="BL86" i="105"/>
  <c r="X91" i="105"/>
  <c r="J56" i="105"/>
  <c r="BK56" i="105"/>
  <c r="K57" i="105"/>
  <c r="BA54" i="105"/>
  <c r="AZ54" i="105"/>
  <c r="AS54" i="105"/>
  <c r="BH62" i="105"/>
  <c r="BI61" i="105"/>
  <c r="G62" i="105"/>
  <c r="H61" i="105"/>
  <c r="BJ61" i="105"/>
  <c r="I61" i="105"/>
  <c r="AM98" i="105"/>
  <c r="AO59" i="105"/>
  <c r="AT60" i="105"/>
  <c r="AP61" i="105"/>
  <c r="AQ60" i="105"/>
  <c r="AL137" i="105"/>
  <c r="Y95" i="105"/>
  <c r="M38" i="105"/>
  <c r="S38" i="105"/>
  <c r="R59" i="105"/>
  <c r="Q59" i="105"/>
  <c r="V60" i="105"/>
  <c r="U61" i="105"/>
  <c r="AU42" i="105"/>
  <c r="AY42" i="105"/>
  <c r="AW42" i="105"/>
  <c r="AV42" i="105"/>
  <c r="BG42" i="105"/>
  <c r="BL87" i="105"/>
  <c r="AL138" i="105"/>
  <c r="Y96" i="105"/>
  <c r="AM99" i="105"/>
  <c r="AO60" i="105"/>
  <c r="BA55" i="105"/>
  <c r="AZ55" i="105"/>
  <c r="AS55" i="105"/>
  <c r="X92" i="105"/>
  <c r="BK57" i="105"/>
  <c r="J57" i="105"/>
  <c r="K58" i="105"/>
  <c r="G63" i="105"/>
  <c r="H62" i="105"/>
  <c r="BJ62" i="105"/>
  <c r="I62" i="105"/>
  <c r="BH63" i="105"/>
  <c r="BI62" i="105"/>
  <c r="L39" i="105"/>
  <c r="P39" i="105"/>
  <c r="N39" i="105"/>
  <c r="W74" i="105"/>
  <c r="AP62" i="105"/>
  <c r="AT61" i="105"/>
  <c r="AQ61" i="105"/>
  <c r="V61" i="105"/>
  <c r="U62" i="105"/>
  <c r="Q60" i="105"/>
  <c r="R60" i="105"/>
  <c r="AU43" i="105"/>
  <c r="AY43" i="105"/>
  <c r="AW43" i="105"/>
  <c r="AV43" i="105"/>
  <c r="BG43" i="105"/>
  <c r="BL88" i="105"/>
  <c r="AT62" i="105"/>
  <c r="AP63" i="105"/>
  <c r="AQ62" i="105"/>
  <c r="M39" i="105"/>
  <c r="S39" i="105"/>
  <c r="BH64" i="105"/>
  <c r="BI63" i="105"/>
  <c r="G64" i="105"/>
  <c r="I63" i="105"/>
  <c r="H63" i="105"/>
  <c r="BJ63" i="105"/>
  <c r="AL139" i="105"/>
  <c r="Y97" i="105"/>
  <c r="AM100" i="105"/>
  <c r="AO61" i="105"/>
  <c r="AZ56" i="105"/>
  <c r="AS56" i="105"/>
  <c r="BA56" i="105"/>
  <c r="X93" i="105"/>
  <c r="J58" i="105"/>
  <c r="BK58" i="105"/>
  <c r="K59" i="105"/>
  <c r="V62" i="105"/>
  <c r="U63" i="105"/>
  <c r="Q61" i="105"/>
  <c r="R61" i="105"/>
  <c r="AU44" i="105"/>
  <c r="AY44" i="105"/>
  <c r="AW44" i="105"/>
  <c r="AV44" i="105"/>
  <c r="BG44" i="105"/>
  <c r="BL89" i="105"/>
  <c r="G65" i="105"/>
  <c r="I64" i="105"/>
  <c r="H64" i="105"/>
  <c r="BJ64" i="105"/>
  <c r="BA57" i="105"/>
  <c r="AZ57" i="105"/>
  <c r="AS57" i="105"/>
  <c r="AP64" i="105"/>
  <c r="AT63" i="105"/>
  <c r="AQ63" i="105"/>
  <c r="BI64" i="105"/>
  <c r="BH65" i="105"/>
  <c r="AM101" i="105"/>
  <c r="AO62" i="105"/>
  <c r="AL140" i="105"/>
  <c r="Y98" i="105"/>
  <c r="L40" i="105"/>
  <c r="P40" i="105"/>
  <c r="N40" i="105"/>
  <c r="W75" i="105"/>
  <c r="X94" i="105"/>
  <c r="J59" i="105"/>
  <c r="BK59" i="105"/>
  <c r="K60" i="105"/>
  <c r="V63" i="105"/>
  <c r="U64" i="105"/>
  <c r="Q62" i="105"/>
  <c r="R62" i="105"/>
  <c r="M40" i="105"/>
  <c r="S40" i="105"/>
  <c r="L41" i="105"/>
  <c r="P41" i="105"/>
  <c r="N41" i="105"/>
  <c r="AU45" i="105"/>
  <c r="AY45" i="105"/>
  <c r="AW45" i="105"/>
  <c r="AV45" i="105"/>
  <c r="BG45" i="105"/>
  <c r="BL90" i="105"/>
  <c r="AL141" i="105"/>
  <c r="Y99" i="105"/>
  <c r="AM102" i="105"/>
  <c r="AO63" i="105"/>
  <c r="G66" i="105"/>
  <c r="I65" i="105"/>
  <c r="H65" i="105"/>
  <c r="BJ65" i="105"/>
  <c r="BH66" i="105"/>
  <c r="BI65" i="105"/>
  <c r="AT64" i="105"/>
  <c r="AP65" i="105"/>
  <c r="AQ64" i="105"/>
  <c r="X95" i="105"/>
  <c r="BK60" i="105"/>
  <c r="J60" i="105"/>
  <c r="K61" i="105"/>
  <c r="W76" i="105"/>
  <c r="AZ58" i="105"/>
  <c r="AS58" i="105"/>
  <c r="BA58" i="105"/>
  <c r="V64" i="105"/>
  <c r="U65" i="105"/>
  <c r="Q63" i="105"/>
  <c r="R63" i="105"/>
  <c r="M41" i="105"/>
  <c r="S41" i="105"/>
  <c r="L42" i="105"/>
  <c r="P42" i="105"/>
  <c r="N42" i="105"/>
  <c r="AU46" i="105"/>
  <c r="AY46" i="105"/>
  <c r="AW46" i="105"/>
  <c r="AV46" i="105"/>
  <c r="BG46" i="105"/>
  <c r="BL91" i="105"/>
  <c r="X96" i="105"/>
  <c r="J61" i="105"/>
  <c r="BK61" i="105"/>
  <c r="K62" i="105"/>
  <c r="BI66" i="105"/>
  <c r="BH67" i="105"/>
  <c r="AL142" i="105"/>
  <c r="Y100" i="105"/>
  <c r="AP66" i="105"/>
  <c r="AT65" i="105"/>
  <c r="AQ65" i="105"/>
  <c r="G67" i="105"/>
  <c r="I66" i="105"/>
  <c r="H66" i="105"/>
  <c r="BJ66" i="105"/>
  <c r="AM103" i="105"/>
  <c r="AO64" i="105"/>
  <c r="BA59" i="105"/>
  <c r="AZ59" i="105"/>
  <c r="AS59" i="105"/>
  <c r="U66" i="105"/>
  <c r="V65" i="105"/>
  <c r="Q64" i="105"/>
  <c r="R64" i="105"/>
  <c r="W77" i="105"/>
  <c r="X97" i="105"/>
  <c r="BK62" i="105"/>
  <c r="J62" i="105"/>
  <c r="K63" i="105"/>
  <c r="G68" i="105"/>
  <c r="I67" i="105"/>
  <c r="H67" i="105"/>
  <c r="BJ67" i="105"/>
  <c r="AM104" i="105"/>
  <c r="AO65" i="105"/>
  <c r="BH68" i="105"/>
  <c r="BI67" i="105"/>
  <c r="M42" i="105"/>
  <c r="S42" i="105"/>
  <c r="AL143" i="105"/>
  <c r="Y101" i="105"/>
  <c r="AU47" i="105"/>
  <c r="AY47" i="105"/>
  <c r="AW47" i="105"/>
  <c r="AV47" i="105"/>
  <c r="BG47" i="105"/>
  <c r="BL92" i="105"/>
  <c r="AP67" i="105"/>
  <c r="AT66" i="105"/>
  <c r="AQ66" i="105"/>
  <c r="BA60" i="105"/>
  <c r="AZ60" i="105"/>
  <c r="AS60" i="105"/>
  <c r="Q65" i="105"/>
  <c r="R65" i="105"/>
  <c r="V66" i="105"/>
  <c r="U67" i="105"/>
  <c r="AM105" i="105"/>
  <c r="AO66" i="105"/>
  <c r="AL144" i="105"/>
  <c r="Y102" i="105"/>
  <c r="BI68" i="105"/>
  <c r="BH69" i="105"/>
  <c r="X98" i="105"/>
  <c r="J63" i="105"/>
  <c r="BK63" i="105"/>
  <c r="K64" i="105"/>
  <c r="AP68" i="105"/>
  <c r="AT67" i="105"/>
  <c r="AQ67" i="105"/>
  <c r="AU48" i="105"/>
  <c r="AY48" i="105"/>
  <c r="AW48" i="105"/>
  <c r="BL93" i="105"/>
  <c r="AV48" i="105"/>
  <c r="BG48" i="105"/>
  <c r="L43" i="105"/>
  <c r="P43" i="105"/>
  <c r="N43" i="105"/>
  <c r="W78" i="105"/>
  <c r="G69" i="105"/>
  <c r="I68" i="105"/>
  <c r="H68" i="105"/>
  <c r="BJ68" i="105"/>
  <c r="BA61" i="105"/>
  <c r="AZ61" i="105"/>
  <c r="AS61" i="105"/>
  <c r="V67" i="105"/>
  <c r="U68" i="105"/>
  <c r="R66" i="105"/>
  <c r="Q66" i="105"/>
  <c r="AU49" i="105"/>
  <c r="AY49" i="105"/>
  <c r="AW49" i="105"/>
  <c r="AV49" i="105"/>
  <c r="BG49" i="105"/>
  <c r="BL94" i="105"/>
  <c r="AP69" i="105"/>
  <c r="AT68" i="105"/>
  <c r="AQ68" i="105"/>
  <c r="G70" i="105"/>
  <c r="I69" i="105"/>
  <c r="H69" i="105"/>
  <c r="BJ69" i="105"/>
  <c r="M43" i="105"/>
  <c r="S43" i="105"/>
  <c r="X99" i="105"/>
  <c r="BK64" i="105"/>
  <c r="J64" i="105"/>
  <c r="K65" i="105"/>
  <c r="BH70" i="105"/>
  <c r="BI69" i="105"/>
  <c r="BA62" i="105"/>
  <c r="AZ62" i="105"/>
  <c r="AS62" i="105"/>
  <c r="AM106" i="105"/>
  <c r="AO67" i="105"/>
  <c r="AL145" i="105"/>
  <c r="Y103" i="105"/>
  <c r="V68" i="105"/>
  <c r="U69" i="105"/>
  <c r="R67" i="105"/>
  <c r="Q67" i="105"/>
  <c r="AU50" i="105"/>
  <c r="AY50" i="105"/>
  <c r="AW50" i="105"/>
  <c r="AV50" i="105"/>
  <c r="BG50" i="105"/>
  <c r="BL95" i="105"/>
  <c r="BA63" i="105"/>
  <c r="AZ63" i="105"/>
  <c r="AS63" i="105"/>
  <c r="BI70" i="105"/>
  <c r="BH71" i="105"/>
  <c r="G71" i="105"/>
  <c r="I70" i="105"/>
  <c r="H70" i="105"/>
  <c r="BJ70" i="105"/>
  <c r="X100" i="105"/>
  <c r="BK65" i="105"/>
  <c r="J65" i="105"/>
  <c r="K66" i="105"/>
  <c r="L44" i="105"/>
  <c r="P44" i="105"/>
  <c r="N44" i="105"/>
  <c r="W79" i="105"/>
  <c r="AM107" i="105"/>
  <c r="AO68" i="105"/>
  <c r="AL146" i="105"/>
  <c r="Y104" i="105"/>
  <c r="AP70" i="105"/>
  <c r="AT69" i="105"/>
  <c r="AQ69" i="105"/>
  <c r="U70" i="105"/>
  <c r="V69" i="105"/>
  <c r="R68" i="105"/>
  <c r="Q68" i="105"/>
  <c r="AU51" i="105"/>
  <c r="AY51" i="105"/>
  <c r="AW51" i="105"/>
  <c r="AV51" i="105"/>
  <c r="BG51" i="105"/>
  <c r="BL96" i="105"/>
  <c r="AL147" i="105"/>
  <c r="Y105" i="105"/>
  <c r="Y106" i="105"/>
  <c r="Y107" i="105"/>
  <c r="Y108" i="105"/>
  <c r="Y109" i="105"/>
  <c r="Y110" i="105"/>
  <c r="Y111" i="105"/>
  <c r="Y112" i="105"/>
  <c r="Y113" i="105"/>
  <c r="M44" i="105"/>
  <c r="S44" i="105"/>
  <c r="X101" i="105"/>
  <c r="J66" i="105"/>
  <c r="BK66" i="105"/>
  <c r="K67" i="105"/>
  <c r="BH72" i="105"/>
  <c r="BI71" i="105"/>
  <c r="AM108" i="105"/>
  <c r="AO69" i="105"/>
  <c r="AP71" i="105"/>
  <c r="AT70" i="105"/>
  <c r="AQ70" i="105"/>
  <c r="G72" i="105"/>
  <c r="I71" i="105"/>
  <c r="H71" i="105"/>
  <c r="BJ71" i="105"/>
  <c r="BA64" i="105"/>
  <c r="AZ64" i="105"/>
  <c r="AS64" i="105"/>
  <c r="Q69" i="105"/>
  <c r="R69" i="105"/>
  <c r="U71" i="105"/>
  <c r="V70" i="105"/>
  <c r="AP72" i="105"/>
  <c r="AT71" i="105"/>
  <c r="AQ71" i="105"/>
  <c r="AU52" i="105"/>
  <c r="AY52" i="105"/>
  <c r="AW52" i="105"/>
  <c r="AV52" i="105"/>
  <c r="BG52" i="105"/>
  <c r="BL97" i="105"/>
  <c r="G73" i="105"/>
  <c r="I72" i="105"/>
  <c r="H72" i="105"/>
  <c r="BJ72" i="105"/>
  <c r="BA65" i="105"/>
  <c r="AZ65" i="105"/>
  <c r="AS65" i="105"/>
  <c r="AM109" i="105"/>
  <c r="AO70" i="105"/>
  <c r="BH73" i="105"/>
  <c r="BI72" i="105"/>
  <c r="X102" i="105"/>
  <c r="BK67" i="105"/>
  <c r="J67" i="105"/>
  <c r="K68" i="105"/>
  <c r="K69" i="105"/>
  <c r="L45" i="105"/>
  <c r="P45" i="105"/>
  <c r="N45" i="105"/>
  <c r="W80" i="105"/>
  <c r="M45" i="105"/>
  <c r="S45" i="105"/>
  <c r="R70" i="105"/>
  <c r="Q70" i="105"/>
  <c r="U72" i="105"/>
  <c r="V71" i="105"/>
  <c r="K70" i="105"/>
  <c r="BK69" i="105"/>
  <c r="X104" i="105"/>
  <c r="J69" i="105"/>
  <c r="L46" i="105"/>
  <c r="P46" i="105"/>
  <c r="N46" i="105"/>
  <c r="W81" i="105"/>
  <c r="AU53" i="105"/>
  <c r="AY53" i="105"/>
  <c r="AW53" i="105"/>
  <c r="AV53" i="105"/>
  <c r="BG53" i="105"/>
  <c r="BL98" i="105"/>
  <c r="BH74" i="105"/>
  <c r="BI73" i="105"/>
  <c r="G74" i="105"/>
  <c r="H73" i="105"/>
  <c r="BJ73" i="105"/>
  <c r="I73" i="105"/>
  <c r="AM110" i="105"/>
  <c r="AO71" i="105"/>
  <c r="X103" i="105"/>
  <c r="J68" i="105"/>
  <c r="BK68" i="105"/>
  <c r="AZ66" i="105"/>
  <c r="AS66" i="105"/>
  <c r="BA66" i="105"/>
  <c r="AT72" i="105"/>
  <c r="AP73" i="105"/>
  <c r="AQ72" i="105"/>
  <c r="Q71" i="105"/>
  <c r="R71" i="105"/>
  <c r="V72" i="105"/>
  <c r="U73" i="105"/>
  <c r="X105" i="105"/>
  <c r="K71" i="105"/>
  <c r="J70" i="105"/>
  <c r="BK70" i="105"/>
  <c r="AU54" i="105"/>
  <c r="AY54" i="105"/>
  <c r="AW54" i="105"/>
  <c r="AV54" i="105"/>
  <c r="BG54" i="105"/>
  <c r="BL99" i="105"/>
  <c r="AM111" i="105"/>
  <c r="AO72" i="105"/>
  <c r="G75" i="105"/>
  <c r="I74" i="105"/>
  <c r="H74" i="105"/>
  <c r="BJ74" i="105"/>
  <c r="BA67" i="105"/>
  <c r="AZ67" i="105"/>
  <c r="AS67" i="105"/>
  <c r="AT73" i="105"/>
  <c r="AP74" i="105"/>
  <c r="AQ73" i="105"/>
  <c r="BH75" i="105"/>
  <c r="BI74" i="105"/>
  <c r="M46" i="105"/>
  <c r="S46" i="105"/>
  <c r="V73" i="105"/>
  <c r="U74" i="105"/>
  <c r="Q72" i="105"/>
  <c r="R72" i="105"/>
  <c r="K72" i="105"/>
  <c r="X106" i="105"/>
  <c r="BK71" i="105"/>
  <c r="J71" i="105"/>
  <c r="BH76" i="105"/>
  <c r="BI75" i="105"/>
  <c r="AM112" i="105"/>
  <c r="AO73" i="105"/>
  <c r="G76" i="105"/>
  <c r="I75" i="105"/>
  <c r="H75" i="105"/>
  <c r="BJ75" i="105"/>
  <c r="AU55" i="105"/>
  <c r="AY55" i="105"/>
  <c r="AW55" i="105"/>
  <c r="AV55" i="105"/>
  <c r="BG55" i="105"/>
  <c r="BL100" i="105"/>
  <c r="L47" i="105"/>
  <c r="P47" i="105"/>
  <c r="N47" i="105"/>
  <c r="W82" i="105"/>
  <c r="AZ68" i="105"/>
  <c r="AS68" i="105"/>
  <c r="BA68" i="105"/>
  <c r="AP75" i="105"/>
  <c r="AT74" i="105"/>
  <c r="AQ74" i="105"/>
  <c r="U75" i="105"/>
  <c r="V74" i="105"/>
  <c r="X107" i="105"/>
  <c r="BK72" i="105"/>
  <c r="J72" i="105"/>
  <c r="K73" i="105"/>
  <c r="Q73" i="105"/>
  <c r="J73" i="105"/>
  <c r="R73" i="105"/>
  <c r="M47" i="105"/>
  <c r="S47" i="105"/>
  <c r="L48" i="105"/>
  <c r="P48" i="105"/>
  <c r="N48" i="105"/>
  <c r="AU56" i="105"/>
  <c r="AY56" i="105"/>
  <c r="AW56" i="105"/>
  <c r="AV56" i="105"/>
  <c r="BG56" i="105"/>
  <c r="BL101" i="105"/>
  <c r="AT75" i="105"/>
  <c r="AP76" i="105"/>
  <c r="AQ75" i="105"/>
  <c r="G77" i="105"/>
  <c r="I76" i="105"/>
  <c r="H76" i="105"/>
  <c r="BJ76" i="105"/>
  <c r="BA69" i="105"/>
  <c r="AZ69" i="105"/>
  <c r="AS69" i="105"/>
  <c r="AM113" i="105"/>
  <c r="AO74" i="105"/>
  <c r="BI76" i="105"/>
  <c r="BH77" i="105"/>
  <c r="K74" i="105"/>
  <c r="BK73" i="105"/>
  <c r="X108" i="105"/>
  <c r="R74" i="105"/>
  <c r="Q74" i="105"/>
  <c r="V75" i="105"/>
  <c r="U76" i="105"/>
  <c r="W83" i="105"/>
  <c r="AU57" i="105"/>
  <c r="AY57" i="105"/>
  <c r="AW57" i="105"/>
  <c r="AV57" i="105"/>
  <c r="BG57" i="105"/>
  <c r="BL102" i="105"/>
  <c r="G78" i="105"/>
  <c r="H77" i="105"/>
  <c r="BJ77" i="105"/>
  <c r="I77" i="105"/>
  <c r="BI77" i="105"/>
  <c r="BH78" i="105"/>
  <c r="AP77" i="105"/>
  <c r="AT76" i="105"/>
  <c r="AQ76" i="105"/>
  <c r="M48" i="105"/>
  <c r="S48" i="105"/>
  <c r="AZ70" i="105"/>
  <c r="AS70" i="105"/>
  <c r="BA70" i="105"/>
  <c r="AM114" i="105"/>
  <c r="AO75" i="105"/>
  <c r="U77" i="105"/>
  <c r="V76" i="105"/>
  <c r="Q75" i="105"/>
  <c r="R75" i="105"/>
  <c r="BK74" i="105"/>
  <c r="X109" i="105"/>
  <c r="J74" i="105"/>
  <c r="K75" i="105"/>
  <c r="AU58" i="105"/>
  <c r="AY58" i="105"/>
  <c r="AW58" i="105"/>
  <c r="AV58" i="105"/>
  <c r="BG58" i="105"/>
  <c r="BL103" i="105"/>
  <c r="AM115" i="105"/>
  <c r="AO76" i="105"/>
  <c r="AP78" i="105"/>
  <c r="AT77" i="105"/>
  <c r="AQ77" i="105"/>
  <c r="G79" i="105"/>
  <c r="I78" i="105"/>
  <c r="H78" i="105"/>
  <c r="BJ78" i="105"/>
  <c r="L49" i="105"/>
  <c r="P49" i="105"/>
  <c r="N49" i="105"/>
  <c r="W84" i="105"/>
  <c r="BI78" i="105"/>
  <c r="BH79" i="105"/>
  <c r="BA71" i="105"/>
  <c r="AZ71" i="105"/>
  <c r="AS71" i="105"/>
  <c r="K76" i="105"/>
  <c r="X110" i="105"/>
  <c r="BK75" i="105"/>
  <c r="J75" i="105"/>
  <c r="Q76" i="105"/>
  <c r="J76" i="105"/>
  <c r="R76" i="105"/>
  <c r="U78" i="105"/>
  <c r="V77" i="105"/>
  <c r="M49" i="105"/>
  <c r="S49" i="105"/>
  <c r="AU59" i="105"/>
  <c r="AY59" i="105"/>
  <c r="AW59" i="105"/>
  <c r="AV59" i="105"/>
  <c r="BG59" i="105"/>
  <c r="BL104" i="105"/>
  <c r="BI79" i="105"/>
  <c r="BH80" i="105"/>
  <c r="L50" i="105"/>
  <c r="P50" i="105"/>
  <c r="N50" i="105"/>
  <c r="W85" i="105"/>
  <c r="G80" i="105"/>
  <c r="I79" i="105"/>
  <c r="H79" i="105"/>
  <c r="BJ79" i="105"/>
  <c r="AM116" i="105"/>
  <c r="AO77" i="105"/>
  <c r="AZ72" i="105"/>
  <c r="AS72" i="105"/>
  <c r="BA72" i="105"/>
  <c r="AP79" i="105"/>
  <c r="AT78" i="105"/>
  <c r="AQ78" i="105"/>
  <c r="R77" i="105"/>
  <c r="Q77" i="105"/>
  <c r="U79" i="105"/>
  <c r="V78" i="105"/>
  <c r="X111" i="105"/>
  <c r="BK76" i="105"/>
  <c r="K77" i="105"/>
  <c r="M50" i="105"/>
  <c r="S50" i="105"/>
  <c r="W86" i="105"/>
  <c r="BH81" i="105"/>
  <c r="BI80" i="105"/>
  <c r="G81" i="105"/>
  <c r="I80" i="105"/>
  <c r="H80" i="105"/>
  <c r="BJ80" i="105"/>
  <c r="BA73" i="105"/>
  <c r="AZ73" i="105"/>
  <c r="AS73" i="105"/>
  <c r="AU60" i="105"/>
  <c r="AY60" i="105"/>
  <c r="AW60" i="105"/>
  <c r="AV60" i="105"/>
  <c r="BG60" i="105"/>
  <c r="BL105" i="105"/>
  <c r="AM117" i="105"/>
  <c r="AO78" i="105"/>
  <c r="AP80" i="105"/>
  <c r="AT79" i="105"/>
  <c r="AQ79" i="105"/>
  <c r="L51" i="105"/>
  <c r="P51" i="105"/>
  <c r="N51" i="105"/>
  <c r="R78" i="105"/>
  <c r="Q78" i="105"/>
  <c r="K78" i="105"/>
  <c r="X112" i="105"/>
  <c r="BK77" i="105"/>
  <c r="V79" i="105"/>
  <c r="U80" i="105"/>
  <c r="J77" i="105"/>
  <c r="AU61" i="105"/>
  <c r="AY61" i="105"/>
  <c r="AW61" i="105"/>
  <c r="AV61" i="105"/>
  <c r="BG61" i="105"/>
  <c r="BL106" i="105"/>
  <c r="AM118" i="105"/>
  <c r="AO79" i="105"/>
  <c r="M51" i="105"/>
  <c r="S51" i="105"/>
  <c r="BI81" i="105"/>
  <c r="BH82" i="105"/>
  <c r="AT80" i="105"/>
  <c r="AP81" i="105"/>
  <c r="AQ80" i="105"/>
  <c r="G82" i="105"/>
  <c r="I81" i="105"/>
  <c r="H81" i="105"/>
  <c r="BJ81" i="105"/>
  <c r="BA74" i="105"/>
  <c r="AZ74" i="105"/>
  <c r="AS74" i="105"/>
  <c r="U81" i="105"/>
  <c r="V80" i="105"/>
  <c r="K79" i="105"/>
  <c r="X113" i="105"/>
  <c r="BK78" i="105"/>
  <c r="Q79" i="105"/>
  <c r="R79" i="105"/>
  <c r="J78" i="105"/>
  <c r="AU62" i="105"/>
  <c r="AY62" i="105"/>
  <c r="AW62" i="105"/>
  <c r="AV62" i="105"/>
  <c r="BG62" i="105"/>
  <c r="BL107" i="105"/>
  <c r="G83" i="105"/>
  <c r="H82" i="105"/>
  <c r="BJ82" i="105"/>
  <c r="I82" i="105"/>
  <c r="L52" i="105"/>
  <c r="P52" i="105"/>
  <c r="N52" i="105"/>
  <c r="W87" i="105"/>
  <c r="AT81" i="105"/>
  <c r="AP82" i="105"/>
  <c r="AQ81" i="105"/>
  <c r="AM119" i="105"/>
  <c r="AO80" i="105"/>
  <c r="BH83" i="105"/>
  <c r="BI82" i="105"/>
  <c r="BA75" i="105"/>
  <c r="AZ75" i="105"/>
  <c r="AS75" i="105"/>
  <c r="X114" i="105"/>
  <c r="K80" i="105"/>
  <c r="BK79" i="105"/>
  <c r="J79" i="105"/>
  <c r="Q80" i="105"/>
  <c r="R80" i="105"/>
  <c r="U82" i="105"/>
  <c r="V81" i="105"/>
  <c r="M52" i="105"/>
  <c r="S52" i="105"/>
  <c r="L53" i="105"/>
  <c r="P53" i="105"/>
  <c r="N53" i="105"/>
  <c r="W88" i="105"/>
  <c r="AU63" i="105"/>
  <c r="AY63" i="105"/>
  <c r="AW63" i="105"/>
  <c r="AV63" i="105"/>
  <c r="BG63" i="105"/>
  <c r="BL108" i="105"/>
  <c r="BA76" i="105"/>
  <c r="AZ76" i="105"/>
  <c r="AS76" i="105"/>
  <c r="G84" i="105"/>
  <c r="I83" i="105"/>
  <c r="H83" i="105"/>
  <c r="BJ83" i="105"/>
  <c r="BI83" i="105"/>
  <c r="BH84" i="105"/>
  <c r="AT82" i="105"/>
  <c r="AP83" i="105"/>
  <c r="AQ82" i="105"/>
  <c r="AM120" i="105"/>
  <c r="AO81" i="105"/>
  <c r="R81" i="105"/>
  <c r="Q81" i="105"/>
  <c r="V82" i="105"/>
  <c r="U83" i="105"/>
  <c r="X115" i="105"/>
  <c r="BK80" i="105"/>
  <c r="K81" i="105"/>
  <c r="J80" i="105"/>
  <c r="AU64" i="105"/>
  <c r="AY64" i="105"/>
  <c r="AW64" i="105"/>
  <c r="AV64" i="105"/>
  <c r="BG64" i="105"/>
  <c r="BL109" i="105"/>
  <c r="AP84" i="105"/>
  <c r="AT83" i="105"/>
  <c r="AQ83" i="105"/>
  <c r="BH85" i="105"/>
  <c r="BI84" i="105"/>
  <c r="M53" i="105"/>
  <c r="S53" i="105"/>
  <c r="AM121" i="105"/>
  <c r="AO82" i="105"/>
  <c r="BA77" i="105"/>
  <c r="AZ77" i="105"/>
  <c r="AS77" i="105"/>
  <c r="G85" i="105"/>
  <c r="I84" i="105"/>
  <c r="H84" i="105"/>
  <c r="BJ84" i="105"/>
  <c r="V83" i="105"/>
  <c r="U84" i="105"/>
  <c r="X116" i="105"/>
  <c r="BK81" i="105"/>
  <c r="K82" i="105"/>
  <c r="J81" i="105"/>
  <c r="R82" i="105"/>
  <c r="Q82" i="105"/>
  <c r="L54" i="105"/>
  <c r="P54" i="105"/>
  <c r="N54" i="105"/>
  <c r="W89" i="105"/>
  <c r="BI85" i="105"/>
  <c r="BH86" i="105"/>
  <c r="G86" i="105"/>
  <c r="I85" i="105"/>
  <c r="H85" i="105"/>
  <c r="BJ85" i="105"/>
  <c r="AU65" i="105"/>
  <c r="AY65" i="105"/>
  <c r="AW65" i="105"/>
  <c r="AV65" i="105"/>
  <c r="BG65" i="105"/>
  <c r="BL110" i="105"/>
  <c r="AM122" i="105"/>
  <c r="AO83" i="105"/>
  <c r="BA78" i="105"/>
  <c r="AZ78" i="105"/>
  <c r="AS78" i="105"/>
  <c r="AP85" i="105"/>
  <c r="AT84" i="105"/>
  <c r="AQ84" i="105"/>
  <c r="U85" i="105"/>
  <c r="V84" i="105"/>
  <c r="X117" i="105"/>
  <c r="BK82" i="105"/>
  <c r="K83" i="105"/>
  <c r="J82" i="105"/>
  <c r="R83" i="105"/>
  <c r="Q83" i="105"/>
  <c r="AU66" i="105"/>
  <c r="AY66" i="105"/>
  <c r="AW66" i="105"/>
  <c r="AV66" i="105"/>
  <c r="BG66" i="105"/>
  <c r="BL111" i="105"/>
  <c r="AT85" i="105"/>
  <c r="AP86" i="105"/>
  <c r="AQ85" i="105"/>
  <c r="G87" i="105"/>
  <c r="I86" i="105"/>
  <c r="H86" i="105"/>
  <c r="BJ86" i="105"/>
  <c r="BH87" i="105"/>
  <c r="BI86" i="105"/>
  <c r="AM123" i="105"/>
  <c r="AO84" i="105"/>
  <c r="AZ79" i="105"/>
  <c r="AS79" i="105"/>
  <c r="BA79" i="105"/>
  <c r="M54" i="105"/>
  <c r="S54" i="105"/>
  <c r="J83" i="105"/>
  <c r="R84" i="105"/>
  <c r="Q84" i="105"/>
  <c r="X118" i="105"/>
  <c r="BK83" i="105"/>
  <c r="K84" i="105"/>
  <c r="U86" i="105"/>
  <c r="V85" i="105"/>
  <c r="AU67" i="105"/>
  <c r="AY67" i="105"/>
  <c r="AW67" i="105"/>
  <c r="AV67" i="105"/>
  <c r="BG67" i="105"/>
  <c r="BL112" i="105"/>
  <c r="BI87" i="105"/>
  <c r="BH88" i="105"/>
  <c r="L55" i="105"/>
  <c r="P55" i="105"/>
  <c r="N55" i="105"/>
  <c r="W90" i="105"/>
  <c r="AP87" i="105"/>
  <c r="AT86" i="105"/>
  <c r="AQ86" i="105"/>
  <c r="BA80" i="105"/>
  <c r="AZ80" i="105"/>
  <c r="AS80" i="105"/>
  <c r="G88" i="105"/>
  <c r="I87" i="105"/>
  <c r="H87" i="105"/>
  <c r="BJ87" i="105"/>
  <c r="AM124" i="105"/>
  <c r="AO85" i="105"/>
  <c r="Q85" i="105"/>
  <c r="R85" i="105"/>
  <c r="U87" i="105"/>
  <c r="V86" i="105"/>
  <c r="J84" i="105"/>
  <c r="X119" i="105"/>
  <c r="BK84" i="105"/>
  <c r="K85" i="105"/>
  <c r="M55" i="105"/>
  <c r="S55" i="105"/>
  <c r="L56" i="105"/>
  <c r="P56" i="105"/>
  <c r="N56" i="105"/>
  <c r="AU68" i="105"/>
  <c r="AY68" i="105"/>
  <c r="AW68" i="105"/>
  <c r="BL113" i="105"/>
  <c r="AV68" i="105"/>
  <c r="BG68" i="105"/>
  <c r="AP88" i="105"/>
  <c r="AT87" i="105"/>
  <c r="AQ87" i="105"/>
  <c r="BH89" i="105"/>
  <c r="BI88" i="105"/>
  <c r="G89" i="105"/>
  <c r="I88" i="105"/>
  <c r="H88" i="105"/>
  <c r="BJ88" i="105"/>
  <c r="AM125" i="105"/>
  <c r="AO86" i="105"/>
  <c r="AZ81" i="105"/>
  <c r="AS81" i="105"/>
  <c r="BA81" i="105"/>
  <c r="X120" i="105"/>
  <c r="BK85" i="105"/>
  <c r="K86" i="105"/>
  <c r="R86" i="105"/>
  <c r="Q86" i="105"/>
  <c r="U88" i="105"/>
  <c r="V87" i="105"/>
  <c r="J85" i="105"/>
  <c r="W91" i="105"/>
  <c r="M56" i="105"/>
  <c r="S56" i="105"/>
  <c r="L57" i="105"/>
  <c r="P57" i="105"/>
  <c r="N57" i="105"/>
  <c r="W92" i="105"/>
  <c r="AU69" i="105"/>
  <c r="AY69" i="105"/>
  <c r="AW69" i="105"/>
  <c r="AV69" i="105"/>
  <c r="BG69" i="105"/>
  <c r="BL114" i="105"/>
  <c r="BH90" i="105"/>
  <c r="BI89" i="105"/>
  <c r="AP89" i="105"/>
  <c r="AT88" i="105"/>
  <c r="AQ88" i="105"/>
  <c r="G90" i="105"/>
  <c r="I89" i="105"/>
  <c r="H89" i="105"/>
  <c r="BJ89" i="105"/>
  <c r="AZ82" i="105"/>
  <c r="AS82" i="105"/>
  <c r="BA82" i="105"/>
  <c r="AM126" i="105"/>
  <c r="AO87" i="105"/>
  <c r="R87" i="105"/>
  <c r="Q87" i="105"/>
  <c r="BK86" i="105"/>
  <c r="X121" i="105"/>
  <c r="K87" i="105"/>
  <c r="U89" i="105"/>
  <c r="V88" i="105"/>
  <c r="J86" i="105"/>
  <c r="G91" i="105"/>
  <c r="H90" i="105"/>
  <c r="BJ90" i="105"/>
  <c r="I90" i="105"/>
  <c r="AP90" i="105"/>
  <c r="AT89" i="105"/>
  <c r="AQ89" i="105"/>
  <c r="AZ83" i="105"/>
  <c r="AS83" i="105"/>
  <c r="BA83" i="105"/>
  <c r="BH91" i="105"/>
  <c r="BI90" i="105"/>
  <c r="AU70" i="105"/>
  <c r="AY70" i="105"/>
  <c r="AW70" i="105"/>
  <c r="AV70" i="105"/>
  <c r="BG70" i="105"/>
  <c r="BL115" i="105"/>
  <c r="M57" i="105"/>
  <c r="S57" i="105"/>
  <c r="AM127" i="105"/>
  <c r="AO88" i="105"/>
  <c r="J87" i="105"/>
  <c r="R88" i="105"/>
  <c r="Q88" i="105"/>
  <c r="U90" i="105"/>
  <c r="V89" i="105"/>
  <c r="K88" i="105"/>
  <c r="X122" i="105"/>
  <c r="AH50" i="105"/>
  <c r="BK87" i="105"/>
  <c r="L58" i="105"/>
  <c r="P58" i="105"/>
  <c r="N58" i="105"/>
  <c r="W93" i="105"/>
  <c r="BA84" i="105"/>
  <c r="AZ84" i="105"/>
  <c r="AS84" i="105"/>
  <c r="AM128" i="105"/>
  <c r="AO89" i="105"/>
  <c r="G92" i="105"/>
  <c r="I91" i="105"/>
  <c r="H91" i="105"/>
  <c r="BJ91" i="105"/>
  <c r="AU71" i="105"/>
  <c r="AY71" i="105"/>
  <c r="AW71" i="105"/>
  <c r="AV71" i="105"/>
  <c r="BG71" i="105"/>
  <c r="BL116" i="105"/>
  <c r="BH92" i="105"/>
  <c r="BI91" i="105"/>
  <c r="AT90" i="105"/>
  <c r="AP91" i="105"/>
  <c r="AQ90" i="105"/>
  <c r="V90" i="105"/>
  <c r="U91" i="105"/>
  <c r="X123" i="105"/>
  <c r="BK88" i="105"/>
  <c r="J88" i="105"/>
  <c r="K89" i="105"/>
  <c r="R89" i="105"/>
  <c r="Q89" i="105"/>
  <c r="BH93" i="105"/>
  <c r="BI92" i="105"/>
  <c r="AP92" i="105"/>
  <c r="AT91" i="105"/>
  <c r="AQ91" i="105"/>
  <c r="AU72" i="105"/>
  <c r="AY72" i="105"/>
  <c r="AW72" i="105"/>
  <c r="AV72" i="105"/>
  <c r="BG72" i="105"/>
  <c r="BL117" i="105"/>
  <c r="AM129" i="105"/>
  <c r="AO90" i="105"/>
  <c r="M58" i="105"/>
  <c r="S58" i="105"/>
  <c r="AZ85" i="105"/>
  <c r="AS85" i="105"/>
  <c r="BA85" i="105"/>
  <c r="G93" i="105"/>
  <c r="I92" i="105"/>
  <c r="H92" i="105"/>
  <c r="BJ92" i="105"/>
  <c r="K90" i="105"/>
  <c r="X124" i="105"/>
  <c r="BK89" i="105"/>
  <c r="U92" i="105"/>
  <c r="V91" i="105"/>
  <c r="Q90" i="105"/>
  <c r="R90" i="105"/>
  <c r="J89" i="105"/>
  <c r="AZ86" i="105"/>
  <c r="AS86" i="105"/>
  <c r="BA86" i="105"/>
  <c r="G94" i="105"/>
  <c r="I93" i="105"/>
  <c r="H93" i="105"/>
  <c r="BJ93" i="105"/>
  <c r="BH94" i="105"/>
  <c r="BI93" i="105"/>
  <c r="AU73" i="105"/>
  <c r="AY73" i="105"/>
  <c r="AW73" i="105"/>
  <c r="AV73" i="105"/>
  <c r="BG73" i="105"/>
  <c r="BL118" i="105"/>
  <c r="AM130" i="105"/>
  <c r="AO91" i="105"/>
  <c r="L59" i="105"/>
  <c r="P59" i="105"/>
  <c r="N59" i="105"/>
  <c r="W94" i="105"/>
  <c r="AT92" i="105"/>
  <c r="AP93" i="105"/>
  <c r="AQ92" i="105"/>
  <c r="Q91" i="105"/>
  <c r="R91" i="105"/>
  <c r="X125" i="105"/>
  <c r="K91" i="105"/>
  <c r="J90" i="105"/>
  <c r="BK90" i="105"/>
  <c r="V92" i="105"/>
  <c r="U93" i="105"/>
  <c r="M59" i="105"/>
  <c r="S59" i="105"/>
  <c r="L60" i="105"/>
  <c r="P60" i="105"/>
  <c r="N60" i="105"/>
  <c r="AP94" i="105"/>
  <c r="AQ93" i="105"/>
  <c r="AM131" i="105"/>
  <c r="AO92" i="105"/>
  <c r="AV93" i="105"/>
  <c r="AZ87" i="105"/>
  <c r="AS87" i="105"/>
  <c r="BA87" i="105"/>
  <c r="G95" i="105"/>
  <c r="I94" i="105"/>
  <c r="H94" i="105"/>
  <c r="BJ94" i="105"/>
  <c r="AU74" i="105"/>
  <c r="AY74" i="105"/>
  <c r="AW74" i="105"/>
  <c r="AV74" i="105"/>
  <c r="BG74" i="105"/>
  <c r="BL119" i="105"/>
  <c r="BI94" i="105"/>
  <c r="BH95" i="105"/>
  <c r="J91" i="105"/>
  <c r="Q92" i="105"/>
  <c r="R92" i="105"/>
  <c r="V93" i="105"/>
  <c r="U94" i="105"/>
  <c r="X126" i="105"/>
  <c r="BK91" i="105"/>
  <c r="K92" i="105"/>
  <c r="W95" i="105"/>
  <c r="M60" i="105"/>
  <c r="S60" i="105"/>
  <c r="L61" i="105"/>
  <c r="P61" i="105"/>
  <c r="N61" i="105"/>
  <c r="BA88" i="105"/>
  <c r="AZ88" i="105"/>
  <c r="AS88" i="105"/>
  <c r="AV94" i="105"/>
  <c r="G96" i="105"/>
  <c r="I95" i="105"/>
  <c r="H95" i="105"/>
  <c r="BJ95" i="105"/>
  <c r="AU75" i="105"/>
  <c r="AY75" i="105"/>
  <c r="AW75" i="105"/>
  <c r="AV75" i="105"/>
  <c r="BG75" i="105"/>
  <c r="BL120" i="105"/>
  <c r="BH96" i="105"/>
  <c r="BI95" i="105"/>
  <c r="AP95" i="105"/>
  <c r="AQ94" i="105"/>
  <c r="W96" i="105"/>
  <c r="X127" i="105"/>
  <c r="BK92" i="105"/>
  <c r="Q93" i="105"/>
  <c r="R93" i="105"/>
  <c r="M93" i="105"/>
  <c r="J92" i="105"/>
  <c r="U95" i="105"/>
  <c r="V94" i="105"/>
  <c r="BH97" i="105"/>
  <c r="BI96" i="105"/>
  <c r="AV95" i="105"/>
  <c r="BA89" i="105"/>
  <c r="AZ89" i="105"/>
  <c r="AS89" i="105"/>
  <c r="AU76" i="105"/>
  <c r="AY76" i="105"/>
  <c r="AW76" i="105"/>
  <c r="AV76" i="105"/>
  <c r="BG76" i="105"/>
  <c r="BL121" i="105"/>
  <c r="M61" i="105"/>
  <c r="S61" i="105"/>
  <c r="AP96" i="105"/>
  <c r="AQ95" i="105"/>
  <c r="G97" i="105"/>
  <c r="H96" i="105"/>
  <c r="BJ96" i="105"/>
  <c r="I96" i="105"/>
  <c r="V95" i="105"/>
  <c r="U96" i="105"/>
  <c r="Q94" i="105"/>
  <c r="R94" i="105"/>
  <c r="M94" i="105"/>
  <c r="L62" i="105"/>
  <c r="P62" i="105"/>
  <c r="N62" i="105"/>
  <c r="W97" i="105"/>
  <c r="AV96" i="105"/>
  <c r="BA90" i="105"/>
  <c r="AZ90" i="105"/>
  <c r="AS90" i="105"/>
  <c r="G98" i="105"/>
  <c r="I97" i="105"/>
  <c r="H97" i="105"/>
  <c r="BJ97" i="105"/>
  <c r="AP97" i="105"/>
  <c r="AQ96" i="105"/>
  <c r="AU77" i="105"/>
  <c r="AY77" i="105"/>
  <c r="AW77" i="105"/>
  <c r="AV77" i="105"/>
  <c r="BG77" i="105"/>
  <c r="BL122" i="105"/>
  <c r="BH98" i="105"/>
  <c r="BI97" i="105"/>
  <c r="V96" i="105"/>
  <c r="U97" i="105"/>
  <c r="Q95" i="105"/>
  <c r="M95" i="105"/>
  <c r="R95" i="105"/>
  <c r="M62" i="105"/>
  <c r="S62" i="105"/>
  <c r="L63" i="105"/>
  <c r="AU78" i="105"/>
  <c r="AY78" i="105"/>
  <c r="AW78" i="105"/>
  <c r="AV78" i="105"/>
  <c r="BG78" i="105"/>
  <c r="BL123" i="105"/>
  <c r="AP98" i="105"/>
  <c r="AQ97" i="105"/>
  <c r="AV97" i="105"/>
  <c r="BA91" i="105"/>
  <c r="AZ91" i="105"/>
  <c r="AS91" i="105"/>
  <c r="BH99" i="105"/>
  <c r="BI98" i="105"/>
  <c r="G99" i="105"/>
  <c r="I98" i="105"/>
  <c r="H98" i="105"/>
  <c r="BJ98" i="105"/>
  <c r="V97" i="105"/>
  <c r="U98" i="105"/>
  <c r="M96" i="105"/>
  <c r="R96" i="105"/>
  <c r="Q96" i="105"/>
  <c r="W98" i="105"/>
  <c r="P63" i="105"/>
  <c r="N63" i="105"/>
  <c r="M63" i="105"/>
  <c r="S63" i="105"/>
  <c r="W99" i="105"/>
  <c r="BI99" i="105"/>
  <c r="BH100" i="105"/>
  <c r="AP99" i="105"/>
  <c r="AQ98" i="105"/>
  <c r="AU79" i="105"/>
  <c r="AY79" i="105"/>
  <c r="AW79" i="105"/>
  <c r="AV79" i="105"/>
  <c r="BG79" i="105"/>
  <c r="BL124" i="105"/>
  <c r="G100" i="105"/>
  <c r="H99" i="105"/>
  <c r="BJ99" i="105"/>
  <c r="I99" i="105"/>
  <c r="AV98" i="105"/>
  <c r="BA92" i="105"/>
  <c r="AZ92" i="105"/>
  <c r="AS92" i="105"/>
  <c r="V98" i="105"/>
  <c r="U99" i="105"/>
  <c r="Q97" i="105"/>
  <c r="M97" i="105"/>
  <c r="R97" i="105"/>
  <c r="L64" i="105"/>
  <c r="G101" i="105"/>
  <c r="I100" i="105"/>
  <c r="H100" i="105"/>
  <c r="BJ100" i="105"/>
  <c r="AP100" i="105"/>
  <c r="AQ99" i="105"/>
  <c r="BI100" i="105"/>
  <c r="BH101" i="105"/>
  <c r="AU80" i="105"/>
  <c r="AY80" i="105"/>
  <c r="AW80" i="105"/>
  <c r="AV80" i="105"/>
  <c r="BG80" i="105"/>
  <c r="BL125" i="105"/>
  <c r="AV99" i="105"/>
  <c r="BA93" i="105"/>
  <c r="AZ93" i="105"/>
  <c r="U100" i="105"/>
  <c r="V99" i="105"/>
  <c r="Q98" i="105"/>
  <c r="R98" i="105"/>
  <c r="M98" i="105"/>
  <c r="P64" i="105"/>
  <c r="N64" i="105"/>
  <c r="M64" i="105"/>
  <c r="S64" i="105"/>
  <c r="AU81" i="105"/>
  <c r="AY81" i="105"/>
  <c r="AW81" i="105"/>
  <c r="AV81" i="105"/>
  <c r="BG81" i="105"/>
  <c r="BL126" i="105"/>
  <c r="AV100" i="105"/>
  <c r="BA94" i="105"/>
  <c r="AZ94" i="105"/>
  <c r="G102" i="105"/>
  <c r="I101" i="105"/>
  <c r="H101" i="105"/>
  <c r="BJ101" i="105"/>
  <c r="AP101" i="105"/>
  <c r="AQ100" i="105"/>
  <c r="BI101" i="105"/>
  <c r="BH102" i="105"/>
  <c r="M99" i="105"/>
  <c r="Q99" i="105"/>
  <c r="R99" i="105"/>
  <c r="U101" i="105"/>
  <c r="V100" i="105"/>
  <c r="W100" i="105"/>
  <c r="L65" i="105"/>
  <c r="BI102" i="105"/>
  <c r="BH103" i="105"/>
  <c r="AU82" i="105"/>
  <c r="AY82" i="105"/>
  <c r="AW82" i="105"/>
  <c r="AV82" i="105"/>
  <c r="BG82" i="105"/>
  <c r="BL127" i="105"/>
  <c r="BA95" i="105"/>
  <c r="AV101" i="105"/>
  <c r="AZ95" i="105"/>
  <c r="AP102" i="105"/>
  <c r="AQ101" i="105"/>
  <c r="G103" i="105"/>
  <c r="I102" i="105"/>
  <c r="H102" i="105"/>
  <c r="BJ102" i="105"/>
  <c r="Q100" i="105"/>
  <c r="R100" i="105"/>
  <c r="M100" i="105"/>
  <c r="V101" i="105"/>
  <c r="U102" i="105"/>
  <c r="P65" i="105"/>
  <c r="N65" i="105"/>
  <c r="M65" i="105"/>
  <c r="S65" i="105"/>
  <c r="G104" i="105"/>
  <c r="I103" i="105"/>
  <c r="H103" i="105"/>
  <c r="BJ103" i="105"/>
  <c r="AP103" i="105"/>
  <c r="AQ102" i="105"/>
  <c r="BH104" i="105"/>
  <c r="BI103" i="105"/>
  <c r="AU83" i="105"/>
  <c r="AY83" i="105"/>
  <c r="AW83" i="105"/>
  <c r="AV83" i="105"/>
  <c r="BG83" i="105"/>
  <c r="BL128" i="105"/>
  <c r="BA96" i="105"/>
  <c r="AV102" i="105"/>
  <c r="AZ96" i="105"/>
  <c r="V102" i="105"/>
  <c r="U103" i="105"/>
  <c r="Q101" i="105"/>
  <c r="M101" i="105"/>
  <c r="R101" i="105"/>
  <c r="L66" i="105"/>
  <c r="W101" i="105"/>
  <c r="BA97" i="105"/>
  <c r="AZ97" i="105"/>
  <c r="AV103" i="105"/>
  <c r="AU84" i="105"/>
  <c r="AY84" i="105"/>
  <c r="AW84" i="105"/>
  <c r="AV84" i="105"/>
  <c r="BG84" i="105"/>
  <c r="BL129" i="105"/>
  <c r="BI104" i="105"/>
  <c r="BH105" i="105"/>
  <c r="AP104" i="105"/>
  <c r="AQ103" i="105"/>
  <c r="G105" i="105"/>
  <c r="I104" i="105"/>
  <c r="H104" i="105"/>
  <c r="BJ104" i="105"/>
  <c r="U104" i="105"/>
  <c r="V103" i="105"/>
  <c r="M102" i="105"/>
  <c r="R102" i="105"/>
  <c r="Q102" i="105"/>
  <c r="P66" i="105"/>
  <c r="N66" i="105"/>
  <c r="M66" i="105"/>
  <c r="S66" i="105"/>
  <c r="G106" i="105"/>
  <c r="H105" i="105"/>
  <c r="BJ105" i="105"/>
  <c r="I105" i="105"/>
  <c r="BH106" i="105"/>
  <c r="BI105" i="105"/>
  <c r="AV104" i="105"/>
  <c r="AZ98" i="105"/>
  <c r="BA98" i="105"/>
  <c r="AP105" i="105"/>
  <c r="AQ104" i="105"/>
  <c r="AU85" i="105"/>
  <c r="AY85" i="105"/>
  <c r="AW85" i="105"/>
  <c r="AV85" i="105"/>
  <c r="BG85" i="105"/>
  <c r="BL130" i="105"/>
  <c r="M103" i="105"/>
  <c r="R103" i="105"/>
  <c r="Q103" i="105"/>
  <c r="U105" i="105"/>
  <c r="V104" i="105"/>
  <c r="L67" i="105"/>
  <c r="P67" i="105"/>
  <c r="N67" i="105"/>
  <c r="W102" i="105"/>
  <c r="AU86" i="105"/>
  <c r="AY86" i="105"/>
  <c r="AW86" i="105"/>
  <c r="AV86" i="105"/>
  <c r="BG86" i="105"/>
  <c r="BL131" i="105"/>
  <c r="AP106" i="105"/>
  <c r="AQ105" i="105"/>
  <c r="AV105" i="105"/>
  <c r="BA99" i="105"/>
  <c r="AZ99" i="105"/>
  <c r="BH107" i="105"/>
  <c r="BI106" i="105"/>
  <c r="G107" i="105"/>
  <c r="I106" i="105"/>
  <c r="H106" i="105"/>
  <c r="BJ106" i="105"/>
  <c r="R104" i="105"/>
  <c r="M104" i="105"/>
  <c r="Q104" i="105"/>
  <c r="U106" i="105"/>
  <c r="V105" i="105"/>
  <c r="M67" i="105"/>
  <c r="S67" i="105"/>
  <c r="L68" i="105"/>
  <c r="AZ100" i="105"/>
  <c r="BA100" i="105"/>
  <c r="AV106" i="105"/>
  <c r="AP107" i="105"/>
  <c r="AQ106" i="105"/>
  <c r="BH108" i="105"/>
  <c r="BI107" i="105"/>
  <c r="AU87" i="105"/>
  <c r="AY87" i="105"/>
  <c r="AW87" i="105"/>
  <c r="AV87" i="105"/>
  <c r="BG87" i="105"/>
  <c r="BL132" i="105"/>
  <c r="G108" i="105"/>
  <c r="I107" i="105"/>
  <c r="H107" i="105"/>
  <c r="BJ107" i="105"/>
  <c r="M105" i="105"/>
  <c r="R105" i="105"/>
  <c r="Q105" i="105"/>
  <c r="V106" i="105"/>
  <c r="U107" i="105"/>
  <c r="W103" i="105"/>
  <c r="P68" i="105"/>
  <c r="N68" i="105"/>
  <c r="M68" i="105"/>
  <c r="S68" i="105"/>
  <c r="I108" i="105"/>
  <c r="H108" i="105"/>
  <c r="BJ108" i="105"/>
  <c r="AV107" i="105"/>
  <c r="AZ101" i="105"/>
  <c r="BA101" i="105"/>
  <c r="AU88" i="105"/>
  <c r="AY88" i="105"/>
  <c r="AW88" i="105"/>
  <c r="AV88" i="105"/>
  <c r="BG88" i="105"/>
  <c r="BL133" i="105"/>
  <c r="BH109" i="105"/>
  <c r="BI108" i="105"/>
  <c r="AP108" i="105"/>
  <c r="AQ108" i="105"/>
  <c r="AQ107" i="105"/>
  <c r="V107" i="105"/>
  <c r="U108" i="105"/>
  <c r="R106" i="105"/>
  <c r="Q106" i="105"/>
  <c r="M106" i="105"/>
  <c r="L69" i="105"/>
  <c r="W104" i="105"/>
  <c r="AU89" i="105"/>
  <c r="AY89" i="105"/>
  <c r="AW89" i="105"/>
  <c r="AV89" i="105"/>
  <c r="BG89" i="105"/>
  <c r="BL134" i="105"/>
  <c r="AV108" i="105"/>
  <c r="AV109" i="105" s="1"/>
  <c r="AZ102" i="105"/>
  <c r="BA102" i="105"/>
  <c r="BI109" i="105"/>
  <c r="BH110" i="105"/>
  <c r="Q107" i="105"/>
  <c r="R107" i="105"/>
  <c r="M107" i="105"/>
  <c r="P69" i="105"/>
  <c r="N69" i="105"/>
  <c r="M69" i="105"/>
  <c r="S69" i="105"/>
  <c r="AZ103" i="105"/>
  <c r="BA103" i="105"/>
  <c r="AU90" i="105"/>
  <c r="AY90" i="105"/>
  <c r="AW90" i="105"/>
  <c r="AV90" i="105"/>
  <c r="BL135" i="105"/>
  <c r="BI110" i="105"/>
  <c r="BH111" i="105"/>
  <c r="BG90" i="105"/>
  <c r="AU91" i="105"/>
  <c r="AY91" i="105"/>
  <c r="AW91" i="105"/>
  <c r="W105" i="105"/>
  <c r="L70" i="105"/>
  <c r="P70" i="105"/>
  <c r="N70" i="105"/>
  <c r="BH112" i="105"/>
  <c r="BI111" i="105"/>
  <c r="AZ104" i="105"/>
  <c r="BA104" i="105"/>
  <c r="BL136" i="105"/>
  <c r="AV91" i="105"/>
  <c r="M70" i="105"/>
  <c r="S70" i="105"/>
  <c r="W106" i="105"/>
  <c r="BA105" i="105"/>
  <c r="AZ105" i="105"/>
  <c r="BH113" i="105"/>
  <c r="BI112" i="105"/>
  <c r="L71" i="105"/>
  <c r="P71" i="105"/>
  <c r="N71" i="105"/>
  <c r="BG91" i="105"/>
  <c r="BA106" i="105"/>
  <c r="AZ106" i="105"/>
  <c r="BH114" i="105"/>
  <c r="BI114" i="105"/>
  <c r="BI113" i="105"/>
  <c r="M71" i="105"/>
  <c r="S71" i="105"/>
  <c r="AV92" i="105"/>
  <c r="BL137" i="105"/>
  <c r="BG92" i="105"/>
  <c r="AU92" i="105"/>
  <c r="AY92" i="105"/>
  <c r="AW92" i="105"/>
  <c r="BA107" i="105"/>
  <c r="AZ107" i="105"/>
  <c r="BA108" i="105"/>
  <c r="AZ108" i="105"/>
  <c r="AZ109" i="105"/>
  <c r="L72" i="105"/>
  <c r="P72" i="105"/>
  <c r="N72" i="105"/>
  <c r="M72" i="105"/>
  <c r="S72" i="105"/>
  <c r="W107" i="105"/>
  <c r="BL138" i="105"/>
  <c r="AU93" i="105"/>
  <c r="AY93" i="105"/>
  <c r="AW93" i="105"/>
  <c r="AT93" i="105"/>
  <c r="AS93" i="105" s="1"/>
  <c r="BG93" i="105"/>
  <c r="BL139" i="105" s="1"/>
  <c r="W108" i="105"/>
  <c r="L73" i="105"/>
  <c r="P73" i="105"/>
  <c r="N73" i="105"/>
  <c r="BG94" i="105"/>
  <c r="AU95" i="105" s="1"/>
  <c r="AY95" i="105" s="1"/>
  <c r="AW95" i="105" s="1"/>
  <c r="AM132" i="105"/>
  <c r="M73" i="105"/>
  <c r="S73" i="105"/>
  <c r="L74" i="105"/>
  <c r="P74" i="105"/>
  <c r="N74" i="105"/>
  <c r="W109" i="105"/>
  <c r="M74" i="105"/>
  <c r="S74" i="105"/>
  <c r="W110" i="105"/>
  <c r="L75" i="105"/>
  <c r="P75" i="105"/>
  <c r="N75" i="105"/>
  <c r="M75" i="105"/>
  <c r="S75" i="105"/>
  <c r="L76" i="105"/>
  <c r="P76" i="105"/>
  <c r="N76" i="105"/>
  <c r="W111" i="105"/>
  <c r="M76" i="105"/>
  <c r="S76" i="105"/>
  <c r="W112" i="105"/>
  <c r="L77" i="105"/>
  <c r="P77" i="105"/>
  <c r="N77" i="105"/>
  <c r="M77" i="105"/>
  <c r="S77" i="105"/>
  <c r="W113" i="105"/>
  <c r="L78" i="105"/>
  <c r="P78" i="105"/>
  <c r="N78" i="105"/>
  <c r="M78" i="105"/>
  <c r="S78" i="105"/>
  <c r="W114" i="105"/>
  <c r="L79" i="105"/>
  <c r="P79" i="105"/>
  <c r="N79" i="105"/>
  <c r="M79" i="105"/>
  <c r="S79" i="105"/>
  <c r="W115" i="105"/>
  <c r="L80" i="105"/>
  <c r="P80" i="105"/>
  <c r="N80" i="105"/>
  <c r="M80" i="105"/>
  <c r="S80" i="105"/>
  <c r="W116" i="105"/>
  <c r="L81" i="105"/>
  <c r="P81" i="105"/>
  <c r="N81" i="105"/>
  <c r="M81" i="105"/>
  <c r="S81" i="105"/>
  <c r="L82" i="105"/>
  <c r="W117" i="105"/>
  <c r="P82" i="105"/>
  <c r="N82" i="105"/>
  <c r="M82" i="105"/>
  <c r="S82" i="105"/>
  <c r="W118" i="105"/>
  <c r="L83" i="105"/>
  <c r="P83" i="105"/>
  <c r="N83" i="105"/>
  <c r="M83" i="105"/>
  <c r="S83" i="105"/>
  <c r="W119" i="105"/>
  <c r="L84" i="105"/>
  <c r="P84" i="105"/>
  <c r="N84" i="105"/>
  <c r="M84" i="105"/>
  <c r="S84" i="105"/>
  <c r="L85" i="105"/>
  <c r="P85" i="105"/>
  <c r="N85" i="105"/>
  <c r="W120" i="105"/>
  <c r="M85" i="105"/>
  <c r="S85" i="105"/>
  <c r="L86" i="105"/>
  <c r="P86" i="105"/>
  <c r="N86" i="105"/>
  <c r="W121" i="105"/>
  <c r="M86" i="105"/>
  <c r="S86" i="105"/>
  <c r="W122" i="105"/>
  <c r="L87" i="105"/>
  <c r="P87" i="105"/>
  <c r="N87" i="105"/>
  <c r="M87" i="105"/>
  <c r="S87" i="105"/>
  <c r="L88" i="105"/>
  <c r="P88" i="105"/>
  <c r="N88" i="105"/>
  <c r="W123" i="105"/>
  <c r="M88" i="105"/>
  <c r="S88" i="105"/>
  <c r="W124" i="105"/>
  <c r="L89" i="105"/>
  <c r="P89" i="105"/>
  <c r="N89" i="105"/>
  <c r="M89" i="105"/>
  <c r="S89" i="105"/>
  <c r="L90" i="105"/>
  <c r="P90" i="105"/>
  <c r="N90" i="105"/>
  <c r="M90" i="105"/>
  <c r="S90" i="105"/>
  <c r="W125" i="105"/>
  <c r="W126" i="105"/>
  <c r="L91" i="105"/>
  <c r="P91" i="105"/>
  <c r="N91" i="105"/>
  <c r="M91" i="105"/>
  <c r="S91" i="105"/>
  <c r="S92" i="105"/>
  <c r="W127" i="105"/>
  <c r="L92" i="105"/>
  <c r="P92" i="105"/>
  <c r="N92" i="105"/>
  <c r="M92" i="105"/>
  <c r="L93" i="105"/>
  <c r="P93" i="105"/>
  <c r="N93" i="105"/>
  <c r="K93" i="105"/>
  <c r="X128" i="105" s="1"/>
  <c r="W128" i="105"/>
  <c r="S93" i="105"/>
  <c r="S94" i="105" s="1"/>
  <c r="BK93" i="105"/>
  <c r="G3" i="94"/>
  <c r="C7" i="103"/>
  <c r="C11" i="103"/>
  <c r="T36" i="103" s="1"/>
  <c r="C10" i="103"/>
  <c r="C9" i="103"/>
  <c r="AA58" i="103" s="1"/>
  <c r="BA115" i="103"/>
  <c r="BA114" i="103"/>
  <c r="BA113" i="103"/>
  <c r="BA112" i="103"/>
  <c r="BA111" i="103"/>
  <c r="AH80" i="103"/>
  <c r="AH69" i="103"/>
  <c r="W51" i="103"/>
  <c r="W52" i="103"/>
  <c r="W53" i="103"/>
  <c r="W54" i="103"/>
  <c r="W55" i="103"/>
  <c r="W56" i="103"/>
  <c r="W57" i="103"/>
  <c r="W58" i="103"/>
  <c r="W59" i="103"/>
  <c r="W60" i="103"/>
  <c r="W61" i="103"/>
  <c r="W62" i="103"/>
  <c r="W63" i="103"/>
  <c r="W64" i="103"/>
  <c r="W65" i="103"/>
  <c r="W66" i="103"/>
  <c r="W67" i="103"/>
  <c r="W68" i="103"/>
  <c r="W69" i="103"/>
  <c r="W70" i="103"/>
  <c r="W71" i="103"/>
  <c r="W72" i="103"/>
  <c r="W73" i="103"/>
  <c r="W74" i="103"/>
  <c r="W75" i="103"/>
  <c r="W76" i="103"/>
  <c r="W77" i="103"/>
  <c r="W78" i="103"/>
  <c r="W79" i="103"/>
  <c r="W80" i="103"/>
  <c r="W81" i="103"/>
  <c r="W82" i="103"/>
  <c r="W83" i="103"/>
  <c r="W84" i="103"/>
  <c r="W85" i="103"/>
  <c r="W86" i="103"/>
  <c r="W87" i="103"/>
  <c r="W88" i="103"/>
  <c r="W89" i="103"/>
  <c r="W90" i="103"/>
  <c r="W91" i="103"/>
  <c r="W92" i="103"/>
  <c r="W93" i="103"/>
  <c r="W94" i="103"/>
  <c r="W95" i="103"/>
  <c r="W96" i="103"/>
  <c r="W97" i="103"/>
  <c r="W98" i="103"/>
  <c r="W99" i="103"/>
  <c r="W100" i="103"/>
  <c r="W101" i="103"/>
  <c r="W102" i="103"/>
  <c r="W103" i="103"/>
  <c r="W104" i="103"/>
  <c r="W105" i="103"/>
  <c r="W106" i="103"/>
  <c r="W107" i="103"/>
  <c r="W108" i="103"/>
  <c r="W109" i="103"/>
  <c r="W110" i="103"/>
  <c r="W111" i="103"/>
  <c r="W112" i="103"/>
  <c r="W113" i="103"/>
  <c r="W114" i="103"/>
  <c r="W115" i="103"/>
  <c r="W116" i="103"/>
  <c r="W117" i="103"/>
  <c r="W118" i="103"/>
  <c r="W119" i="103"/>
  <c r="W120" i="103"/>
  <c r="W121" i="103"/>
  <c r="W122" i="103"/>
  <c r="W123" i="103"/>
  <c r="W124" i="103"/>
  <c r="W125" i="103"/>
  <c r="W126" i="103"/>
  <c r="W127" i="103"/>
  <c r="W128" i="103"/>
  <c r="W129" i="103"/>
  <c r="W130" i="103"/>
  <c r="W131" i="103"/>
  <c r="W132" i="103"/>
  <c r="W133" i="103"/>
  <c r="W134" i="103"/>
  <c r="W135" i="103"/>
  <c r="W136" i="103"/>
  <c r="W137" i="103"/>
  <c r="W138" i="103"/>
  <c r="W139" i="103"/>
  <c r="W140" i="103"/>
  <c r="W141" i="103"/>
  <c r="W142" i="103"/>
  <c r="W143" i="103"/>
  <c r="W144" i="103"/>
  <c r="W145" i="103"/>
  <c r="W146" i="103"/>
  <c r="W147" i="103"/>
  <c r="W148" i="103"/>
  <c r="W149" i="103"/>
  <c r="W150" i="103"/>
  <c r="W151" i="103"/>
  <c r="W152" i="103"/>
  <c r="W153" i="103"/>
  <c r="W154" i="103"/>
  <c r="W155" i="103"/>
  <c r="W156" i="103"/>
  <c r="W157" i="103"/>
  <c r="W158" i="103"/>
  <c r="W159" i="103"/>
  <c r="W160" i="103"/>
  <c r="W161" i="103"/>
  <c r="W162" i="103"/>
  <c r="W163" i="103"/>
  <c r="W164" i="103"/>
  <c r="W165" i="103"/>
  <c r="W166" i="103"/>
  <c r="W167" i="103"/>
  <c r="W168" i="103"/>
  <c r="W169" i="103"/>
  <c r="W170" i="103"/>
  <c r="W171" i="103"/>
  <c r="W172" i="103"/>
  <c r="W173" i="103"/>
  <c r="W174" i="103"/>
  <c r="W175" i="103"/>
  <c r="W176" i="103"/>
  <c r="W177" i="103"/>
  <c r="W178" i="103"/>
  <c r="W179" i="103"/>
  <c r="W180" i="103"/>
  <c r="AJ47" i="103"/>
  <c r="AI47" i="103"/>
  <c r="T47" i="103"/>
  <c r="AJ46" i="103"/>
  <c r="D23" i="103"/>
  <c r="D18" i="103"/>
  <c r="X11" i="103"/>
  <c r="W11" i="103"/>
  <c r="X10" i="103"/>
  <c r="W10" i="103"/>
  <c r="AM9" i="103"/>
  <c r="X9" i="103"/>
  <c r="W9" i="103"/>
  <c r="M9" i="103"/>
  <c r="E9" i="103"/>
  <c r="E10" i="103"/>
  <c r="BC8" i="103"/>
  <c r="AN8" i="103"/>
  <c r="AK49" i="103" s="1"/>
  <c r="X8" i="103"/>
  <c r="W8" i="103"/>
  <c r="F8" i="103"/>
  <c r="H2" i="103" s="1"/>
  <c r="X7" i="103"/>
  <c r="W7" i="103"/>
  <c r="V7" i="103"/>
  <c r="U7" i="103"/>
  <c r="X6" i="103"/>
  <c r="W6" i="103"/>
  <c r="V6" i="103"/>
  <c r="U6" i="103"/>
  <c r="X5" i="103"/>
  <c r="W5" i="103"/>
  <c r="V5" i="103"/>
  <c r="U5" i="103"/>
  <c r="AM3" i="103"/>
  <c r="E3" i="103"/>
  <c r="AI1" i="103"/>
  <c r="AE87" i="103"/>
  <c r="R9" i="103"/>
  <c r="R10" i="103" s="1"/>
  <c r="R11" i="103" s="1"/>
  <c r="R12" i="103" s="1"/>
  <c r="R13" i="103" s="1"/>
  <c r="R14" i="103" s="1"/>
  <c r="R15" i="103" s="1"/>
  <c r="R16" i="103" s="1"/>
  <c r="R17" i="103" s="1"/>
  <c r="R18" i="103" s="1"/>
  <c r="R19" i="103" s="1"/>
  <c r="R20" i="103" s="1"/>
  <c r="R21" i="103" s="1"/>
  <c r="R22" i="103" s="1"/>
  <c r="R23" i="103" s="1"/>
  <c r="R24" i="103" s="1"/>
  <c r="R25" i="103" s="1"/>
  <c r="R26" i="103" s="1"/>
  <c r="R27" i="103" s="1"/>
  <c r="R28" i="103" s="1"/>
  <c r="R29" i="103" s="1"/>
  <c r="R30" i="103" s="1"/>
  <c r="R31" i="103" s="1"/>
  <c r="R32" i="103" s="1"/>
  <c r="R33" i="103" s="1"/>
  <c r="R34" i="103" s="1"/>
  <c r="R35" i="103" s="1"/>
  <c r="R36" i="103" s="1"/>
  <c r="R37" i="103" s="1"/>
  <c r="R38" i="103" s="1"/>
  <c r="R39" i="103" s="1"/>
  <c r="R40" i="103" s="1"/>
  <c r="R41" i="103" s="1"/>
  <c r="R42" i="103" s="1"/>
  <c r="R43" i="103" s="1"/>
  <c r="R44" i="103" s="1"/>
  <c r="R45" i="103" s="1"/>
  <c r="R46" i="103" s="1"/>
  <c r="R47" i="103" s="1"/>
  <c r="R48" i="103" s="1"/>
  <c r="R49" i="103" s="1"/>
  <c r="R50" i="103" s="1"/>
  <c r="R51" i="103" s="1"/>
  <c r="R52" i="103" s="1"/>
  <c r="R53" i="103" s="1"/>
  <c r="R54" i="103" s="1"/>
  <c r="R55" i="103" s="1"/>
  <c r="R56" i="103" s="1"/>
  <c r="R57" i="103" s="1"/>
  <c r="R58" i="103" s="1"/>
  <c r="R59" i="103" s="1"/>
  <c r="R60" i="103" s="1"/>
  <c r="R61" i="103" s="1"/>
  <c r="R62" i="103" s="1"/>
  <c r="R63" i="103" s="1"/>
  <c r="R64" i="103" s="1"/>
  <c r="R65" i="103" s="1"/>
  <c r="R66" i="103" s="1"/>
  <c r="R67" i="103" s="1"/>
  <c r="R68" i="103" s="1"/>
  <c r="R69" i="103" s="1"/>
  <c r="R70" i="103" s="1"/>
  <c r="R71" i="103" s="1"/>
  <c r="R72" i="103" s="1"/>
  <c r="R73" i="103" s="1"/>
  <c r="R74" i="103" s="1"/>
  <c r="R75" i="103" s="1"/>
  <c r="R76" i="103" s="1"/>
  <c r="R77" i="103" s="1"/>
  <c r="R78" i="103" s="1"/>
  <c r="R79" i="103" s="1"/>
  <c r="R80" i="103" s="1"/>
  <c r="R81" i="103" s="1"/>
  <c r="R82" i="103" s="1"/>
  <c r="R83" i="103" s="1"/>
  <c r="R84" i="103" s="1"/>
  <c r="R85" i="103" s="1"/>
  <c r="R86" i="103" s="1"/>
  <c r="R87" i="103" s="1"/>
  <c r="R88" i="103" s="1"/>
  <c r="R89" i="103" s="1"/>
  <c r="R90" i="103" s="1"/>
  <c r="R91" i="103" s="1"/>
  <c r="R92" i="103" s="1"/>
  <c r="R93" i="103" s="1"/>
  <c r="R94" i="103" s="1"/>
  <c r="R95" i="103" s="1"/>
  <c r="R96" i="103" s="1"/>
  <c r="R97" i="103" s="1"/>
  <c r="R98" i="103" s="1"/>
  <c r="R99" i="103" s="1"/>
  <c r="R100" i="103" s="1"/>
  <c r="R101" i="103" s="1"/>
  <c r="R102" i="103" s="1"/>
  <c r="R103" i="103" s="1"/>
  <c r="R104" i="103" s="1"/>
  <c r="R105" i="103" s="1"/>
  <c r="R106" i="103" s="1"/>
  <c r="R107" i="103" s="1"/>
  <c r="R108" i="103" s="1"/>
  <c r="R109" i="103" s="1"/>
  <c r="R110" i="103" s="1"/>
  <c r="R111" i="103" s="1"/>
  <c r="R112" i="103" s="1"/>
  <c r="R113" i="103" s="1"/>
  <c r="R114" i="103" s="1"/>
  <c r="R115" i="103" s="1"/>
  <c r="R116" i="103" s="1"/>
  <c r="R117" i="103" s="1"/>
  <c r="R118" i="103" s="1"/>
  <c r="R119" i="103" s="1"/>
  <c r="R120" i="103" s="1"/>
  <c r="R121" i="103" s="1"/>
  <c r="R122" i="103" s="1"/>
  <c r="R123" i="103" s="1"/>
  <c r="R124" i="103" s="1"/>
  <c r="R125" i="103" s="1"/>
  <c r="R126" i="103" s="1"/>
  <c r="R127" i="103" s="1"/>
  <c r="R128" i="103" s="1"/>
  <c r="R129" i="103" s="1"/>
  <c r="R130" i="103" s="1"/>
  <c r="R131" i="103" s="1"/>
  <c r="R132" i="103" s="1"/>
  <c r="R133" i="103" s="1"/>
  <c r="R134" i="103" s="1"/>
  <c r="R135" i="103" s="1"/>
  <c r="R136" i="103" s="1"/>
  <c r="R137" i="103" s="1"/>
  <c r="R138" i="103" s="1"/>
  <c r="R139" i="103" s="1"/>
  <c r="R140" i="103" s="1"/>
  <c r="R141" i="103" s="1"/>
  <c r="R142" i="103" s="1"/>
  <c r="R143" i="103" s="1"/>
  <c r="R144" i="103" s="1"/>
  <c r="R145" i="103" s="1"/>
  <c r="R146" i="103" s="1"/>
  <c r="R147" i="103" s="1"/>
  <c r="R148" i="103" s="1"/>
  <c r="R149" i="103" s="1"/>
  <c r="R150" i="103" s="1"/>
  <c r="R151" i="103" s="1"/>
  <c r="R152" i="103" s="1"/>
  <c r="R153" i="103" s="1"/>
  <c r="R154" i="103" s="1"/>
  <c r="R155" i="103" s="1"/>
  <c r="R156" i="103" s="1"/>
  <c r="R157" i="103" s="1"/>
  <c r="R158" i="103" s="1"/>
  <c r="R159" i="103" s="1"/>
  <c r="AD76" i="103"/>
  <c r="Y41" i="103"/>
  <c r="AX9" i="103"/>
  <c r="AX10" i="103" s="1"/>
  <c r="AX11" i="103" s="1"/>
  <c r="AX12" i="103" s="1"/>
  <c r="AX13" i="103" s="1"/>
  <c r="AX14" i="103" s="1"/>
  <c r="AX15" i="103" s="1"/>
  <c r="AX16" i="103" s="1"/>
  <c r="AX17" i="103" s="1"/>
  <c r="AX18" i="103" s="1"/>
  <c r="AX19" i="103" s="1"/>
  <c r="AX20" i="103" s="1"/>
  <c r="AX21" i="103" s="1"/>
  <c r="AX22" i="103" s="1"/>
  <c r="AX23" i="103" s="1"/>
  <c r="AX24" i="103" s="1"/>
  <c r="AX25" i="103" s="1"/>
  <c r="AX26" i="103" s="1"/>
  <c r="AX27" i="103" s="1"/>
  <c r="AX28" i="103" s="1"/>
  <c r="AX29" i="103" s="1"/>
  <c r="AX30" i="103" s="1"/>
  <c r="AX31" i="103" s="1"/>
  <c r="AX32" i="103" s="1"/>
  <c r="AX33" i="103" s="1"/>
  <c r="AX34" i="103" s="1"/>
  <c r="AX35" i="103" s="1"/>
  <c r="AX36" i="103" s="1"/>
  <c r="AX37" i="103" s="1"/>
  <c r="AX38" i="103" s="1"/>
  <c r="AX39" i="103" s="1"/>
  <c r="AX40" i="103" s="1"/>
  <c r="AX41" i="103" s="1"/>
  <c r="AX42" i="103" s="1"/>
  <c r="AX43" i="103" s="1"/>
  <c r="AX44" i="103" s="1"/>
  <c r="AX45" i="103" s="1"/>
  <c r="AX46" i="103" s="1"/>
  <c r="AX47" i="103" s="1"/>
  <c r="AX48" i="103" s="1"/>
  <c r="AX49" i="103" s="1"/>
  <c r="AX50" i="103" s="1"/>
  <c r="AX51" i="103" s="1"/>
  <c r="AX52" i="103" s="1"/>
  <c r="AX53" i="103" s="1"/>
  <c r="AX54" i="103" s="1"/>
  <c r="AX55" i="103" s="1"/>
  <c r="AX56" i="103" s="1"/>
  <c r="AX57" i="103" s="1"/>
  <c r="AX58" i="103" s="1"/>
  <c r="AX59" i="103" s="1"/>
  <c r="AX60" i="103" s="1"/>
  <c r="AX61" i="103" s="1"/>
  <c r="AX62" i="103" s="1"/>
  <c r="AX63" i="103" s="1"/>
  <c r="AX64" i="103" s="1"/>
  <c r="AX65" i="103" s="1"/>
  <c r="AX66" i="103" s="1"/>
  <c r="AX67" i="103" s="1"/>
  <c r="AX68" i="103" s="1"/>
  <c r="AX69" i="103" s="1"/>
  <c r="AX70" i="103" s="1"/>
  <c r="AX71" i="103" s="1"/>
  <c r="AX72" i="103" s="1"/>
  <c r="AX73" i="103" s="1"/>
  <c r="AX74" i="103" s="1"/>
  <c r="AX75" i="103" s="1"/>
  <c r="AX76" i="103" s="1"/>
  <c r="AX77" i="103" s="1"/>
  <c r="AX78" i="103" s="1"/>
  <c r="AX79" i="103" s="1"/>
  <c r="AX80" i="103" s="1"/>
  <c r="AX81" i="103" s="1"/>
  <c r="AX82" i="103" s="1"/>
  <c r="AX83" i="103" s="1"/>
  <c r="AX84" i="103" s="1"/>
  <c r="AX85" i="103" s="1"/>
  <c r="AX86" i="103" s="1"/>
  <c r="AX87" i="103" s="1"/>
  <c r="AX88" i="103" s="1"/>
  <c r="AX89" i="103" s="1"/>
  <c r="AX90" i="103" s="1"/>
  <c r="AX91" i="103" s="1"/>
  <c r="AX92" i="103" s="1"/>
  <c r="AX93" i="103" s="1"/>
  <c r="AX94" i="103" s="1"/>
  <c r="AX95" i="103" s="1"/>
  <c r="AX96" i="103" s="1"/>
  <c r="AX97" i="103" s="1"/>
  <c r="AX98" i="103" s="1"/>
  <c r="AX99" i="103" s="1"/>
  <c r="AX100" i="103" s="1"/>
  <c r="AX101" i="103" s="1"/>
  <c r="AX102" i="103" s="1"/>
  <c r="AX103" i="103" s="1"/>
  <c r="AX104" i="103" s="1"/>
  <c r="AX105" i="103" s="1"/>
  <c r="AX106" i="103" s="1"/>
  <c r="AX107" i="103" s="1"/>
  <c r="AX108" i="103" s="1"/>
  <c r="AX109" i="103" s="1"/>
  <c r="AX110" i="103" s="1"/>
  <c r="AX111" i="103" s="1"/>
  <c r="AX112" i="103" s="1"/>
  <c r="AX113" i="103" s="1"/>
  <c r="AX114" i="103" s="1"/>
  <c r="AX115" i="103" s="1"/>
  <c r="AX116" i="103" s="1"/>
  <c r="AX117" i="103" s="1"/>
  <c r="AX118" i="103" s="1"/>
  <c r="AX119" i="103" s="1"/>
  <c r="AX120" i="103" s="1"/>
  <c r="AX121" i="103" s="1"/>
  <c r="AX122" i="103" s="1"/>
  <c r="AX123" i="103" s="1"/>
  <c r="AX124" i="103" s="1"/>
  <c r="AX125" i="103" s="1"/>
  <c r="AX126" i="103" s="1"/>
  <c r="AX127" i="103" s="1"/>
  <c r="AX128" i="103" s="1"/>
  <c r="AX129" i="103" s="1"/>
  <c r="AB73" i="103"/>
  <c r="AE88" i="103"/>
  <c r="AD78" i="103"/>
  <c r="AD74" i="103"/>
  <c r="D10" i="103"/>
  <c r="AB76" i="103"/>
  <c r="AE89" i="103"/>
  <c r="AB74" i="103"/>
  <c r="AB77" i="103"/>
  <c r="AE86" i="103"/>
  <c r="AB75" i="103"/>
  <c r="AB78" i="103"/>
  <c r="AE85" i="103"/>
  <c r="AE90" i="103"/>
  <c r="AD73" i="103"/>
  <c r="AD75" i="103"/>
  <c r="AD77" i="103"/>
  <c r="AB51" i="103"/>
  <c r="D9" i="103"/>
  <c r="E11" i="103"/>
  <c r="J10" i="103"/>
  <c r="AM10" i="103"/>
  <c r="AK48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27" i="103"/>
  <c r="E28" i="103"/>
  <c r="E29" i="103"/>
  <c r="E30" i="103"/>
  <c r="E31" i="103"/>
  <c r="E32" i="103"/>
  <c r="E33" i="103"/>
  <c r="E34" i="103"/>
  <c r="E35" i="103"/>
  <c r="E36" i="103"/>
  <c r="E37" i="103"/>
  <c r="E38" i="103"/>
  <c r="E39" i="103"/>
  <c r="E40" i="103"/>
  <c r="E41" i="103"/>
  <c r="E42" i="103"/>
  <c r="E43" i="103"/>
  <c r="E44" i="103"/>
  <c r="E45" i="103"/>
  <c r="E46" i="103"/>
  <c r="E47" i="103"/>
  <c r="E48" i="103"/>
  <c r="E49" i="103"/>
  <c r="E50" i="103"/>
  <c r="E51" i="103"/>
  <c r="E52" i="103"/>
  <c r="E53" i="103"/>
  <c r="E54" i="103"/>
  <c r="E55" i="103"/>
  <c r="E56" i="103"/>
  <c r="E57" i="103"/>
  <c r="E58" i="103"/>
  <c r="E59" i="103"/>
  <c r="E60" i="103"/>
  <c r="E61" i="103"/>
  <c r="E62" i="103"/>
  <c r="E63" i="103"/>
  <c r="E64" i="103"/>
  <c r="E65" i="103"/>
  <c r="E66" i="103"/>
  <c r="E67" i="103"/>
  <c r="E68" i="103"/>
  <c r="E69" i="103"/>
  <c r="E70" i="103"/>
  <c r="E71" i="103"/>
  <c r="E72" i="103"/>
  <c r="E73" i="103"/>
  <c r="E74" i="103"/>
  <c r="E75" i="103"/>
  <c r="E76" i="103"/>
  <c r="E77" i="103"/>
  <c r="E78" i="103"/>
  <c r="E79" i="103"/>
  <c r="E80" i="103"/>
  <c r="E81" i="103"/>
  <c r="E82" i="103"/>
  <c r="E83" i="103"/>
  <c r="E84" i="103"/>
  <c r="E85" i="103"/>
  <c r="E86" i="103"/>
  <c r="E87" i="103"/>
  <c r="E88" i="103"/>
  <c r="E89" i="103"/>
  <c r="E90" i="103"/>
  <c r="E91" i="103"/>
  <c r="E92" i="103"/>
  <c r="E93" i="103"/>
  <c r="E94" i="103"/>
  <c r="E95" i="103"/>
  <c r="E96" i="103"/>
  <c r="E97" i="103"/>
  <c r="E98" i="103"/>
  <c r="E99" i="103"/>
  <c r="E100" i="103"/>
  <c r="E101" i="103"/>
  <c r="E102" i="103"/>
  <c r="E103" i="103"/>
  <c r="E104" i="103"/>
  <c r="E105" i="103"/>
  <c r="E106" i="103"/>
  <c r="E107" i="103"/>
  <c r="E108" i="103"/>
  <c r="E109" i="103"/>
  <c r="E110" i="103"/>
  <c r="E111" i="103"/>
  <c r="E112" i="103"/>
  <c r="E113" i="103"/>
  <c r="E114" i="103"/>
  <c r="E115" i="103"/>
  <c r="E116" i="103"/>
  <c r="E117" i="103"/>
  <c r="E118" i="103"/>
  <c r="E119" i="103"/>
  <c r="E120" i="103"/>
  <c r="E121" i="103"/>
  <c r="E122" i="103"/>
  <c r="E123" i="103"/>
  <c r="E124" i="103"/>
  <c r="E125" i="103"/>
  <c r="E126" i="103"/>
  <c r="E127" i="103"/>
  <c r="E128" i="103"/>
  <c r="E129" i="103"/>
  <c r="E130" i="103"/>
  <c r="E131" i="103"/>
  <c r="E132" i="103"/>
  <c r="E133" i="103"/>
  <c r="E134" i="103"/>
  <c r="E135" i="103"/>
  <c r="E136" i="103"/>
  <c r="E137" i="103"/>
  <c r="E138" i="103"/>
  <c r="E139" i="103"/>
  <c r="E140" i="103"/>
  <c r="E141" i="103"/>
  <c r="E142" i="103"/>
  <c r="E143" i="103"/>
  <c r="E144" i="103"/>
  <c r="E145" i="103"/>
  <c r="E146" i="103"/>
  <c r="E147" i="103"/>
  <c r="E148" i="103"/>
  <c r="E149" i="103"/>
  <c r="E150" i="103"/>
  <c r="E151" i="103"/>
  <c r="E152" i="103"/>
  <c r="E153" i="103"/>
  <c r="E154" i="103"/>
  <c r="E155" i="103"/>
  <c r="E156" i="103"/>
  <c r="E157" i="103"/>
  <c r="E158" i="103"/>
  <c r="E159" i="103"/>
  <c r="AM11" i="103"/>
  <c r="J11" i="103"/>
  <c r="J12" i="103"/>
  <c r="AM12" i="103"/>
  <c r="AM13" i="103"/>
  <c r="J13" i="103"/>
  <c r="J14" i="103"/>
  <c r="AM14" i="103"/>
  <c r="J15" i="103"/>
  <c r="AM15" i="103"/>
  <c r="J16" i="103"/>
  <c r="AM16" i="103"/>
  <c r="AI109" i="100"/>
  <c r="AH109" i="100"/>
  <c r="AG109" i="100"/>
  <c r="AJ109" i="100"/>
  <c r="AF109" i="100"/>
  <c r="AE109" i="100"/>
  <c r="C15" i="100"/>
  <c r="AM17" i="103"/>
  <c r="J17" i="103"/>
  <c r="AM18" i="103"/>
  <c r="J18" i="103"/>
  <c r="J19" i="103"/>
  <c r="AM19" i="103"/>
  <c r="AM20" i="103"/>
  <c r="J20" i="103"/>
  <c r="J21" i="103"/>
  <c r="AM21" i="103"/>
  <c r="J22" i="103"/>
  <c r="AM22" i="103"/>
  <c r="J23" i="103"/>
  <c r="AM23" i="103"/>
  <c r="AM24" i="103"/>
  <c r="J24" i="103"/>
  <c r="J25" i="103"/>
  <c r="AM25" i="103"/>
  <c r="AM26" i="103"/>
  <c r="J26" i="103"/>
  <c r="AM27" i="103"/>
  <c r="J27" i="103"/>
  <c r="J28" i="103"/>
  <c r="AM28" i="103"/>
  <c r="AM29" i="103"/>
  <c r="J29" i="103"/>
  <c r="AM30" i="103"/>
  <c r="J30" i="103"/>
  <c r="AM31" i="103"/>
  <c r="J31" i="103"/>
  <c r="J32" i="103"/>
  <c r="AM32" i="103"/>
  <c r="J33" i="103"/>
  <c r="AM33" i="103"/>
  <c r="AM34" i="103"/>
  <c r="J34" i="103"/>
  <c r="J35" i="103"/>
  <c r="AM35" i="103"/>
  <c r="AM36" i="103"/>
  <c r="J36" i="103"/>
  <c r="J37" i="103"/>
  <c r="AM37" i="103"/>
  <c r="J38" i="103"/>
  <c r="AM38" i="103"/>
  <c r="J39" i="103"/>
  <c r="AM39" i="103"/>
  <c r="AM40" i="103"/>
  <c r="J40" i="103"/>
  <c r="J41" i="103"/>
  <c r="AM41" i="103"/>
  <c r="J42" i="103"/>
  <c r="AM42" i="103"/>
  <c r="AM43" i="103"/>
  <c r="J43" i="103"/>
  <c r="AM44" i="103"/>
  <c r="AM45" i="103"/>
  <c r="AM46" i="103"/>
  <c r="AM47" i="103"/>
  <c r="AM48" i="103"/>
  <c r="J49" i="103"/>
  <c r="AM49" i="103"/>
  <c r="AM50" i="103"/>
  <c r="AM51" i="103"/>
  <c r="AM52" i="103"/>
  <c r="AM53" i="103"/>
  <c r="J54" i="103"/>
  <c r="AM54" i="103"/>
  <c r="AM55" i="103"/>
  <c r="AM56" i="103"/>
  <c r="J57" i="103"/>
  <c r="AM57" i="103"/>
  <c r="AM58" i="103"/>
  <c r="AM59" i="103"/>
  <c r="J59" i="103"/>
  <c r="AM60" i="103"/>
  <c r="J60" i="103"/>
  <c r="AM61" i="103"/>
  <c r="J61" i="103"/>
  <c r="AM62" i="103"/>
  <c r="J62" i="103"/>
  <c r="AM63" i="103"/>
  <c r="J63" i="103"/>
  <c r="AM64" i="103"/>
  <c r="J64" i="103"/>
  <c r="AM65" i="103"/>
  <c r="J65" i="103"/>
  <c r="AM66" i="103"/>
  <c r="J66" i="103"/>
  <c r="AM67" i="103"/>
  <c r="J67" i="103"/>
  <c r="AM68" i="103"/>
  <c r="AM69" i="103"/>
  <c r="AM70" i="103"/>
  <c r="AM71" i="103"/>
  <c r="J72" i="103"/>
  <c r="AM72" i="103"/>
  <c r="AM73" i="103"/>
  <c r="AM74" i="103"/>
  <c r="AM75" i="103"/>
  <c r="AM76" i="103"/>
  <c r="AM77" i="103"/>
  <c r="AM78" i="103"/>
  <c r="AM79" i="103"/>
  <c r="AM80" i="103"/>
  <c r="AM81" i="103"/>
  <c r="AM82" i="103"/>
  <c r="AM83" i="103"/>
  <c r="AM84" i="103"/>
  <c r="AM85" i="103"/>
  <c r="AM86" i="103"/>
  <c r="J87" i="103"/>
  <c r="AM87" i="103"/>
  <c r="AM88" i="103"/>
  <c r="AM89" i="103"/>
  <c r="AM90" i="103"/>
  <c r="AM91" i="103"/>
  <c r="AM92" i="103"/>
  <c r="AM93" i="103"/>
  <c r="AM94" i="103"/>
  <c r="AM95" i="103"/>
  <c r="AM96" i="103"/>
  <c r="AM97" i="103"/>
  <c r="AM98" i="103"/>
  <c r="AM99" i="103"/>
  <c r="AM100" i="103"/>
  <c r="AM101" i="103"/>
  <c r="AM102" i="103"/>
  <c r="AM103" i="103"/>
  <c r="AM104" i="103"/>
  <c r="AM105" i="103"/>
  <c r="AM106" i="103"/>
  <c r="AM107" i="103"/>
  <c r="AM108" i="103"/>
  <c r="AM109" i="103"/>
  <c r="AM110" i="103"/>
  <c r="AM111" i="103"/>
  <c r="AM112" i="103"/>
  <c r="AM113" i="103"/>
  <c r="AM114" i="103"/>
  <c r="AM115" i="103"/>
  <c r="AM116" i="103"/>
  <c r="AM117" i="103"/>
  <c r="AM118" i="103"/>
  <c r="AM119" i="103"/>
  <c r="AM120" i="103"/>
  <c r="AM121" i="103"/>
  <c r="AM122" i="103"/>
  <c r="AM123" i="103"/>
  <c r="AM124" i="103"/>
  <c r="AM125" i="103"/>
  <c r="AM126" i="103"/>
  <c r="AM127" i="103"/>
  <c r="AM128" i="103"/>
  <c r="AM129" i="103"/>
  <c r="J149" i="103"/>
  <c r="J44" i="103"/>
  <c r="BK114" i="100"/>
  <c r="BJ114" i="100"/>
  <c r="BK113" i="100"/>
  <c r="BJ113" i="100"/>
  <c r="BK112" i="100"/>
  <c r="BJ112" i="100"/>
  <c r="BK111" i="100"/>
  <c r="BJ111" i="100"/>
  <c r="BK110" i="100"/>
  <c r="BJ110" i="100"/>
  <c r="BJ109" i="100"/>
  <c r="O109" i="100"/>
  <c r="AE82" i="100"/>
  <c r="AI79" i="100"/>
  <c r="AI65" i="100"/>
  <c r="AI66" i="100"/>
  <c r="AH79" i="100"/>
  <c r="AH65" i="100"/>
  <c r="AG79" i="100"/>
  <c r="AF79" i="100"/>
  <c r="AF65" i="100"/>
  <c r="AF66" i="100"/>
  <c r="AE79" i="100"/>
  <c r="AE65" i="100"/>
  <c r="AE66" i="100"/>
  <c r="AD79" i="100"/>
  <c r="AD65" i="100"/>
  <c r="AC79" i="100"/>
  <c r="AI77" i="100"/>
  <c r="AH77" i="100"/>
  <c r="AG77" i="100"/>
  <c r="AF77" i="100"/>
  <c r="AE77" i="100"/>
  <c r="AC77" i="100"/>
  <c r="AH66" i="100"/>
  <c r="AD66" i="100"/>
  <c r="AG65" i="100"/>
  <c r="AG66" i="100"/>
  <c r="AC65" i="100"/>
  <c r="AC66" i="100"/>
  <c r="AD57" i="100"/>
  <c r="AC57" i="100"/>
  <c r="AE50" i="100"/>
  <c r="AC49" i="100"/>
  <c r="AC48" i="100"/>
  <c r="X43" i="100"/>
  <c r="AE41" i="100"/>
  <c r="D19" i="87"/>
  <c r="AD41" i="100"/>
  <c r="AC41" i="100"/>
  <c r="AB41" i="100"/>
  <c r="AA41" i="100"/>
  <c r="Z41" i="100"/>
  <c r="Y41" i="100"/>
  <c r="X41" i="100"/>
  <c r="W41" i="100"/>
  <c r="AE40" i="100"/>
  <c r="AD40" i="100"/>
  <c r="AC40" i="100"/>
  <c r="AB40" i="100"/>
  <c r="AA40" i="100"/>
  <c r="Z40" i="100"/>
  <c r="Y40" i="100"/>
  <c r="X40" i="100"/>
  <c r="W40" i="100"/>
  <c r="AE38" i="100"/>
  <c r="AD38" i="100"/>
  <c r="AC38" i="100"/>
  <c r="AB38" i="100"/>
  <c r="AA38" i="100"/>
  <c r="Z38" i="100"/>
  <c r="Y38" i="100"/>
  <c r="X38" i="100"/>
  <c r="W38" i="100"/>
  <c r="AE37" i="100"/>
  <c r="AD37" i="100"/>
  <c r="AC37" i="100"/>
  <c r="AB37" i="100"/>
  <c r="AA37" i="100"/>
  <c r="Z37" i="100"/>
  <c r="Y37" i="100"/>
  <c r="X37" i="100"/>
  <c r="W37" i="100"/>
  <c r="AH36" i="100"/>
  <c r="AG36" i="100"/>
  <c r="AG38" i="100"/>
  <c r="AH35" i="100"/>
  <c r="AL35" i="100"/>
  <c r="AB34" i="100"/>
  <c r="AC32" i="100"/>
  <c r="C27" i="100"/>
  <c r="C26" i="100"/>
  <c r="C25" i="100"/>
  <c r="BK8" i="100"/>
  <c r="AZ20" i="100"/>
  <c r="AZ19" i="100"/>
  <c r="C19" i="100"/>
  <c r="AZ18" i="100"/>
  <c r="AZ17" i="100"/>
  <c r="AA17" i="100"/>
  <c r="Z17" i="100"/>
  <c r="Y17" i="100"/>
  <c r="X17" i="100"/>
  <c r="W17" i="100"/>
  <c r="AC31" i="100"/>
  <c r="D17" i="100"/>
  <c r="D18" i="100"/>
  <c r="D29" i="100"/>
  <c r="C17" i="100"/>
  <c r="C18" i="100"/>
  <c r="AZ16" i="100"/>
  <c r="AA16" i="100"/>
  <c r="Z16" i="100"/>
  <c r="Y16" i="100"/>
  <c r="X16" i="100"/>
  <c r="W16" i="100"/>
  <c r="AZ15" i="100"/>
  <c r="AD15" i="100"/>
  <c r="AZ14" i="100"/>
  <c r="D14" i="100"/>
  <c r="D15" i="100"/>
  <c r="AZ13" i="100"/>
  <c r="AD13" i="100"/>
  <c r="C13" i="100"/>
  <c r="AZ12" i="100"/>
  <c r="AD12" i="100"/>
  <c r="D12" i="100"/>
  <c r="AZ11" i="100"/>
  <c r="W11" i="100"/>
  <c r="AL53" i="100"/>
  <c r="D11" i="100"/>
  <c r="AI36" i="100"/>
  <c r="AZ10" i="100"/>
  <c r="AD10" i="100"/>
  <c r="BH9" i="100"/>
  <c r="BH10" i="100"/>
  <c r="AZ9" i="100"/>
  <c r="AP9" i="100"/>
  <c r="AP10" i="100"/>
  <c r="AD9" i="100"/>
  <c r="U9" i="100"/>
  <c r="V9" i="100"/>
  <c r="R9" i="100"/>
  <c r="U10" i="100"/>
  <c r="U11" i="100"/>
  <c r="G9" i="100"/>
  <c r="I9" i="100"/>
  <c r="AQ8" i="100"/>
  <c r="AN47" i="100"/>
  <c r="AN48" i="100"/>
  <c r="AN49" i="100"/>
  <c r="AN50" i="100"/>
  <c r="AN51" i="100"/>
  <c r="AN52" i="100"/>
  <c r="AN53" i="100"/>
  <c r="AN54" i="100"/>
  <c r="AN55" i="100"/>
  <c r="AN56" i="100"/>
  <c r="AN57" i="100"/>
  <c r="AN58" i="100"/>
  <c r="AN59" i="100"/>
  <c r="AN60" i="100"/>
  <c r="AN61" i="100"/>
  <c r="AN62" i="100"/>
  <c r="AN63" i="100"/>
  <c r="AN64" i="100"/>
  <c r="AN65" i="100"/>
  <c r="AN66" i="100"/>
  <c r="AN67" i="100"/>
  <c r="AN68" i="100"/>
  <c r="AN69" i="100"/>
  <c r="AN70" i="100"/>
  <c r="AN71" i="100"/>
  <c r="AN72" i="100"/>
  <c r="AN73" i="100"/>
  <c r="AN74" i="100"/>
  <c r="AN75" i="100"/>
  <c r="AN76" i="100"/>
  <c r="AN77" i="100"/>
  <c r="AN78" i="100"/>
  <c r="AN79" i="100"/>
  <c r="AN80" i="100"/>
  <c r="AN81" i="100"/>
  <c r="AN82" i="100"/>
  <c r="AN83" i="100"/>
  <c r="AN84" i="100"/>
  <c r="AN85" i="100"/>
  <c r="AN86" i="100"/>
  <c r="AN87" i="100"/>
  <c r="AD8" i="100"/>
  <c r="H8" i="100"/>
  <c r="D8" i="100"/>
  <c r="G3" i="100"/>
  <c r="AL1" i="100"/>
  <c r="G10" i="100"/>
  <c r="BL55" i="100"/>
  <c r="AJ66" i="100"/>
  <c r="AN46" i="100"/>
  <c r="AB49" i="100"/>
  <c r="AB48" i="100"/>
  <c r="AF35" i="100"/>
  <c r="BL54" i="100"/>
  <c r="AL60" i="100"/>
  <c r="AG40" i="100"/>
  <c r="AG37" i="100"/>
  <c r="AG39" i="100"/>
  <c r="BI10" i="100"/>
  <c r="BH11" i="100"/>
  <c r="AN118" i="100"/>
  <c r="AN119" i="100"/>
  <c r="AN120" i="100"/>
  <c r="AN121" i="100"/>
  <c r="AN122" i="100"/>
  <c r="AN123" i="100"/>
  <c r="AN124" i="100"/>
  <c r="AN125" i="100"/>
  <c r="AN126" i="100"/>
  <c r="AN127" i="100"/>
  <c r="AN128" i="100"/>
  <c r="AN129" i="100"/>
  <c r="AN130" i="100"/>
  <c r="AN131" i="100"/>
  <c r="AN132" i="100"/>
  <c r="AN133" i="100"/>
  <c r="AN134" i="100"/>
  <c r="AN135" i="100"/>
  <c r="AN136" i="100"/>
  <c r="AN137" i="100"/>
  <c r="AN138" i="100"/>
  <c r="AN139" i="100"/>
  <c r="AN140" i="100"/>
  <c r="AN141" i="100"/>
  <c r="AN142" i="100"/>
  <c r="AN143" i="100"/>
  <c r="AN144" i="100"/>
  <c r="AN145" i="100"/>
  <c r="AN146" i="100"/>
  <c r="AN147" i="100"/>
  <c r="AN88" i="100"/>
  <c r="AN89" i="100"/>
  <c r="AN90" i="100"/>
  <c r="AN91" i="100"/>
  <c r="AN92" i="100"/>
  <c r="AN93" i="100"/>
  <c r="AN94" i="100"/>
  <c r="AN95" i="100"/>
  <c r="AN96" i="100"/>
  <c r="AN97" i="100"/>
  <c r="AN98" i="100"/>
  <c r="AN99" i="100"/>
  <c r="AN100" i="100"/>
  <c r="AN101" i="100"/>
  <c r="AN102" i="100"/>
  <c r="AN103" i="100"/>
  <c r="AN104" i="100"/>
  <c r="AN105" i="100"/>
  <c r="AN106" i="100"/>
  <c r="AN107" i="100"/>
  <c r="AN108" i="100"/>
  <c r="AN109" i="100"/>
  <c r="AN110" i="100"/>
  <c r="AN111" i="100"/>
  <c r="AN112" i="100"/>
  <c r="AN113" i="100"/>
  <c r="AN114" i="100"/>
  <c r="AN115" i="100"/>
  <c r="AN116" i="100"/>
  <c r="AN117" i="100"/>
  <c r="AP11" i="100"/>
  <c r="U12" i="100"/>
  <c r="V11" i="100"/>
  <c r="Q9" i="100"/>
  <c r="W45" i="100"/>
  <c r="D27" i="100"/>
  <c r="E27" i="100"/>
  <c r="G11" i="100"/>
  <c r="AD54" i="100"/>
  <c r="Y42" i="100"/>
  <c r="AL85" i="100"/>
  <c r="AE8" i="100"/>
  <c r="BJ8" i="100"/>
  <c r="BJ7" i="100"/>
  <c r="BI9" i="100"/>
  <c r="V10" i="100"/>
  <c r="AE10" i="100"/>
  <c r="AE9" i="100"/>
  <c r="I10" i="100"/>
  <c r="AL84" i="100"/>
  <c r="AL82" i="100"/>
  <c r="AL77" i="100"/>
  <c r="AL76" i="100"/>
  <c r="AL74" i="100"/>
  <c r="AL72" i="100"/>
  <c r="AL70" i="100"/>
  <c r="AL68" i="100"/>
  <c r="AL66" i="100"/>
  <c r="AL56" i="100"/>
  <c r="AL81" i="100"/>
  <c r="AL75" i="100"/>
  <c r="AL67" i="100"/>
  <c r="AL58" i="100"/>
  <c r="AL57" i="100"/>
  <c r="AL83" i="100"/>
  <c r="AL80" i="100"/>
  <c r="AL79" i="100"/>
  <c r="AL78" i="100"/>
  <c r="AL73" i="100"/>
  <c r="AL63" i="100"/>
  <c r="AL65" i="100"/>
  <c r="AL71" i="100"/>
  <c r="AL62" i="100"/>
  <c r="AL59" i="100"/>
  <c r="AL55" i="100"/>
  <c r="AL69" i="100"/>
  <c r="AL49" i="100"/>
  <c r="AL48" i="100"/>
  <c r="AL64" i="100"/>
  <c r="AL54" i="100"/>
  <c r="AL50" i="100"/>
  <c r="AL52" i="100"/>
  <c r="AL51" i="100"/>
  <c r="C23" i="100"/>
  <c r="Y43" i="100"/>
  <c r="W44" i="100"/>
  <c r="AM36" i="100"/>
  <c r="A23" i="100"/>
  <c r="A24" i="100"/>
  <c r="AM47" i="100"/>
  <c r="AE12" i="100"/>
  <c r="D13" i="100"/>
  <c r="AE14" i="100"/>
  <c r="AE15" i="100"/>
  <c r="AL61" i="100"/>
  <c r="D26" i="100"/>
  <c r="D25" i="100"/>
  <c r="AQ10" i="100"/>
  <c r="AQ11" i="100"/>
  <c r="H11" i="100"/>
  <c r="BJ11" i="100"/>
  <c r="AQ9" i="100"/>
  <c r="H9" i="100"/>
  <c r="H10" i="100"/>
  <c r="AL148" i="100"/>
  <c r="E25" i="100"/>
  <c r="D23" i="100"/>
  <c r="R10" i="100"/>
  <c r="Q10" i="100"/>
  <c r="AL86" i="100"/>
  <c r="Y44" i="100"/>
  <c r="BA9" i="100"/>
  <c r="BH12" i="100"/>
  <c r="BI11" i="100"/>
  <c r="AP12" i="100"/>
  <c r="AQ12" i="100"/>
  <c r="AR107" i="100"/>
  <c r="AR108" i="100"/>
  <c r="AR106" i="100"/>
  <c r="AR99" i="100"/>
  <c r="AR98" i="100"/>
  <c r="AR105" i="100"/>
  <c r="AR104" i="100"/>
  <c r="AR97" i="100"/>
  <c r="AR96" i="100"/>
  <c r="AR101" i="100"/>
  <c r="AR102" i="100"/>
  <c r="AR91" i="100"/>
  <c r="AR89" i="100"/>
  <c r="AR87" i="100"/>
  <c r="AR85" i="100"/>
  <c r="AR83" i="100"/>
  <c r="AR103" i="100"/>
  <c r="AR93" i="100"/>
  <c r="AR90" i="100"/>
  <c r="AR86" i="100"/>
  <c r="AR100" i="100"/>
  <c r="AR94" i="100"/>
  <c r="AR78" i="100"/>
  <c r="AR75" i="100"/>
  <c r="AR73" i="100"/>
  <c r="AR71" i="100"/>
  <c r="AR69" i="100"/>
  <c r="AR67" i="100"/>
  <c r="AR65" i="100"/>
  <c r="AR95" i="100"/>
  <c r="AR84" i="100"/>
  <c r="AR81" i="100"/>
  <c r="AR80" i="100"/>
  <c r="AR74" i="100"/>
  <c r="AR66" i="100"/>
  <c r="AR64" i="100"/>
  <c r="AR57" i="100"/>
  <c r="AR56" i="100"/>
  <c r="AR88" i="100"/>
  <c r="AR79" i="100"/>
  <c r="AR77" i="100"/>
  <c r="AR72" i="100"/>
  <c r="AR92" i="100"/>
  <c r="AR61" i="100"/>
  <c r="AR58" i="100"/>
  <c r="AR82" i="100"/>
  <c r="AR76" i="100"/>
  <c r="AR68" i="100"/>
  <c r="AR63" i="100"/>
  <c r="AR60" i="100"/>
  <c r="AR70" i="100"/>
  <c r="AR62" i="100"/>
  <c r="AF57" i="100"/>
  <c r="AR51" i="100"/>
  <c r="AR53" i="100"/>
  <c r="AR42" i="100"/>
  <c r="AR38" i="100"/>
  <c r="AR37" i="100"/>
  <c r="AR36" i="100"/>
  <c r="AR35" i="100"/>
  <c r="AR24" i="100"/>
  <c r="AR20" i="100"/>
  <c r="AR47" i="100"/>
  <c r="AR44" i="100"/>
  <c r="AR41" i="100"/>
  <c r="AR40" i="100"/>
  <c r="AR39" i="100"/>
  <c r="AR34" i="100"/>
  <c r="AR28" i="100"/>
  <c r="AR26" i="100"/>
  <c r="AR21" i="100"/>
  <c r="AR55" i="100"/>
  <c r="AR54" i="100"/>
  <c r="AR52" i="100"/>
  <c r="AR49" i="100"/>
  <c r="AR48" i="100"/>
  <c r="AR50" i="100"/>
  <c r="AR43" i="100"/>
  <c r="AR33" i="100"/>
  <c r="AR29" i="100"/>
  <c r="AR25" i="100"/>
  <c r="AR22" i="100"/>
  <c r="AR16" i="100"/>
  <c r="AR15" i="100"/>
  <c r="AR13" i="100"/>
  <c r="AE13" i="100"/>
  <c r="AR23" i="100"/>
  <c r="AR19" i="100"/>
  <c r="AR11" i="100"/>
  <c r="AR9" i="100"/>
  <c r="AR10" i="100"/>
  <c r="AR45" i="100"/>
  <c r="AR14" i="100"/>
  <c r="AR59" i="100"/>
  <c r="AR46" i="100"/>
  <c r="AR32" i="100"/>
  <c r="AR31" i="100"/>
  <c r="AR27" i="100"/>
  <c r="AR17" i="100"/>
  <c r="AR30" i="100"/>
  <c r="AR18" i="100"/>
  <c r="AR12" i="100"/>
  <c r="BJ10" i="100"/>
  <c r="BJ9" i="100"/>
  <c r="R11" i="100"/>
  <c r="Q11" i="100"/>
  <c r="BA10" i="100"/>
  <c r="AE57" i="100"/>
  <c r="AD56" i="100"/>
  <c r="AE56" i="100"/>
  <c r="E23" i="100"/>
  <c r="AE54" i="100"/>
  <c r="AE55" i="100"/>
  <c r="AD55" i="100"/>
  <c r="S8" i="100"/>
  <c r="K8" i="100"/>
  <c r="AM38" i="100"/>
  <c r="AM37" i="100"/>
  <c r="AM40" i="100"/>
  <c r="AM39" i="100"/>
  <c r="BL56" i="100"/>
  <c r="W46" i="100"/>
  <c r="I11" i="100"/>
  <c r="G12" i="100"/>
  <c r="H12" i="100"/>
  <c r="V12" i="100"/>
  <c r="U13" i="100"/>
  <c r="BA11" i="100"/>
  <c r="BL57" i="100"/>
  <c r="I12" i="100"/>
  <c r="W47" i="100"/>
  <c r="G13" i="100"/>
  <c r="H13" i="100"/>
  <c r="BJ12" i="100"/>
  <c r="U14" i="100"/>
  <c r="V13" i="100"/>
  <c r="AP13" i="100"/>
  <c r="AQ13" i="100"/>
  <c r="BI12" i="100"/>
  <c r="BH13" i="100"/>
  <c r="X42" i="100"/>
  <c r="BK7" i="100"/>
  <c r="R12" i="100"/>
  <c r="Q12" i="100"/>
  <c r="X10" i="100"/>
  <c r="L9" i="100"/>
  <c r="W10" i="100"/>
  <c r="AG47" i="100"/>
  <c r="AC56" i="100"/>
  <c r="K9" i="100"/>
  <c r="AL87" i="100"/>
  <c r="Y45" i="100"/>
  <c r="AG55" i="100"/>
  <c r="AG56" i="100"/>
  <c r="AG54" i="100"/>
  <c r="AG57" i="100"/>
  <c r="AT8" i="100"/>
  <c r="AM46" i="100"/>
  <c r="AF56" i="100"/>
  <c r="BG8" i="100"/>
  <c r="X16" i="94"/>
  <c r="AF55" i="100"/>
  <c r="AH49" i="100"/>
  <c r="AU9" i="100"/>
  <c r="AT9" i="100"/>
  <c r="AT10" i="100"/>
  <c r="AT11" i="100"/>
  <c r="BH14" i="100"/>
  <c r="BI13" i="100"/>
  <c r="R13" i="100"/>
  <c r="Q13" i="100"/>
  <c r="BA12" i="100"/>
  <c r="V14" i="100"/>
  <c r="U15" i="100"/>
  <c r="AT12" i="100"/>
  <c r="BL58" i="100"/>
  <c r="W48" i="100"/>
  <c r="G14" i="100"/>
  <c r="H14" i="100"/>
  <c r="I13" i="100"/>
  <c r="BJ13" i="100"/>
  <c r="C24" i="100"/>
  <c r="X44" i="100"/>
  <c r="BK9" i="100"/>
  <c r="J9" i="100"/>
  <c r="M9" i="100"/>
  <c r="K10" i="100"/>
  <c r="P9" i="100"/>
  <c r="AL88" i="100"/>
  <c r="Y46" i="100"/>
  <c r="AP14" i="100"/>
  <c r="AQ14" i="100"/>
  <c r="AT13" i="100"/>
  <c r="X45" i="100"/>
  <c r="J10" i="100"/>
  <c r="BK10" i="100"/>
  <c r="K11" i="100"/>
  <c r="AS10" i="100"/>
  <c r="AO10" i="100"/>
  <c r="AM49" i="100"/>
  <c r="AT14" i="100"/>
  <c r="AP15" i="100"/>
  <c r="AQ15" i="100"/>
  <c r="N9" i="100"/>
  <c r="AM50" i="100"/>
  <c r="AS11" i="100"/>
  <c r="AO11" i="100"/>
  <c r="AS9" i="100"/>
  <c r="AO9" i="100"/>
  <c r="D24" i="100"/>
  <c r="AL36" i="100"/>
  <c r="AM48" i="100"/>
  <c r="Q14" i="100"/>
  <c r="R14" i="100"/>
  <c r="AM52" i="100"/>
  <c r="AO13" i="100"/>
  <c r="AS13" i="100"/>
  <c r="S9" i="100"/>
  <c r="AM51" i="100"/>
  <c r="AS12" i="100"/>
  <c r="AO12" i="100"/>
  <c r="AL89" i="100"/>
  <c r="Y47" i="100"/>
  <c r="U16" i="100"/>
  <c r="V15" i="100"/>
  <c r="BA13" i="100"/>
  <c r="AY9" i="100"/>
  <c r="AW9" i="100"/>
  <c r="BI14" i="100"/>
  <c r="BH15" i="100"/>
  <c r="AF36" i="100"/>
  <c r="AF37" i="100"/>
  <c r="AF38" i="100"/>
  <c r="AF39" i="100"/>
  <c r="AF40" i="100"/>
  <c r="I14" i="100"/>
  <c r="G15" i="100"/>
  <c r="H15" i="100"/>
  <c r="BJ14" i="100"/>
  <c r="AV9" i="100"/>
  <c r="G16" i="100"/>
  <c r="H16" i="100"/>
  <c r="I15" i="100"/>
  <c r="BJ15" i="100"/>
  <c r="BI15" i="100"/>
  <c r="BH16" i="100"/>
  <c r="R15" i="100"/>
  <c r="Q15" i="100"/>
  <c r="AM53" i="100"/>
  <c r="AS14" i="100"/>
  <c r="AO14" i="100"/>
  <c r="E24" i="100"/>
  <c r="BA14" i="100"/>
  <c r="U17" i="100"/>
  <c r="V16" i="100"/>
  <c r="L10" i="100"/>
  <c r="AL38" i="100"/>
  <c r="AL37" i="100"/>
  <c r="AL40" i="100"/>
  <c r="AL39" i="100"/>
  <c r="AT15" i="100"/>
  <c r="AP16" i="100"/>
  <c r="AQ16" i="100"/>
  <c r="AL90" i="100"/>
  <c r="Y48" i="100"/>
  <c r="X46" i="100"/>
  <c r="BK11" i="100"/>
  <c r="J11" i="100"/>
  <c r="K12" i="100"/>
  <c r="P10" i="100"/>
  <c r="M10" i="100"/>
  <c r="BH17" i="100"/>
  <c r="BI16" i="100"/>
  <c r="AP17" i="100"/>
  <c r="AQ17" i="100"/>
  <c r="AT16" i="100"/>
  <c r="X47" i="100"/>
  <c r="J12" i="100"/>
  <c r="BK12" i="100"/>
  <c r="K13" i="100"/>
  <c r="R16" i="100"/>
  <c r="Q16" i="100"/>
  <c r="U18" i="100"/>
  <c r="V17" i="100"/>
  <c r="G17" i="100"/>
  <c r="H17" i="100"/>
  <c r="I16" i="100"/>
  <c r="BJ16" i="100"/>
  <c r="BA15" i="100"/>
  <c r="BG9" i="100"/>
  <c r="AL91" i="100"/>
  <c r="Y49" i="100"/>
  <c r="AM54" i="100"/>
  <c r="AS15" i="100"/>
  <c r="AO15" i="100"/>
  <c r="AL92" i="100"/>
  <c r="Y50" i="100"/>
  <c r="AP18" i="100"/>
  <c r="AQ18" i="100"/>
  <c r="AT17" i="100"/>
  <c r="AU10" i="100"/>
  <c r="G18" i="100"/>
  <c r="H18" i="100"/>
  <c r="I17" i="100"/>
  <c r="BJ17" i="100"/>
  <c r="U19" i="100"/>
  <c r="V18" i="100"/>
  <c r="BA16" i="100"/>
  <c r="R17" i="100"/>
  <c r="Q17" i="100"/>
  <c r="X48" i="100"/>
  <c r="J13" i="100"/>
  <c r="BK13" i="100"/>
  <c r="K14" i="100"/>
  <c r="BH18" i="100"/>
  <c r="BI17" i="100"/>
  <c r="N10" i="100"/>
  <c r="AM55" i="100"/>
  <c r="AS16" i="100"/>
  <c r="AO16" i="100"/>
  <c r="S10" i="100"/>
  <c r="R18" i="100"/>
  <c r="Q18" i="100"/>
  <c r="U20" i="100"/>
  <c r="V19" i="100"/>
  <c r="G19" i="100"/>
  <c r="H19" i="100"/>
  <c r="I18" i="100"/>
  <c r="BJ18" i="100"/>
  <c r="AM56" i="100"/>
  <c r="AS17" i="100"/>
  <c r="AO17" i="100"/>
  <c r="X49" i="100"/>
  <c r="BK14" i="100"/>
  <c r="J14" i="100"/>
  <c r="K15" i="100"/>
  <c r="AY10" i="100"/>
  <c r="AW10" i="100"/>
  <c r="AP19" i="100"/>
  <c r="AQ19" i="100"/>
  <c r="AT18" i="100"/>
  <c r="L11" i="100"/>
  <c r="M11" i="100"/>
  <c r="BA17" i="100"/>
  <c r="BI18" i="100"/>
  <c r="BH19" i="100"/>
  <c r="AL93" i="100"/>
  <c r="Y51" i="100"/>
  <c r="S11" i="100"/>
  <c r="AM57" i="100"/>
  <c r="AO18" i="100"/>
  <c r="AS18" i="100"/>
  <c r="R19" i="100"/>
  <c r="Q19" i="100"/>
  <c r="BI19" i="100"/>
  <c r="BH20" i="100"/>
  <c r="AV10" i="100"/>
  <c r="G20" i="100"/>
  <c r="H20" i="100"/>
  <c r="I19" i="100"/>
  <c r="BJ19" i="100"/>
  <c r="V20" i="100"/>
  <c r="U21" i="100"/>
  <c r="AL94" i="100"/>
  <c r="Y52" i="100"/>
  <c r="BA18" i="100"/>
  <c r="P11" i="100"/>
  <c r="X50" i="100"/>
  <c r="J15" i="100"/>
  <c r="BK15" i="100"/>
  <c r="K16" i="100"/>
  <c r="AT19" i="100"/>
  <c r="AP20" i="100"/>
  <c r="AQ20" i="100"/>
  <c r="V21" i="100"/>
  <c r="U22" i="100"/>
  <c r="G21" i="100"/>
  <c r="H21" i="100"/>
  <c r="I20" i="100"/>
  <c r="BJ20" i="100"/>
  <c r="Q20" i="100"/>
  <c r="R20" i="100"/>
  <c r="N11" i="100"/>
  <c r="AL95" i="100"/>
  <c r="Y53" i="100"/>
  <c r="BI20" i="100"/>
  <c r="BH21" i="100"/>
  <c r="L12" i="100"/>
  <c r="AM58" i="100"/>
  <c r="AS19" i="100"/>
  <c r="AO19" i="100"/>
  <c r="BG10" i="100"/>
  <c r="X51" i="100"/>
  <c r="BK16" i="100"/>
  <c r="J16" i="100"/>
  <c r="K17" i="100"/>
  <c r="AP21" i="100"/>
  <c r="AQ21" i="100"/>
  <c r="AT20" i="100"/>
  <c r="AM59" i="100"/>
  <c r="AS20" i="100"/>
  <c r="AO20" i="100"/>
  <c r="P12" i="100"/>
  <c r="AL96" i="100"/>
  <c r="Y54" i="100"/>
  <c r="G22" i="100"/>
  <c r="H22" i="100"/>
  <c r="I21" i="100"/>
  <c r="BJ21" i="100"/>
  <c r="U23" i="100"/>
  <c r="V22" i="100"/>
  <c r="AP22" i="100"/>
  <c r="AQ22" i="100"/>
  <c r="AT21" i="100"/>
  <c r="M12" i="100"/>
  <c r="R21" i="100"/>
  <c r="Q21" i="100"/>
  <c r="X52" i="100"/>
  <c r="J17" i="100"/>
  <c r="BK17" i="100"/>
  <c r="K18" i="100"/>
  <c r="AU11" i="100"/>
  <c r="BH22" i="100"/>
  <c r="BI21" i="100"/>
  <c r="N12" i="100"/>
  <c r="AM60" i="100"/>
  <c r="AO21" i="100"/>
  <c r="R22" i="100"/>
  <c r="Q22" i="100"/>
  <c r="AL97" i="100"/>
  <c r="Y55" i="100"/>
  <c r="X53" i="100"/>
  <c r="J18" i="100"/>
  <c r="BK18" i="100"/>
  <c r="K19" i="100"/>
  <c r="U24" i="100"/>
  <c r="V23" i="100"/>
  <c r="BH23" i="100"/>
  <c r="BI22" i="100"/>
  <c r="AT22" i="100"/>
  <c r="AP23" i="100"/>
  <c r="AQ23" i="100"/>
  <c r="G23" i="100"/>
  <c r="H23" i="100"/>
  <c r="I22" i="100"/>
  <c r="BJ22" i="100"/>
  <c r="AY11" i="100"/>
  <c r="AW11" i="100"/>
  <c r="S12" i="100"/>
  <c r="G24" i="100"/>
  <c r="H24" i="100"/>
  <c r="I23" i="100"/>
  <c r="BJ23" i="100"/>
  <c r="AM61" i="100"/>
  <c r="AO22" i="100"/>
  <c r="V24" i="100"/>
  <c r="U25" i="100"/>
  <c r="L13" i="100"/>
  <c r="BI23" i="100"/>
  <c r="BH24" i="100"/>
  <c r="AT23" i="100"/>
  <c r="AP24" i="100"/>
  <c r="AQ24" i="100"/>
  <c r="R23" i="100"/>
  <c r="Q23" i="100"/>
  <c r="AV11" i="100"/>
  <c r="X54" i="100"/>
  <c r="J19" i="100"/>
  <c r="BK19" i="100"/>
  <c r="K20" i="100"/>
  <c r="AL98" i="100"/>
  <c r="Y56" i="100"/>
  <c r="AP25" i="100"/>
  <c r="AQ25" i="100"/>
  <c r="AT24" i="100"/>
  <c r="Q24" i="100"/>
  <c r="R24" i="100"/>
  <c r="X55" i="100"/>
  <c r="BK20" i="100"/>
  <c r="J20" i="100"/>
  <c r="K21" i="100"/>
  <c r="BH25" i="100"/>
  <c r="BI24" i="100"/>
  <c r="G25" i="100"/>
  <c r="H25" i="100"/>
  <c r="I24" i="100"/>
  <c r="BJ24" i="100"/>
  <c r="AL99" i="100"/>
  <c r="Y57" i="100"/>
  <c r="U26" i="100"/>
  <c r="V25" i="100"/>
  <c r="BG11" i="100"/>
  <c r="P13" i="100"/>
  <c r="AM62" i="100"/>
  <c r="AO23" i="100"/>
  <c r="M13" i="100"/>
  <c r="S13" i="100"/>
  <c r="W49" i="100"/>
  <c r="R25" i="100"/>
  <c r="Q25" i="100"/>
  <c r="N13" i="100"/>
  <c r="U27" i="100"/>
  <c r="V26" i="100"/>
  <c r="AU12" i="100"/>
  <c r="AL100" i="100"/>
  <c r="Y58" i="100"/>
  <c r="G26" i="100"/>
  <c r="H26" i="100"/>
  <c r="I25" i="100"/>
  <c r="BJ25" i="100"/>
  <c r="BI25" i="100"/>
  <c r="BH26" i="100"/>
  <c r="AM63" i="100"/>
  <c r="AO24" i="100"/>
  <c r="BK21" i="100"/>
  <c r="X56" i="100"/>
  <c r="J21" i="100"/>
  <c r="K22" i="100"/>
  <c r="AT25" i="100"/>
  <c r="AP26" i="100"/>
  <c r="AQ26" i="100"/>
  <c r="X57" i="100"/>
  <c r="J22" i="100"/>
  <c r="BK22" i="100"/>
  <c r="K23" i="100"/>
  <c r="L14" i="100"/>
  <c r="P14" i="100"/>
  <c r="N14" i="100"/>
  <c r="AY12" i="100"/>
  <c r="AW12" i="100"/>
  <c r="AP27" i="100"/>
  <c r="AQ27" i="100"/>
  <c r="AT26" i="100"/>
  <c r="R26" i="100"/>
  <c r="Q26" i="100"/>
  <c r="BA19" i="100"/>
  <c r="Y59" i="100"/>
  <c r="AL101" i="100"/>
  <c r="G27" i="100"/>
  <c r="H27" i="100"/>
  <c r="I26" i="100"/>
  <c r="BJ26" i="100"/>
  <c r="AM64" i="100"/>
  <c r="AO25" i="100"/>
  <c r="BH27" i="100"/>
  <c r="BI26" i="100"/>
  <c r="V27" i="100"/>
  <c r="U28" i="100"/>
  <c r="AV12" i="100"/>
  <c r="X58" i="100"/>
  <c r="J23" i="100"/>
  <c r="BK23" i="100"/>
  <c r="K24" i="100"/>
  <c r="AM65" i="100"/>
  <c r="AO26" i="100"/>
  <c r="M14" i="100"/>
  <c r="S14" i="100"/>
  <c r="U29" i="100"/>
  <c r="V28" i="100"/>
  <c r="R27" i="100"/>
  <c r="Q27" i="100"/>
  <c r="BA20" i="100"/>
  <c r="AL102" i="100"/>
  <c r="Y60" i="100"/>
  <c r="AT27" i="100"/>
  <c r="AP28" i="100"/>
  <c r="AQ28" i="100"/>
  <c r="BI27" i="100"/>
  <c r="BH28" i="100"/>
  <c r="G28" i="100"/>
  <c r="H28" i="100"/>
  <c r="I27" i="100"/>
  <c r="BJ27" i="100"/>
  <c r="G29" i="100"/>
  <c r="H29" i="100"/>
  <c r="I28" i="100"/>
  <c r="BJ28" i="100"/>
  <c r="BH29" i="100"/>
  <c r="BI28" i="100"/>
  <c r="AM66" i="100"/>
  <c r="AO27" i="100"/>
  <c r="R28" i="100"/>
  <c r="Q28" i="100"/>
  <c r="BA21" i="100"/>
  <c r="AZ21" i="100"/>
  <c r="AL103" i="100"/>
  <c r="Y61" i="100"/>
  <c r="U30" i="100"/>
  <c r="V29" i="100"/>
  <c r="L15" i="100"/>
  <c r="P15" i="100"/>
  <c r="N15" i="100"/>
  <c r="W50" i="100"/>
  <c r="X59" i="100"/>
  <c r="J24" i="100"/>
  <c r="BK24" i="100"/>
  <c r="K25" i="100"/>
  <c r="BG12" i="100"/>
  <c r="AP29" i="100"/>
  <c r="AQ29" i="100"/>
  <c r="AT28" i="100"/>
  <c r="M15" i="100"/>
  <c r="S15" i="100"/>
  <c r="L16" i="100"/>
  <c r="P16" i="100"/>
  <c r="N16" i="100"/>
  <c r="AM67" i="100"/>
  <c r="AO28" i="100"/>
  <c r="X60" i="100"/>
  <c r="J25" i="100"/>
  <c r="BK25" i="100"/>
  <c r="K26" i="100"/>
  <c r="AP30" i="100"/>
  <c r="AQ30" i="100"/>
  <c r="AT29" i="100"/>
  <c r="U31" i="100"/>
  <c r="V30" i="100"/>
  <c r="AS21" i="100"/>
  <c r="BA22" i="100"/>
  <c r="AZ22" i="100"/>
  <c r="AS22" i="100"/>
  <c r="BH30" i="100"/>
  <c r="BI29" i="100"/>
  <c r="G30" i="100"/>
  <c r="H30" i="100"/>
  <c r="I29" i="100"/>
  <c r="BJ29" i="100"/>
  <c r="AU13" i="100"/>
  <c r="Y62" i="100"/>
  <c r="AL104" i="100"/>
  <c r="Q29" i="100"/>
  <c r="R29" i="100"/>
  <c r="W51" i="100"/>
  <c r="G31" i="100"/>
  <c r="H31" i="100"/>
  <c r="I30" i="100"/>
  <c r="BJ30" i="100"/>
  <c r="AZ23" i="100"/>
  <c r="AS23" i="100"/>
  <c r="BA23" i="100"/>
  <c r="R30" i="100"/>
  <c r="Q30" i="100"/>
  <c r="AT30" i="100"/>
  <c r="AP31" i="100"/>
  <c r="AQ31" i="100"/>
  <c r="AY13" i="100"/>
  <c r="AW13" i="100"/>
  <c r="BH31" i="100"/>
  <c r="BI30" i="100"/>
  <c r="V31" i="100"/>
  <c r="U32" i="100"/>
  <c r="X61" i="100"/>
  <c r="BK26" i="100"/>
  <c r="J26" i="100"/>
  <c r="K27" i="100"/>
  <c r="AL105" i="100"/>
  <c r="Y63" i="100"/>
  <c r="AM68" i="100"/>
  <c r="AO29" i="100"/>
  <c r="M16" i="100"/>
  <c r="S16" i="100"/>
  <c r="AV13" i="100"/>
  <c r="AL106" i="100"/>
  <c r="Y64" i="100"/>
  <c r="BA24" i="100"/>
  <c r="AZ24" i="100"/>
  <c r="G32" i="100"/>
  <c r="H32" i="100"/>
  <c r="I31" i="100"/>
  <c r="BJ31" i="100"/>
  <c r="BI31" i="100"/>
  <c r="BH32" i="100"/>
  <c r="AP32" i="100"/>
  <c r="AQ32" i="100"/>
  <c r="AT31" i="100"/>
  <c r="L17" i="100"/>
  <c r="P17" i="100"/>
  <c r="N17" i="100"/>
  <c r="W52" i="100"/>
  <c r="Q31" i="100"/>
  <c r="R31" i="100"/>
  <c r="X62" i="100"/>
  <c r="J27" i="100"/>
  <c r="BK27" i="100"/>
  <c r="K28" i="100"/>
  <c r="V32" i="100"/>
  <c r="U33" i="100"/>
  <c r="AM69" i="100"/>
  <c r="AO30" i="100"/>
  <c r="M17" i="100"/>
  <c r="S17" i="100"/>
  <c r="L18" i="100"/>
  <c r="P18" i="100"/>
  <c r="N18" i="100"/>
  <c r="V33" i="100"/>
  <c r="U34" i="100"/>
  <c r="BI32" i="100"/>
  <c r="BH33" i="100"/>
  <c r="AL107" i="100"/>
  <c r="Y65" i="100"/>
  <c r="G33" i="100"/>
  <c r="H33" i="100"/>
  <c r="I32" i="100"/>
  <c r="BJ32" i="100"/>
  <c r="AM70" i="100"/>
  <c r="AO31" i="100"/>
  <c r="BG13" i="100"/>
  <c r="BL59" i="100"/>
  <c r="BA25" i="100"/>
  <c r="AZ25" i="100"/>
  <c r="AS25" i="100"/>
  <c r="AS24" i="100"/>
  <c r="Q32" i="100"/>
  <c r="R32" i="100"/>
  <c r="X63" i="100"/>
  <c r="BK28" i="100"/>
  <c r="J28" i="100"/>
  <c r="K29" i="100"/>
  <c r="AP33" i="100"/>
  <c r="AQ33" i="100"/>
  <c r="AT32" i="100"/>
  <c r="W53" i="100"/>
  <c r="M18" i="100"/>
  <c r="S18" i="100"/>
  <c r="L19" i="100"/>
  <c r="P19" i="100"/>
  <c r="N19" i="100"/>
  <c r="G34" i="100"/>
  <c r="H34" i="100"/>
  <c r="I33" i="100"/>
  <c r="BJ33" i="100"/>
  <c r="BI33" i="100"/>
  <c r="BH34" i="100"/>
  <c r="AT33" i="100"/>
  <c r="AP34" i="100"/>
  <c r="AQ34" i="100"/>
  <c r="X64" i="100"/>
  <c r="J29" i="100"/>
  <c r="BK29" i="100"/>
  <c r="K30" i="100"/>
  <c r="AU14" i="100"/>
  <c r="AY14" i="100"/>
  <c r="AW14" i="100"/>
  <c r="AV14" i="100"/>
  <c r="BG14" i="100"/>
  <c r="AM71" i="100"/>
  <c r="AO32" i="100"/>
  <c r="BA26" i="100"/>
  <c r="AZ26" i="100"/>
  <c r="AS26" i="100"/>
  <c r="AL108" i="100"/>
  <c r="Y66" i="100"/>
  <c r="U35" i="100"/>
  <c r="V34" i="100"/>
  <c r="R33" i="100"/>
  <c r="Q33" i="100"/>
  <c r="W54" i="100"/>
  <c r="AU15" i="100"/>
  <c r="AY15" i="100"/>
  <c r="AW15" i="100"/>
  <c r="AV15" i="100"/>
  <c r="BG15" i="100"/>
  <c r="BL60" i="100"/>
  <c r="BI34" i="100"/>
  <c r="BH35" i="100"/>
  <c r="U36" i="100"/>
  <c r="V35" i="100"/>
  <c r="AL109" i="100"/>
  <c r="Y67" i="100"/>
  <c r="X65" i="100"/>
  <c r="J30" i="100"/>
  <c r="BK30" i="100"/>
  <c r="K31" i="100"/>
  <c r="AZ27" i="100"/>
  <c r="AS27" i="100"/>
  <c r="BA27" i="100"/>
  <c r="G35" i="100"/>
  <c r="H35" i="100"/>
  <c r="I34" i="100"/>
  <c r="BJ34" i="100"/>
  <c r="M19" i="100"/>
  <c r="S19" i="100"/>
  <c r="AT34" i="100"/>
  <c r="AP35" i="100"/>
  <c r="AQ35" i="100"/>
  <c r="R34" i="100"/>
  <c r="Q34" i="100"/>
  <c r="AM72" i="100"/>
  <c r="AO33" i="100"/>
  <c r="AU16" i="100"/>
  <c r="AY16" i="100"/>
  <c r="AW16" i="100"/>
  <c r="AV16" i="100"/>
  <c r="BG16" i="100"/>
  <c r="BL61" i="100"/>
  <c r="G36" i="100"/>
  <c r="H36" i="100"/>
  <c r="I35" i="100"/>
  <c r="BJ35" i="100"/>
  <c r="R35" i="100"/>
  <c r="Q35" i="100"/>
  <c r="AT35" i="100"/>
  <c r="AP36" i="100"/>
  <c r="AQ36" i="100"/>
  <c r="U37" i="100"/>
  <c r="V36" i="100"/>
  <c r="AM73" i="100"/>
  <c r="AO34" i="100"/>
  <c r="X66" i="100"/>
  <c r="J31" i="100"/>
  <c r="BK31" i="100"/>
  <c r="K32" i="100"/>
  <c r="AL110" i="100"/>
  <c r="Y68" i="100"/>
  <c r="BI35" i="100"/>
  <c r="BH36" i="100"/>
  <c r="L20" i="100"/>
  <c r="P20" i="100"/>
  <c r="N20" i="100"/>
  <c r="W55" i="100"/>
  <c r="BA28" i="100"/>
  <c r="AZ28" i="100"/>
  <c r="AS28" i="100"/>
  <c r="AU17" i="100"/>
  <c r="AY17" i="100"/>
  <c r="AW17" i="100"/>
  <c r="AV17" i="100"/>
  <c r="BG17" i="100"/>
  <c r="BL62" i="100"/>
  <c r="BI36" i="100"/>
  <c r="BH37" i="100"/>
  <c r="X67" i="100"/>
  <c r="J32" i="100"/>
  <c r="BK32" i="100"/>
  <c r="K33" i="100"/>
  <c r="V37" i="100"/>
  <c r="U38" i="100"/>
  <c r="G37" i="100"/>
  <c r="H37" i="100"/>
  <c r="I36" i="100"/>
  <c r="BJ36" i="100"/>
  <c r="M20" i="100"/>
  <c r="S20" i="100"/>
  <c r="AZ29" i="100"/>
  <c r="AS29" i="100"/>
  <c r="BA29" i="100"/>
  <c r="AL111" i="100"/>
  <c r="Y69" i="100"/>
  <c r="AP37" i="100"/>
  <c r="AQ37" i="100"/>
  <c r="AT36" i="100"/>
  <c r="R36" i="100"/>
  <c r="Q36" i="100"/>
  <c r="AM74" i="100"/>
  <c r="AO35" i="100"/>
  <c r="AU18" i="100"/>
  <c r="AY18" i="100"/>
  <c r="AW18" i="100"/>
  <c r="AV18" i="100"/>
  <c r="BG18" i="100"/>
  <c r="BL63" i="100"/>
  <c r="G38" i="100"/>
  <c r="H38" i="100"/>
  <c r="I37" i="100"/>
  <c r="BJ37" i="100"/>
  <c r="V38" i="100"/>
  <c r="U39" i="100"/>
  <c r="AM75" i="100"/>
  <c r="AO36" i="100"/>
  <c r="L21" i="100"/>
  <c r="P21" i="100"/>
  <c r="N21" i="100"/>
  <c r="AG33" i="100"/>
  <c r="AF33" i="100"/>
  <c r="W56" i="100"/>
  <c r="R37" i="100"/>
  <c r="Q37" i="100"/>
  <c r="X68" i="100"/>
  <c r="J33" i="100"/>
  <c r="BK33" i="100"/>
  <c r="K34" i="100"/>
  <c r="AP38" i="100"/>
  <c r="AQ38" i="100"/>
  <c r="AT37" i="100"/>
  <c r="BI37" i="100"/>
  <c r="BH38" i="100"/>
  <c r="AL112" i="100"/>
  <c r="Y70" i="100"/>
  <c r="AZ30" i="100"/>
  <c r="AS30" i="100"/>
  <c r="BA30" i="100"/>
  <c r="M21" i="100"/>
  <c r="S21" i="100"/>
  <c r="L22" i="100"/>
  <c r="P22" i="100"/>
  <c r="N22" i="100"/>
  <c r="AU19" i="100"/>
  <c r="AY19" i="100"/>
  <c r="AW19" i="100"/>
  <c r="AV19" i="100"/>
  <c r="BG19" i="100"/>
  <c r="BL64" i="100"/>
  <c r="V39" i="100"/>
  <c r="U40" i="100"/>
  <c r="BI38" i="100"/>
  <c r="BH39" i="100"/>
  <c r="AT38" i="100"/>
  <c r="AP39" i="100"/>
  <c r="AQ39" i="100"/>
  <c r="R38" i="100"/>
  <c r="Q38" i="100"/>
  <c r="G39" i="100"/>
  <c r="H39" i="100"/>
  <c r="I38" i="100"/>
  <c r="BJ38" i="100"/>
  <c r="AM76" i="100"/>
  <c r="AO37" i="100"/>
  <c r="AZ31" i="100"/>
  <c r="AS31" i="100"/>
  <c r="BA31" i="100"/>
  <c r="X69" i="100"/>
  <c r="BK34" i="100"/>
  <c r="J34" i="100"/>
  <c r="K35" i="100"/>
  <c r="AL113" i="100"/>
  <c r="Y71" i="100"/>
  <c r="W57" i="100"/>
  <c r="AU20" i="100"/>
  <c r="AY20" i="100"/>
  <c r="AW20" i="100"/>
  <c r="AV20" i="100"/>
  <c r="BG20" i="100"/>
  <c r="BL65" i="100"/>
  <c r="AZ32" i="100"/>
  <c r="AS32" i="100"/>
  <c r="BA32" i="100"/>
  <c r="G40" i="100"/>
  <c r="H40" i="100"/>
  <c r="I39" i="100"/>
  <c r="BJ39" i="100"/>
  <c r="BI39" i="100"/>
  <c r="BH40" i="100"/>
  <c r="X70" i="100"/>
  <c r="J35" i="100"/>
  <c r="BK35" i="100"/>
  <c r="K36" i="100"/>
  <c r="AT39" i="100"/>
  <c r="AP40" i="100"/>
  <c r="AQ40" i="100"/>
  <c r="M22" i="100"/>
  <c r="S22" i="100"/>
  <c r="AL114" i="100"/>
  <c r="Y72" i="100"/>
  <c r="V40" i="100"/>
  <c r="U41" i="100"/>
  <c r="AM77" i="100"/>
  <c r="AO38" i="100"/>
  <c r="R39" i="100"/>
  <c r="Q39" i="100"/>
  <c r="AU21" i="100"/>
  <c r="AY21" i="100"/>
  <c r="AW21" i="100"/>
  <c r="AV21" i="100"/>
  <c r="BG21" i="100"/>
  <c r="BL66" i="100"/>
  <c r="V41" i="100"/>
  <c r="U42" i="100"/>
  <c r="L23" i="100"/>
  <c r="P23" i="100"/>
  <c r="N23" i="100"/>
  <c r="W58" i="100"/>
  <c r="X71" i="100"/>
  <c r="J36" i="100"/>
  <c r="BK36" i="100"/>
  <c r="K37" i="100"/>
  <c r="BI40" i="100"/>
  <c r="BH41" i="100"/>
  <c r="G41" i="100"/>
  <c r="H41" i="100"/>
  <c r="I40" i="100"/>
  <c r="BJ40" i="100"/>
  <c r="AL115" i="100"/>
  <c r="Y73" i="100"/>
  <c r="R40" i="100"/>
  <c r="Q40" i="100"/>
  <c r="AZ33" i="100"/>
  <c r="AS33" i="100"/>
  <c r="BA33" i="100"/>
  <c r="AP41" i="100"/>
  <c r="AQ41" i="100"/>
  <c r="AT40" i="100"/>
  <c r="AM78" i="100"/>
  <c r="AO39" i="100"/>
  <c r="AU22" i="100"/>
  <c r="AY22" i="100"/>
  <c r="AW22" i="100"/>
  <c r="AV22" i="100"/>
  <c r="BG22" i="100"/>
  <c r="BL67" i="100"/>
  <c r="X72" i="100"/>
  <c r="BK37" i="100"/>
  <c r="J37" i="100"/>
  <c r="K38" i="100"/>
  <c r="AM79" i="100"/>
  <c r="AO40" i="100"/>
  <c r="AL116" i="100"/>
  <c r="Y74" i="100"/>
  <c r="G42" i="100"/>
  <c r="H42" i="100"/>
  <c r="I41" i="100"/>
  <c r="BJ41" i="100"/>
  <c r="BH42" i="100"/>
  <c r="BI41" i="100"/>
  <c r="M23" i="100"/>
  <c r="S23" i="100"/>
  <c r="AP42" i="100"/>
  <c r="AQ42" i="100"/>
  <c r="AT41" i="100"/>
  <c r="BA34" i="100"/>
  <c r="AZ34" i="100"/>
  <c r="AS34" i="100"/>
  <c r="U43" i="100"/>
  <c r="V42" i="100"/>
  <c r="R41" i="100"/>
  <c r="Q41" i="100"/>
  <c r="AU23" i="100"/>
  <c r="AY23" i="100"/>
  <c r="AW23" i="100"/>
  <c r="AV23" i="100"/>
  <c r="BG23" i="100"/>
  <c r="BL68" i="100"/>
  <c r="AM80" i="100"/>
  <c r="AO41" i="100"/>
  <c r="BH43" i="100"/>
  <c r="BI42" i="100"/>
  <c r="G43" i="100"/>
  <c r="H43" i="100"/>
  <c r="I42" i="100"/>
  <c r="BJ42" i="100"/>
  <c r="X73" i="100"/>
  <c r="J38" i="100"/>
  <c r="BK38" i="100"/>
  <c r="K39" i="100"/>
  <c r="R42" i="100"/>
  <c r="Q42" i="100"/>
  <c r="AP43" i="100"/>
  <c r="AQ43" i="100"/>
  <c r="AT42" i="100"/>
  <c r="U44" i="100"/>
  <c r="V43" i="100"/>
  <c r="L24" i="100"/>
  <c r="P24" i="100"/>
  <c r="N24" i="100"/>
  <c r="W59" i="100"/>
  <c r="BA35" i="100"/>
  <c r="AZ35" i="100"/>
  <c r="AS35" i="100"/>
  <c r="AL117" i="100"/>
  <c r="Y75" i="100"/>
  <c r="AU24" i="100"/>
  <c r="AY24" i="100"/>
  <c r="AW24" i="100"/>
  <c r="AV24" i="100"/>
  <c r="BG24" i="100"/>
  <c r="BL69" i="100"/>
  <c r="AL118" i="100"/>
  <c r="Y76" i="100"/>
  <c r="G44" i="100"/>
  <c r="H44" i="100"/>
  <c r="I43" i="100"/>
  <c r="BJ43" i="100"/>
  <c r="BI43" i="100"/>
  <c r="BH44" i="100"/>
  <c r="AM81" i="100"/>
  <c r="AO42" i="100"/>
  <c r="X74" i="100"/>
  <c r="BK39" i="100"/>
  <c r="J39" i="100"/>
  <c r="K40" i="100"/>
  <c r="R43" i="100"/>
  <c r="Q43" i="100"/>
  <c r="AT43" i="100"/>
  <c r="AP44" i="100"/>
  <c r="AQ44" i="100"/>
  <c r="M24" i="100"/>
  <c r="S24" i="100"/>
  <c r="V44" i="100"/>
  <c r="U45" i="100"/>
  <c r="BA36" i="100"/>
  <c r="AZ36" i="100"/>
  <c r="AS36" i="100"/>
  <c r="AM82" i="100"/>
  <c r="AO43" i="100"/>
  <c r="AU25" i="100"/>
  <c r="AY25" i="100"/>
  <c r="AW25" i="100"/>
  <c r="AV25" i="100"/>
  <c r="BG25" i="100"/>
  <c r="BL70" i="100"/>
  <c r="L25" i="100"/>
  <c r="P25" i="100"/>
  <c r="N25" i="100"/>
  <c r="W60" i="100"/>
  <c r="Q44" i="100"/>
  <c r="R44" i="100"/>
  <c r="BH45" i="100"/>
  <c r="BI44" i="100"/>
  <c r="AL119" i="100"/>
  <c r="Y77" i="100"/>
  <c r="U46" i="100"/>
  <c r="V45" i="100"/>
  <c r="AP45" i="100"/>
  <c r="AQ45" i="100"/>
  <c r="AT44" i="100"/>
  <c r="X75" i="100"/>
  <c r="BK40" i="100"/>
  <c r="J40" i="100"/>
  <c r="K41" i="100"/>
  <c r="BA37" i="100"/>
  <c r="AZ37" i="100"/>
  <c r="AS37" i="100"/>
  <c r="G45" i="100"/>
  <c r="H45" i="100"/>
  <c r="I44" i="100"/>
  <c r="BJ44" i="100"/>
  <c r="M25" i="100"/>
  <c r="S25" i="100"/>
  <c r="L26" i="100"/>
  <c r="P26" i="100"/>
  <c r="N26" i="100"/>
  <c r="AU26" i="100"/>
  <c r="AY26" i="100"/>
  <c r="AW26" i="100"/>
  <c r="AV26" i="100"/>
  <c r="BG26" i="100"/>
  <c r="BL71" i="100"/>
  <c r="AM83" i="100"/>
  <c r="AO44" i="100"/>
  <c r="AP46" i="100"/>
  <c r="AQ46" i="100"/>
  <c r="AT45" i="100"/>
  <c r="R45" i="100"/>
  <c r="Q45" i="100"/>
  <c r="BA38" i="100"/>
  <c r="AZ38" i="100"/>
  <c r="AS38" i="100"/>
  <c r="AL120" i="100"/>
  <c r="Y78" i="100"/>
  <c r="G46" i="100"/>
  <c r="H46" i="100"/>
  <c r="I45" i="100"/>
  <c r="BJ45" i="100"/>
  <c r="X76" i="100"/>
  <c r="BK41" i="100"/>
  <c r="J41" i="100"/>
  <c r="K42" i="100"/>
  <c r="V46" i="100"/>
  <c r="U47" i="100"/>
  <c r="BI45" i="100"/>
  <c r="BH46" i="100"/>
  <c r="W61" i="100"/>
  <c r="AU27" i="100"/>
  <c r="AY27" i="100"/>
  <c r="AW27" i="100"/>
  <c r="AV27" i="100"/>
  <c r="BG27" i="100"/>
  <c r="BL72" i="100"/>
  <c r="Q46" i="100"/>
  <c r="R46" i="100"/>
  <c r="G47" i="100"/>
  <c r="H47" i="100"/>
  <c r="I46" i="100"/>
  <c r="BJ46" i="100"/>
  <c r="BI46" i="100"/>
  <c r="BH47" i="100"/>
  <c r="X77" i="100"/>
  <c r="J42" i="100"/>
  <c r="BK42" i="100"/>
  <c r="K43" i="100"/>
  <c r="V47" i="100"/>
  <c r="U48" i="100"/>
  <c r="AT46" i="100"/>
  <c r="AP47" i="100"/>
  <c r="AQ47" i="100"/>
  <c r="BA39" i="100"/>
  <c r="AZ39" i="100"/>
  <c r="AS39" i="100"/>
  <c r="AL121" i="100"/>
  <c r="Y79" i="100"/>
  <c r="AM84" i="100"/>
  <c r="AO45" i="100"/>
  <c r="M26" i="100"/>
  <c r="S26" i="100"/>
  <c r="AU28" i="100"/>
  <c r="AY28" i="100"/>
  <c r="AW28" i="100"/>
  <c r="AV28" i="100"/>
  <c r="BG28" i="100"/>
  <c r="BL73" i="100"/>
  <c r="U49" i="100"/>
  <c r="V48" i="100"/>
  <c r="Q47" i="100"/>
  <c r="R47" i="100"/>
  <c r="AP48" i="100"/>
  <c r="AQ48" i="100"/>
  <c r="AT47" i="100"/>
  <c r="BH48" i="100"/>
  <c r="BI47" i="100"/>
  <c r="X78" i="100"/>
  <c r="BK43" i="100"/>
  <c r="J43" i="100"/>
  <c r="K44" i="100"/>
  <c r="L27" i="100"/>
  <c r="P27" i="100"/>
  <c r="N27" i="100"/>
  <c r="W62" i="100"/>
  <c r="AL122" i="100"/>
  <c r="Y80" i="100"/>
  <c r="AM85" i="100"/>
  <c r="AO46" i="100"/>
  <c r="BA40" i="100"/>
  <c r="AZ40" i="100"/>
  <c r="AS40" i="100"/>
  <c r="G48" i="100"/>
  <c r="H48" i="100"/>
  <c r="I47" i="100"/>
  <c r="BJ47" i="100"/>
  <c r="AU29" i="100"/>
  <c r="AY29" i="100"/>
  <c r="AW29" i="100"/>
  <c r="AV29" i="100"/>
  <c r="BG29" i="100"/>
  <c r="BL74" i="100"/>
  <c r="M27" i="100"/>
  <c r="S27" i="100"/>
  <c r="BH49" i="100"/>
  <c r="BI48" i="100"/>
  <c r="G49" i="100"/>
  <c r="H49" i="100"/>
  <c r="I48" i="100"/>
  <c r="BJ48" i="100"/>
  <c r="AL123" i="100"/>
  <c r="Y81" i="100"/>
  <c r="AM86" i="100"/>
  <c r="AO47" i="100"/>
  <c r="R48" i="100"/>
  <c r="Q48" i="100"/>
  <c r="X79" i="100"/>
  <c r="BK44" i="100"/>
  <c r="J44" i="100"/>
  <c r="K45" i="100"/>
  <c r="BA41" i="100"/>
  <c r="AZ41" i="100"/>
  <c r="AS41" i="100"/>
  <c r="AP49" i="100"/>
  <c r="AQ49" i="100"/>
  <c r="AT48" i="100"/>
  <c r="U50" i="100"/>
  <c r="V49" i="100"/>
  <c r="AU30" i="100"/>
  <c r="AY30" i="100"/>
  <c r="AW30" i="100"/>
  <c r="AV30" i="100"/>
  <c r="BG30" i="100"/>
  <c r="BL75" i="100"/>
  <c r="AM87" i="100"/>
  <c r="AO48" i="100"/>
  <c r="AT49" i="100"/>
  <c r="AP50" i="100"/>
  <c r="AQ50" i="100"/>
  <c r="U51" i="100"/>
  <c r="V50" i="100"/>
  <c r="X80" i="100"/>
  <c r="J45" i="100"/>
  <c r="BK45" i="100"/>
  <c r="K46" i="100"/>
  <c r="AL124" i="100"/>
  <c r="Y82" i="100"/>
  <c r="BA42" i="100"/>
  <c r="AZ42" i="100"/>
  <c r="AS42" i="100"/>
  <c r="G50" i="100"/>
  <c r="H50" i="100"/>
  <c r="I49" i="100"/>
  <c r="BJ49" i="100"/>
  <c r="BH50" i="100"/>
  <c r="BI49" i="100"/>
  <c r="R49" i="100"/>
  <c r="Q49" i="100"/>
  <c r="L28" i="100"/>
  <c r="P28" i="100"/>
  <c r="N28" i="100"/>
  <c r="W63" i="100"/>
  <c r="AU31" i="100"/>
  <c r="AY31" i="100"/>
  <c r="AW31" i="100"/>
  <c r="AV31" i="100"/>
  <c r="BG31" i="100"/>
  <c r="BL76" i="100"/>
  <c r="M28" i="100"/>
  <c r="S28" i="100"/>
  <c r="X81" i="100"/>
  <c r="BK46" i="100"/>
  <c r="J46" i="100"/>
  <c r="K47" i="100"/>
  <c r="R50" i="100"/>
  <c r="Q50" i="100"/>
  <c r="AM88" i="100"/>
  <c r="AO49" i="100"/>
  <c r="AZ43" i="100"/>
  <c r="AS43" i="100"/>
  <c r="BA43" i="100"/>
  <c r="AL125" i="100"/>
  <c r="Y83" i="100"/>
  <c r="U52" i="100"/>
  <c r="V51" i="100"/>
  <c r="BI50" i="100"/>
  <c r="BH51" i="100"/>
  <c r="G51" i="100"/>
  <c r="H51" i="100"/>
  <c r="I50" i="100"/>
  <c r="BJ50" i="100"/>
  <c r="AT50" i="100"/>
  <c r="AP51" i="100"/>
  <c r="AQ51" i="100"/>
  <c r="AU32" i="100"/>
  <c r="AY32" i="100"/>
  <c r="AW32" i="100"/>
  <c r="AV32" i="100"/>
  <c r="BG32" i="100"/>
  <c r="BL77" i="100"/>
  <c r="G52" i="100"/>
  <c r="H52" i="100"/>
  <c r="I51" i="100"/>
  <c r="BJ51" i="100"/>
  <c r="Y114" i="100"/>
  <c r="Y115" i="100"/>
  <c r="Y116" i="100"/>
  <c r="Y117" i="100"/>
  <c r="Y118" i="100"/>
  <c r="Y119" i="100"/>
  <c r="Y120" i="100"/>
  <c r="Y121" i="100"/>
  <c r="Y122" i="100"/>
  <c r="Y123" i="100"/>
  <c r="Y124" i="100"/>
  <c r="Y125" i="100"/>
  <c r="Y126" i="100"/>
  <c r="Y127" i="100"/>
  <c r="Y128" i="100"/>
  <c r="Y129" i="100"/>
  <c r="Y130" i="100"/>
  <c r="Y131" i="100"/>
  <c r="Y132" i="100"/>
  <c r="Y133" i="100"/>
  <c r="Y134" i="100"/>
  <c r="Y135" i="100"/>
  <c r="Y136" i="100"/>
  <c r="Y137" i="100"/>
  <c r="Y138" i="100"/>
  <c r="Y139" i="100"/>
  <c r="Y140" i="100"/>
  <c r="Y141" i="100"/>
  <c r="Y142" i="100"/>
  <c r="Y143" i="100"/>
  <c r="AL126" i="100"/>
  <c r="Y84" i="100"/>
  <c r="AM89" i="100"/>
  <c r="AO50" i="100"/>
  <c r="BA44" i="100"/>
  <c r="AZ44" i="100"/>
  <c r="AS44" i="100"/>
  <c r="BI51" i="100"/>
  <c r="BH52" i="100"/>
  <c r="R51" i="100"/>
  <c r="Q51" i="100"/>
  <c r="AT51" i="100"/>
  <c r="AP52" i="100"/>
  <c r="AQ52" i="100"/>
  <c r="V52" i="100"/>
  <c r="U53" i="100"/>
  <c r="X82" i="100"/>
  <c r="BK47" i="100"/>
  <c r="J47" i="100"/>
  <c r="K48" i="100"/>
  <c r="L29" i="100"/>
  <c r="P29" i="100"/>
  <c r="N29" i="100"/>
  <c r="W64" i="100"/>
  <c r="AU33" i="100"/>
  <c r="AY33" i="100"/>
  <c r="AW33" i="100"/>
  <c r="AV33" i="100"/>
  <c r="BG33" i="100"/>
  <c r="BL78" i="100"/>
  <c r="G53" i="100"/>
  <c r="H53" i="100"/>
  <c r="I52" i="100"/>
  <c r="BJ52" i="100"/>
  <c r="M29" i="100"/>
  <c r="S29" i="100"/>
  <c r="R52" i="100"/>
  <c r="Q52" i="100"/>
  <c r="AT52" i="100"/>
  <c r="AP53" i="100"/>
  <c r="AQ53" i="100"/>
  <c r="BI52" i="100"/>
  <c r="BH53" i="100"/>
  <c r="X83" i="100"/>
  <c r="J48" i="100"/>
  <c r="BK48" i="100"/>
  <c r="K49" i="100"/>
  <c r="V53" i="100"/>
  <c r="U54" i="100"/>
  <c r="AM90" i="100"/>
  <c r="AO51" i="100"/>
  <c r="AZ45" i="100"/>
  <c r="AS45" i="100"/>
  <c r="BA45" i="100"/>
  <c r="AL127" i="100"/>
  <c r="Y85" i="100"/>
  <c r="AU34" i="100"/>
  <c r="AY34" i="100"/>
  <c r="AW34" i="100"/>
  <c r="AV34" i="100"/>
  <c r="BG34" i="100"/>
  <c r="BL79" i="100"/>
  <c r="AM91" i="100"/>
  <c r="AO52" i="100"/>
  <c r="U55" i="100"/>
  <c r="V54" i="100"/>
  <c r="G54" i="100"/>
  <c r="H54" i="100"/>
  <c r="I53" i="100"/>
  <c r="BJ53" i="100"/>
  <c r="Q53" i="100"/>
  <c r="R53" i="100"/>
  <c r="AP54" i="100"/>
  <c r="AQ54" i="100"/>
  <c r="AT53" i="100"/>
  <c r="L30" i="100"/>
  <c r="P30" i="100"/>
  <c r="N30" i="100"/>
  <c r="W65" i="100"/>
  <c r="X84" i="100"/>
  <c r="BK49" i="100"/>
  <c r="J49" i="100"/>
  <c r="K50" i="100"/>
  <c r="BI53" i="100"/>
  <c r="BH54" i="100"/>
  <c r="AL128" i="100"/>
  <c r="Y86" i="100"/>
  <c r="AZ46" i="100"/>
  <c r="AS46" i="100"/>
  <c r="BA46" i="100"/>
  <c r="AU35" i="100"/>
  <c r="AY35" i="100"/>
  <c r="AW35" i="100"/>
  <c r="AV35" i="100"/>
  <c r="BG35" i="100"/>
  <c r="BL80" i="100"/>
  <c r="G55" i="100"/>
  <c r="H55" i="100"/>
  <c r="I54" i="100"/>
  <c r="BJ54" i="100"/>
  <c r="V55" i="100"/>
  <c r="U56" i="100"/>
  <c r="AL129" i="100"/>
  <c r="Y87" i="100"/>
  <c r="AM92" i="100"/>
  <c r="AO53" i="100"/>
  <c r="X85" i="100"/>
  <c r="J50" i="100"/>
  <c r="BK50" i="100"/>
  <c r="K51" i="100"/>
  <c r="BI54" i="100"/>
  <c r="BH55" i="100"/>
  <c r="M30" i="100"/>
  <c r="S30" i="100"/>
  <c r="AT54" i="100"/>
  <c r="AP55" i="100"/>
  <c r="AQ55" i="100"/>
  <c r="BA47" i="100"/>
  <c r="AZ47" i="100"/>
  <c r="AS47" i="100"/>
  <c r="Q54" i="100"/>
  <c r="R54" i="100"/>
  <c r="AU36" i="100"/>
  <c r="AY36" i="100"/>
  <c r="AW36" i="100"/>
  <c r="AV36" i="100"/>
  <c r="BG36" i="100"/>
  <c r="BL81" i="100"/>
  <c r="L31" i="100"/>
  <c r="P31" i="100"/>
  <c r="N31" i="100"/>
  <c r="W66" i="100"/>
  <c r="U57" i="100"/>
  <c r="V56" i="100"/>
  <c r="AM93" i="100"/>
  <c r="AO54" i="100"/>
  <c r="BH56" i="100"/>
  <c r="BI55" i="100"/>
  <c r="R55" i="100"/>
  <c r="Q55" i="100"/>
  <c r="G56" i="100"/>
  <c r="H56" i="100"/>
  <c r="I55" i="100"/>
  <c r="BJ55" i="100"/>
  <c r="AP56" i="100"/>
  <c r="AQ56" i="100"/>
  <c r="AT55" i="100"/>
  <c r="BA48" i="100"/>
  <c r="AZ48" i="100"/>
  <c r="AS48" i="100"/>
  <c r="Y88" i="100"/>
  <c r="AL130" i="100"/>
  <c r="BK51" i="100"/>
  <c r="X86" i="100"/>
  <c r="J51" i="100"/>
  <c r="K52" i="100"/>
  <c r="M31" i="100"/>
  <c r="S31" i="100"/>
  <c r="L32" i="100"/>
  <c r="P32" i="100"/>
  <c r="N32" i="100"/>
  <c r="AU37" i="100"/>
  <c r="AY37" i="100"/>
  <c r="AW37" i="100"/>
  <c r="AV37" i="100"/>
  <c r="BG37" i="100"/>
  <c r="BL82" i="100"/>
  <c r="X87" i="100"/>
  <c r="BK52" i="100"/>
  <c r="J52" i="100"/>
  <c r="K53" i="100"/>
  <c r="AT56" i="100"/>
  <c r="AP57" i="100"/>
  <c r="AQ57" i="100"/>
  <c r="AL131" i="100"/>
  <c r="Y89" i="100"/>
  <c r="BA49" i="100"/>
  <c r="AZ49" i="100"/>
  <c r="AS49" i="100"/>
  <c r="BH57" i="100"/>
  <c r="BI56" i="100"/>
  <c r="R56" i="100"/>
  <c r="Q56" i="100"/>
  <c r="AM94" i="100"/>
  <c r="AO55" i="100"/>
  <c r="G57" i="100"/>
  <c r="H57" i="100"/>
  <c r="I56" i="100"/>
  <c r="BJ56" i="100"/>
  <c r="U58" i="100"/>
  <c r="V57" i="100"/>
  <c r="W67" i="100"/>
  <c r="AU38" i="100"/>
  <c r="AY38" i="100"/>
  <c r="AW38" i="100"/>
  <c r="AV38" i="100"/>
  <c r="BG38" i="100"/>
  <c r="BL83" i="100"/>
  <c r="AM95" i="100"/>
  <c r="AO56" i="100"/>
  <c r="U59" i="100"/>
  <c r="V58" i="100"/>
  <c r="G58" i="100"/>
  <c r="H58" i="100"/>
  <c r="I57" i="100"/>
  <c r="BJ57" i="100"/>
  <c r="AZ50" i="100"/>
  <c r="AS50" i="100"/>
  <c r="BA50" i="100"/>
  <c r="AL132" i="100"/>
  <c r="Y90" i="100"/>
  <c r="R57" i="100"/>
  <c r="Q57" i="100"/>
  <c r="X88" i="100"/>
  <c r="BK53" i="100"/>
  <c r="J53" i="100"/>
  <c r="K54" i="100"/>
  <c r="BI57" i="100"/>
  <c r="BH58" i="100"/>
  <c r="AT57" i="100"/>
  <c r="AP58" i="100"/>
  <c r="AQ58" i="100"/>
  <c r="M32" i="100"/>
  <c r="S32" i="100"/>
  <c r="AU39" i="100"/>
  <c r="AY39" i="100"/>
  <c r="AW39" i="100"/>
  <c r="AV39" i="100"/>
  <c r="BG39" i="100"/>
  <c r="BL84" i="100"/>
  <c r="G59" i="100"/>
  <c r="H59" i="100"/>
  <c r="I58" i="100"/>
  <c r="BJ58" i="100"/>
  <c r="U60" i="100"/>
  <c r="V59" i="100"/>
  <c r="AP59" i="100"/>
  <c r="AQ59" i="100"/>
  <c r="AT58" i="100"/>
  <c r="X89" i="100"/>
  <c r="J54" i="100"/>
  <c r="BK54" i="100"/>
  <c r="K55" i="100"/>
  <c r="BA51" i="100"/>
  <c r="AZ51" i="100"/>
  <c r="AS51" i="100"/>
  <c r="AM96" i="100"/>
  <c r="AO57" i="100"/>
  <c r="L33" i="100"/>
  <c r="P33" i="100"/>
  <c r="N33" i="100"/>
  <c r="W68" i="100"/>
  <c r="BH59" i="100"/>
  <c r="BI58" i="100"/>
  <c r="AL133" i="100"/>
  <c r="Y91" i="100"/>
  <c r="Q58" i="100"/>
  <c r="R58" i="100"/>
  <c r="AU40" i="100"/>
  <c r="AY40" i="100"/>
  <c r="AW40" i="100"/>
  <c r="AV40" i="100"/>
  <c r="BG40" i="100"/>
  <c r="BL85" i="100"/>
  <c r="AL134" i="100"/>
  <c r="Y92" i="100"/>
  <c r="AZ52" i="100"/>
  <c r="AS52" i="100"/>
  <c r="BA52" i="100"/>
  <c r="R59" i="100"/>
  <c r="Q59" i="100"/>
  <c r="G60" i="100"/>
  <c r="H60" i="100"/>
  <c r="I59" i="100"/>
  <c r="BJ59" i="100"/>
  <c r="BI59" i="100"/>
  <c r="BH60" i="100"/>
  <c r="M33" i="100"/>
  <c r="S33" i="100"/>
  <c r="X90" i="100"/>
  <c r="BK55" i="100"/>
  <c r="J55" i="100"/>
  <c r="K56" i="100"/>
  <c r="U61" i="100"/>
  <c r="V60" i="100"/>
  <c r="AM97" i="100"/>
  <c r="AO58" i="100"/>
  <c r="AP60" i="100"/>
  <c r="AQ60" i="100"/>
  <c r="AT59" i="100"/>
  <c r="AU41" i="100"/>
  <c r="AY41" i="100"/>
  <c r="AW41" i="100"/>
  <c r="AV41" i="100"/>
  <c r="BG41" i="100"/>
  <c r="BL86" i="100"/>
  <c r="X91" i="100"/>
  <c r="J56" i="100"/>
  <c r="BK56" i="100"/>
  <c r="K57" i="100"/>
  <c r="L34" i="100"/>
  <c r="P34" i="100"/>
  <c r="N34" i="100"/>
  <c r="W69" i="100"/>
  <c r="AM98" i="100"/>
  <c r="AO59" i="100"/>
  <c r="BH61" i="100"/>
  <c r="BI60" i="100"/>
  <c r="AT60" i="100"/>
  <c r="AP61" i="100"/>
  <c r="AQ61" i="100"/>
  <c r="R60" i="100"/>
  <c r="Q60" i="100"/>
  <c r="AZ53" i="100"/>
  <c r="AS53" i="100"/>
  <c r="BA53" i="100"/>
  <c r="G61" i="100"/>
  <c r="H61" i="100"/>
  <c r="I60" i="100"/>
  <c r="BJ60" i="100"/>
  <c r="AL135" i="100"/>
  <c r="Y93" i="100"/>
  <c r="U62" i="100"/>
  <c r="V61" i="100"/>
  <c r="M34" i="100"/>
  <c r="S34" i="100"/>
  <c r="L35" i="100"/>
  <c r="P35" i="100"/>
  <c r="N35" i="100"/>
  <c r="AU42" i="100"/>
  <c r="AY42" i="100"/>
  <c r="AW42" i="100"/>
  <c r="AV42" i="100"/>
  <c r="BG42" i="100"/>
  <c r="BL87" i="100"/>
  <c r="J57" i="100"/>
  <c r="X92" i="100"/>
  <c r="BK57" i="100"/>
  <c r="K58" i="100"/>
  <c r="BI61" i="100"/>
  <c r="BH62" i="100"/>
  <c r="V62" i="100"/>
  <c r="U63" i="100"/>
  <c r="AT61" i="100"/>
  <c r="AP62" i="100"/>
  <c r="AQ62" i="100"/>
  <c r="R61" i="100"/>
  <c r="Q61" i="100"/>
  <c r="AL136" i="100"/>
  <c r="Y94" i="100"/>
  <c r="G62" i="100"/>
  <c r="H62" i="100"/>
  <c r="I61" i="100"/>
  <c r="BJ61" i="100"/>
  <c r="AM99" i="100"/>
  <c r="AO60" i="100"/>
  <c r="AZ54" i="100"/>
  <c r="AS54" i="100"/>
  <c r="BA54" i="100"/>
  <c r="W70" i="100"/>
  <c r="AU43" i="100"/>
  <c r="AY43" i="100"/>
  <c r="AW43" i="100"/>
  <c r="AV43" i="100"/>
  <c r="BG43" i="100"/>
  <c r="BL88" i="100"/>
  <c r="U64" i="100"/>
  <c r="V63" i="100"/>
  <c r="X93" i="100"/>
  <c r="BK58" i="100"/>
  <c r="J58" i="100"/>
  <c r="K59" i="100"/>
  <c r="AL137" i="100"/>
  <c r="Y95" i="100"/>
  <c r="Q62" i="100"/>
  <c r="R62" i="100"/>
  <c r="M35" i="100"/>
  <c r="S35" i="100"/>
  <c r="AT62" i="100"/>
  <c r="AP63" i="100"/>
  <c r="AQ63" i="100"/>
  <c r="BI62" i="100"/>
  <c r="BH63" i="100"/>
  <c r="G63" i="100"/>
  <c r="H63" i="100"/>
  <c r="I62" i="100"/>
  <c r="BJ62" i="100"/>
  <c r="AM100" i="100"/>
  <c r="AO61" i="100"/>
  <c r="BA55" i="100"/>
  <c r="AZ55" i="100"/>
  <c r="AS55" i="100"/>
  <c r="AU44" i="100"/>
  <c r="AY44" i="100"/>
  <c r="AW44" i="100"/>
  <c r="AV44" i="100"/>
  <c r="BG44" i="100"/>
  <c r="BL89" i="100"/>
  <c r="R63" i="100"/>
  <c r="Q63" i="100"/>
  <c r="AT63" i="100"/>
  <c r="AP64" i="100"/>
  <c r="AQ64" i="100"/>
  <c r="G64" i="100"/>
  <c r="H64" i="100"/>
  <c r="I63" i="100"/>
  <c r="BJ63" i="100"/>
  <c r="BI63" i="100"/>
  <c r="BH64" i="100"/>
  <c r="AM101" i="100"/>
  <c r="AO62" i="100"/>
  <c r="AL138" i="100"/>
  <c r="Y96" i="100"/>
  <c r="BA56" i="100"/>
  <c r="AZ56" i="100"/>
  <c r="AS56" i="100"/>
  <c r="L36" i="100"/>
  <c r="P36" i="100"/>
  <c r="N36" i="100"/>
  <c r="W71" i="100"/>
  <c r="X94" i="100"/>
  <c r="J59" i="100"/>
  <c r="BK59" i="100"/>
  <c r="K60" i="100"/>
  <c r="U65" i="100"/>
  <c r="V64" i="100"/>
  <c r="AU45" i="100"/>
  <c r="AY45" i="100"/>
  <c r="AW45" i="100"/>
  <c r="AV45" i="100"/>
  <c r="BG45" i="100"/>
  <c r="BL90" i="100"/>
  <c r="Q64" i="100"/>
  <c r="R64" i="100"/>
  <c r="M36" i="100"/>
  <c r="S36" i="100"/>
  <c r="AZ57" i="100"/>
  <c r="AS57" i="100"/>
  <c r="BA57" i="100"/>
  <c r="G65" i="100"/>
  <c r="H65" i="100"/>
  <c r="I64" i="100"/>
  <c r="BJ64" i="100"/>
  <c r="AP65" i="100"/>
  <c r="AQ65" i="100"/>
  <c r="AT64" i="100"/>
  <c r="X95" i="100"/>
  <c r="BK60" i="100"/>
  <c r="J60" i="100"/>
  <c r="K61" i="100"/>
  <c r="V65" i="100"/>
  <c r="U66" i="100"/>
  <c r="AM102" i="100"/>
  <c r="AO63" i="100"/>
  <c r="AL139" i="100"/>
  <c r="Y97" i="100"/>
  <c r="BI64" i="100"/>
  <c r="BH65" i="100"/>
  <c r="AU46" i="100"/>
  <c r="AY46" i="100"/>
  <c r="AW46" i="100"/>
  <c r="AV46" i="100"/>
  <c r="BG46" i="100"/>
  <c r="BL91" i="100"/>
  <c r="AZ58" i="100"/>
  <c r="AS58" i="100"/>
  <c r="BA58" i="100"/>
  <c r="BH66" i="100"/>
  <c r="BI65" i="100"/>
  <c r="X96" i="100"/>
  <c r="BK61" i="100"/>
  <c r="J61" i="100"/>
  <c r="K62" i="100"/>
  <c r="AL140" i="100"/>
  <c r="Y98" i="100"/>
  <c r="AM103" i="100"/>
  <c r="AO64" i="100"/>
  <c r="G66" i="100"/>
  <c r="H66" i="100"/>
  <c r="I65" i="100"/>
  <c r="BJ65" i="100"/>
  <c r="L37" i="100"/>
  <c r="P37" i="100"/>
  <c r="N37" i="100"/>
  <c r="W72" i="100"/>
  <c r="V66" i="100"/>
  <c r="U67" i="100"/>
  <c r="AP66" i="100"/>
  <c r="AQ66" i="100"/>
  <c r="AT65" i="100"/>
  <c r="R65" i="100"/>
  <c r="Q65" i="100"/>
  <c r="AU47" i="100"/>
  <c r="AY47" i="100"/>
  <c r="AW47" i="100"/>
  <c r="AV47" i="100"/>
  <c r="BG47" i="100"/>
  <c r="BL92" i="100"/>
  <c r="AT66" i="100"/>
  <c r="AP67" i="100"/>
  <c r="AQ67" i="100"/>
  <c r="AL141" i="100"/>
  <c r="Y99" i="100"/>
  <c r="Q66" i="100"/>
  <c r="R66" i="100"/>
  <c r="M37" i="100"/>
  <c r="S37" i="100"/>
  <c r="G67" i="100"/>
  <c r="H67" i="100"/>
  <c r="I66" i="100"/>
  <c r="BJ66" i="100"/>
  <c r="X97" i="100"/>
  <c r="BK62" i="100"/>
  <c r="J62" i="100"/>
  <c r="K63" i="100"/>
  <c r="AZ59" i="100"/>
  <c r="AS59" i="100"/>
  <c r="BA59" i="100"/>
  <c r="V67" i="100"/>
  <c r="U68" i="100"/>
  <c r="AM104" i="100"/>
  <c r="AO65" i="100"/>
  <c r="BH67" i="100"/>
  <c r="BI66" i="100"/>
  <c r="AU48" i="100"/>
  <c r="AY48" i="100"/>
  <c r="AW48" i="100"/>
  <c r="AV48" i="100"/>
  <c r="BG48" i="100"/>
  <c r="BL93" i="100"/>
  <c r="R67" i="100"/>
  <c r="Q67" i="100"/>
  <c r="AP68" i="100"/>
  <c r="AQ68" i="100"/>
  <c r="AT67" i="100"/>
  <c r="BH68" i="100"/>
  <c r="BI67" i="100"/>
  <c r="V68" i="100"/>
  <c r="U69" i="100"/>
  <c r="G68" i="100"/>
  <c r="H68" i="100"/>
  <c r="I67" i="100"/>
  <c r="BJ67" i="100"/>
  <c r="L38" i="100"/>
  <c r="P38" i="100"/>
  <c r="N38" i="100"/>
  <c r="W73" i="100"/>
  <c r="X98" i="100"/>
  <c r="J63" i="100"/>
  <c r="BK63" i="100"/>
  <c r="K64" i="100"/>
  <c r="BA60" i="100"/>
  <c r="AZ60" i="100"/>
  <c r="AS60" i="100"/>
  <c r="AL142" i="100"/>
  <c r="Y100" i="100"/>
  <c r="AM105" i="100"/>
  <c r="AO66" i="100"/>
  <c r="M38" i="100"/>
  <c r="S38" i="100"/>
  <c r="L39" i="100"/>
  <c r="P39" i="100"/>
  <c r="N39" i="100"/>
  <c r="AU49" i="100"/>
  <c r="AY49" i="100"/>
  <c r="AW49" i="100"/>
  <c r="AV49" i="100"/>
  <c r="BG49" i="100"/>
  <c r="BL94" i="100"/>
  <c r="AZ61" i="100"/>
  <c r="AS61" i="100"/>
  <c r="BA61" i="100"/>
  <c r="AT68" i="100"/>
  <c r="AP69" i="100"/>
  <c r="AQ69" i="100"/>
  <c r="G69" i="100"/>
  <c r="H69" i="100"/>
  <c r="I68" i="100"/>
  <c r="BJ68" i="100"/>
  <c r="Q68" i="100"/>
  <c r="R68" i="100"/>
  <c r="BK64" i="100"/>
  <c r="X99" i="100"/>
  <c r="J64" i="100"/>
  <c r="K65" i="100"/>
  <c r="BH69" i="100"/>
  <c r="BI68" i="100"/>
  <c r="AM106" i="100"/>
  <c r="AO67" i="100"/>
  <c r="AL143" i="100"/>
  <c r="Y101" i="100"/>
  <c r="U70" i="100"/>
  <c r="V69" i="100"/>
  <c r="W74" i="100"/>
  <c r="AU50" i="100"/>
  <c r="AY50" i="100"/>
  <c r="AW50" i="100"/>
  <c r="AV50" i="100"/>
  <c r="BG50" i="100"/>
  <c r="BL95" i="100"/>
  <c r="R69" i="100"/>
  <c r="Q69" i="100"/>
  <c r="BH70" i="100"/>
  <c r="BI69" i="100"/>
  <c r="V70" i="100"/>
  <c r="U71" i="100"/>
  <c r="X100" i="100"/>
  <c r="BK65" i="100"/>
  <c r="J65" i="100"/>
  <c r="K66" i="100"/>
  <c r="AL144" i="100"/>
  <c r="Y102" i="100"/>
  <c r="K69" i="100"/>
  <c r="G70" i="100"/>
  <c r="H70" i="100"/>
  <c r="I69" i="100"/>
  <c r="BJ69" i="100"/>
  <c r="AP70" i="100"/>
  <c r="AQ70" i="100"/>
  <c r="AT69" i="100"/>
  <c r="AZ62" i="100"/>
  <c r="AS62" i="100"/>
  <c r="BA62" i="100"/>
  <c r="AM107" i="100"/>
  <c r="AO68" i="100"/>
  <c r="M39" i="100"/>
  <c r="S39" i="100"/>
  <c r="X104" i="100"/>
  <c r="J69" i="100"/>
  <c r="BK69" i="100"/>
  <c r="AM108" i="100"/>
  <c r="AO69" i="100"/>
  <c r="K70" i="100"/>
  <c r="G71" i="100"/>
  <c r="H71" i="100"/>
  <c r="I70" i="100"/>
  <c r="BJ70" i="100"/>
  <c r="AL145" i="100"/>
  <c r="Y103" i="100"/>
  <c r="AV69" i="100"/>
  <c r="AZ63" i="100"/>
  <c r="AS63" i="100"/>
  <c r="BA63" i="100"/>
  <c r="BH71" i="100"/>
  <c r="BI70" i="100"/>
  <c r="AU51" i="100"/>
  <c r="AY51" i="100"/>
  <c r="AW51" i="100"/>
  <c r="AV51" i="100"/>
  <c r="BG51" i="100"/>
  <c r="BL96" i="100"/>
  <c r="X101" i="100"/>
  <c r="BK66" i="100"/>
  <c r="J66" i="100"/>
  <c r="K67" i="100"/>
  <c r="U72" i="100"/>
  <c r="V71" i="100"/>
  <c r="AT70" i="100"/>
  <c r="AP71" i="100"/>
  <c r="AQ71" i="100"/>
  <c r="L40" i="100"/>
  <c r="P40" i="100"/>
  <c r="N40" i="100"/>
  <c r="W75" i="100"/>
  <c r="Q70" i="100"/>
  <c r="R70" i="100"/>
  <c r="AU52" i="100"/>
  <c r="AY52" i="100"/>
  <c r="AW52" i="100"/>
  <c r="AV52" i="100"/>
  <c r="BG52" i="100"/>
  <c r="BL97" i="100"/>
  <c r="V72" i="100"/>
  <c r="U73" i="100"/>
  <c r="X102" i="100"/>
  <c r="J67" i="100"/>
  <c r="BK67" i="100"/>
  <c r="K68" i="100"/>
  <c r="AZ64" i="100"/>
  <c r="AS64" i="100"/>
  <c r="AV70" i="100"/>
  <c r="BA64" i="100"/>
  <c r="AP72" i="100"/>
  <c r="AQ72" i="100"/>
  <c r="AT71" i="100"/>
  <c r="M40" i="100"/>
  <c r="S40" i="100"/>
  <c r="AM109" i="100"/>
  <c r="AO70" i="100"/>
  <c r="BH72" i="100"/>
  <c r="BI71" i="100"/>
  <c r="Q71" i="100"/>
  <c r="R71" i="100"/>
  <c r="AL146" i="100"/>
  <c r="Y104" i="100"/>
  <c r="K71" i="100"/>
  <c r="G72" i="100"/>
  <c r="H72" i="100"/>
  <c r="I71" i="100"/>
  <c r="BJ71" i="100"/>
  <c r="X105" i="100"/>
  <c r="BK70" i="100"/>
  <c r="J70" i="100"/>
  <c r="AU53" i="100"/>
  <c r="AY53" i="100"/>
  <c r="AW53" i="100"/>
  <c r="AV53" i="100"/>
  <c r="BG53" i="100"/>
  <c r="BL98" i="100"/>
  <c r="X106" i="100"/>
  <c r="J71" i="100"/>
  <c r="BK71" i="100"/>
  <c r="AO71" i="100"/>
  <c r="AM110" i="100"/>
  <c r="G73" i="100"/>
  <c r="H73" i="100"/>
  <c r="K72" i="100"/>
  <c r="I72" i="100"/>
  <c r="BJ72" i="100"/>
  <c r="AL147" i="100"/>
  <c r="Y105" i="100"/>
  <c r="Y106" i="100"/>
  <c r="Y107" i="100"/>
  <c r="Y108" i="100"/>
  <c r="Y109" i="100"/>
  <c r="Y110" i="100"/>
  <c r="Y111" i="100"/>
  <c r="Y112" i="100"/>
  <c r="Y113" i="100"/>
  <c r="AV71" i="100"/>
  <c r="BA65" i="100"/>
  <c r="AZ65" i="100"/>
  <c r="AS65" i="100"/>
  <c r="AT72" i="100"/>
  <c r="AP73" i="100"/>
  <c r="AQ73" i="100"/>
  <c r="BH73" i="100"/>
  <c r="BI72" i="100"/>
  <c r="L41" i="100"/>
  <c r="P41" i="100"/>
  <c r="N41" i="100"/>
  <c r="W76" i="100"/>
  <c r="X103" i="100"/>
  <c r="J68" i="100"/>
  <c r="BK68" i="100"/>
  <c r="U74" i="100"/>
  <c r="V73" i="100"/>
  <c r="Q72" i="100"/>
  <c r="R72" i="100"/>
  <c r="AU54" i="100"/>
  <c r="AY54" i="100"/>
  <c r="AW54" i="100"/>
  <c r="AV54" i="100"/>
  <c r="BG54" i="100"/>
  <c r="BL99" i="100"/>
  <c r="R73" i="100"/>
  <c r="Q73" i="100"/>
  <c r="AP74" i="100"/>
  <c r="AQ74" i="100"/>
  <c r="AT73" i="100"/>
  <c r="V74" i="100"/>
  <c r="U75" i="100"/>
  <c r="AV72" i="100"/>
  <c r="AZ66" i="100"/>
  <c r="AS66" i="100"/>
  <c r="BA66" i="100"/>
  <c r="AM111" i="100"/>
  <c r="AO72" i="100"/>
  <c r="BH74" i="100"/>
  <c r="BI73" i="100"/>
  <c r="X107" i="100"/>
  <c r="J72" i="100"/>
  <c r="BK72" i="100"/>
  <c r="M41" i="100"/>
  <c r="S41" i="100"/>
  <c r="G74" i="100"/>
  <c r="H74" i="100"/>
  <c r="K73" i="100"/>
  <c r="I73" i="100"/>
  <c r="BJ73" i="100"/>
  <c r="AU55" i="100"/>
  <c r="AY55" i="100"/>
  <c r="AW55" i="100"/>
  <c r="AV55" i="100"/>
  <c r="BG55" i="100"/>
  <c r="BL100" i="100"/>
  <c r="X108" i="100"/>
  <c r="J73" i="100"/>
  <c r="BK73" i="100"/>
  <c r="L42" i="100"/>
  <c r="P42" i="100"/>
  <c r="N42" i="100"/>
  <c r="W77" i="100"/>
  <c r="AV73" i="100"/>
  <c r="BA67" i="100"/>
  <c r="AZ67" i="100"/>
  <c r="AS67" i="100"/>
  <c r="AM112" i="100"/>
  <c r="AO73" i="100"/>
  <c r="G75" i="100"/>
  <c r="H75" i="100"/>
  <c r="K74" i="100"/>
  <c r="I74" i="100"/>
  <c r="BJ74" i="100"/>
  <c r="BH75" i="100"/>
  <c r="BI74" i="100"/>
  <c r="U76" i="100"/>
  <c r="V75" i="100"/>
  <c r="AT74" i="100"/>
  <c r="AP75" i="100"/>
  <c r="AQ75" i="100"/>
  <c r="Q74" i="100"/>
  <c r="R74" i="100"/>
  <c r="AU56" i="100"/>
  <c r="AY56" i="100"/>
  <c r="AW56" i="100"/>
  <c r="AV56" i="100"/>
  <c r="BG56" i="100"/>
  <c r="BL101" i="100"/>
  <c r="V76" i="100"/>
  <c r="U77" i="100"/>
  <c r="AP76" i="100"/>
  <c r="AQ76" i="100"/>
  <c r="AT75" i="100"/>
  <c r="R75" i="100"/>
  <c r="Q75" i="100"/>
  <c r="AV74" i="100"/>
  <c r="BA68" i="100"/>
  <c r="AZ68" i="100"/>
  <c r="AS68" i="100"/>
  <c r="X109" i="100"/>
  <c r="BK74" i="100"/>
  <c r="J74" i="100"/>
  <c r="AM113" i="100"/>
  <c r="AO74" i="100"/>
  <c r="BH76" i="100"/>
  <c r="BI75" i="100"/>
  <c r="G76" i="100"/>
  <c r="H76" i="100"/>
  <c r="K75" i="100"/>
  <c r="I75" i="100"/>
  <c r="BJ75" i="100"/>
  <c r="M42" i="100"/>
  <c r="S42" i="100"/>
  <c r="AU57" i="100"/>
  <c r="AY57" i="100"/>
  <c r="AW57" i="100"/>
  <c r="AV57" i="100"/>
  <c r="BG57" i="100"/>
  <c r="BL102" i="100"/>
  <c r="Q76" i="100"/>
  <c r="R76" i="100"/>
  <c r="J75" i="100"/>
  <c r="BK75" i="100"/>
  <c r="X110" i="100"/>
  <c r="AV75" i="100"/>
  <c r="BA69" i="100"/>
  <c r="AZ69" i="100"/>
  <c r="AS69" i="100"/>
  <c r="AM114" i="100"/>
  <c r="AO75" i="100"/>
  <c r="U78" i="100"/>
  <c r="V77" i="100"/>
  <c r="L43" i="100"/>
  <c r="P43" i="100"/>
  <c r="N43" i="100"/>
  <c r="W78" i="100"/>
  <c r="G77" i="100"/>
  <c r="H77" i="100"/>
  <c r="K76" i="100"/>
  <c r="I76" i="100"/>
  <c r="BJ76" i="100"/>
  <c r="BH77" i="100"/>
  <c r="BI76" i="100"/>
  <c r="AP77" i="100"/>
  <c r="AQ77" i="100"/>
  <c r="AT76" i="100"/>
  <c r="AU58" i="100"/>
  <c r="AY58" i="100"/>
  <c r="AW58" i="100"/>
  <c r="AV58" i="100"/>
  <c r="BG58" i="100"/>
  <c r="BL103" i="100"/>
  <c r="AV76" i="100"/>
  <c r="BA70" i="100"/>
  <c r="AZ70" i="100"/>
  <c r="AS70" i="100"/>
  <c r="BH78" i="100"/>
  <c r="BI77" i="100"/>
  <c r="K77" i="100"/>
  <c r="G78" i="100"/>
  <c r="H78" i="100"/>
  <c r="I77" i="100"/>
  <c r="BJ77" i="100"/>
  <c r="U79" i="100"/>
  <c r="V78" i="100"/>
  <c r="AM115" i="100"/>
  <c r="AO76" i="100"/>
  <c r="AT77" i="100"/>
  <c r="AP78" i="100"/>
  <c r="AQ78" i="100"/>
  <c r="M43" i="100"/>
  <c r="S43" i="100"/>
  <c r="BK76" i="100"/>
  <c r="X111" i="100"/>
  <c r="J76" i="100"/>
  <c r="R77" i="100"/>
  <c r="Q77" i="100"/>
  <c r="AU59" i="100"/>
  <c r="AY59" i="100"/>
  <c r="AW59" i="100"/>
  <c r="AV59" i="100"/>
  <c r="BG59" i="100"/>
  <c r="BL104" i="100"/>
  <c r="AP79" i="100"/>
  <c r="AQ79" i="100"/>
  <c r="AT78" i="100"/>
  <c r="G79" i="100"/>
  <c r="H79" i="100"/>
  <c r="K78" i="100"/>
  <c r="I78" i="100"/>
  <c r="BJ78" i="100"/>
  <c r="AM116" i="100"/>
  <c r="AO77" i="100"/>
  <c r="R78" i="100"/>
  <c r="Q78" i="100"/>
  <c r="BA71" i="100"/>
  <c r="AZ71" i="100"/>
  <c r="AS71" i="100"/>
  <c r="AV77" i="100"/>
  <c r="L44" i="100"/>
  <c r="P44" i="100"/>
  <c r="N44" i="100"/>
  <c r="W79" i="100"/>
  <c r="U80" i="100"/>
  <c r="V79" i="100"/>
  <c r="X112" i="100"/>
  <c r="J77" i="100"/>
  <c r="BK77" i="100"/>
  <c r="BI78" i="100"/>
  <c r="BH79" i="100"/>
  <c r="M44" i="100"/>
  <c r="S44" i="100"/>
  <c r="L45" i="100"/>
  <c r="P45" i="100"/>
  <c r="N45" i="100"/>
  <c r="AU60" i="100"/>
  <c r="AY60" i="100"/>
  <c r="AW60" i="100"/>
  <c r="AV60" i="100"/>
  <c r="BG60" i="100"/>
  <c r="BL105" i="100"/>
  <c r="U81" i="100"/>
  <c r="V80" i="100"/>
  <c r="X113" i="100"/>
  <c r="J78" i="100"/>
  <c r="BK78" i="100"/>
  <c r="BI79" i="100"/>
  <c r="BH80" i="100"/>
  <c r="G80" i="100"/>
  <c r="H80" i="100"/>
  <c r="K79" i="100"/>
  <c r="I79" i="100"/>
  <c r="BJ79" i="100"/>
  <c r="AM117" i="100"/>
  <c r="AO78" i="100"/>
  <c r="AV78" i="100"/>
  <c r="AZ72" i="100"/>
  <c r="AS72" i="100"/>
  <c r="BA72" i="100"/>
  <c r="Q79" i="100"/>
  <c r="R79" i="100"/>
  <c r="AP80" i="100"/>
  <c r="AQ80" i="100"/>
  <c r="AT79" i="100"/>
  <c r="W80" i="100"/>
  <c r="AU61" i="100"/>
  <c r="AY61" i="100"/>
  <c r="AW61" i="100"/>
  <c r="AV61" i="100"/>
  <c r="BG61" i="100"/>
  <c r="BL106" i="100"/>
  <c r="AM118" i="100"/>
  <c r="AO79" i="100"/>
  <c r="AP81" i="100"/>
  <c r="AQ81" i="100"/>
  <c r="AT80" i="100"/>
  <c r="BH81" i="100"/>
  <c r="BI80" i="100"/>
  <c r="X114" i="100"/>
  <c r="J79" i="100"/>
  <c r="BK79" i="100"/>
  <c r="BA73" i="100"/>
  <c r="AV79" i="100"/>
  <c r="AZ73" i="100"/>
  <c r="AS73" i="100"/>
  <c r="R80" i="100"/>
  <c r="Q80" i="100"/>
  <c r="M45" i="100"/>
  <c r="S45" i="100"/>
  <c r="K80" i="100"/>
  <c r="G81" i="100"/>
  <c r="H81" i="100"/>
  <c r="I80" i="100"/>
  <c r="BJ80" i="100"/>
  <c r="U82" i="100"/>
  <c r="V81" i="100"/>
  <c r="AU62" i="100"/>
  <c r="AY62" i="100"/>
  <c r="AW62" i="100"/>
  <c r="AV62" i="100"/>
  <c r="BG62" i="100"/>
  <c r="BL107" i="100"/>
  <c r="AV80" i="100"/>
  <c r="BA74" i="100"/>
  <c r="AZ74" i="100"/>
  <c r="AS74" i="100"/>
  <c r="AP82" i="100"/>
  <c r="AQ82" i="100"/>
  <c r="AT81" i="100"/>
  <c r="X115" i="100"/>
  <c r="BK80" i="100"/>
  <c r="J80" i="100"/>
  <c r="R81" i="100"/>
  <c r="Q81" i="100"/>
  <c r="G82" i="100"/>
  <c r="H82" i="100"/>
  <c r="K81" i="100"/>
  <c r="I81" i="100"/>
  <c r="BJ81" i="100"/>
  <c r="L46" i="100"/>
  <c r="P46" i="100"/>
  <c r="N46" i="100"/>
  <c r="W81" i="100"/>
  <c r="BH82" i="100"/>
  <c r="BI81" i="100"/>
  <c r="U83" i="100"/>
  <c r="V82" i="100"/>
  <c r="AM119" i="100"/>
  <c r="AO80" i="100"/>
  <c r="AU63" i="100"/>
  <c r="AY63" i="100"/>
  <c r="AW63" i="100"/>
  <c r="AV63" i="100"/>
  <c r="BG63" i="100"/>
  <c r="BL108" i="100"/>
  <c r="BI82" i="100"/>
  <c r="BH83" i="100"/>
  <c r="G83" i="100"/>
  <c r="H83" i="100"/>
  <c r="K82" i="100"/>
  <c r="I82" i="100"/>
  <c r="BJ82" i="100"/>
  <c r="R82" i="100"/>
  <c r="Q82" i="100"/>
  <c r="U84" i="100"/>
  <c r="V83" i="100"/>
  <c r="M46" i="100"/>
  <c r="S46" i="100"/>
  <c r="AM120" i="100"/>
  <c r="AO81" i="100"/>
  <c r="BA75" i="100"/>
  <c r="AV81" i="100"/>
  <c r="AZ75" i="100"/>
  <c r="AS75" i="100"/>
  <c r="X116" i="100"/>
  <c r="BK81" i="100"/>
  <c r="J81" i="100"/>
  <c r="AT82" i="100"/>
  <c r="AP83" i="100"/>
  <c r="AQ83" i="100"/>
  <c r="AU64" i="100"/>
  <c r="AY64" i="100"/>
  <c r="AW64" i="100"/>
  <c r="AV64" i="100"/>
  <c r="BG64" i="100"/>
  <c r="BL109" i="100"/>
  <c r="AP84" i="100"/>
  <c r="AQ84" i="100"/>
  <c r="AT83" i="100"/>
  <c r="X117" i="100"/>
  <c r="BK82" i="100"/>
  <c r="J82" i="100"/>
  <c r="U85" i="100"/>
  <c r="V84" i="100"/>
  <c r="L47" i="100"/>
  <c r="P47" i="100"/>
  <c r="N47" i="100"/>
  <c r="W82" i="100"/>
  <c r="BH84" i="100"/>
  <c r="BI83" i="100"/>
  <c r="AM121" i="100"/>
  <c r="AO82" i="100"/>
  <c r="Q83" i="100"/>
  <c r="R83" i="100"/>
  <c r="K83" i="100"/>
  <c r="G84" i="100"/>
  <c r="H84" i="100"/>
  <c r="I83" i="100"/>
  <c r="BJ83" i="100"/>
  <c r="AV82" i="100"/>
  <c r="BA76" i="100"/>
  <c r="AZ76" i="100"/>
  <c r="AS76" i="100"/>
  <c r="M47" i="100"/>
  <c r="S47" i="100"/>
  <c r="L48" i="100"/>
  <c r="P48" i="100"/>
  <c r="N48" i="100"/>
  <c r="AU65" i="100"/>
  <c r="AY65" i="100"/>
  <c r="AW65" i="100"/>
  <c r="AV65" i="100"/>
  <c r="BG65" i="100"/>
  <c r="BL110" i="100"/>
  <c r="X118" i="100"/>
  <c r="BK83" i="100"/>
  <c r="J83" i="100"/>
  <c r="U86" i="100"/>
  <c r="V85" i="100"/>
  <c r="G85" i="100"/>
  <c r="H85" i="100"/>
  <c r="K84" i="100"/>
  <c r="I84" i="100"/>
  <c r="BJ84" i="100"/>
  <c r="R84" i="100"/>
  <c r="Q84" i="100"/>
  <c r="AV83" i="100"/>
  <c r="AZ77" i="100"/>
  <c r="AS77" i="100"/>
  <c r="BA77" i="100"/>
  <c r="W83" i="100"/>
  <c r="AM122" i="100"/>
  <c r="AO83" i="100"/>
  <c r="BI84" i="100"/>
  <c r="BH85" i="100"/>
  <c r="AT84" i="100"/>
  <c r="AP85" i="100"/>
  <c r="AQ85" i="100"/>
  <c r="M48" i="100"/>
  <c r="S48" i="100"/>
  <c r="L49" i="100"/>
  <c r="P49" i="100"/>
  <c r="N49" i="100"/>
  <c r="AU66" i="100"/>
  <c r="AY66" i="100"/>
  <c r="AW66" i="100"/>
  <c r="AV66" i="100"/>
  <c r="BG66" i="100"/>
  <c r="BL111" i="100"/>
  <c r="AM123" i="100"/>
  <c r="AO84" i="100"/>
  <c r="U87" i="100"/>
  <c r="V86" i="100"/>
  <c r="BH86" i="100"/>
  <c r="BI85" i="100"/>
  <c r="K85" i="100"/>
  <c r="G86" i="100"/>
  <c r="H86" i="100"/>
  <c r="I85" i="100"/>
  <c r="BJ85" i="100"/>
  <c r="BA78" i="100"/>
  <c r="AV84" i="100"/>
  <c r="AZ78" i="100"/>
  <c r="AS78" i="100"/>
  <c r="AP86" i="100"/>
  <c r="AQ86" i="100"/>
  <c r="AT85" i="100"/>
  <c r="X119" i="100"/>
  <c r="J84" i="100"/>
  <c r="BK84" i="100"/>
  <c r="R85" i="100"/>
  <c r="Q85" i="100"/>
  <c r="W84" i="100"/>
  <c r="M49" i="100"/>
  <c r="S49" i="100"/>
  <c r="L50" i="100"/>
  <c r="P50" i="100"/>
  <c r="N50" i="100"/>
  <c r="AU67" i="100"/>
  <c r="AY67" i="100"/>
  <c r="AW67" i="100"/>
  <c r="AV67" i="100"/>
  <c r="BG67" i="100"/>
  <c r="BL112" i="100"/>
  <c r="AM124" i="100"/>
  <c r="AO85" i="100"/>
  <c r="G87" i="100"/>
  <c r="H87" i="100"/>
  <c r="K86" i="100"/>
  <c r="I86" i="100"/>
  <c r="BJ86" i="100"/>
  <c r="AV85" i="100"/>
  <c r="AZ79" i="100"/>
  <c r="AS79" i="100"/>
  <c r="BA79" i="100"/>
  <c r="U88" i="100"/>
  <c r="V87" i="100"/>
  <c r="AT86" i="100"/>
  <c r="AP87" i="100"/>
  <c r="AQ87" i="100"/>
  <c r="X120" i="100"/>
  <c r="BK85" i="100"/>
  <c r="J85" i="100"/>
  <c r="BI86" i="100"/>
  <c r="BH87" i="100"/>
  <c r="R86" i="100"/>
  <c r="Q86" i="100"/>
  <c r="W85" i="100"/>
  <c r="BH88" i="100"/>
  <c r="BI87" i="100"/>
  <c r="Q87" i="100"/>
  <c r="R87" i="100"/>
  <c r="X121" i="100"/>
  <c r="BK86" i="100"/>
  <c r="J86" i="100"/>
  <c r="U89" i="100"/>
  <c r="V88" i="100"/>
  <c r="K87" i="100"/>
  <c r="G88" i="100"/>
  <c r="H88" i="100"/>
  <c r="I87" i="100"/>
  <c r="BJ87" i="100"/>
  <c r="M50" i="100"/>
  <c r="S50" i="100"/>
  <c r="AM125" i="100"/>
  <c r="AO86" i="100"/>
  <c r="AU68" i="100"/>
  <c r="AY68" i="100"/>
  <c r="AW68" i="100"/>
  <c r="BL113" i="100"/>
  <c r="AV68" i="100"/>
  <c r="BG68" i="100"/>
  <c r="BA80" i="100"/>
  <c r="AZ80" i="100"/>
  <c r="AS80" i="100"/>
  <c r="AV86" i="100"/>
  <c r="AP88" i="100"/>
  <c r="AQ88" i="100"/>
  <c r="AT87" i="100"/>
  <c r="G89" i="100"/>
  <c r="H89" i="100"/>
  <c r="K88" i="100"/>
  <c r="I88" i="100"/>
  <c r="BJ88" i="100"/>
  <c r="R88" i="100"/>
  <c r="Q88" i="100"/>
  <c r="AV87" i="100"/>
  <c r="AZ81" i="100"/>
  <c r="AS81" i="100"/>
  <c r="BA81" i="100"/>
  <c r="AU69" i="100"/>
  <c r="AY69" i="100"/>
  <c r="AW69" i="100"/>
  <c r="BL114" i="100"/>
  <c r="BG69" i="100"/>
  <c r="AM126" i="100"/>
  <c r="AO87" i="100"/>
  <c r="AT88" i="100"/>
  <c r="AP89" i="100"/>
  <c r="AQ89" i="100"/>
  <c r="L51" i="100"/>
  <c r="P51" i="100"/>
  <c r="N51" i="100"/>
  <c r="W86" i="100"/>
  <c r="X122" i="100"/>
  <c r="AH50" i="100"/>
  <c r="BK87" i="100"/>
  <c r="J87" i="100"/>
  <c r="V89" i="100"/>
  <c r="U90" i="100"/>
  <c r="BI88" i="100"/>
  <c r="BH89" i="100"/>
  <c r="M51" i="100"/>
  <c r="S51" i="100"/>
  <c r="L52" i="100"/>
  <c r="P52" i="100"/>
  <c r="N52" i="100"/>
  <c r="AV88" i="100"/>
  <c r="BA82" i="100"/>
  <c r="AZ82" i="100"/>
  <c r="AS82" i="100"/>
  <c r="AM127" i="100"/>
  <c r="AO88" i="100"/>
  <c r="X123" i="100"/>
  <c r="J88" i="100"/>
  <c r="BK88" i="100"/>
  <c r="U91" i="100"/>
  <c r="V90" i="100"/>
  <c r="K89" i="100"/>
  <c r="G90" i="100"/>
  <c r="H90" i="100"/>
  <c r="I89" i="100"/>
  <c r="BJ89" i="100"/>
  <c r="AU70" i="100"/>
  <c r="AY70" i="100"/>
  <c r="AW70" i="100"/>
  <c r="BL115" i="100"/>
  <c r="BG70" i="100"/>
  <c r="R89" i="100"/>
  <c r="Q89" i="100"/>
  <c r="BH90" i="100"/>
  <c r="BI89" i="100"/>
  <c r="AP90" i="100"/>
  <c r="AQ90" i="100"/>
  <c r="AT89" i="100"/>
  <c r="W87" i="100"/>
  <c r="AT90" i="100"/>
  <c r="AP91" i="100"/>
  <c r="AQ91" i="100"/>
  <c r="X124" i="100"/>
  <c r="BK89" i="100"/>
  <c r="J89" i="100"/>
  <c r="U92" i="100"/>
  <c r="V91" i="100"/>
  <c r="AM128" i="100"/>
  <c r="AO89" i="100"/>
  <c r="G91" i="100"/>
  <c r="H91" i="100"/>
  <c r="K90" i="100"/>
  <c r="I90" i="100"/>
  <c r="BJ90" i="100"/>
  <c r="AV89" i="100"/>
  <c r="BA83" i="100"/>
  <c r="AZ83" i="100"/>
  <c r="AS83" i="100"/>
  <c r="R90" i="100"/>
  <c r="Q90" i="100"/>
  <c r="BI90" i="100"/>
  <c r="BH91" i="100"/>
  <c r="AU71" i="100"/>
  <c r="AY71" i="100"/>
  <c r="AW71" i="100"/>
  <c r="BL116" i="100"/>
  <c r="BG71" i="100"/>
  <c r="M52" i="100"/>
  <c r="S52" i="100"/>
  <c r="Q91" i="100"/>
  <c r="R91" i="100"/>
  <c r="X125" i="100"/>
  <c r="BK90" i="100"/>
  <c r="J90" i="100"/>
  <c r="L53" i="100"/>
  <c r="P53" i="100"/>
  <c r="N53" i="100"/>
  <c r="W88" i="100"/>
  <c r="BH92" i="100"/>
  <c r="BI91" i="100"/>
  <c r="K91" i="100"/>
  <c r="G92" i="100"/>
  <c r="H92" i="100"/>
  <c r="I91" i="100"/>
  <c r="BJ91" i="100"/>
  <c r="AP92" i="100"/>
  <c r="AQ92" i="100"/>
  <c r="AT91" i="100"/>
  <c r="U93" i="100"/>
  <c r="V92" i="100"/>
  <c r="AU72" i="100"/>
  <c r="AY72" i="100"/>
  <c r="AW72" i="100"/>
  <c r="BL117" i="100"/>
  <c r="BG72" i="100"/>
  <c r="AZ84" i="100"/>
  <c r="AS84" i="100"/>
  <c r="AV90" i="100"/>
  <c r="BA84" i="100"/>
  <c r="AM129" i="100"/>
  <c r="AO90" i="100"/>
  <c r="AM130" i="100"/>
  <c r="AO91" i="100"/>
  <c r="G93" i="100"/>
  <c r="K92" i="100"/>
  <c r="I92" i="100"/>
  <c r="BJ92" i="100"/>
  <c r="AV91" i="100"/>
  <c r="BA85" i="100"/>
  <c r="AZ85" i="100"/>
  <c r="AS85" i="100"/>
  <c r="R92" i="100"/>
  <c r="Q92" i="100"/>
  <c r="AP93" i="100"/>
  <c r="AT92" i="100"/>
  <c r="X126" i="100"/>
  <c r="BK91" i="100"/>
  <c r="J91" i="100"/>
  <c r="BI92" i="100"/>
  <c r="BH93" i="100"/>
  <c r="AU73" i="100"/>
  <c r="AY73" i="100"/>
  <c r="AW73" i="100"/>
  <c r="BL118" i="100"/>
  <c r="BG73" i="100"/>
  <c r="U94" i="100"/>
  <c r="V93" i="100"/>
  <c r="M53" i="100"/>
  <c r="S53" i="100"/>
  <c r="L54" i="100"/>
  <c r="P54" i="100"/>
  <c r="N54" i="100"/>
  <c r="W89" i="100"/>
  <c r="R93" i="100"/>
  <c r="Q93" i="100"/>
  <c r="M93" i="100"/>
  <c r="AP94" i="100"/>
  <c r="AQ93" i="100"/>
  <c r="V94" i="100"/>
  <c r="U95" i="100"/>
  <c r="BI93" i="100"/>
  <c r="BH94" i="100"/>
  <c r="AU74" i="100"/>
  <c r="AY74" i="100"/>
  <c r="AW74" i="100"/>
  <c r="BL119" i="100"/>
  <c r="BG74" i="100"/>
  <c r="AZ86" i="100"/>
  <c r="AS86" i="100"/>
  <c r="AV92" i="100"/>
  <c r="BA86" i="100"/>
  <c r="X127" i="100"/>
  <c r="J92" i="100"/>
  <c r="BK92" i="100"/>
  <c r="AM131" i="100"/>
  <c r="AO92" i="100"/>
  <c r="G94" i="100"/>
  <c r="I93" i="100"/>
  <c r="H93" i="100"/>
  <c r="BJ93" i="100"/>
  <c r="U96" i="100"/>
  <c r="V95" i="100"/>
  <c r="R94" i="100"/>
  <c r="Q94" i="100"/>
  <c r="M94" i="100"/>
  <c r="G95" i="100"/>
  <c r="I94" i="100"/>
  <c r="H94" i="100"/>
  <c r="BJ94" i="100"/>
  <c r="BI94" i="100"/>
  <c r="BH95" i="100"/>
  <c r="M54" i="100"/>
  <c r="S54" i="100"/>
  <c r="AU75" i="100"/>
  <c r="AY75" i="100"/>
  <c r="AW75" i="100"/>
  <c r="BL120" i="100"/>
  <c r="BG75" i="100"/>
  <c r="AV93" i="100"/>
  <c r="BA87" i="100"/>
  <c r="AZ87" i="100"/>
  <c r="AS87" i="100"/>
  <c r="AP95" i="100"/>
  <c r="AQ94" i="100"/>
  <c r="AZ88" i="100"/>
  <c r="AS88" i="100"/>
  <c r="AV94" i="100"/>
  <c r="BA88" i="100"/>
  <c r="AP96" i="100"/>
  <c r="AQ95" i="100"/>
  <c r="L55" i="100"/>
  <c r="P55" i="100"/>
  <c r="N55" i="100"/>
  <c r="W90" i="100"/>
  <c r="R95" i="100"/>
  <c r="M95" i="100"/>
  <c r="Q95" i="100"/>
  <c r="AU76" i="100"/>
  <c r="AY76" i="100"/>
  <c r="AW76" i="100"/>
  <c r="BL121" i="100"/>
  <c r="BG76" i="100"/>
  <c r="BI95" i="100"/>
  <c r="BH96" i="100"/>
  <c r="G96" i="100"/>
  <c r="I95" i="100"/>
  <c r="H95" i="100"/>
  <c r="BJ95" i="100"/>
  <c r="U97" i="100"/>
  <c r="V96" i="100"/>
  <c r="M55" i="100"/>
  <c r="S55" i="100"/>
  <c r="BH97" i="100"/>
  <c r="BI96" i="100"/>
  <c r="Q96" i="100"/>
  <c r="M96" i="100"/>
  <c r="R96" i="100"/>
  <c r="G97" i="100"/>
  <c r="I96" i="100"/>
  <c r="H96" i="100"/>
  <c r="BJ96" i="100"/>
  <c r="BA89" i="100"/>
  <c r="AZ89" i="100"/>
  <c r="AS89" i="100"/>
  <c r="AV95" i="100"/>
  <c r="U98" i="100"/>
  <c r="V97" i="100"/>
  <c r="AU77" i="100"/>
  <c r="AY77" i="100"/>
  <c r="AW77" i="100"/>
  <c r="BL122" i="100"/>
  <c r="BG77" i="100"/>
  <c r="AP97" i="100"/>
  <c r="AQ96" i="100"/>
  <c r="AV96" i="100"/>
  <c r="AZ90" i="100"/>
  <c r="AS90" i="100"/>
  <c r="BA90" i="100"/>
  <c r="AP98" i="100"/>
  <c r="AQ97" i="100"/>
  <c r="R97" i="100"/>
  <c r="M97" i="100"/>
  <c r="Q97" i="100"/>
  <c r="BI97" i="100"/>
  <c r="BH98" i="100"/>
  <c r="AU78" i="100"/>
  <c r="AY78" i="100"/>
  <c r="AW78" i="100"/>
  <c r="BL123" i="100"/>
  <c r="BG78" i="100"/>
  <c r="U99" i="100"/>
  <c r="V98" i="100"/>
  <c r="G98" i="100"/>
  <c r="I97" i="100"/>
  <c r="H97" i="100"/>
  <c r="BJ97" i="100"/>
  <c r="L56" i="100"/>
  <c r="P56" i="100"/>
  <c r="N56" i="100"/>
  <c r="W91" i="100"/>
  <c r="G99" i="100"/>
  <c r="I98" i="100"/>
  <c r="H98" i="100"/>
  <c r="BJ98" i="100"/>
  <c r="U100" i="100"/>
  <c r="V99" i="100"/>
  <c r="BH99" i="100"/>
  <c r="BI98" i="100"/>
  <c r="M56" i="100"/>
  <c r="S56" i="100"/>
  <c r="AU79" i="100"/>
  <c r="AY79" i="100"/>
  <c r="AW79" i="100"/>
  <c r="BL124" i="100"/>
  <c r="BG79" i="100"/>
  <c r="BA91" i="100"/>
  <c r="AZ91" i="100"/>
  <c r="AS91" i="100"/>
  <c r="AV97" i="100"/>
  <c r="M98" i="100"/>
  <c r="Q98" i="100"/>
  <c r="R98" i="100"/>
  <c r="AP99" i="100"/>
  <c r="AQ98" i="100"/>
  <c r="BI99" i="100"/>
  <c r="BH100" i="100"/>
  <c r="G100" i="100"/>
  <c r="I99" i="100"/>
  <c r="H99" i="100"/>
  <c r="BJ99" i="100"/>
  <c r="R99" i="100"/>
  <c r="M99" i="100"/>
  <c r="Q99" i="100"/>
  <c r="AP100" i="100"/>
  <c r="AQ99" i="100"/>
  <c r="L57" i="100"/>
  <c r="P57" i="100"/>
  <c r="N57" i="100"/>
  <c r="W92" i="100"/>
  <c r="U101" i="100"/>
  <c r="V100" i="100"/>
  <c r="AU80" i="100"/>
  <c r="AY80" i="100"/>
  <c r="AW80" i="100"/>
  <c r="BL125" i="100"/>
  <c r="BG80" i="100"/>
  <c r="AV98" i="100"/>
  <c r="AZ92" i="100"/>
  <c r="AS92" i="100"/>
  <c r="BA92" i="100"/>
  <c r="AP101" i="100"/>
  <c r="AQ100" i="100"/>
  <c r="M100" i="100"/>
  <c r="R100" i="100"/>
  <c r="Q100" i="100"/>
  <c r="M57" i="100"/>
  <c r="S57" i="100"/>
  <c r="AU81" i="100"/>
  <c r="AY81" i="100"/>
  <c r="AW81" i="100"/>
  <c r="BL126" i="100"/>
  <c r="BG81" i="100"/>
  <c r="U102" i="100"/>
  <c r="V101" i="100"/>
  <c r="BH101" i="100"/>
  <c r="BI100" i="100"/>
  <c r="G101" i="100"/>
  <c r="I100" i="100"/>
  <c r="H100" i="100"/>
  <c r="BJ100" i="100"/>
  <c r="AZ93" i="100"/>
  <c r="AV99" i="100"/>
  <c r="BA93" i="100"/>
  <c r="V102" i="100"/>
  <c r="U103" i="100"/>
  <c r="AV100" i="100"/>
  <c r="BA94" i="100"/>
  <c r="AZ94" i="100"/>
  <c r="AU82" i="100"/>
  <c r="AY82" i="100"/>
  <c r="AW82" i="100"/>
  <c r="BL127" i="100"/>
  <c r="BG82" i="100"/>
  <c r="R101" i="100"/>
  <c r="M101" i="100"/>
  <c r="Q101" i="100"/>
  <c r="L58" i="100"/>
  <c r="P58" i="100"/>
  <c r="N58" i="100"/>
  <c r="W93" i="100"/>
  <c r="G102" i="100"/>
  <c r="I101" i="100"/>
  <c r="H101" i="100"/>
  <c r="BJ101" i="100"/>
  <c r="BI101" i="100"/>
  <c r="BH102" i="100"/>
  <c r="AP102" i="100"/>
  <c r="AQ101" i="100"/>
  <c r="AP103" i="100"/>
  <c r="AQ102" i="100"/>
  <c r="G103" i="100"/>
  <c r="I102" i="100"/>
  <c r="H102" i="100"/>
  <c r="BJ102" i="100"/>
  <c r="BI102" i="100"/>
  <c r="BH103" i="100"/>
  <c r="AZ95" i="100"/>
  <c r="AV101" i="100"/>
  <c r="BA95" i="100"/>
  <c r="M58" i="100"/>
  <c r="S58" i="100"/>
  <c r="U104" i="100"/>
  <c r="V103" i="100"/>
  <c r="AU83" i="100"/>
  <c r="AY83" i="100"/>
  <c r="AW83" i="100"/>
  <c r="BL128" i="100"/>
  <c r="BG83" i="100"/>
  <c r="R102" i="100"/>
  <c r="Q102" i="100"/>
  <c r="M102" i="100"/>
  <c r="R103" i="100"/>
  <c r="M103" i="100"/>
  <c r="Q103" i="100"/>
  <c r="AV102" i="100"/>
  <c r="AZ96" i="100"/>
  <c r="BA96" i="100"/>
  <c r="U105" i="100"/>
  <c r="V104" i="100"/>
  <c r="AU84" i="100"/>
  <c r="AY84" i="100"/>
  <c r="AW84" i="100"/>
  <c r="BL129" i="100"/>
  <c r="BG84" i="100"/>
  <c r="L59" i="100"/>
  <c r="P59" i="100"/>
  <c r="N59" i="100"/>
  <c r="W94" i="100"/>
  <c r="BI103" i="100"/>
  <c r="BH104" i="100"/>
  <c r="G104" i="100"/>
  <c r="I103" i="100"/>
  <c r="H103" i="100"/>
  <c r="BJ103" i="100"/>
  <c r="AP104" i="100"/>
  <c r="AQ103" i="100"/>
  <c r="AP105" i="100"/>
  <c r="AQ104" i="100"/>
  <c r="BH105" i="100"/>
  <c r="BI104" i="100"/>
  <c r="G105" i="100"/>
  <c r="I104" i="100"/>
  <c r="H104" i="100"/>
  <c r="BJ104" i="100"/>
  <c r="AZ97" i="100"/>
  <c r="BA97" i="100"/>
  <c r="AV103" i="100"/>
  <c r="M59" i="100"/>
  <c r="S59" i="100"/>
  <c r="Q104" i="100"/>
  <c r="M104" i="100"/>
  <c r="R104" i="100"/>
  <c r="AU85" i="100"/>
  <c r="AY85" i="100"/>
  <c r="AW85" i="100"/>
  <c r="BL130" i="100"/>
  <c r="BG85" i="100"/>
  <c r="U106" i="100"/>
  <c r="V105" i="100"/>
  <c r="AZ98" i="100"/>
  <c r="AV104" i="100"/>
  <c r="BA98" i="100"/>
  <c r="AU86" i="100"/>
  <c r="AY86" i="100"/>
  <c r="AW86" i="100"/>
  <c r="BL131" i="100"/>
  <c r="BG86" i="100"/>
  <c r="R105" i="100"/>
  <c r="M105" i="100"/>
  <c r="Q105" i="100"/>
  <c r="G106" i="100"/>
  <c r="I105" i="100"/>
  <c r="H105" i="100"/>
  <c r="BJ105" i="100"/>
  <c r="BI105" i="100"/>
  <c r="BH106" i="100"/>
  <c r="L60" i="100"/>
  <c r="P60" i="100"/>
  <c r="N60" i="100"/>
  <c r="W95" i="100"/>
  <c r="U107" i="100"/>
  <c r="V106" i="100"/>
  <c r="AP106" i="100"/>
  <c r="AQ105" i="100"/>
  <c r="M106" i="100"/>
  <c r="R106" i="100"/>
  <c r="Q106" i="100"/>
  <c r="U108" i="100"/>
  <c r="V107" i="100"/>
  <c r="AU87" i="100"/>
  <c r="AY87" i="100"/>
  <c r="AW87" i="100"/>
  <c r="BL132" i="100"/>
  <c r="BG87" i="100"/>
  <c r="BI106" i="100"/>
  <c r="BH107" i="100"/>
  <c r="G107" i="100"/>
  <c r="I106" i="100"/>
  <c r="H106" i="100"/>
  <c r="BJ106" i="100"/>
  <c r="AP107" i="100"/>
  <c r="AQ106" i="100"/>
  <c r="M60" i="100"/>
  <c r="S60" i="100"/>
  <c r="AZ99" i="100"/>
  <c r="AV105" i="100"/>
  <c r="BA99" i="100"/>
  <c r="L61" i="100"/>
  <c r="P61" i="100"/>
  <c r="N61" i="100"/>
  <c r="W96" i="100"/>
  <c r="AV106" i="100"/>
  <c r="BA100" i="100"/>
  <c r="AZ100" i="100"/>
  <c r="R107" i="100"/>
  <c r="M107" i="100"/>
  <c r="Q107" i="100"/>
  <c r="G108" i="100"/>
  <c r="I107" i="100"/>
  <c r="H107" i="100"/>
  <c r="BJ107" i="100"/>
  <c r="BH108" i="100"/>
  <c r="BI107" i="100"/>
  <c r="AP108" i="100"/>
  <c r="AQ108" i="100"/>
  <c r="AQ107" i="100"/>
  <c r="AU88" i="100"/>
  <c r="AY88" i="100"/>
  <c r="AW88" i="100"/>
  <c r="BL133" i="100"/>
  <c r="BG88" i="100"/>
  <c r="AU89" i="100"/>
  <c r="AY89" i="100"/>
  <c r="AW89" i="100"/>
  <c r="BL134" i="100"/>
  <c r="BG89" i="100"/>
  <c r="AV107" i="100"/>
  <c r="AZ101" i="100"/>
  <c r="BA101" i="100"/>
  <c r="I108" i="100"/>
  <c r="H108" i="100"/>
  <c r="BJ108" i="100"/>
  <c r="BH109" i="100"/>
  <c r="BI108" i="100"/>
  <c r="M61" i="100"/>
  <c r="S61" i="100"/>
  <c r="BH110" i="100"/>
  <c r="BI109" i="100"/>
  <c r="AU90" i="100"/>
  <c r="AY90" i="100"/>
  <c r="AW90" i="100"/>
  <c r="BL135" i="100"/>
  <c r="BG90" i="100"/>
  <c r="L62" i="100"/>
  <c r="P62" i="100"/>
  <c r="N62" i="100"/>
  <c r="W97" i="100"/>
  <c r="AV108" i="100"/>
  <c r="AV109" i="100"/>
  <c r="BA102" i="100"/>
  <c r="AZ102" i="100"/>
  <c r="M62" i="100"/>
  <c r="S62" i="100"/>
  <c r="AZ103" i="100"/>
  <c r="BA103" i="100"/>
  <c r="AU91" i="100"/>
  <c r="AY91" i="100"/>
  <c r="AW91" i="100"/>
  <c r="BL136" i="100"/>
  <c r="BG91" i="100"/>
  <c r="BI110" i="100"/>
  <c r="BH111" i="100"/>
  <c r="L63" i="100"/>
  <c r="P63" i="100"/>
  <c r="N63" i="100"/>
  <c r="W98" i="100"/>
  <c r="BI111" i="100"/>
  <c r="BH112" i="100"/>
  <c r="AZ104" i="100"/>
  <c r="BA104" i="100"/>
  <c r="AU92" i="100"/>
  <c r="AY92" i="100"/>
  <c r="AW92" i="100"/>
  <c r="BL137" i="100"/>
  <c r="BG92" i="100"/>
  <c r="BL138" i="100"/>
  <c r="AU93" i="100"/>
  <c r="AY93" i="100"/>
  <c r="AW93" i="100"/>
  <c r="AT93" i="100"/>
  <c r="BG93" i="100"/>
  <c r="BH113" i="100"/>
  <c r="BI112" i="100"/>
  <c r="AZ105" i="100"/>
  <c r="BA105" i="100"/>
  <c r="M63" i="100"/>
  <c r="S63" i="100"/>
  <c r="AM132" i="100"/>
  <c r="AO93" i="100"/>
  <c r="AS93" i="100"/>
  <c r="L64" i="100"/>
  <c r="P64" i="100"/>
  <c r="N64" i="100"/>
  <c r="W99" i="100"/>
  <c r="AU94" i="100"/>
  <c r="AY94" i="100"/>
  <c r="AW94" i="100"/>
  <c r="AT94" i="100"/>
  <c r="BL139" i="100"/>
  <c r="BG94" i="100"/>
  <c r="BA106" i="100"/>
  <c r="AZ106" i="100"/>
  <c r="BH114" i="100"/>
  <c r="BI114" i="100"/>
  <c r="BI113" i="100"/>
  <c r="AM133" i="100"/>
  <c r="AS94" i="100"/>
  <c r="AO94" i="100"/>
  <c r="M64" i="100"/>
  <c r="S64" i="100"/>
  <c r="BA107" i="100"/>
  <c r="AZ107" i="100"/>
  <c r="BL140" i="100"/>
  <c r="AU95" i="100"/>
  <c r="AY95" i="100"/>
  <c r="AW95" i="100"/>
  <c r="AT95" i="100"/>
  <c r="BG95" i="100"/>
  <c r="BA108" i="100"/>
  <c r="AZ108" i="100"/>
  <c r="AZ109" i="100"/>
  <c r="AM134" i="100"/>
  <c r="AO95" i="100"/>
  <c r="AS95" i="100"/>
  <c r="L65" i="100"/>
  <c r="P65" i="100"/>
  <c r="N65" i="100"/>
  <c r="W100" i="100"/>
  <c r="BL141" i="100"/>
  <c r="AU96" i="100"/>
  <c r="AY96" i="100"/>
  <c r="AW96" i="100"/>
  <c r="AT96" i="100"/>
  <c r="BG96" i="100"/>
  <c r="AM135" i="100"/>
  <c r="AS96" i="100"/>
  <c r="AO96" i="100"/>
  <c r="M65" i="100"/>
  <c r="S65" i="100"/>
  <c r="AU97" i="100"/>
  <c r="AY97" i="100"/>
  <c r="AW97" i="100"/>
  <c r="AT97" i="100"/>
  <c r="BL142" i="100"/>
  <c r="BG97" i="100"/>
  <c r="AM136" i="100"/>
  <c r="AS97" i="100"/>
  <c r="AO97" i="100"/>
  <c r="BL143" i="100"/>
  <c r="AU98" i="100"/>
  <c r="AY98" i="100"/>
  <c r="AW98" i="100"/>
  <c r="AT98" i="100"/>
  <c r="BG98" i="100"/>
  <c r="L66" i="100"/>
  <c r="P66" i="100"/>
  <c r="N66" i="100"/>
  <c r="W101" i="100"/>
  <c r="AM137" i="100"/>
  <c r="AS98" i="100"/>
  <c r="AO98" i="100"/>
  <c r="M66" i="100"/>
  <c r="S66" i="100"/>
  <c r="AU99" i="100"/>
  <c r="AY99" i="100"/>
  <c r="AW99" i="100"/>
  <c r="AT99" i="100"/>
  <c r="BL144" i="100"/>
  <c r="BG99" i="100"/>
  <c r="AM138" i="100"/>
  <c r="AS99" i="100"/>
  <c r="AO99" i="100"/>
  <c r="AU100" i="100"/>
  <c r="AY100" i="100"/>
  <c r="AW100" i="100"/>
  <c r="AT100" i="100"/>
  <c r="BL145" i="100"/>
  <c r="BG100" i="100"/>
  <c r="L67" i="100"/>
  <c r="P67" i="100"/>
  <c r="N67" i="100"/>
  <c r="W102" i="100"/>
  <c r="AS100" i="100"/>
  <c r="AO100" i="100"/>
  <c r="AM139" i="100"/>
  <c r="BL146" i="100"/>
  <c r="AU101" i="100"/>
  <c r="AY101" i="100"/>
  <c r="AW101" i="100"/>
  <c r="AT101" i="100"/>
  <c r="BG101" i="100"/>
  <c r="M67" i="100"/>
  <c r="S67" i="100"/>
  <c r="AM140" i="100"/>
  <c r="AO101" i="100"/>
  <c r="AS101" i="100"/>
  <c r="L68" i="100"/>
  <c r="P68" i="100"/>
  <c r="N68" i="100"/>
  <c r="W103" i="100"/>
  <c r="AU102" i="100"/>
  <c r="AY102" i="100"/>
  <c r="AW102" i="100"/>
  <c r="AT102" i="100"/>
  <c r="BL147" i="100"/>
  <c r="BG102" i="100"/>
  <c r="AM141" i="100"/>
  <c r="AS102" i="100"/>
  <c r="AO102" i="100"/>
  <c r="AU103" i="100"/>
  <c r="AY103" i="100"/>
  <c r="AW103" i="100"/>
  <c r="AT103" i="100"/>
  <c r="BL148" i="100"/>
  <c r="BG103" i="100"/>
  <c r="M68" i="100"/>
  <c r="S68" i="100"/>
  <c r="AM142" i="100"/>
  <c r="AO103" i="100"/>
  <c r="AS103" i="100"/>
  <c r="BL149" i="100"/>
  <c r="AU104" i="100"/>
  <c r="AY104" i="100"/>
  <c r="AW104" i="100"/>
  <c r="AT104" i="100"/>
  <c r="BG104" i="100"/>
  <c r="L69" i="100"/>
  <c r="P69" i="100"/>
  <c r="N69" i="100"/>
  <c r="W104" i="100"/>
  <c r="M69" i="100"/>
  <c r="S69" i="100"/>
  <c r="L70" i="100"/>
  <c r="P70" i="100"/>
  <c r="N70" i="100"/>
  <c r="AS104" i="100"/>
  <c r="AO104" i="100"/>
  <c r="AM143" i="100"/>
  <c r="AU105" i="100"/>
  <c r="AY105" i="100"/>
  <c r="AW105" i="100"/>
  <c r="AT105" i="100"/>
  <c r="BL150" i="100"/>
  <c r="BG105" i="100"/>
  <c r="M70" i="100"/>
  <c r="S70" i="100"/>
  <c r="M71" i="100"/>
  <c r="S71" i="100"/>
  <c r="W105" i="100"/>
  <c r="AM144" i="100"/>
  <c r="AS105" i="100"/>
  <c r="AO105" i="100"/>
  <c r="L71" i="100"/>
  <c r="P71" i="100"/>
  <c r="N71" i="100"/>
  <c r="BL151" i="100"/>
  <c r="AU106" i="100"/>
  <c r="AY106" i="100"/>
  <c r="AW106" i="100"/>
  <c r="AT106" i="100"/>
  <c r="BG106" i="100"/>
  <c r="W106" i="100"/>
  <c r="AM145" i="100"/>
  <c r="AS106" i="100"/>
  <c r="AO106" i="100"/>
  <c r="L72" i="100"/>
  <c r="P72" i="100"/>
  <c r="N72" i="100"/>
  <c r="M72" i="100"/>
  <c r="S72" i="100"/>
  <c r="W107" i="100"/>
  <c r="BL152" i="100"/>
  <c r="AU107" i="100"/>
  <c r="AY107" i="100"/>
  <c r="AW107" i="100"/>
  <c r="AT107" i="100"/>
  <c r="BG107" i="100"/>
  <c r="AM146" i="100"/>
  <c r="AS107" i="100"/>
  <c r="AO107" i="100"/>
  <c r="M73" i="100"/>
  <c r="S73" i="100"/>
  <c r="L73" i="100"/>
  <c r="P73" i="100"/>
  <c r="N73" i="100"/>
  <c r="W108" i="100"/>
  <c r="AU108" i="100"/>
  <c r="BL153" i="100"/>
  <c r="BL154" i="100"/>
  <c r="BG108" i="100"/>
  <c r="AY108" i="100"/>
  <c r="AW108" i="100"/>
  <c r="AU109" i="100"/>
  <c r="D28" i="100"/>
  <c r="D31" i="100"/>
  <c r="D33" i="100"/>
  <c r="L74" i="100"/>
  <c r="P74" i="100"/>
  <c r="N74" i="100"/>
  <c r="M74" i="100"/>
  <c r="S74" i="100"/>
  <c r="W109" i="100"/>
  <c r="D34" i="100"/>
  <c r="D35" i="100"/>
  <c r="D36" i="100"/>
  <c r="M75" i="100"/>
  <c r="L75" i="100"/>
  <c r="P75" i="100"/>
  <c r="N75" i="100"/>
  <c r="W110" i="100"/>
  <c r="S75" i="100"/>
  <c r="AW109" i="100"/>
  <c r="AT108" i="100"/>
  <c r="AM147" i="100"/>
  <c r="AO108" i="100"/>
  <c r="AO7" i="100"/>
  <c r="AS108" i="100"/>
  <c r="AS109" i="100"/>
  <c r="AT109" i="100"/>
  <c r="D30" i="100"/>
  <c r="AC51" i="100"/>
  <c r="AB47" i="100"/>
  <c r="L76" i="100"/>
  <c r="P76" i="100"/>
  <c r="N76" i="100"/>
  <c r="M76" i="100"/>
  <c r="S76" i="100"/>
  <c r="W111" i="100"/>
  <c r="L77" i="100"/>
  <c r="P77" i="100"/>
  <c r="N77" i="100"/>
  <c r="M77" i="100"/>
  <c r="S77" i="100"/>
  <c r="W112" i="100"/>
  <c r="AM148" i="100"/>
  <c r="AN148" i="100"/>
  <c r="M78" i="100"/>
  <c r="L78" i="100"/>
  <c r="P78" i="100"/>
  <c r="N78" i="100"/>
  <c r="W113" i="100"/>
  <c r="S78" i="100"/>
  <c r="L79" i="100"/>
  <c r="P79" i="100"/>
  <c r="N79" i="100"/>
  <c r="M79" i="100"/>
  <c r="S79" i="100"/>
  <c r="W114" i="100"/>
  <c r="M80" i="100"/>
  <c r="L80" i="100"/>
  <c r="P80" i="100"/>
  <c r="N80" i="100"/>
  <c r="S80" i="100"/>
  <c r="W115" i="100"/>
  <c r="M81" i="100"/>
  <c r="L81" i="100"/>
  <c r="P81" i="100"/>
  <c r="N81" i="100"/>
  <c r="S81" i="100"/>
  <c r="W116" i="100"/>
  <c r="M82" i="100"/>
  <c r="L82" i="100"/>
  <c r="P82" i="100"/>
  <c r="N82" i="100"/>
  <c r="S82" i="100"/>
  <c r="W117" i="100"/>
  <c r="M83" i="100"/>
  <c r="L83" i="100"/>
  <c r="P83" i="100"/>
  <c r="N83" i="100"/>
  <c r="S83" i="100"/>
  <c r="W118" i="100"/>
  <c r="M84" i="100"/>
  <c r="L84" i="100"/>
  <c r="P84" i="100"/>
  <c r="N84" i="100"/>
  <c r="S84" i="100"/>
  <c r="W119" i="100"/>
  <c r="M85" i="100"/>
  <c r="L85" i="100"/>
  <c r="P85" i="100"/>
  <c r="N85" i="100"/>
  <c r="W120" i="100"/>
  <c r="S85" i="100"/>
  <c r="M86" i="100"/>
  <c r="L86" i="100"/>
  <c r="P86" i="100"/>
  <c r="N86" i="100"/>
  <c r="W121" i="100"/>
  <c r="S86" i="100"/>
  <c r="M87" i="100"/>
  <c r="L87" i="100"/>
  <c r="P87" i="100"/>
  <c r="N87" i="100"/>
  <c r="W122" i="100"/>
  <c r="S87" i="100"/>
  <c r="M88" i="100"/>
  <c r="L88" i="100"/>
  <c r="P88" i="100"/>
  <c r="N88" i="100"/>
  <c r="S88" i="100"/>
  <c r="W123" i="100"/>
  <c r="L89" i="100"/>
  <c r="P89" i="100"/>
  <c r="N89" i="100"/>
  <c r="M89" i="100"/>
  <c r="W124" i="100"/>
  <c r="S89" i="100"/>
  <c r="M90" i="100"/>
  <c r="L90" i="100"/>
  <c r="P90" i="100"/>
  <c r="N90" i="100"/>
  <c r="W125" i="100"/>
  <c r="S90" i="100"/>
  <c r="M91" i="100"/>
  <c r="L91" i="100"/>
  <c r="P91" i="100"/>
  <c r="N91" i="100"/>
  <c r="S91" i="100"/>
  <c r="W126" i="100"/>
  <c r="M92" i="100"/>
  <c r="L92" i="100"/>
  <c r="P92" i="100"/>
  <c r="N92" i="100"/>
  <c r="W127" i="100"/>
  <c r="S92" i="100"/>
  <c r="S93" i="100"/>
  <c r="W128" i="100"/>
  <c r="L93" i="100"/>
  <c r="P93" i="100"/>
  <c r="N93" i="100"/>
  <c r="K93" i="100"/>
  <c r="X128" i="100"/>
  <c r="BK93" i="100"/>
  <c r="J93" i="100"/>
  <c r="S94" i="100"/>
  <c r="L94" i="100"/>
  <c r="P94" i="100"/>
  <c r="N94" i="100"/>
  <c r="K94" i="100"/>
  <c r="W129" i="100"/>
  <c r="X129" i="100"/>
  <c r="BK94" i="100"/>
  <c r="J94" i="100"/>
  <c r="W130" i="100"/>
  <c r="S95" i="100"/>
  <c r="L95" i="100"/>
  <c r="P95" i="100"/>
  <c r="N95" i="100"/>
  <c r="K95" i="100"/>
  <c r="X130" i="100"/>
  <c r="BK95" i="100"/>
  <c r="J95" i="100"/>
  <c r="S96" i="100"/>
  <c r="W131" i="100"/>
  <c r="L96" i="100"/>
  <c r="P96" i="100"/>
  <c r="N96" i="100"/>
  <c r="K96" i="100"/>
  <c r="X131" i="100"/>
  <c r="BK96" i="100"/>
  <c r="J96" i="100"/>
  <c r="S97" i="100"/>
  <c r="W132" i="100"/>
  <c r="L97" i="100"/>
  <c r="P97" i="100"/>
  <c r="N97" i="100"/>
  <c r="K97" i="100"/>
  <c r="X132" i="100"/>
  <c r="BK97" i="100"/>
  <c r="J97" i="100"/>
  <c r="W133" i="100"/>
  <c r="L98" i="100"/>
  <c r="P98" i="100"/>
  <c r="N98" i="100"/>
  <c r="K98" i="100"/>
  <c r="S98" i="100"/>
  <c r="X133" i="100"/>
  <c r="BK98" i="100"/>
  <c r="J98" i="100"/>
  <c r="S99" i="100"/>
  <c r="W134" i="100"/>
  <c r="L99" i="100"/>
  <c r="P99" i="100"/>
  <c r="N99" i="100"/>
  <c r="K99" i="100"/>
  <c r="X134" i="100"/>
  <c r="J99" i="100"/>
  <c r="BK99" i="100"/>
  <c r="L100" i="100"/>
  <c r="P100" i="100"/>
  <c r="N100" i="100"/>
  <c r="K100" i="100"/>
  <c r="S100" i="100"/>
  <c r="W135" i="100"/>
  <c r="X135" i="100"/>
  <c r="BK100" i="100"/>
  <c r="J100" i="100"/>
  <c r="W136" i="100"/>
  <c r="L101" i="100"/>
  <c r="P101" i="100"/>
  <c r="N101" i="100"/>
  <c r="K101" i="100"/>
  <c r="S101" i="100"/>
  <c r="X136" i="100"/>
  <c r="BK101" i="100"/>
  <c r="J101" i="100"/>
  <c r="W137" i="100"/>
  <c r="L102" i="100"/>
  <c r="P102" i="100"/>
  <c r="N102" i="100"/>
  <c r="K102" i="100"/>
  <c r="S102" i="100"/>
  <c r="X137" i="100"/>
  <c r="BK102" i="100"/>
  <c r="J102" i="100"/>
  <c r="W138" i="100"/>
  <c r="L103" i="100"/>
  <c r="P103" i="100"/>
  <c r="N103" i="100"/>
  <c r="K103" i="100"/>
  <c r="S103" i="100"/>
  <c r="X138" i="100"/>
  <c r="BK103" i="100"/>
  <c r="J103" i="100"/>
  <c r="L104" i="100"/>
  <c r="P104" i="100"/>
  <c r="N104" i="100"/>
  <c r="K104" i="100"/>
  <c r="W139" i="100"/>
  <c r="S104" i="100"/>
  <c r="X139" i="100"/>
  <c r="BK104" i="100"/>
  <c r="J104" i="100"/>
  <c r="W140" i="100"/>
  <c r="S105" i="100"/>
  <c r="L105" i="100"/>
  <c r="P105" i="100"/>
  <c r="N105" i="100"/>
  <c r="K105" i="100"/>
  <c r="X140" i="100"/>
  <c r="J105" i="100"/>
  <c r="BK105" i="100"/>
  <c r="S106" i="100"/>
  <c r="L106" i="100"/>
  <c r="P106" i="100"/>
  <c r="N106" i="100"/>
  <c r="K106" i="100"/>
  <c r="W141" i="100"/>
  <c r="X141" i="100"/>
  <c r="BK106" i="100"/>
  <c r="J106" i="100"/>
  <c r="L107" i="100"/>
  <c r="P107" i="100"/>
  <c r="N107" i="100"/>
  <c r="K107" i="100"/>
  <c r="W142" i="100"/>
  <c r="S107" i="100"/>
  <c r="X142" i="100"/>
  <c r="J107" i="100"/>
  <c r="BK107" i="100"/>
  <c r="V108" i="100"/>
  <c r="W143" i="100"/>
  <c r="W144" i="100"/>
  <c r="L108" i="100"/>
  <c r="R108" i="100"/>
  <c r="R109" i="100"/>
  <c r="M108" i="100"/>
  <c r="M109" i="100"/>
  <c r="S108" i="100"/>
  <c r="Q108" i="100"/>
  <c r="Q109" i="100"/>
  <c r="L109" i="100"/>
  <c r="C28" i="100"/>
  <c r="AG79" i="94"/>
  <c r="AG65" i="94" s="1"/>
  <c r="AG66" i="94" s="1"/>
  <c r="P108" i="100"/>
  <c r="N108" i="100"/>
  <c r="E28" i="100"/>
  <c r="C29" i="100"/>
  <c r="E29" i="100"/>
  <c r="AG77" i="94"/>
  <c r="AE79" i="94"/>
  <c r="AE65" i="94" s="1"/>
  <c r="AE66" i="94" s="1"/>
  <c r="AF79" i="94"/>
  <c r="AF65" i="94" s="1"/>
  <c r="AF66" i="94" s="1"/>
  <c r="P109" i="100"/>
  <c r="N109" i="100"/>
  <c r="K108" i="100"/>
  <c r="C31" i="100"/>
  <c r="Y17" i="94"/>
  <c r="Z17" i="94"/>
  <c r="AA17" i="94"/>
  <c r="AB17" i="94"/>
  <c r="X17" i="94"/>
  <c r="AD32" i="94" s="1"/>
  <c r="Y16" i="94"/>
  <c r="Z16" i="94"/>
  <c r="AA16" i="94"/>
  <c r="AB16" i="94"/>
  <c r="C33" i="100"/>
  <c r="E31" i="100"/>
  <c r="X143" i="100"/>
  <c r="BK108" i="100"/>
  <c r="J108" i="100"/>
  <c r="J109" i="100"/>
  <c r="C30" i="100"/>
  <c r="K109" i="100"/>
  <c r="BK109" i="100"/>
  <c r="A24" i="94"/>
  <c r="D14" i="94"/>
  <c r="X11" i="94"/>
  <c r="D17" i="94"/>
  <c r="D18" i="94" s="1"/>
  <c r="D29" i="94" s="1"/>
  <c r="D30" i="94" s="1"/>
  <c r="AD51" i="94" s="1"/>
  <c r="AC47" i="94" s="1"/>
  <c r="U9" i="94"/>
  <c r="V9" i="94" s="1"/>
  <c r="Q9" i="94" s="1"/>
  <c r="AC34" i="94"/>
  <c r="H8" i="94"/>
  <c r="AE54" i="94" s="1"/>
  <c r="AE9" i="94"/>
  <c r="BA9" i="94"/>
  <c r="AR8" i="94"/>
  <c r="AO47" i="94" s="1"/>
  <c r="AO48" i="94" s="1"/>
  <c r="AO49" i="94" s="1"/>
  <c r="AO50" i="94" s="1"/>
  <c r="AO51" i="94" s="1"/>
  <c r="AO52" i="94" s="1"/>
  <c r="AO53" i="94" s="1"/>
  <c r="AO54" i="94" s="1"/>
  <c r="AO55" i="94" s="1"/>
  <c r="AO56" i="94" s="1"/>
  <c r="AO57" i="94" s="1"/>
  <c r="AO58" i="94" s="1"/>
  <c r="AO59" i="94" s="1"/>
  <c r="AO60" i="94" s="1"/>
  <c r="AO61" i="94" s="1"/>
  <c r="AO62" i="94" s="1"/>
  <c r="AO63" i="94" s="1"/>
  <c r="AO64" i="94" s="1"/>
  <c r="AO65" i="94" s="1"/>
  <c r="AO66" i="94" s="1"/>
  <c r="AO67" i="94" s="1"/>
  <c r="AO68" i="94" s="1"/>
  <c r="AO69" i="94" s="1"/>
  <c r="AO70" i="94" s="1"/>
  <c r="AO71" i="94" s="1"/>
  <c r="AO72" i="94" s="1"/>
  <c r="AO73" i="94" s="1"/>
  <c r="AO74" i="94" s="1"/>
  <c r="AO75" i="94" s="1"/>
  <c r="AO76" i="94" s="1"/>
  <c r="AO77" i="94" s="1"/>
  <c r="AO78" i="94" s="1"/>
  <c r="AO79" i="94" s="1"/>
  <c r="AO80" i="94" s="1"/>
  <c r="AO81" i="94" s="1"/>
  <c r="AO82" i="94" s="1"/>
  <c r="AO83" i="94" s="1"/>
  <c r="AO84" i="94" s="1"/>
  <c r="AO85" i="94" s="1"/>
  <c r="AO86" i="94" s="1"/>
  <c r="AO87" i="94" s="1"/>
  <c r="BI9" i="94"/>
  <c r="BJ9" i="94" s="1"/>
  <c r="BB9" i="94" s="1"/>
  <c r="AH36" i="94"/>
  <c r="AH38" i="94" s="1"/>
  <c r="D11" i="94"/>
  <c r="AJ36" i="94" s="1"/>
  <c r="C14" i="59"/>
  <c r="B19" i="87"/>
  <c r="X41" i="94"/>
  <c r="X40" i="94"/>
  <c r="X38" i="94"/>
  <c r="X37" i="94"/>
  <c r="BL114" i="94"/>
  <c r="BK114" i="94"/>
  <c r="BL113" i="94"/>
  <c r="BK113" i="94"/>
  <c r="BL112" i="94"/>
  <c r="BK112" i="94"/>
  <c r="BL111" i="94"/>
  <c r="BK111" i="94"/>
  <c r="BL110" i="94"/>
  <c r="BK110" i="94"/>
  <c r="BK109" i="94"/>
  <c r="O109" i="94"/>
  <c r="AF82" i="94"/>
  <c r="AJ79" i="94"/>
  <c r="AJ65" i="94" s="1"/>
  <c r="AJ66" i="94" s="1"/>
  <c r="AI79" i="94"/>
  <c r="AI65" i="94" s="1"/>
  <c r="AI66" i="94" s="1"/>
  <c r="AH79" i="94"/>
  <c r="AH65" i="94" s="1"/>
  <c r="AH66" i="94" s="1"/>
  <c r="AD79" i="94"/>
  <c r="AD65" i="94" s="1"/>
  <c r="AD66" i="94" s="1"/>
  <c r="AJ77" i="94"/>
  <c r="AI77" i="94"/>
  <c r="AH77" i="94"/>
  <c r="AF77" i="94"/>
  <c r="AD77" i="94"/>
  <c r="AE57" i="94"/>
  <c r="AD57" i="94"/>
  <c r="AF50" i="94"/>
  <c r="AD49" i="94"/>
  <c r="AD48" i="94"/>
  <c r="Y43" i="94"/>
  <c r="AF41" i="94"/>
  <c r="AE41" i="94"/>
  <c r="AD41" i="94"/>
  <c r="AC41" i="94"/>
  <c r="AB41" i="94"/>
  <c r="AA41" i="94"/>
  <c r="Z41" i="94"/>
  <c r="Y41" i="94"/>
  <c r="AF40" i="94"/>
  <c r="AE40" i="94"/>
  <c r="AD40" i="94"/>
  <c r="AC40" i="94"/>
  <c r="AB40" i="94"/>
  <c r="AA40" i="94"/>
  <c r="Z40" i="94"/>
  <c r="Y40" i="94"/>
  <c r="AF38" i="94"/>
  <c r="AE38" i="94"/>
  <c r="AD38" i="94"/>
  <c r="AC38" i="94"/>
  <c r="AB38" i="94"/>
  <c r="AA38" i="94"/>
  <c r="Z38" i="94"/>
  <c r="Y38" i="94"/>
  <c r="AF37" i="94"/>
  <c r="AE37" i="94"/>
  <c r="AD37" i="94"/>
  <c r="AC37" i="94"/>
  <c r="AB37" i="94"/>
  <c r="AA37" i="94"/>
  <c r="Z37" i="94"/>
  <c r="Y37" i="94"/>
  <c r="BA20" i="94"/>
  <c r="BA19" i="94"/>
  <c r="BA18" i="94"/>
  <c r="BA17" i="94"/>
  <c r="BA16" i="94"/>
  <c r="BA15" i="94"/>
  <c r="AE15" i="94"/>
  <c r="BA14" i="94"/>
  <c r="BA13" i="94"/>
  <c r="AE13" i="94"/>
  <c r="BA12" i="94"/>
  <c r="AE12" i="94"/>
  <c r="BA11" i="94"/>
  <c r="BA10" i="94"/>
  <c r="AE10" i="94"/>
  <c r="AQ9" i="94"/>
  <c r="AQ10" i="94" s="1"/>
  <c r="AE8" i="94"/>
  <c r="AM1" i="94"/>
  <c r="AI36" i="94"/>
  <c r="AI35" i="94"/>
  <c r="AG35" i="94" s="1"/>
  <c r="AN47" i="94"/>
  <c r="AF15" i="94"/>
  <c r="Z43" i="94"/>
  <c r="Z44" i="94" s="1"/>
  <c r="D17" i="86"/>
  <c r="AB41" i="91"/>
  <c r="AB40" i="91"/>
  <c r="AA41" i="91"/>
  <c r="AA40" i="91"/>
  <c r="AA38" i="91"/>
  <c r="AA37" i="91"/>
  <c r="Z41" i="91"/>
  <c r="Z40" i="91"/>
  <c r="Z38" i="91"/>
  <c r="Z37" i="91"/>
  <c r="AH35" i="91"/>
  <c r="BK114" i="91"/>
  <c r="BJ114" i="91"/>
  <c r="BK113" i="91"/>
  <c r="BJ113" i="91"/>
  <c r="BK112" i="91"/>
  <c r="BJ112" i="91"/>
  <c r="BK111" i="91"/>
  <c r="BJ111" i="91"/>
  <c r="BK110" i="91"/>
  <c r="BJ110" i="91"/>
  <c r="BJ109" i="91"/>
  <c r="O109" i="91"/>
  <c r="AE82" i="91"/>
  <c r="AI79" i="91"/>
  <c r="AH79" i="91"/>
  <c r="AG79" i="91"/>
  <c r="AG65" i="91"/>
  <c r="AG66" i="91"/>
  <c r="AF79" i="91"/>
  <c r="AF65" i="91"/>
  <c r="AE79" i="91"/>
  <c r="AE65" i="91"/>
  <c r="AE66" i="91"/>
  <c r="AD79" i="91"/>
  <c r="AC79" i="91"/>
  <c r="AC65" i="91"/>
  <c r="AC66" i="91"/>
  <c r="AI77" i="91"/>
  <c r="AH77" i="91"/>
  <c r="AG77" i="91"/>
  <c r="AF77" i="91"/>
  <c r="AE77" i="91"/>
  <c r="AC77" i="91"/>
  <c r="AI65" i="91"/>
  <c r="AI66" i="91"/>
  <c r="AH65" i="91"/>
  <c r="AH66" i="91"/>
  <c r="AJ66" i="91"/>
  <c r="AF66" i="91"/>
  <c r="AG36" i="91"/>
  <c r="AG40" i="91"/>
  <c r="AD57" i="91"/>
  <c r="AC57" i="91"/>
  <c r="AE50" i="91"/>
  <c r="AC49" i="91"/>
  <c r="AC48" i="91"/>
  <c r="D45" i="91"/>
  <c r="D44" i="91"/>
  <c r="X43" i="91"/>
  <c r="D43" i="91"/>
  <c r="D42" i="91"/>
  <c r="AE41" i="91"/>
  <c r="AC41" i="91"/>
  <c r="Y41" i="91"/>
  <c r="X41" i="91"/>
  <c r="W41" i="91"/>
  <c r="AE40" i="91"/>
  <c r="AD40" i="91"/>
  <c r="AC40" i="91"/>
  <c r="Y40" i="91"/>
  <c r="X40" i="91"/>
  <c r="W40" i="91"/>
  <c r="D40" i="91"/>
  <c r="D39" i="91"/>
  <c r="AE38" i="91"/>
  <c r="AD38" i="91"/>
  <c r="AC38" i="91"/>
  <c r="AB38" i="91"/>
  <c r="Y38" i="91"/>
  <c r="X38" i="91"/>
  <c r="W38" i="91"/>
  <c r="D38" i="91"/>
  <c r="AE37" i="91"/>
  <c r="AD37" i="91"/>
  <c r="AC37" i="91"/>
  <c r="AB37" i="91"/>
  <c r="Y37" i="91"/>
  <c r="X37" i="91"/>
  <c r="W37" i="91"/>
  <c r="D37" i="91"/>
  <c r="AH36" i="91"/>
  <c r="AB34" i="91"/>
  <c r="AC32" i="91"/>
  <c r="AC31" i="91"/>
  <c r="AZ20" i="91"/>
  <c r="AZ19" i="91"/>
  <c r="AZ18" i="91"/>
  <c r="AZ17" i="91"/>
  <c r="D17" i="91"/>
  <c r="D18" i="91"/>
  <c r="D30" i="91"/>
  <c r="AZ16" i="91"/>
  <c r="AZ15" i="91"/>
  <c r="AD15" i="91"/>
  <c r="C15" i="91"/>
  <c r="AZ14" i="91"/>
  <c r="D14" i="91"/>
  <c r="D15" i="91"/>
  <c r="AZ13" i="91"/>
  <c r="AD13" i="91"/>
  <c r="C13" i="91"/>
  <c r="AZ12" i="91"/>
  <c r="AD12" i="91"/>
  <c r="D12" i="91"/>
  <c r="AZ11" i="91"/>
  <c r="D11" i="91"/>
  <c r="AI36" i="91"/>
  <c r="AZ10" i="91"/>
  <c r="AP9" i="91"/>
  <c r="AP10" i="91"/>
  <c r="AP11" i="91"/>
  <c r="AP12" i="91"/>
  <c r="AD10" i="91"/>
  <c r="BH9" i="91"/>
  <c r="AZ9" i="91"/>
  <c r="AD9" i="91"/>
  <c r="W9" i="91"/>
  <c r="AL55" i="91"/>
  <c r="U9" i="91"/>
  <c r="U10" i="91"/>
  <c r="G9" i="91"/>
  <c r="AQ8" i="91"/>
  <c r="AN47" i="91"/>
  <c r="AN48" i="91"/>
  <c r="AN49" i="91"/>
  <c r="AN50" i="91"/>
  <c r="AN51" i="91"/>
  <c r="AN52" i="91"/>
  <c r="AN53" i="91"/>
  <c r="AN54" i="91"/>
  <c r="AN55" i="91"/>
  <c r="AN56" i="91"/>
  <c r="AN57" i="91"/>
  <c r="AN58" i="91"/>
  <c r="AN59" i="91"/>
  <c r="AN60" i="91"/>
  <c r="AN61" i="91"/>
  <c r="AN62" i="91"/>
  <c r="AN63" i="91"/>
  <c r="AN64" i="91"/>
  <c r="AN65" i="91"/>
  <c r="AN66" i="91"/>
  <c r="AN67" i="91"/>
  <c r="AN68" i="91"/>
  <c r="AN69" i="91"/>
  <c r="AN70" i="91"/>
  <c r="AN71" i="91"/>
  <c r="AN72" i="91"/>
  <c r="AN73" i="91"/>
  <c r="AN74" i="91"/>
  <c r="AN75" i="91"/>
  <c r="AN76" i="91"/>
  <c r="AN77" i="91"/>
  <c r="AN78" i="91"/>
  <c r="AN79" i="91"/>
  <c r="AN80" i="91"/>
  <c r="AN81" i="91"/>
  <c r="AN82" i="91"/>
  <c r="AN83" i="91"/>
  <c r="AN84" i="91"/>
  <c r="AN85" i="91"/>
  <c r="AN86" i="91"/>
  <c r="AN87" i="91"/>
  <c r="AD8" i="91"/>
  <c r="H8" i="91"/>
  <c r="D8" i="91"/>
  <c r="AE10" i="91"/>
  <c r="A22" i="91"/>
  <c r="AA7" i="91"/>
  <c r="Z7" i="91"/>
  <c r="Y7" i="91"/>
  <c r="X7" i="91"/>
  <c r="AA6" i="91"/>
  <c r="Z6" i="91"/>
  <c r="Y6" i="91"/>
  <c r="X6" i="91"/>
  <c r="AA5" i="91"/>
  <c r="Z5" i="91"/>
  <c r="Y5" i="91"/>
  <c r="Z4" i="91"/>
  <c r="AL48" i="91"/>
  <c r="AL148" i="91"/>
  <c r="X5" i="91"/>
  <c r="AA4" i="91"/>
  <c r="Y4" i="91"/>
  <c r="X4" i="91"/>
  <c r="AP3" i="91"/>
  <c r="G3" i="91"/>
  <c r="AL1" i="91"/>
  <c r="A23" i="91"/>
  <c r="AL49" i="91"/>
  <c r="AL51" i="91"/>
  <c r="AG37" i="91"/>
  <c r="V9" i="91"/>
  <c r="R9" i="91"/>
  <c r="BL54" i="91"/>
  <c r="W44" i="91"/>
  <c r="AE9" i="91"/>
  <c r="AM36" i="91"/>
  <c r="I107" i="91"/>
  <c r="I102" i="91"/>
  <c r="I94" i="91"/>
  <c r="I92" i="91"/>
  <c r="I84" i="91"/>
  <c r="I77" i="91"/>
  <c r="I85" i="91"/>
  <c r="I79" i="91"/>
  <c r="I91" i="91"/>
  <c r="I65" i="91"/>
  <c r="I101" i="91"/>
  <c r="I57" i="91"/>
  <c r="I58" i="91"/>
  <c r="AD54" i="91"/>
  <c r="Y42" i="91"/>
  <c r="AL85" i="91"/>
  <c r="Y43" i="91"/>
  <c r="AE8" i="91"/>
  <c r="BJ8" i="91"/>
  <c r="BJ7" i="91"/>
  <c r="I9" i="91"/>
  <c r="AL81" i="91"/>
  <c r="AL84" i="91"/>
  <c r="AL80" i="91"/>
  <c r="AL79" i="91"/>
  <c r="AL78" i="91"/>
  <c r="AL75" i="91"/>
  <c r="AL73" i="91"/>
  <c r="AL71" i="91"/>
  <c r="AL83" i="91"/>
  <c r="AL82" i="91"/>
  <c r="AL74" i="91"/>
  <c r="AL64" i="91"/>
  <c r="AL62" i="91"/>
  <c r="AL60" i="91"/>
  <c r="AL58" i="91"/>
  <c r="AL77" i="91"/>
  <c r="AL70" i="91"/>
  <c r="AL68" i="91"/>
  <c r="AL66" i="91"/>
  <c r="AL56" i="91"/>
  <c r="AL63" i="91"/>
  <c r="AL61" i="91"/>
  <c r="AL59" i="91"/>
  <c r="AL57" i="91"/>
  <c r="AL72" i="91"/>
  <c r="AL67" i="91"/>
  <c r="AL54" i="91"/>
  <c r="AL53" i="91"/>
  <c r="AL52" i="91"/>
  <c r="AL50" i="91"/>
  <c r="AL69" i="91"/>
  <c r="AL65" i="91"/>
  <c r="G10" i="91"/>
  <c r="I30" i="91"/>
  <c r="I28" i="91"/>
  <c r="I26" i="91"/>
  <c r="I31" i="91"/>
  <c r="I29" i="91"/>
  <c r="I27" i="91"/>
  <c r="I25" i="91"/>
  <c r="AN46" i="91"/>
  <c r="AG38" i="91"/>
  <c r="AG39" i="91"/>
  <c r="I48" i="91"/>
  <c r="A21" i="86"/>
  <c r="B15" i="63"/>
  <c r="B16" i="63"/>
  <c r="B13" i="63"/>
  <c r="B12" i="63"/>
  <c r="B14" i="63"/>
  <c r="AE79" i="86"/>
  <c r="AE79" i="88"/>
  <c r="AE79" i="75"/>
  <c r="AH79" i="75"/>
  <c r="AF79" i="75"/>
  <c r="AF79" i="78"/>
  <c r="AC79" i="78"/>
  <c r="AE79" i="78"/>
  <c r="AC79" i="59"/>
  <c r="AB79" i="59"/>
  <c r="AA79" i="59"/>
  <c r="AD79" i="86"/>
  <c r="AC57" i="86"/>
  <c r="AD79" i="88"/>
  <c r="AD79" i="75"/>
  <c r="AD79" i="78"/>
  <c r="I32" i="91"/>
  <c r="I24" i="91"/>
  <c r="I22" i="91"/>
  <c r="I16" i="91"/>
  <c r="I21" i="91"/>
  <c r="I19" i="91"/>
  <c r="I17" i="91"/>
  <c r="I23" i="91"/>
  <c r="I20" i="91"/>
  <c r="I18" i="91"/>
  <c r="I15" i="91"/>
  <c r="AM39" i="91"/>
  <c r="AM38" i="91"/>
  <c r="AM37" i="91"/>
  <c r="AM40" i="91"/>
  <c r="I38" i="91"/>
  <c r="I44" i="91"/>
  <c r="I42" i="91"/>
  <c r="I37" i="91"/>
  <c r="I35" i="91"/>
  <c r="I34" i="91"/>
  <c r="I41" i="91"/>
  <c r="I33" i="91"/>
  <c r="I43" i="91"/>
  <c r="I39" i="91"/>
  <c r="I40" i="91"/>
  <c r="I36" i="91"/>
  <c r="AL86" i="91"/>
  <c r="Y44" i="91"/>
  <c r="Y45" i="91"/>
  <c r="Y46" i="91"/>
  <c r="Y47" i="91"/>
  <c r="Y48" i="91"/>
  <c r="Y49" i="91"/>
  <c r="Y50" i="91"/>
  <c r="AL93" i="91"/>
  <c r="I50" i="91"/>
  <c r="I54" i="91"/>
  <c r="I10" i="91"/>
  <c r="AQ11" i="91"/>
  <c r="AQ10" i="91"/>
  <c r="H9" i="91"/>
  <c r="BJ9" i="91"/>
  <c r="AQ9" i="91"/>
  <c r="B10" i="63"/>
  <c r="Y41" i="86"/>
  <c r="Y40" i="86"/>
  <c r="Z41" i="86"/>
  <c r="Z40" i="86"/>
  <c r="X41" i="88"/>
  <c r="X40" i="88"/>
  <c r="X38" i="88"/>
  <c r="X37" i="88"/>
  <c r="Y41" i="88"/>
  <c r="Y40" i="88"/>
  <c r="Y38" i="88"/>
  <c r="Y37" i="88"/>
  <c r="AL87" i="91"/>
  <c r="AL88" i="91"/>
  <c r="AL89" i="91"/>
  <c r="AL90" i="91"/>
  <c r="AL91" i="91"/>
  <c r="AL92" i="91"/>
  <c r="Y51" i="91"/>
  <c r="AA41" i="88"/>
  <c r="AA40" i="88"/>
  <c r="Z41" i="88"/>
  <c r="Z40" i="88"/>
  <c r="AA41" i="86"/>
  <c r="AA40" i="86"/>
  <c r="AA37" i="86"/>
  <c r="AC40" i="86"/>
  <c r="AB41" i="86"/>
  <c r="AB40" i="86"/>
  <c r="Z38" i="88"/>
  <c r="AA38" i="88"/>
  <c r="AA37" i="88"/>
  <c r="Z37" i="88"/>
  <c r="BK114" i="88"/>
  <c r="BJ114" i="88"/>
  <c r="BK113" i="88"/>
  <c r="BJ113" i="88"/>
  <c r="BK112" i="88"/>
  <c r="BJ112" i="88"/>
  <c r="BK111" i="88"/>
  <c r="BJ111" i="88"/>
  <c r="BK110" i="88"/>
  <c r="BJ110" i="88"/>
  <c r="BJ109" i="88"/>
  <c r="O109" i="88"/>
  <c r="AE82" i="88"/>
  <c r="AI79" i="88"/>
  <c r="AI65" i="88"/>
  <c r="AI66" i="88"/>
  <c r="AH79" i="88"/>
  <c r="AH65" i="88"/>
  <c r="AH66" i="88"/>
  <c r="AJ66" i="88"/>
  <c r="AG79" i="88"/>
  <c r="AG65" i="88"/>
  <c r="AG66" i="88"/>
  <c r="AF79" i="88"/>
  <c r="AF65" i="88"/>
  <c r="AF66" i="88"/>
  <c r="AE65" i="88"/>
  <c r="AE66" i="88"/>
  <c r="C26" i="88"/>
  <c r="AC79" i="88"/>
  <c r="AC65" i="88"/>
  <c r="AC66" i="88"/>
  <c r="AI77" i="88"/>
  <c r="AH77" i="88"/>
  <c r="AG77" i="88"/>
  <c r="AF77" i="88"/>
  <c r="AE77" i="88"/>
  <c r="AC77" i="88"/>
  <c r="AD57" i="88"/>
  <c r="AC57" i="88"/>
  <c r="AE50" i="88"/>
  <c r="AC49" i="88"/>
  <c r="AC48" i="88"/>
  <c r="D45" i="88"/>
  <c r="D44" i="88"/>
  <c r="D43" i="88"/>
  <c r="X43" i="88"/>
  <c r="D42" i="88"/>
  <c r="AC41" i="88"/>
  <c r="AB41" i="88"/>
  <c r="W41" i="88"/>
  <c r="D40" i="88"/>
  <c r="AE40" i="88"/>
  <c r="AD40" i="88"/>
  <c r="AC40" i="88"/>
  <c r="AB40" i="88"/>
  <c r="W40" i="88"/>
  <c r="D39" i="88"/>
  <c r="D38" i="88"/>
  <c r="AE38" i="88"/>
  <c r="AB38" i="88"/>
  <c r="W38" i="88"/>
  <c r="D37" i="88"/>
  <c r="AE37" i="88"/>
  <c r="AD37" i="88"/>
  <c r="AC37" i="88"/>
  <c r="AB37" i="88"/>
  <c r="W37" i="88"/>
  <c r="AG36" i="88"/>
  <c r="AG40" i="88"/>
  <c r="AB34" i="88"/>
  <c r="AC32" i="88"/>
  <c r="AC31" i="88"/>
  <c r="AZ20" i="88"/>
  <c r="AZ19" i="88"/>
  <c r="AZ18" i="88"/>
  <c r="AZ17" i="88"/>
  <c r="D17" i="88"/>
  <c r="D18" i="88"/>
  <c r="D30" i="88"/>
  <c r="AZ16" i="88"/>
  <c r="AZ15" i="88"/>
  <c r="AD15" i="88"/>
  <c r="C15" i="88"/>
  <c r="AZ14" i="88"/>
  <c r="D14" i="88"/>
  <c r="D15" i="88"/>
  <c r="AZ13" i="88"/>
  <c r="AD13" i="88"/>
  <c r="C13" i="88"/>
  <c r="AZ12" i="88"/>
  <c r="AD12" i="88"/>
  <c r="D12" i="88"/>
  <c r="AZ11" i="88"/>
  <c r="D11" i="88"/>
  <c r="AZ10" i="88"/>
  <c r="AD10" i="88"/>
  <c r="BH9" i="88"/>
  <c r="AZ9" i="88"/>
  <c r="AP9" i="88"/>
  <c r="AP10" i="88"/>
  <c r="AP11" i="88"/>
  <c r="AP12" i="88"/>
  <c r="AP13" i="88"/>
  <c r="AP14" i="88"/>
  <c r="AP15" i="88"/>
  <c r="AP16" i="88"/>
  <c r="AP17" i="88"/>
  <c r="AP18" i="88"/>
  <c r="AP19" i="88"/>
  <c r="AP20" i="88"/>
  <c r="AP21" i="88"/>
  <c r="AP22" i="88"/>
  <c r="AP23" i="88"/>
  <c r="AP24" i="88"/>
  <c r="AP25" i="88"/>
  <c r="AP26" i="88"/>
  <c r="AP27" i="88"/>
  <c r="AP28" i="88"/>
  <c r="AP29" i="88"/>
  <c r="AP30" i="88"/>
  <c r="AP31" i="88"/>
  <c r="AP32" i="88"/>
  <c r="AP33" i="88"/>
  <c r="AP34" i="88"/>
  <c r="AP35" i="88"/>
  <c r="AP36" i="88"/>
  <c r="AP37" i="88"/>
  <c r="AP38" i="88"/>
  <c r="AP39" i="88"/>
  <c r="AP40" i="88"/>
  <c r="AP41" i="88"/>
  <c r="AP42" i="88"/>
  <c r="AP43" i="88"/>
  <c r="AP44" i="88"/>
  <c r="AP45" i="88"/>
  <c r="AP46" i="88"/>
  <c r="AP47" i="88"/>
  <c r="AP48" i="88"/>
  <c r="AP49" i="88"/>
  <c r="AP50" i="88"/>
  <c r="AP51" i="88"/>
  <c r="AP52" i="88"/>
  <c r="AP53" i="88"/>
  <c r="AP54" i="88"/>
  <c r="AP55" i="88"/>
  <c r="AP56" i="88"/>
  <c r="AP57" i="88"/>
  <c r="AP58" i="88"/>
  <c r="AP59" i="88"/>
  <c r="AP60" i="88"/>
  <c r="AP61" i="88"/>
  <c r="AP62" i="88"/>
  <c r="AP63" i="88"/>
  <c r="AP64" i="88"/>
  <c r="AP65" i="88"/>
  <c r="AP66" i="88"/>
  <c r="AP67" i="88"/>
  <c r="AP68" i="88"/>
  <c r="AP69" i="88"/>
  <c r="AP70" i="88"/>
  <c r="AP71" i="88"/>
  <c r="AP72" i="88"/>
  <c r="AP73" i="88"/>
  <c r="AP74" i="88"/>
  <c r="AP75" i="88"/>
  <c r="AP76" i="88"/>
  <c r="AP77" i="88"/>
  <c r="AP78" i="88"/>
  <c r="AP79" i="88"/>
  <c r="AP80" i="88"/>
  <c r="AP81" i="88"/>
  <c r="AP82" i="88"/>
  <c r="AP83" i="88"/>
  <c r="AP84" i="88"/>
  <c r="AP85" i="88"/>
  <c r="AP86" i="88"/>
  <c r="AP87" i="88"/>
  <c r="AP88" i="88"/>
  <c r="AP89" i="88"/>
  <c r="AP90" i="88"/>
  <c r="AP91" i="88"/>
  <c r="AP92" i="88"/>
  <c r="AP93" i="88"/>
  <c r="AP94" i="88"/>
  <c r="AP95" i="88"/>
  <c r="AP96" i="88"/>
  <c r="AP97" i="88"/>
  <c r="AP98" i="88"/>
  <c r="AP99" i="88"/>
  <c r="AP100" i="88"/>
  <c r="AP101" i="88"/>
  <c r="AP102" i="88"/>
  <c r="AP103" i="88"/>
  <c r="AP104" i="88"/>
  <c r="AP105" i="88"/>
  <c r="AP106" i="88"/>
  <c r="AP107" i="88"/>
  <c r="AP108" i="88"/>
  <c r="AD9" i="88"/>
  <c r="W9" i="88"/>
  <c r="U9" i="88"/>
  <c r="V9" i="88"/>
  <c r="R9" i="88"/>
  <c r="G9" i="88"/>
  <c r="G10" i="88"/>
  <c r="BL55" i="88"/>
  <c r="G11" i="88"/>
  <c r="AQ8" i="88"/>
  <c r="AD8" i="88"/>
  <c r="H8" i="88"/>
  <c r="BJ8" i="88"/>
  <c r="Y43" i="88"/>
  <c r="D8" i="88"/>
  <c r="AA7" i="88"/>
  <c r="Z7" i="88"/>
  <c r="Y7" i="88"/>
  <c r="AL51" i="88"/>
  <c r="X7" i="88"/>
  <c r="AA6" i="88"/>
  <c r="Z6" i="88"/>
  <c r="Y6" i="88"/>
  <c r="X6" i="88"/>
  <c r="AA5" i="88"/>
  <c r="Z5" i="88"/>
  <c r="Y5" i="88"/>
  <c r="X5" i="88"/>
  <c r="AA4" i="88"/>
  <c r="Z4" i="88"/>
  <c r="Y4" i="88"/>
  <c r="X4" i="88"/>
  <c r="AP3" i="88"/>
  <c r="G3" i="88"/>
  <c r="AL1" i="88"/>
  <c r="AB38" i="86"/>
  <c r="AA38" i="86"/>
  <c r="Z38" i="86"/>
  <c r="X38" i="86"/>
  <c r="Y38" i="86"/>
  <c r="AC38" i="86"/>
  <c r="AD38" i="86"/>
  <c r="W38" i="86"/>
  <c r="AB37" i="86"/>
  <c r="Z37" i="86"/>
  <c r="Y37" i="86"/>
  <c r="W37" i="86"/>
  <c r="X37" i="86"/>
  <c r="AC37" i="86"/>
  <c r="AD37" i="86"/>
  <c r="AE37" i="86"/>
  <c r="AC41" i="86"/>
  <c r="W41" i="86"/>
  <c r="AE40" i="86"/>
  <c r="AD40" i="86"/>
  <c r="W40" i="86"/>
  <c r="AE38" i="86"/>
  <c r="AE41" i="86"/>
  <c r="AE41" i="88"/>
  <c r="C19" i="87"/>
  <c r="AD41" i="88"/>
  <c r="AD41" i="91"/>
  <c r="C5" i="87"/>
  <c r="X41" i="86"/>
  <c r="B5" i="87"/>
  <c r="D5" i="87"/>
  <c r="D4" i="87"/>
  <c r="C4" i="87"/>
  <c r="X40" i="86"/>
  <c r="B4" i="87"/>
  <c r="AD41" i="86"/>
  <c r="D26" i="88"/>
  <c r="E26" i="88"/>
  <c r="I75" i="88"/>
  <c r="AC38" i="88"/>
  <c r="AD38" i="88"/>
  <c r="I101" i="88"/>
  <c r="I97" i="88"/>
  <c r="I85" i="88"/>
  <c r="I81" i="88"/>
  <c r="I104" i="88"/>
  <c r="I100" i="88"/>
  <c r="I88" i="88"/>
  <c r="I84" i="88"/>
  <c r="I106" i="88"/>
  <c r="I102" i="88"/>
  <c r="I90" i="88"/>
  <c r="I86" i="88"/>
  <c r="I107" i="88"/>
  <c r="I103" i="88"/>
  <c r="I91" i="88"/>
  <c r="I87" i="88"/>
  <c r="I9" i="88"/>
  <c r="AD65" i="88"/>
  <c r="AH35" i="88"/>
  <c r="AL35" i="88"/>
  <c r="AF35" i="88"/>
  <c r="AH36" i="88"/>
  <c r="AE9" i="88"/>
  <c r="AE8" i="88"/>
  <c r="AG37" i="88"/>
  <c r="AG39" i="88"/>
  <c r="I45" i="88"/>
  <c r="AG38" i="88"/>
  <c r="I44" i="88"/>
  <c r="AM36" i="88"/>
  <c r="U10" i="88"/>
  <c r="AL83" i="88"/>
  <c r="AL82" i="88"/>
  <c r="AL81" i="88"/>
  <c r="AL79" i="88"/>
  <c r="AL74" i="88"/>
  <c r="AL84" i="88"/>
  <c r="AL80" i="88"/>
  <c r="AL77" i="88"/>
  <c r="AL75" i="88"/>
  <c r="AL72" i="88"/>
  <c r="AL70" i="88"/>
  <c r="AL68" i="88"/>
  <c r="AL66" i="88"/>
  <c r="AL73" i="88"/>
  <c r="AL71" i="88"/>
  <c r="AL69" i="88"/>
  <c r="AL67" i="88"/>
  <c r="AL65" i="88"/>
  <c r="AL62" i="88"/>
  <c r="AL60" i="88"/>
  <c r="AL58" i="88"/>
  <c r="AL55" i="88"/>
  <c r="AL78" i="88"/>
  <c r="AL56" i="88"/>
  <c r="AL53" i="88"/>
  <c r="AL52" i="88"/>
  <c r="AL50" i="88"/>
  <c r="AL64" i="88"/>
  <c r="AL63" i="88"/>
  <c r="AL61" i="88"/>
  <c r="AL59" i="88"/>
  <c r="AL57" i="88"/>
  <c r="AL54" i="88"/>
  <c r="I10" i="88"/>
  <c r="I11" i="88"/>
  <c r="BH10" i="88"/>
  <c r="BI9" i="88"/>
  <c r="W45" i="88"/>
  <c r="AL49" i="88"/>
  <c r="Y42" i="88"/>
  <c r="AL85" i="88"/>
  <c r="BJ7" i="88"/>
  <c r="AL48" i="88"/>
  <c r="AL148" i="88"/>
  <c r="AE10" i="88"/>
  <c r="A23" i="88"/>
  <c r="AB49" i="88"/>
  <c r="AE15" i="88"/>
  <c r="A22" i="88"/>
  <c r="AM47" i="88"/>
  <c r="BL54" i="88"/>
  <c r="W44" i="88"/>
  <c r="AE12" i="88"/>
  <c r="I65" i="88"/>
  <c r="I73" i="88"/>
  <c r="I67" i="88"/>
  <c r="I64" i="88"/>
  <c r="I66" i="88"/>
  <c r="I63" i="88"/>
  <c r="I57" i="88"/>
  <c r="BK114" i="86"/>
  <c r="BJ114" i="86"/>
  <c r="BK113" i="86"/>
  <c r="BJ113" i="86"/>
  <c r="BK112" i="86"/>
  <c r="BJ112" i="86"/>
  <c r="BK111" i="86"/>
  <c r="BJ111" i="86"/>
  <c r="BK110" i="86"/>
  <c r="BJ110" i="86"/>
  <c r="BJ109" i="86"/>
  <c r="O109" i="86"/>
  <c r="AE82" i="86"/>
  <c r="AI79" i="86"/>
  <c r="AI65" i="86"/>
  <c r="AI66" i="86"/>
  <c r="AH79" i="86"/>
  <c r="AH65" i="86"/>
  <c r="AH66" i="86"/>
  <c r="AG79" i="86"/>
  <c r="AG65" i="86"/>
  <c r="AG66" i="86"/>
  <c r="AF79" i="86"/>
  <c r="AF65" i="86"/>
  <c r="AF66" i="86"/>
  <c r="AE65" i="86"/>
  <c r="AE66" i="86"/>
  <c r="AD65" i="86"/>
  <c r="AD66" i="86"/>
  <c r="AC79" i="86"/>
  <c r="AC65" i="86"/>
  <c r="AC66" i="86"/>
  <c r="AI77" i="86"/>
  <c r="AH77" i="86"/>
  <c r="AG77" i="86"/>
  <c r="AF77" i="86"/>
  <c r="AE77" i="86"/>
  <c r="AC77" i="86"/>
  <c r="AD57" i="86"/>
  <c r="AE50" i="86"/>
  <c r="AC49" i="86"/>
  <c r="AC48" i="86"/>
  <c r="D46" i="86"/>
  <c r="D45" i="86"/>
  <c r="D44" i="86"/>
  <c r="X43" i="86"/>
  <c r="D43" i="86"/>
  <c r="D41" i="86"/>
  <c r="D40" i="86"/>
  <c r="D39" i="86"/>
  <c r="D38" i="86"/>
  <c r="AG36" i="86"/>
  <c r="AH35" i="86"/>
  <c r="AL35" i="86"/>
  <c r="AB34" i="86"/>
  <c r="AC32" i="86"/>
  <c r="AC31" i="86"/>
  <c r="AZ20" i="86"/>
  <c r="AZ19" i="86"/>
  <c r="AZ18" i="86"/>
  <c r="AZ17" i="86"/>
  <c r="D18" i="86"/>
  <c r="D31" i="86"/>
  <c r="AZ16" i="86"/>
  <c r="AZ15" i="86"/>
  <c r="AD15" i="86"/>
  <c r="C15" i="86"/>
  <c r="AZ14" i="86"/>
  <c r="D14" i="86"/>
  <c r="AZ13" i="86"/>
  <c r="AD13" i="86"/>
  <c r="C13" i="86"/>
  <c r="AZ12" i="86"/>
  <c r="AD12" i="86"/>
  <c r="D12" i="86"/>
  <c r="AZ11" i="86"/>
  <c r="D11" i="86"/>
  <c r="AZ10" i="86"/>
  <c r="AD10" i="86"/>
  <c r="BH9" i="86"/>
  <c r="BH10" i="86"/>
  <c r="AZ9" i="86"/>
  <c r="AP9" i="86"/>
  <c r="AP10" i="86"/>
  <c r="AP11" i="86"/>
  <c r="AP12" i="86"/>
  <c r="AP13" i="86"/>
  <c r="AP14" i="86"/>
  <c r="AP15" i="86"/>
  <c r="AP16" i="86"/>
  <c r="AP17" i="86"/>
  <c r="AP18" i="86"/>
  <c r="AP19" i="86"/>
  <c r="AP20" i="86"/>
  <c r="AP21" i="86"/>
  <c r="AP22" i="86"/>
  <c r="AP23" i="86"/>
  <c r="AP24" i="86"/>
  <c r="AP25" i="86"/>
  <c r="AP26" i="86"/>
  <c r="AP27" i="86"/>
  <c r="AP28" i="86"/>
  <c r="AP29" i="86"/>
  <c r="AP30" i="86"/>
  <c r="AP31" i="86"/>
  <c r="AP32" i="86"/>
  <c r="AP33" i="86"/>
  <c r="AP34" i="86"/>
  <c r="AP35" i="86"/>
  <c r="AP36" i="86"/>
  <c r="AP37" i="86"/>
  <c r="AP38" i="86"/>
  <c r="AP39" i="86"/>
  <c r="AP40" i="86"/>
  <c r="AP41" i="86"/>
  <c r="AP42" i="86"/>
  <c r="AP43" i="86"/>
  <c r="AP44" i="86"/>
  <c r="AP45" i="86"/>
  <c r="AP46" i="86"/>
  <c r="AP47" i="86"/>
  <c r="AP48" i="86"/>
  <c r="AP49" i="86"/>
  <c r="AP50" i="86"/>
  <c r="AP51" i="86"/>
  <c r="AP52" i="86"/>
  <c r="AP53" i="86"/>
  <c r="AP54" i="86"/>
  <c r="AP55" i="86"/>
  <c r="AP56" i="86"/>
  <c r="AP57" i="86"/>
  <c r="AP58" i="86"/>
  <c r="AP59" i="86"/>
  <c r="AP60" i="86"/>
  <c r="AP61" i="86"/>
  <c r="AP62" i="86"/>
  <c r="AP63" i="86"/>
  <c r="AP64" i="86"/>
  <c r="AP65" i="86"/>
  <c r="AP66" i="86"/>
  <c r="AP67" i="86"/>
  <c r="AP68" i="86"/>
  <c r="AP69" i="86"/>
  <c r="AP70" i="86"/>
  <c r="AP71" i="86"/>
  <c r="AP72" i="86"/>
  <c r="AP73" i="86"/>
  <c r="AP74" i="86"/>
  <c r="AP75" i="86"/>
  <c r="AP76" i="86"/>
  <c r="AP77" i="86"/>
  <c r="AP78" i="86"/>
  <c r="AP79" i="86"/>
  <c r="AP80" i="86"/>
  <c r="AP81" i="86"/>
  <c r="AP82" i="86"/>
  <c r="AP83" i="86"/>
  <c r="AP84" i="86"/>
  <c r="AP85" i="86"/>
  <c r="AP86" i="86"/>
  <c r="AP87" i="86"/>
  <c r="AP88" i="86"/>
  <c r="AP89" i="86"/>
  <c r="AP90" i="86"/>
  <c r="AP91" i="86"/>
  <c r="AP92" i="86"/>
  <c r="AP93" i="86"/>
  <c r="AP94" i="86"/>
  <c r="AP95" i="86"/>
  <c r="AP96" i="86"/>
  <c r="AP97" i="86"/>
  <c r="AP98" i="86"/>
  <c r="AP99" i="86"/>
  <c r="AP100" i="86"/>
  <c r="AP101" i="86"/>
  <c r="AP102" i="86"/>
  <c r="AP103" i="86"/>
  <c r="AP104" i="86"/>
  <c r="AP105" i="86"/>
  <c r="AP106" i="86"/>
  <c r="AP107" i="86"/>
  <c r="AP108" i="86"/>
  <c r="AD9" i="86"/>
  <c r="W9" i="86"/>
  <c r="U9" i="86"/>
  <c r="U10" i="86"/>
  <c r="G9" i="86"/>
  <c r="BL54" i="86"/>
  <c r="AQ8" i="86"/>
  <c r="AN46" i="86"/>
  <c r="AD8" i="86"/>
  <c r="H8" i="86"/>
  <c r="D8" i="86"/>
  <c r="AA7" i="86"/>
  <c r="Z7" i="86"/>
  <c r="AL52" i="86"/>
  <c r="Y7" i="86"/>
  <c r="AL51" i="86"/>
  <c r="X7" i="86"/>
  <c r="AA6" i="86"/>
  <c r="Z6" i="86"/>
  <c r="Y6" i="86"/>
  <c r="Z5" i="86"/>
  <c r="AL49" i="86"/>
  <c r="X6" i="86"/>
  <c r="AA5" i="86"/>
  <c r="Y5" i="86"/>
  <c r="X5" i="86"/>
  <c r="AA4" i="86"/>
  <c r="Z4" i="86"/>
  <c r="Y4" i="86"/>
  <c r="X4" i="86"/>
  <c r="AP3" i="86"/>
  <c r="G3" i="86"/>
  <c r="AL1" i="86"/>
  <c r="C27" i="86"/>
  <c r="C25" i="88"/>
  <c r="C24" i="88"/>
  <c r="AG40" i="86"/>
  <c r="AL48" i="86"/>
  <c r="AL148" i="86"/>
  <c r="I48" i="88"/>
  <c r="I52" i="88"/>
  <c r="I38" i="88"/>
  <c r="I35" i="88"/>
  <c r="I37" i="88"/>
  <c r="I42" i="88"/>
  <c r="I43" i="88"/>
  <c r="I41" i="88"/>
  <c r="I40" i="88"/>
  <c r="I36" i="88"/>
  <c r="I34" i="88"/>
  <c r="I33" i="88"/>
  <c r="I39" i="88"/>
  <c r="I54" i="88"/>
  <c r="I28" i="88"/>
  <c r="I25" i="88"/>
  <c r="I21" i="88"/>
  <c r="I16" i="88"/>
  <c r="I31" i="88"/>
  <c r="I27" i="88"/>
  <c r="I24" i="88"/>
  <c r="I19" i="88"/>
  <c r="I17" i="88"/>
  <c r="I30" i="88"/>
  <c r="I23" i="88"/>
  <c r="I32" i="88"/>
  <c r="I29" i="88"/>
  <c r="I26" i="88"/>
  <c r="I22" i="88"/>
  <c r="I20" i="88"/>
  <c r="I18" i="88"/>
  <c r="I15" i="88"/>
  <c r="BH11" i="88"/>
  <c r="BH12" i="88"/>
  <c r="BI10" i="88"/>
  <c r="BA10" i="88"/>
  <c r="BA9" i="88"/>
  <c r="I66" i="86"/>
  <c r="AG37" i="86"/>
  <c r="AG38" i="86"/>
  <c r="I42" i="86"/>
  <c r="AG39" i="86"/>
  <c r="AB48" i="86"/>
  <c r="AL61" i="86"/>
  <c r="V9" i="86"/>
  <c r="R9" i="86"/>
  <c r="AJ66" i="86"/>
  <c r="BI9" i="86"/>
  <c r="C26" i="86"/>
  <c r="C25" i="86"/>
  <c r="C28" i="86"/>
  <c r="BK8" i="86"/>
  <c r="AE12" i="86"/>
  <c r="D26" i="86"/>
  <c r="D25" i="86"/>
  <c r="AE8" i="86"/>
  <c r="AL84" i="86"/>
  <c r="AL82" i="86"/>
  <c r="AL80" i="86"/>
  <c r="AL83" i="86"/>
  <c r="AL77" i="86"/>
  <c r="AL79" i="86"/>
  <c r="AL75" i="86"/>
  <c r="AL73" i="86"/>
  <c r="AL71" i="86"/>
  <c r="AL69" i="86"/>
  <c r="AL67" i="86"/>
  <c r="AL65" i="86"/>
  <c r="AL81" i="86"/>
  <c r="AL64" i="86"/>
  <c r="AL62" i="86"/>
  <c r="AL70" i="86"/>
  <c r="AL78" i="86"/>
  <c r="AL72" i="86"/>
  <c r="AL60" i="86"/>
  <c r="AL58" i="86"/>
  <c r="AL55" i="86"/>
  <c r="AL74" i="86"/>
  <c r="AL66" i="86"/>
  <c r="AL63" i="86"/>
  <c r="AL56" i="86"/>
  <c r="AL53" i="86"/>
  <c r="AL50" i="86"/>
  <c r="G10" i="86"/>
  <c r="D27" i="86"/>
  <c r="E27" i="86"/>
  <c r="AM36" i="86"/>
  <c r="AN47" i="86"/>
  <c r="AN48" i="86"/>
  <c r="AN49" i="86"/>
  <c r="AN50" i="86"/>
  <c r="AN51" i="86"/>
  <c r="AN52" i="86"/>
  <c r="AN53" i="86"/>
  <c r="AN54" i="86"/>
  <c r="AN55" i="86"/>
  <c r="AN56" i="86"/>
  <c r="AN57" i="86"/>
  <c r="AN58" i="86"/>
  <c r="AN59" i="86"/>
  <c r="AN60" i="86"/>
  <c r="AN61" i="86"/>
  <c r="AN62" i="86"/>
  <c r="AN63" i="86"/>
  <c r="AN64" i="86"/>
  <c r="AN65" i="86"/>
  <c r="AN66" i="86"/>
  <c r="AN67" i="86"/>
  <c r="AN68" i="86"/>
  <c r="AN69" i="86"/>
  <c r="AN70" i="86"/>
  <c r="AN71" i="86"/>
  <c r="AN72" i="86"/>
  <c r="AN73" i="86"/>
  <c r="AN74" i="86"/>
  <c r="AN75" i="86"/>
  <c r="AN76" i="86"/>
  <c r="AN77" i="86"/>
  <c r="AN78" i="86"/>
  <c r="AN79" i="86"/>
  <c r="AN80" i="86"/>
  <c r="AN81" i="86"/>
  <c r="AN82" i="86"/>
  <c r="AN83" i="86"/>
  <c r="AN84" i="86"/>
  <c r="AN85" i="86"/>
  <c r="AN86" i="86"/>
  <c r="AN87" i="86"/>
  <c r="AL54" i="86"/>
  <c r="AL59" i="86"/>
  <c r="AE10" i="86"/>
  <c r="A24" i="86"/>
  <c r="AF35" i="86"/>
  <c r="AL57" i="86"/>
  <c r="AL68" i="86"/>
  <c r="AB49" i="86"/>
  <c r="AM47" i="86"/>
  <c r="AE9" i="86"/>
  <c r="AE15" i="86"/>
  <c r="A23" i="86"/>
  <c r="AH36" i="86"/>
  <c r="BK8" i="88"/>
  <c r="I59" i="86"/>
  <c r="I86" i="86"/>
  <c r="I80" i="86"/>
  <c r="I75" i="86"/>
  <c r="I97" i="86"/>
  <c r="I70" i="86"/>
  <c r="I103" i="86"/>
  <c r="I100" i="86"/>
  <c r="I62" i="86"/>
  <c r="I63" i="86"/>
  <c r="I92" i="86"/>
  <c r="I73" i="86"/>
  <c r="AM40" i="86"/>
  <c r="I38" i="86"/>
  <c r="BI11" i="88"/>
  <c r="I44" i="86"/>
  <c r="I43" i="86"/>
  <c r="I53" i="86"/>
  <c r="I26" i="86"/>
  <c r="I33" i="86"/>
  <c r="I37" i="86"/>
  <c r="I41" i="86"/>
  <c r="I19" i="86"/>
  <c r="I35" i="86"/>
  <c r="I36" i="86"/>
  <c r="I29" i="86"/>
  <c r="I25" i="86"/>
  <c r="I34" i="86"/>
  <c r="I39" i="86"/>
  <c r="I40" i="86"/>
  <c r="C29" i="86"/>
  <c r="C23" i="86"/>
  <c r="AD56" i="86"/>
  <c r="C17" i="86"/>
  <c r="L9" i="88"/>
  <c r="BA11" i="88"/>
  <c r="BI12" i="88"/>
  <c r="BH13" i="88"/>
  <c r="AE56" i="86"/>
  <c r="AD55" i="86"/>
  <c r="S8" i="86"/>
  <c r="K8" i="86"/>
  <c r="BH14" i="88"/>
  <c r="BI13" i="88"/>
  <c r="BA13" i="88"/>
  <c r="C18" i="86"/>
  <c r="C31" i="86"/>
  <c r="E31" i="86"/>
  <c r="Q12" i="86"/>
  <c r="Q9" i="86"/>
  <c r="Q14" i="86"/>
  <c r="BI14" i="88"/>
  <c r="BH15" i="88"/>
  <c r="BH16" i="88"/>
  <c r="BI15" i="88"/>
  <c r="BA15" i="88"/>
  <c r="BA14" i="88"/>
  <c r="L10" i="88"/>
  <c r="BI16" i="88"/>
  <c r="BH17" i="88"/>
  <c r="BI17" i="88"/>
  <c r="BA16" i="88"/>
  <c r="BH18" i="88"/>
  <c r="BH19" i="88"/>
  <c r="L11" i="88"/>
  <c r="BI18" i="88"/>
  <c r="BA18" i="88"/>
  <c r="AC79" i="75"/>
  <c r="AC77" i="75"/>
  <c r="AC77" i="78"/>
  <c r="Z79" i="59"/>
  <c r="Z65" i="59"/>
  <c r="AA65" i="59"/>
  <c r="A17" i="78"/>
  <c r="M9" i="59"/>
  <c r="BX12" i="78"/>
  <c r="C19" i="78"/>
  <c r="W14" i="78"/>
  <c r="BY13" i="78"/>
  <c r="BY14" i="78"/>
  <c r="BY15" i="78"/>
  <c r="BY16" i="78"/>
  <c r="BY17" i="78"/>
  <c r="BY18" i="78"/>
  <c r="BY19" i="78"/>
  <c r="BY20" i="78"/>
  <c r="BY21" i="78"/>
  <c r="BY22" i="78"/>
  <c r="BY23" i="78"/>
  <c r="BY24" i="78"/>
  <c r="BW13" i="78"/>
  <c r="BX13" i="78"/>
  <c r="E19" i="78"/>
  <c r="A22" i="78"/>
  <c r="BW14" i="78"/>
  <c r="BW15" i="78"/>
  <c r="BW16" i="78"/>
  <c r="BW17" i="78"/>
  <c r="BW18" i="78"/>
  <c r="G18" i="76"/>
  <c r="BX14" i="78"/>
  <c r="BX15" i="78"/>
  <c r="BX16" i="78"/>
  <c r="C13" i="75"/>
  <c r="U47" i="59"/>
  <c r="T47" i="59"/>
  <c r="U46" i="59"/>
  <c r="T46" i="59"/>
  <c r="C16" i="78"/>
  <c r="AF41" i="78"/>
  <c r="AB41" i="78"/>
  <c r="Z41" i="78"/>
  <c r="V41" i="78"/>
  <c r="AF40" i="78"/>
  <c r="AB40" i="78"/>
  <c r="Z40" i="78"/>
  <c r="W40" i="78"/>
  <c r="V40" i="78"/>
  <c r="AF44" i="78"/>
  <c r="AB44" i="78"/>
  <c r="Z44" i="78"/>
  <c r="X44" i="78"/>
  <c r="AF43" i="78"/>
  <c r="AB43" i="78"/>
  <c r="Z43" i="78"/>
  <c r="X43" i="78"/>
  <c r="V44" i="78"/>
  <c r="V43" i="78"/>
  <c r="C27" i="75"/>
  <c r="D27" i="59"/>
  <c r="C27" i="59"/>
  <c r="E27" i="59"/>
  <c r="AE79" i="59"/>
  <c r="AD79" i="59"/>
  <c r="AD77" i="75"/>
  <c r="AI79" i="75"/>
  <c r="AI65" i="75"/>
  <c r="AI66" i="75"/>
  <c r="AH65" i="75"/>
  <c r="AH66" i="75"/>
  <c r="AJ66" i="75"/>
  <c r="AC65" i="75"/>
  <c r="AC66" i="75"/>
  <c r="AI79" i="78"/>
  <c r="AC65" i="78"/>
  <c r="AC66" i="78"/>
  <c r="C29" i="78"/>
  <c r="AG94" i="78"/>
  <c r="AG93" i="78"/>
  <c r="C21" i="78"/>
  <c r="AF93" i="78"/>
  <c r="D41" i="75"/>
  <c r="D40" i="75"/>
  <c r="D39" i="75"/>
  <c r="D38" i="75"/>
  <c r="C2" i="76"/>
  <c r="D2" i="76"/>
  <c r="W40" i="75"/>
  <c r="B2" i="76"/>
  <c r="C6" i="76"/>
  <c r="D6" i="76"/>
  <c r="B6" i="76"/>
  <c r="C10" i="76"/>
  <c r="D10" i="76"/>
  <c r="B10" i="76"/>
  <c r="C12" i="76"/>
  <c r="D12" i="76"/>
  <c r="B12" i="76"/>
  <c r="C14" i="76"/>
  <c r="D14" i="76"/>
  <c r="B14" i="76"/>
  <c r="C16" i="76"/>
  <c r="D16" i="76"/>
  <c r="B16" i="76"/>
  <c r="C18" i="76"/>
  <c r="D18" i="76"/>
  <c r="B18" i="76"/>
  <c r="D21" i="79"/>
  <c r="C21" i="79"/>
  <c r="B21" i="79"/>
  <c r="C20" i="79"/>
  <c r="B20" i="79"/>
  <c r="D19" i="79"/>
  <c r="C19" i="79"/>
  <c r="B19" i="79"/>
  <c r="C18" i="79"/>
  <c r="B18" i="79"/>
  <c r="D17" i="79"/>
  <c r="C17" i="79"/>
  <c r="B17" i="79"/>
  <c r="AC41" i="78"/>
  <c r="C16" i="79"/>
  <c r="B16" i="79"/>
  <c r="D13" i="79"/>
  <c r="C13" i="79"/>
  <c r="B13" i="79"/>
  <c r="C12" i="79"/>
  <c r="B12" i="79"/>
  <c r="C9" i="79"/>
  <c r="B9" i="79"/>
  <c r="B8" i="79"/>
  <c r="D5" i="79"/>
  <c r="C5" i="79"/>
  <c r="B5" i="79"/>
  <c r="W41" i="78"/>
  <c r="AE82" i="78"/>
  <c r="AI65" i="78"/>
  <c r="AI66" i="78"/>
  <c r="AH79" i="78"/>
  <c r="AH65" i="78"/>
  <c r="AH66" i="78"/>
  <c r="AJ66" i="78"/>
  <c r="AF65" i="78"/>
  <c r="AF66" i="78"/>
  <c r="AI77" i="78"/>
  <c r="AH77" i="78"/>
  <c r="AD57" i="78"/>
  <c r="D48" i="78"/>
  <c r="AC57" i="78"/>
  <c r="AB53" i="78"/>
  <c r="AE50" i="78"/>
  <c r="AC49" i="78"/>
  <c r="AC48" i="78"/>
  <c r="X48" i="78"/>
  <c r="AM47" i="78"/>
  <c r="D40" i="78"/>
  <c r="C43" i="78"/>
  <c r="C46" i="78"/>
  <c r="D33" i="78"/>
  <c r="D36" i="78"/>
  <c r="E36" i="78"/>
  <c r="D37" i="78"/>
  <c r="C47" i="78"/>
  <c r="E37" i="78"/>
  <c r="D30" i="78"/>
  <c r="D27" i="78"/>
  <c r="D26" i="78"/>
  <c r="E24" i="78"/>
  <c r="W22" i="78"/>
  <c r="AC32" i="78"/>
  <c r="A24" i="78"/>
  <c r="AE15" i="78"/>
  <c r="D31" i="78"/>
  <c r="AD15" i="78"/>
  <c r="AE14" i="78"/>
  <c r="C13" i="78"/>
  <c r="AF94" i="78"/>
  <c r="AE12" i="78"/>
  <c r="AD12" i="78"/>
  <c r="AA12" i="78"/>
  <c r="Z12" i="78"/>
  <c r="Y12" i="78"/>
  <c r="X12" i="78"/>
  <c r="D12" i="78"/>
  <c r="AE11" i="78"/>
  <c r="AD11" i="78"/>
  <c r="X11" i="78"/>
  <c r="Y11" i="78"/>
  <c r="AE10" i="78"/>
  <c r="AD10" i="78"/>
  <c r="X10" i="78"/>
  <c r="Y10" i="78"/>
  <c r="BF9" i="78"/>
  <c r="BF10" i="78"/>
  <c r="BF11" i="78"/>
  <c r="BF12" i="78"/>
  <c r="BF13" i="78"/>
  <c r="BF14" i="78"/>
  <c r="BF15" i="78"/>
  <c r="BF16" i="78"/>
  <c r="BF17" i="78"/>
  <c r="BF18" i="78"/>
  <c r="BF25" i="78"/>
  <c r="BF26" i="78"/>
  <c r="BF27" i="78"/>
  <c r="BF28" i="78"/>
  <c r="BF29" i="78"/>
  <c r="BF30" i="78"/>
  <c r="BF31" i="78"/>
  <c r="BF32" i="78"/>
  <c r="BF33" i="78"/>
  <c r="BF34" i="78"/>
  <c r="BF35" i="78"/>
  <c r="BF36" i="78"/>
  <c r="BF37" i="78"/>
  <c r="BF38" i="78"/>
  <c r="BG39" i="78"/>
  <c r="BG40" i="78"/>
  <c r="BG41" i="78"/>
  <c r="BF42" i="78"/>
  <c r="BF43" i="78"/>
  <c r="BF44" i="78"/>
  <c r="BF45" i="78"/>
  <c r="BF46" i="78"/>
  <c r="BF47" i="78"/>
  <c r="BF48" i="78"/>
  <c r="BF49" i="78"/>
  <c r="BF50" i="78"/>
  <c r="BF51" i="78"/>
  <c r="BF52" i="78"/>
  <c r="BF53" i="78"/>
  <c r="BF54" i="78"/>
  <c r="BF55" i="78"/>
  <c r="BF56" i="78"/>
  <c r="BF57" i="78"/>
  <c r="BF58" i="78"/>
  <c r="BG59" i="78"/>
  <c r="BG60" i="78"/>
  <c r="BG61" i="78"/>
  <c r="BG62" i="78"/>
  <c r="BG63" i="78"/>
  <c r="BG64" i="78"/>
  <c r="BG65" i="78"/>
  <c r="BG66" i="78"/>
  <c r="BF67" i="78"/>
  <c r="BF68" i="78"/>
  <c r="BF69" i="78"/>
  <c r="BF70" i="78"/>
  <c r="BF71" i="78"/>
  <c r="BF72" i="78"/>
  <c r="BF73" i="78"/>
  <c r="BF74" i="78"/>
  <c r="BF75" i="78"/>
  <c r="BF76" i="78"/>
  <c r="BF77" i="78"/>
  <c r="BF78" i="78"/>
  <c r="BF79" i="78"/>
  <c r="BF80" i="78"/>
  <c r="BF81" i="78"/>
  <c r="AP9" i="78"/>
  <c r="AP10" i="78"/>
  <c r="AP11" i="78"/>
  <c r="AP12" i="78"/>
  <c r="AP13" i="78"/>
  <c r="AP14" i="78"/>
  <c r="AP15" i="78"/>
  <c r="AP16" i="78"/>
  <c r="AE9" i="78"/>
  <c r="AD9" i="78"/>
  <c r="X9" i="78"/>
  <c r="Y9" i="78"/>
  <c r="T9" i="78"/>
  <c r="T10" i="78"/>
  <c r="N9" i="78"/>
  <c r="G9" i="78"/>
  <c r="AQ8" i="78"/>
  <c r="AE8" i="78"/>
  <c r="AD8" i="78"/>
  <c r="X8" i="78"/>
  <c r="Y8" i="78"/>
  <c r="Z8" i="78"/>
  <c r="AA8" i="78"/>
  <c r="AB8" i="78"/>
  <c r="H8" i="78"/>
  <c r="AE7" i="78"/>
  <c r="AD7" i="78"/>
  <c r="X7" i="78"/>
  <c r="Y7" i="78"/>
  <c r="Z7" i="78"/>
  <c r="AA7" i="78"/>
  <c r="AB7" i="78"/>
  <c r="E7" i="78"/>
  <c r="AE6" i="78"/>
  <c r="AD6" i="78"/>
  <c r="AD13" i="78"/>
  <c r="X6" i="78"/>
  <c r="Y6" i="78"/>
  <c r="Z6" i="78"/>
  <c r="AE5" i="78"/>
  <c r="AD5" i="78"/>
  <c r="AA5" i="78"/>
  <c r="Z5" i="78"/>
  <c r="Y5" i="78"/>
  <c r="X5" i="78"/>
  <c r="AE4" i="78"/>
  <c r="AD4" i="78"/>
  <c r="AP3" i="78"/>
  <c r="AL1" i="78"/>
  <c r="Y40" i="78"/>
  <c r="Y43" i="78"/>
  <c r="AC40" i="78"/>
  <c r="AC43" i="78"/>
  <c r="Y41" i="78"/>
  <c r="Y44" i="78"/>
  <c r="AC44" i="78"/>
  <c r="AA40" i="78"/>
  <c r="AA43" i="78"/>
  <c r="AE44" i="78"/>
  <c r="AE41" i="78"/>
  <c r="AA41" i="78"/>
  <c r="AA44" i="78"/>
  <c r="AD43" i="78"/>
  <c r="AD40" i="78"/>
  <c r="AD44" i="78"/>
  <c r="AD41" i="78"/>
  <c r="I12" i="78"/>
  <c r="I16" i="78"/>
  <c r="I20" i="78"/>
  <c r="I13" i="78"/>
  <c r="I17" i="78"/>
  <c r="I9" i="78"/>
  <c r="I11" i="78"/>
  <c r="I19" i="78"/>
  <c r="I10" i="78"/>
  <c r="I14" i="78"/>
  <c r="I18" i="78"/>
  <c r="I15" i="78"/>
  <c r="D38" i="78"/>
  <c r="AR8" i="78"/>
  <c r="AM46" i="78"/>
  <c r="D41" i="78"/>
  <c r="D42" i="78"/>
  <c r="D43" i="78"/>
  <c r="AD65" i="78"/>
  <c r="AD66" i="78"/>
  <c r="AE65" i="78"/>
  <c r="AE66" i="78"/>
  <c r="D34" i="78"/>
  <c r="Y22" i="78"/>
  <c r="U9" i="78"/>
  <c r="Q9" i="78"/>
  <c r="AF95" i="78"/>
  <c r="I24" i="78"/>
  <c r="X21" i="78"/>
  <c r="E33" i="78"/>
  <c r="AA6" i="78"/>
  <c r="AB6" i="78"/>
  <c r="U10" i="78"/>
  <c r="T11" i="78"/>
  <c r="Y47" i="78"/>
  <c r="AD54" i="78"/>
  <c r="Y48" i="78"/>
  <c r="AL80" i="78"/>
  <c r="AL75" i="78"/>
  <c r="AL71" i="78"/>
  <c r="AL67" i="78"/>
  <c r="AL77" i="78"/>
  <c r="AM59" i="78"/>
  <c r="AL56" i="78"/>
  <c r="BH8" i="78"/>
  <c r="BH7" i="78"/>
  <c r="AC31" i="78"/>
  <c r="AG54" i="78"/>
  <c r="AN46" i="78"/>
  <c r="AN47" i="78"/>
  <c r="AN48" i="78"/>
  <c r="AN49" i="78"/>
  <c r="AN50" i="78"/>
  <c r="AN51" i="78"/>
  <c r="AN52" i="78"/>
  <c r="AN53" i="78"/>
  <c r="AN54" i="78"/>
  <c r="AN55" i="78"/>
  <c r="AN56" i="78"/>
  <c r="AN57" i="78"/>
  <c r="AN58" i="78"/>
  <c r="AO59" i="78"/>
  <c r="AO60" i="78"/>
  <c r="AO61" i="78"/>
  <c r="AO62" i="78"/>
  <c r="AO63" i="78"/>
  <c r="AO64" i="78"/>
  <c r="AO65" i="78"/>
  <c r="AO66" i="78"/>
  <c r="AN67" i="78"/>
  <c r="AN68" i="78"/>
  <c r="AN69" i="78"/>
  <c r="AN70" i="78"/>
  <c r="AN71" i="78"/>
  <c r="AN72" i="78"/>
  <c r="AN73" i="78"/>
  <c r="AN74" i="78"/>
  <c r="AN75" i="78"/>
  <c r="AN76" i="78"/>
  <c r="AN77" i="78"/>
  <c r="AN78" i="78"/>
  <c r="AN79" i="78"/>
  <c r="AN80" i="78"/>
  <c r="AN81" i="78"/>
  <c r="AN82" i="78"/>
  <c r="AN83" i="78"/>
  <c r="AN84" i="78"/>
  <c r="AN85" i="78"/>
  <c r="AN86" i="78"/>
  <c r="AN87" i="78"/>
  <c r="G10" i="78"/>
  <c r="D35" i="78"/>
  <c r="C44" i="78"/>
  <c r="E34" i="78"/>
  <c r="C45" i="78"/>
  <c r="AF96" i="78"/>
  <c r="I36" i="78"/>
  <c r="I32" i="78"/>
  <c r="I25" i="78"/>
  <c r="I29" i="78"/>
  <c r="I23" i="78"/>
  <c r="I22" i="78"/>
  <c r="I26" i="78"/>
  <c r="I27" i="78"/>
  <c r="I31" i="78"/>
  <c r="AG55" i="78"/>
  <c r="AF55" i="78"/>
  <c r="D39" i="78"/>
  <c r="AU109" i="78"/>
  <c r="AG57" i="78"/>
  <c r="D47" i="78"/>
  <c r="E47" i="78"/>
  <c r="BE8" i="78"/>
  <c r="AG56" i="78"/>
  <c r="P9" i="78"/>
  <c r="AB52" i="78"/>
  <c r="C28" i="78"/>
  <c r="C27" i="78"/>
  <c r="E35" i="78"/>
  <c r="P10" i="78"/>
  <c r="Q10" i="78"/>
  <c r="G11" i="78"/>
  <c r="Y49" i="78"/>
  <c r="AL87" i="78"/>
  <c r="H9" i="78"/>
  <c r="BH9" i="78"/>
  <c r="T12" i="78"/>
  <c r="U11" i="78"/>
  <c r="P11" i="78"/>
  <c r="I38" i="78"/>
  <c r="BJ54" i="78"/>
  <c r="C24" i="78"/>
  <c r="C25" i="78"/>
  <c r="Y50" i="78"/>
  <c r="G12" i="78"/>
  <c r="T13" i="78"/>
  <c r="T14" i="78"/>
  <c r="U12" i="78"/>
  <c r="Q12" i="78"/>
  <c r="AE93" i="78"/>
  <c r="E41" i="78"/>
  <c r="BI8" i="78"/>
  <c r="C30" i="78"/>
  <c r="C31" i="78"/>
  <c r="E42" i="78"/>
  <c r="AE57" i="78"/>
  <c r="AD56" i="78"/>
  <c r="AC56" i="78"/>
  <c r="AE54" i="78"/>
  <c r="AE55" i="78"/>
  <c r="AD55" i="78"/>
  <c r="AE56" i="78"/>
  <c r="R8" i="78"/>
  <c r="E38" i="78"/>
  <c r="J8" i="78"/>
  <c r="Y51" i="78"/>
  <c r="AL89" i="78"/>
  <c r="U13" i="78"/>
  <c r="X15" i="78"/>
  <c r="X47" i="78"/>
  <c r="BI7" i="78"/>
  <c r="Q13" i="78"/>
  <c r="P13" i="78"/>
  <c r="Y52" i="78"/>
  <c r="K10" i="78"/>
  <c r="O10" i="78"/>
  <c r="M10" i="78"/>
  <c r="N11" i="78"/>
  <c r="AS11" i="78"/>
  <c r="H2" i="76"/>
  <c r="I2" i="76"/>
  <c r="G2" i="76"/>
  <c r="I6" i="76"/>
  <c r="H6" i="76"/>
  <c r="G6" i="76"/>
  <c r="H10" i="76"/>
  <c r="I10" i="76"/>
  <c r="G10" i="76"/>
  <c r="H14" i="76"/>
  <c r="I14" i="76"/>
  <c r="AB37" i="75"/>
  <c r="G14" i="76"/>
  <c r="I18" i="76"/>
  <c r="H18" i="76"/>
  <c r="D46" i="75"/>
  <c r="D45" i="75"/>
  <c r="D44" i="75"/>
  <c r="D43" i="75"/>
  <c r="AE37" i="75"/>
  <c r="W37" i="75"/>
  <c r="I19" i="76"/>
  <c r="H19" i="76"/>
  <c r="G19" i="76"/>
  <c r="AD37" i="75"/>
  <c r="AC37" i="75"/>
  <c r="I15" i="76"/>
  <c r="H15" i="76"/>
  <c r="G15" i="76"/>
  <c r="AA38" i="75"/>
  <c r="AA37" i="75"/>
  <c r="I11" i="76"/>
  <c r="H11" i="76"/>
  <c r="G11" i="76"/>
  <c r="Z38" i="75"/>
  <c r="I7" i="76"/>
  <c r="H7" i="76"/>
  <c r="G7" i="76"/>
  <c r="Y37" i="75"/>
  <c r="I3" i="76"/>
  <c r="H3" i="76"/>
  <c r="G3" i="76"/>
  <c r="B3" i="76"/>
  <c r="C3" i="76"/>
  <c r="D3" i="76"/>
  <c r="B5" i="76"/>
  <c r="C5" i="76"/>
  <c r="D5" i="76"/>
  <c r="B7" i="76"/>
  <c r="C7" i="76"/>
  <c r="D7" i="76"/>
  <c r="Y41" i="75"/>
  <c r="B9" i="76"/>
  <c r="C9" i="76"/>
  <c r="D9" i="76"/>
  <c r="Z41" i="75"/>
  <c r="B11" i="76"/>
  <c r="C11" i="76"/>
  <c r="D11" i="76"/>
  <c r="B13" i="76"/>
  <c r="C13" i="76"/>
  <c r="D13" i="76"/>
  <c r="B15" i="76"/>
  <c r="C15" i="76"/>
  <c r="D15" i="76"/>
  <c r="AB41" i="75"/>
  <c r="B17" i="76"/>
  <c r="C17" i="76"/>
  <c r="D17" i="76"/>
  <c r="B19" i="76"/>
  <c r="C19" i="76"/>
  <c r="D19" i="76"/>
  <c r="B21" i="76"/>
  <c r="C21" i="76"/>
  <c r="D21" i="76"/>
  <c r="W41" i="75"/>
  <c r="X38" i="75"/>
  <c r="Y38" i="75"/>
  <c r="AE38" i="75"/>
  <c r="W38" i="75"/>
  <c r="AB38" i="75"/>
  <c r="AC38" i="75"/>
  <c r="AD38" i="75"/>
  <c r="Z37" i="75"/>
  <c r="X37" i="75"/>
  <c r="AG35" i="75"/>
  <c r="W9" i="75"/>
  <c r="AC41" i="75"/>
  <c r="BK114" i="75"/>
  <c r="BJ114" i="75"/>
  <c r="BK113" i="75"/>
  <c r="BJ113" i="75"/>
  <c r="BK112" i="75"/>
  <c r="BJ112" i="75"/>
  <c r="BK111" i="75"/>
  <c r="BJ111" i="75"/>
  <c r="BK110" i="75"/>
  <c r="BJ110" i="75"/>
  <c r="BJ109" i="75"/>
  <c r="O109" i="75"/>
  <c r="AE82" i="75"/>
  <c r="AG79" i="75"/>
  <c r="AG65" i="75"/>
  <c r="AG66" i="75"/>
  <c r="AF65" i="75"/>
  <c r="AF66" i="75"/>
  <c r="AE65" i="75"/>
  <c r="AE66" i="75"/>
  <c r="AD65" i="75"/>
  <c r="AD66" i="75"/>
  <c r="AI77" i="75"/>
  <c r="AH77" i="75"/>
  <c r="AG77" i="75"/>
  <c r="AF77" i="75"/>
  <c r="AE77" i="75"/>
  <c r="AD57" i="75"/>
  <c r="AC57" i="75"/>
  <c r="AE50" i="75"/>
  <c r="AC49" i="75"/>
  <c r="AC48" i="75"/>
  <c r="X43" i="75"/>
  <c r="AE41" i="75"/>
  <c r="AD41" i="75"/>
  <c r="AA41" i="75"/>
  <c r="X41" i="75"/>
  <c r="AE40" i="75"/>
  <c r="AD40" i="75"/>
  <c r="AG36" i="75"/>
  <c r="AB34" i="75"/>
  <c r="C15" i="75"/>
  <c r="AC32" i="75"/>
  <c r="AC31" i="75"/>
  <c r="AZ20" i="75"/>
  <c r="AZ19" i="75"/>
  <c r="AZ18" i="75"/>
  <c r="AZ17" i="75"/>
  <c r="D17" i="75"/>
  <c r="D18" i="75"/>
  <c r="D31" i="75"/>
  <c r="AZ16" i="75"/>
  <c r="AZ15" i="75"/>
  <c r="AD15" i="75"/>
  <c r="AZ14" i="75"/>
  <c r="D14" i="75"/>
  <c r="D8" i="75"/>
  <c r="D26" i="75"/>
  <c r="D25" i="75"/>
  <c r="D23" i="75"/>
  <c r="AZ13" i="75"/>
  <c r="AD13" i="75"/>
  <c r="I15" i="75"/>
  <c r="AZ12" i="75"/>
  <c r="AD12" i="75"/>
  <c r="D12" i="75"/>
  <c r="AZ11" i="75"/>
  <c r="D11" i="75"/>
  <c r="AZ10" i="75"/>
  <c r="AD10" i="75"/>
  <c r="BH9" i="75"/>
  <c r="AZ9" i="75"/>
  <c r="AP9" i="75"/>
  <c r="AP10" i="75"/>
  <c r="AP11" i="75"/>
  <c r="AP12" i="75"/>
  <c r="AP13" i="75"/>
  <c r="AD9" i="75"/>
  <c r="U9" i="75"/>
  <c r="U10" i="75"/>
  <c r="V10" i="75"/>
  <c r="R10" i="75"/>
  <c r="G9" i="75"/>
  <c r="AQ8" i="75"/>
  <c r="AN46" i="75"/>
  <c r="AD8" i="75"/>
  <c r="H8" i="75"/>
  <c r="AA7" i="75"/>
  <c r="Z7" i="75"/>
  <c r="Y7" i="75"/>
  <c r="X7" i="75"/>
  <c r="AA6" i="75"/>
  <c r="Z6" i="75"/>
  <c r="Y6" i="75"/>
  <c r="X6" i="75"/>
  <c r="AA5" i="75"/>
  <c r="Z5" i="75"/>
  <c r="Y5" i="75"/>
  <c r="X5" i="75"/>
  <c r="AA4" i="75"/>
  <c r="Z4" i="75"/>
  <c r="Y4" i="75"/>
  <c r="X4" i="75"/>
  <c r="AP3" i="75"/>
  <c r="G3" i="75"/>
  <c r="AL1" i="75"/>
  <c r="AM47" i="75"/>
  <c r="D27" i="75"/>
  <c r="I19" i="75"/>
  <c r="AN47" i="75"/>
  <c r="AN48" i="75"/>
  <c r="AN49" i="75"/>
  <c r="AN50" i="75"/>
  <c r="AN51" i="75"/>
  <c r="AN52" i="75"/>
  <c r="AN53" i="75"/>
  <c r="AN54" i="75"/>
  <c r="AN55" i="75"/>
  <c r="AN56" i="75"/>
  <c r="AN57" i="75"/>
  <c r="AN58" i="75"/>
  <c r="AN59" i="75"/>
  <c r="AN60" i="75"/>
  <c r="AN61" i="75"/>
  <c r="AN62" i="75"/>
  <c r="AN63" i="75"/>
  <c r="AN64" i="75"/>
  <c r="AN65" i="75"/>
  <c r="AN66" i="75"/>
  <c r="AN67" i="75"/>
  <c r="AN68" i="75"/>
  <c r="AN69" i="75"/>
  <c r="AN70" i="75"/>
  <c r="AN71" i="75"/>
  <c r="AN72" i="75"/>
  <c r="AN73" i="75"/>
  <c r="AN74" i="75"/>
  <c r="AN75" i="75"/>
  <c r="AN76" i="75"/>
  <c r="AN77" i="75"/>
  <c r="AN78" i="75"/>
  <c r="AN79" i="75"/>
  <c r="AN80" i="75"/>
  <c r="AN81" i="75"/>
  <c r="AN82" i="75"/>
  <c r="AN83" i="75"/>
  <c r="AN84" i="75"/>
  <c r="AN85" i="75"/>
  <c r="AN86" i="75"/>
  <c r="AN87" i="75"/>
  <c r="V9" i="75"/>
  <c r="R9" i="75"/>
  <c r="U11" i="75"/>
  <c r="U12" i="75"/>
  <c r="V11" i="75"/>
  <c r="R11" i="75"/>
  <c r="A23" i="75"/>
  <c r="AE10" i="75"/>
  <c r="I18" i="75"/>
  <c r="AB49" i="75"/>
  <c r="AE8" i="75"/>
  <c r="AB48" i="75"/>
  <c r="C26" i="75"/>
  <c r="AL80" i="75"/>
  <c r="AL77" i="75"/>
  <c r="AL59" i="75"/>
  <c r="AL60" i="75"/>
  <c r="AL70" i="75"/>
  <c r="AD54" i="75"/>
  <c r="Y43" i="75"/>
  <c r="Y42" i="75"/>
  <c r="BJ8" i="75"/>
  <c r="BJ7" i="75"/>
  <c r="BH10" i="75"/>
  <c r="BI9" i="75"/>
  <c r="AE9" i="75"/>
  <c r="AE15" i="75"/>
  <c r="I16" i="75"/>
  <c r="I20" i="75"/>
  <c r="AE12" i="75"/>
  <c r="I17" i="75"/>
  <c r="A24" i="75"/>
  <c r="C25" i="75"/>
  <c r="C28" i="75"/>
  <c r="D28" i="75"/>
  <c r="D29" i="75"/>
  <c r="E27" i="75"/>
  <c r="AL52" i="75"/>
  <c r="AL63" i="75"/>
  <c r="AL53" i="75"/>
  <c r="AL74" i="75"/>
  <c r="AL55" i="75"/>
  <c r="BA9" i="75"/>
  <c r="Y44" i="75"/>
  <c r="BH11" i="75"/>
  <c r="BI10" i="75"/>
  <c r="AQ9" i="75"/>
  <c r="AQ12" i="75"/>
  <c r="AQ11" i="75"/>
  <c r="AQ10" i="75"/>
  <c r="E25" i="75"/>
  <c r="C23" i="75"/>
  <c r="C17" i="75"/>
  <c r="Q9" i="75"/>
  <c r="BK8" i="75"/>
  <c r="E28" i="75"/>
  <c r="C29" i="75"/>
  <c r="E29" i="75"/>
  <c r="Y45" i="75"/>
  <c r="AL88" i="75"/>
  <c r="BH12" i="75"/>
  <c r="BI11" i="75"/>
  <c r="BA10" i="75"/>
  <c r="AD56" i="75"/>
  <c r="Q11" i="75"/>
  <c r="S8" i="75"/>
  <c r="K8" i="75"/>
  <c r="BK7" i="75"/>
  <c r="W10" i="75"/>
  <c r="Y46" i="75"/>
  <c r="BA11" i="75"/>
  <c r="X10" i="75"/>
  <c r="AG47" i="75"/>
  <c r="AC56" i="75"/>
  <c r="X42" i="75"/>
  <c r="A24" i="59"/>
  <c r="A23" i="59"/>
  <c r="A21" i="59"/>
  <c r="BS7" i="59"/>
  <c r="BS8" i="59"/>
  <c r="BS9" i="59"/>
  <c r="BS10" i="59"/>
  <c r="BS11" i="59"/>
  <c r="BS12" i="59"/>
  <c r="BS13" i="59"/>
  <c r="BS14" i="59"/>
  <c r="BS15" i="59"/>
  <c r="BS16" i="59"/>
  <c r="BS17" i="59"/>
  <c r="BS18" i="59"/>
  <c r="BR6" i="59"/>
  <c r="BQ7" i="59"/>
  <c r="BQ8" i="59"/>
  <c r="BR7" i="59"/>
  <c r="AE65" i="59"/>
  <c r="AD65" i="59"/>
  <c r="D14" i="59"/>
  <c r="T29" i="59"/>
  <c r="T38" i="59"/>
  <c r="U21" i="59"/>
  <c r="V21" i="59"/>
  <c r="W21" i="59"/>
  <c r="X21" i="59"/>
  <c r="U18" i="59"/>
  <c r="V18" i="59"/>
  <c r="W18" i="59"/>
  <c r="X18" i="59"/>
  <c r="U19" i="59"/>
  <c r="V19" i="59"/>
  <c r="W19" i="59"/>
  <c r="X19" i="59"/>
  <c r="U20" i="59"/>
  <c r="V20" i="59"/>
  <c r="W20" i="59"/>
  <c r="X20" i="59"/>
  <c r="E12" i="59"/>
  <c r="AA14" i="59"/>
  <c r="U7" i="59"/>
  <c r="V7" i="59"/>
  <c r="W7" i="59"/>
  <c r="X7" i="59"/>
  <c r="U8" i="59"/>
  <c r="V8" i="59"/>
  <c r="W8" i="59"/>
  <c r="X8" i="59"/>
  <c r="U9" i="59"/>
  <c r="V9" i="59"/>
  <c r="W9" i="59"/>
  <c r="X9" i="59"/>
  <c r="U10" i="59"/>
  <c r="V10" i="59"/>
  <c r="W10" i="59"/>
  <c r="X10" i="59"/>
  <c r="U11" i="59"/>
  <c r="U12" i="59"/>
  <c r="V12" i="59"/>
  <c r="W12" i="59"/>
  <c r="X12" i="59"/>
  <c r="U13" i="59"/>
  <c r="V13" i="59"/>
  <c r="W13" i="59"/>
  <c r="X13" i="59"/>
  <c r="U14" i="59"/>
  <c r="V14" i="59"/>
  <c r="W14" i="59"/>
  <c r="X14" i="59"/>
  <c r="U15" i="59"/>
  <c r="V15" i="59"/>
  <c r="W15" i="59"/>
  <c r="X15" i="59"/>
  <c r="U16" i="59"/>
  <c r="V16" i="59"/>
  <c r="W16" i="59"/>
  <c r="X16" i="59"/>
  <c r="U17" i="59"/>
  <c r="V17" i="59"/>
  <c r="W17" i="59"/>
  <c r="X17" i="59"/>
  <c r="AB14" i="59"/>
  <c r="AB15" i="59"/>
  <c r="AA15" i="59"/>
  <c r="Q2" i="59"/>
  <c r="K2" i="59"/>
  <c r="U6" i="59"/>
  <c r="V6" i="59"/>
  <c r="W6" i="59"/>
  <c r="X6" i="59"/>
  <c r="U5" i="59"/>
  <c r="V5" i="59"/>
  <c r="W5" i="59"/>
  <c r="X5" i="59"/>
  <c r="D15" i="59"/>
  <c r="C20" i="59"/>
  <c r="D20" i="59"/>
  <c r="AB65" i="59"/>
  <c r="E7" i="59"/>
  <c r="AM3" i="59"/>
  <c r="G3" i="59"/>
  <c r="AC65" i="59"/>
  <c r="C26" i="59"/>
  <c r="C25" i="59"/>
  <c r="D26" i="59"/>
  <c r="D25" i="59"/>
  <c r="D28" i="59"/>
  <c r="D29" i="59"/>
  <c r="Y52" i="59"/>
  <c r="Y53" i="59"/>
  <c r="U55" i="59"/>
  <c r="AJ47" i="59"/>
  <c r="F6" i="66"/>
  <c r="C18" i="66"/>
  <c r="I7" i="66"/>
  <c r="C20" i="66"/>
  <c r="W12" i="66"/>
  <c r="J7" i="66"/>
  <c r="N6" i="66"/>
  <c r="D22" i="59"/>
  <c r="AI1" i="59"/>
  <c r="R9" i="59"/>
  <c r="BC9" i="59"/>
  <c r="AM9" i="59"/>
  <c r="AM10" i="59"/>
  <c r="AM11" i="59"/>
  <c r="AM12" i="59"/>
  <c r="AM13" i="59"/>
  <c r="AM14" i="59"/>
  <c r="AM15" i="59"/>
  <c r="AM16" i="59"/>
  <c r="AM17" i="59"/>
  <c r="AM18" i="59"/>
  <c r="AM19" i="59"/>
  <c r="AM20" i="59"/>
  <c r="AM21" i="59"/>
  <c r="AM22" i="59"/>
  <c r="AM23" i="59"/>
  <c r="Y54" i="61"/>
  <c r="Z54" i="61"/>
  <c r="AA54" i="61"/>
  <c r="X54" i="61"/>
  <c r="C23" i="66"/>
  <c r="W13" i="66"/>
  <c r="F12" i="66"/>
  <c r="U12" i="66"/>
  <c r="G11" i="66"/>
  <c r="AA11" i="66"/>
  <c r="L11" i="66"/>
  <c r="M6" i="66"/>
  <c r="T5" i="66"/>
  <c r="S5" i="66"/>
  <c r="R5" i="66"/>
  <c r="Q5" i="66"/>
  <c r="S4" i="66"/>
  <c r="R4" i="66"/>
  <c r="Q4" i="66"/>
  <c r="M11" i="66"/>
  <c r="V3" i="66"/>
  <c r="N3" i="66"/>
  <c r="G12" i="66"/>
  <c r="N12" i="66"/>
  <c r="B6" i="65"/>
  <c r="B5" i="65"/>
  <c r="C37" i="65"/>
  <c r="B3" i="65"/>
  <c r="B21" i="65" s="1"/>
  <c r="C15" i="65"/>
  <c r="AD47" i="59"/>
  <c r="Z48" i="59"/>
  <c r="Z49" i="59"/>
  <c r="AQ1" i="61"/>
  <c r="AA57" i="59"/>
  <c r="AN8" i="59"/>
  <c r="AB50" i="59"/>
  <c r="K4" i="63"/>
  <c r="K3" i="63"/>
  <c r="K2" i="63"/>
  <c r="B8" i="63"/>
  <c r="D35" i="59"/>
  <c r="C35" i="59"/>
  <c r="AK47" i="59"/>
  <c r="AK48" i="59"/>
  <c r="AK49" i="59"/>
  <c r="AK50" i="59"/>
  <c r="AK51" i="59"/>
  <c r="AK52" i="59"/>
  <c r="AK53" i="59"/>
  <c r="AK54" i="59"/>
  <c r="AK55" i="59"/>
  <c r="AK56" i="59"/>
  <c r="AK57" i="59"/>
  <c r="AK58" i="59"/>
  <c r="AK59" i="59"/>
  <c r="AK60" i="59"/>
  <c r="AK61" i="59"/>
  <c r="AK62" i="59"/>
  <c r="AK63" i="59"/>
  <c r="AK64" i="59"/>
  <c r="AK65" i="59"/>
  <c r="AK66" i="59"/>
  <c r="AK67" i="59"/>
  <c r="AK68" i="59"/>
  <c r="AK69" i="59"/>
  <c r="AK70" i="59"/>
  <c r="AK71" i="59"/>
  <c r="AK72" i="59"/>
  <c r="AK73" i="59"/>
  <c r="AK74" i="59"/>
  <c r="AK75" i="59"/>
  <c r="AK76" i="59"/>
  <c r="AK77" i="59"/>
  <c r="AK78" i="59"/>
  <c r="AK79" i="59"/>
  <c r="AK80" i="59"/>
  <c r="AK81" i="59"/>
  <c r="AK82" i="59"/>
  <c r="AK83" i="59"/>
  <c r="AK84" i="59"/>
  <c r="AK85" i="59"/>
  <c r="AK86" i="59"/>
  <c r="AK87" i="59"/>
  <c r="AK46" i="59"/>
  <c r="AO1" i="61"/>
  <c r="V54" i="61"/>
  <c r="W54" i="61"/>
  <c r="C17" i="61"/>
  <c r="Y38" i="61"/>
  <c r="Y37" i="61"/>
  <c r="AC36" i="61"/>
  <c r="C24" i="61"/>
  <c r="D24" i="61"/>
  <c r="D14" i="61"/>
  <c r="Q7" i="61"/>
  <c r="Q8" i="61"/>
  <c r="Q9" i="61"/>
  <c r="Q10" i="61"/>
  <c r="Q11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Q24" i="61"/>
  <c r="Q25" i="61"/>
  <c r="Q26" i="61"/>
  <c r="Q27" i="61"/>
  <c r="Q28" i="61"/>
  <c r="Q29" i="61"/>
  <c r="Q30" i="61"/>
  <c r="Q31" i="61"/>
  <c r="Q32" i="61"/>
  <c r="Q33" i="61"/>
  <c r="Q34" i="61"/>
  <c r="Q35" i="61"/>
  <c r="Q36" i="61"/>
  <c r="Q37" i="61"/>
  <c r="Q38" i="61"/>
  <c r="Q39" i="61"/>
  <c r="Q40" i="61"/>
  <c r="Q41" i="61"/>
  <c r="Q42" i="61"/>
  <c r="Q43" i="61"/>
  <c r="Q44" i="61"/>
  <c r="Q45" i="61"/>
  <c r="Q46" i="61"/>
  <c r="Q47" i="61"/>
  <c r="Q48" i="61"/>
  <c r="Q49" i="61"/>
  <c r="Q50" i="61"/>
  <c r="Q51" i="61"/>
  <c r="Q52" i="61"/>
  <c r="Q53" i="61"/>
  <c r="Q54" i="61"/>
  <c r="Q55" i="61"/>
  <c r="Q56" i="61"/>
  <c r="Q57" i="61"/>
  <c r="Q58" i="61"/>
  <c r="Q59" i="61"/>
  <c r="Q60" i="61"/>
  <c r="Q61" i="61"/>
  <c r="Q62" i="61"/>
  <c r="Q63" i="61"/>
  <c r="Q64" i="61"/>
  <c r="Q65" i="61"/>
  <c r="Q66" i="61"/>
  <c r="Q67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C7" i="61"/>
  <c r="Y46" i="61" s="1"/>
  <c r="G9" i="59"/>
  <c r="G10" i="59"/>
  <c r="G11" i="59"/>
  <c r="D23" i="61"/>
  <c r="B25" i="61"/>
  <c r="BC10" i="59"/>
  <c r="BC11" i="59"/>
  <c r="BC12" i="59"/>
  <c r="BC13" i="59"/>
  <c r="BC14" i="59"/>
  <c r="BC15" i="59"/>
  <c r="BC16" i="59"/>
  <c r="BC17" i="59"/>
  <c r="BC18" i="59"/>
  <c r="BC25" i="59"/>
  <c r="BC26" i="59"/>
  <c r="BC27" i="59"/>
  <c r="BC28" i="59"/>
  <c r="BC29" i="59"/>
  <c r="BC30" i="59"/>
  <c r="BC31" i="59"/>
  <c r="BC32" i="59"/>
  <c r="BC33" i="59"/>
  <c r="BC34" i="59"/>
  <c r="BC35" i="59"/>
  <c r="BC36" i="59"/>
  <c r="BC37" i="59"/>
  <c r="BC38" i="59"/>
  <c r="BC39" i="59"/>
  <c r="BC40" i="59"/>
  <c r="BC41" i="59"/>
  <c r="BC42" i="59"/>
  <c r="BC43" i="59"/>
  <c r="BC44" i="59"/>
  <c r="BC45" i="59"/>
  <c r="BC46" i="59"/>
  <c r="BC47" i="59"/>
  <c r="BC48" i="59"/>
  <c r="BC49" i="59"/>
  <c r="BC50" i="59"/>
  <c r="BC51" i="59"/>
  <c r="BC52" i="59"/>
  <c r="BC53" i="59"/>
  <c r="BC54" i="59"/>
  <c r="BC55" i="59"/>
  <c r="BC56" i="59"/>
  <c r="BC57" i="59"/>
  <c r="BC58" i="59"/>
  <c r="BC59" i="59"/>
  <c r="BC60" i="59"/>
  <c r="BC61" i="59"/>
  <c r="BC62" i="59"/>
  <c r="BC63" i="59"/>
  <c r="BC64" i="59"/>
  <c r="BC65" i="59"/>
  <c r="BC66" i="59"/>
  <c r="BC67" i="59"/>
  <c r="BC68" i="59"/>
  <c r="BC69" i="59"/>
  <c r="BC70" i="59"/>
  <c r="BC71" i="59"/>
  <c r="BC72" i="59"/>
  <c r="BC73" i="59"/>
  <c r="BC74" i="59"/>
  <c r="BC75" i="59"/>
  <c r="BC76" i="59"/>
  <c r="BC77" i="59"/>
  <c r="BC78" i="59"/>
  <c r="BC79" i="59"/>
  <c r="BC80" i="59"/>
  <c r="BC81" i="59"/>
  <c r="BC82" i="59"/>
  <c r="R10" i="59"/>
  <c r="R11" i="59"/>
  <c r="R12" i="59"/>
  <c r="R13" i="59"/>
  <c r="R14" i="59"/>
  <c r="R15" i="59"/>
  <c r="R16" i="59"/>
  <c r="R17" i="59"/>
  <c r="R18" i="59"/>
  <c r="R19" i="59"/>
  <c r="R20" i="59"/>
  <c r="X41" i="61"/>
  <c r="D18" i="61"/>
  <c r="H8" i="59"/>
  <c r="BE8" i="59"/>
  <c r="BE7" i="59"/>
  <c r="R21" i="59"/>
  <c r="R22" i="59"/>
  <c r="R23" i="59"/>
  <c r="R24" i="59"/>
  <c r="R25" i="59"/>
  <c r="R26" i="59"/>
  <c r="R27" i="59"/>
  <c r="R28" i="59"/>
  <c r="R29" i="59"/>
  <c r="R30" i="59"/>
  <c r="R31" i="59"/>
  <c r="R32" i="59"/>
  <c r="R33" i="59"/>
  <c r="R34" i="59"/>
  <c r="R35" i="59"/>
  <c r="R36" i="59"/>
  <c r="R37" i="59"/>
  <c r="R38" i="59"/>
  <c r="R39" i="59"/>
  <c r="R40" i="59"/>
  <c r="R41" i="59"/>
  <c r="R42" i="59"/>
  <c r="R43" i="59"/>
  <c r="R44" i="59"/>
  <c r="R45" i="59"/>
  <c r="R46" i="59"/>
  <c r="R47" i="59"/>
  <c r="R48" i="59"/>
  <c r="R49" i="59"/>
  <c r="R50" i="59"/>
  <c r="R51" i="59"/>
  <c r="R52" i="59"/>
  <c r="R53" i="59"/>
  <c r="R54" i="59"/>
  <c r="R55" i="59"/>
  <c r="R56" i="59"/>
  <c r="R57" i="59"/>
  <c r="R58" i="59"/>
  <c r="R59" i="59"/>
  <c r="R60" i="59"/>
  <c r="R61" i="59"/>
  <c r="R62" i="59"/>
  <c r="R63" i="59"/>
  <c r="R64" i="59"/>
  <c r="R65" i="59"/>
  <c r="R66" i="59"/>
  <c r="R67" i="59"/>
  <c r="R68" i="59"/>
  <c r="R69" i="59"/>
  <c r="R70" i="59"/>
  <c r="R71" i="59"/>
  <c r="R72" i="59"/>
  <c r="R73" i="59"/>
  <c r="R74" i="59"/>
  <c r="R75" i="59"/>
  <c r="R76" i="59"/>
  <c r="R77" i="59"/>
  <c r="R78" i="59"/>
  <c r="R79" i="59"/>
  <c r="R80" i="59"/>
  <c r="R81" i="59"/>
  <c r="R82" i="59"/>
  <c r="R83" i="59"/>
  <c r="R84" i="59"/>
  <c r="R85" i="59"/>
  <c r="R86" i="59"/>
  <c r="R87" i="59"/>
  <c r="R88" i="59"/>
  <c r="R89" i="59"/>
  <c r="R90" i="59"/>
  <c r="R91" i="59"/>
  <c r="R92" i="59"/>
  <c r="R93" i="59"/>
  <c r="R94" i="59"/>
  <c r="R95" i="59"/>
  <c r="R96" i="59"/>
  <c r="R97" i="59"/>
  <c r="R98" i="59"/>
  <c r="R99" i="59"/>
  <c r="R100" i="59"/>
  <c r="R101" i="59"/>
  <c r="R102" i="59"/>
  <c r="R103" i="59"/>
  <c r="R104" i="59"/>
  <c r="R105" i="59"/>
  <c r="R106" i="59"/>
  <c r="R107" i="59"/>
  <c r="R108" i="59"/>
  <c r="V54" i="59"/>
  <c r="V55" i="59"/>
  <c r="G12" i="59"/>
  <c r="G13" i="59"/>
  <c r="G14" i="59"/>
  <c r="G15" i="59"/>
  <c r="G16" i="59"/>
  <c r="AA54" i="59"/>
  <c r="AN19" i="59"/>
  <c r="V56" i="59"/>
  <c r="AN17" i="59"/>
  <c r="AN9" i="59"/>
  <c r="V57" i="59"/>
  <c r="V58" i="59"/>
  <c r="V59" i="59"/>
  <c r="V60" i="59"/>
  <c r="V61" i="59"/>
  <c r="G17" i="59"/>
  <c r="G18" i="59"/>
  <c r="Z57" i="59"/>
  <c r="C36" i="59"/>
  <c r="AC57" i="59"/>
  <c r="D36" i="59"/>
  <c r="E36" i="59"/>
  <c r="D16" i="59"/>
  <c r="D23" i="59"/>
  <c r="AO8" i="59"/>
  <c r="E14" i="59"/>
  <c r="AI75" i="59"/>
  <c r="AI78" i="59"/>
  <c r="AI80" i="59"/>
  <c r="AI57" i="59"/>
  <c r="AI56" i="59"/>
  <c r="AI53" i="59"/>
  <c r="AI79" i="59"/>
  <c r="AI74" i="59"/>
  <c r="AI68" i="59"/>
  <c r="AI76" i="59"/>
  <c r="AI69" i="59"/>
  <c r="AI73" i="59"/>
  <c r="AI59" i="59"/>
  <c r="AI82" i="59"/>
  <c r="AI58" i="59"/>
  <c r="AI83" i="59"/>
  <c r="AI66" i="59"/>
  <c r="AI63" i="59"/>
  <c r="AI81" i="59"/>
  <c r="AI55" i="59"/>
  <c r="AI67" i="59"/>
  <c r="AI84" i="59"/>
  <c r="AI65" i="59"/>
  <c r="AI77" i="59"/>
  <c r="AI64" i="59"/>
  <c r="AI72" i="59"/>
  <c r="AI52" i="59"/>
  <c r="AI50" i="59"/>
  <c r="AI49" i="59"/>
  <c r="AI51" i="59"/>
  <c r="AI48" i="59"/>
  <c r="AI86" i="59"/>
  <c r="AI85" i="59"/>
  <c r="AI87" i="59"/>
  <c r="AI90" i="59"/>
  <c r="AI91" i="59"/>
  <c r="AI60" i="59"/>
  <c r="AD56" i="59"/>
  <c r="AJ46" i="59"/>
  <c r="AD54" i="59"/>
  <c r="D17" i="59"/>
  <c r="D18" i="59"/>
  <c r="Y40" i="75"/>
  <c r="Z40" i="75"/>
  <c r="AC40" i="75"/>
  <c r="AB40" i="75"/>
  <c r="AA40" i="75"/>
  <c r="X40" i="75"/>
  <c r="AH35" i="75"/>
  <c r="AF35" i="75"/>
  <c r="AL35" i="75"/>
  <c r="AQ75" i="59"/>
  <c r="AF10" i="94"/>
  <c r="AF12" i="94"/>
  <c r="AF8" i="94"/>
  <c r="C31" i="65"/>
  <c r="C17" i="65"/>
  <c r="C34" i="65"/>
  <c r="C28" i="65"/>
  <c r="C27" i="65"/>
  <c r="C26" i="65"/>
  <c r="C20" i="65"/>
  <c r="C35" i="65"/>
  <c r="C23" i="65"/>
  <c r="B22" i="65"/>
  <c r="C13" i="65"/>
  <c r="C14" i="65"/>
  <c r="C32" i="65"/>
  <c r="C33" i="65"/>
  <c r="C21" i="65"/>
  <c r="C38" i="65"/>
  <c r="C10" i="65"/>
  <c r="C24" i="65"/>
  <c r="B26" i="65"/>
  <c r="B25" i="65"/>
  <c r="C9" i="65"/>
  <c r="C22" i="65"/>
  <c r="C36" i="65"/>
  <c r="C8" i="65"/>
  <c r="BI10" i="94"/>
  <c r="BJ10" i="94" s="1"/>
  <c r="BB10" i="94" s="1"/>
  <c r="Y144" i="100"/>
  <c r="X144" i="100"/>
  <c r="BK115" i="100"/>
  <c r="C34" i="100"/>
  <c r="C35" i="100"/>
  <c r="E33" i="100"/>
  <c r="BB8" i="59"/>
  <c r="AC56" i="59"/>
  <c r="AD57" i="59"/>
  <c r="D34" i="59"/>
  <c r="AD55" i="59"/>
  <c r="AC55" i="59"/>
  <c r="D24" i="59"/>
  <c r="AK88" i="59"/>
  <c r="AK89" i="59"/>
  <c r="AK90" i="59"/>
  <c r="AK91" i="59"/>
  <c r="AK92" i="59"/>
  <c r="AK93" i="59"/>
  <c r="AK94" i="59"/>
  <c r="AK95" i="59"/>
  <c r="AK96" i="59"/>
  <c r="AK97" i="59"/>
  <c r="AK98" i="59"/>
  <c r="AK99" i="59"/>
  <c r="AK100" i="59"/>
  <c r="AK101" i="59"/>
  <c r="AK102" i="59"/>
  <c r="AK103" i="59"/>
  <c r="AK104" i="59"/>
  <c r="AK105" i="59"/>
  <c r="AK106" i="59"/>
  <c r="AK107" i="59"/>
  <c r="AK108" i="59"/>
  <c r="AK109" i="59"/>
  <c r="AK110" i="59"/>
  <c r="AK111" i="59"/>
  <c r="AK112" i="59"/>
  <c r="AK113" i="59"/>
  <c r="AK114" i="59"/>
  <c r="AK115" i="59"/>
  <c r="AK116" i="59"/>
  <c r="AK117" i="59"/>
  <c r="AK118" i="59"/>
  <c r="AK119" i="59"/>
  <c r="AK120" i="59"/>
  <c r="AK121" i="59"/>
  <c r="AK122" i="59"/>
  <c r="AK123" i="59"/>
  <c r="AK124" i="59"/>
  <c r="AK125" i="59"/>
  <c r="AK126" i="59"/>
  <c r="AK127" i="59"/>
  <c r="AK128" i="59"/>
  <c r="AK129" i="59"/>
  <c r="AK130" i="59"/>
  <c r="AK131" i="59"/>
  <c r="AK132" i="59"/>
  <c r="AK133" i="59"/>
  <c r="AK134" i="59"/>
  <c r="AK135" i="59"/>
  <c r="AK136" i="59"/>
  <c r="AK137" i="59"/>
  <c r="AK138" i="59"/>
  <c r="AK139" i="59"/>
  <c r="AK140" i="59"/>
  <c r="AK141" i="59"/>
  <c r="AK142" i="59"/>
  <c r="AK143" i="59"/>
  <c r="AK144" i="59"/>
  <c r="AK145" i="59"/>
  <c r="AK146" i="59"/>
  <c r="AK147" i="59"/>
  <c r="AM24" i="59"/>
  <c r="AM25" i="59"/>
  <c r="AM26" i="59"/>
  <c r="AM27" i="59"/>
  <c r="AM28" i="59"/>
  <c r="AM29" i="59"/>
  <c r="AM30" i="59"/>
  <c r="AM31" i="59"/>
  <c r="AM32" i="59"/>
  <c r="AM33" i="59"/>
  <c r="AM34" i="59"/>
  <c r="AM35" i="59"/>
  <c r="AM36" i="59"/>
  <c r="AM37" i="59"/>
  <c r="AM38" i="59"/>
  <c r="AM39" i="59"/>
  <c r="AM40" i="59"/>
  <c r="AN23" i="59"/>
  <c r="AN118" i="75"/>
  <c r="AN119" i="75"/>
  <c r="AN120" i="75"/>
  <c r="AN121" i="75"/>
  <c r="AN122" i="75"/>
  <c r="AN123" i="75"/>
  <c r="AN124" i="75"/>
  <c r="AN125" i="75"/>
  <c r="AN126" i="75"/>
  <c r="AN127" i="75"/>
  <c r="AN128" i="75"/>
  <c r="AN129" i="75"/>
  <c r="AN130" i="75"/>
  <c r="AN131" i="75"/>
  <c r="AN132" i="75"/>
  <c r="AN133" i="75"/>
  <c r="AN134" i="75"/>
  <c r="AN135" i="75"/>
  <c r="AN136" i="75"/>
  <c r="AN137" i="75"/>
  <c r="AN138" i="75"/>
  <c r="AN139" i="75"/>
  <c r="AN140" i="75"/>
  <c r="AN141" i="75"/>
  <c r="AN142" i="75"/>
  <c r="AN143" i="75"/>
  <c r="AN144" i="75"/>
  <c r="AN145" i="75"/>
  <c r="AN146" i="75"/>
  <c r="AN147" i="75"/>
  <c r="AN88" i="75"/>
  <c r="AN89" i="75"/>
  <c r="AN90" i="75"/>
  <c r="AN91" i="75"/>
  <c r="AN92" i="75"/>
  <c r="AN93" i="75"/>
  <c r="AN94" i="75"/>
  <c r="AN95" i="75"/>
  <c r="AN96" i="75"/>
  <c r="AN97" i="75"/>
  <c r="AN98" i="75"/>
  <c r="AN99" i="75"/>
  <c r="AN100" i="75"/>
  <c r="AN101" i="75"/>
  <c r="AN102" i="75"/>
  <c r="AN103" i="75"/>
  <c r="AN104" i="75"/>
  <c r="AN105" i="75"/>
  <c r="AN106" i="75"/>
  <c r="AN107" i="75"/>
  <c r="AN108" i="75"/>
  <c r="AN109" i="75"/>
  <c r="AN110" i="75"/>
  <c r="AN111" i="75"/>
  <c r="AN112" i="75"/>
  <c r="AN113" i="75"/>
  <c r="AN114" i="75"/>
  <c r="AN115" i="75"/>
  <c r="AN116" i="75"/>
  <c r="AN117" i="75"/>
  <c r="BC83" i="59"/>
  <c r="AQ76" i="59"/>
  <c r="J67" i="61"/>
  <c r="Q68" i="61"/>
  <c r="BF82" i="78"/>
  <c r="AT75" i="78"/>
  <c r="V62" i="59"/>
  <c r="AI92" i="59"/>
  <c r="W14" i="66"/>
  <c r="C19" i="66"/>
  <c r="N5" i="66"/>
  <c r="V11" i="66"/>
  <c r="D23" i="66"/>
  <c r="J5" i="66"/>
  <c r="H11" i="66"/>
  <c r="Z11" i="66"/>
  <c r="N4" i="66"/>
  <c r="V4" i="66"/>
  <c r="V5" i="66"/>
  <c r="C28" i="59"/>
  <c r="U38" i="59"/>
  <c r="U29" i="59"/>
  <c r="V11" i="59"/>
  <c r="C15" i="59"/>
  <c r="Z31" i="59"/>
  <c r="Z32" i="59"/>
  <c r="AQ13" i="75"/>
  <c r="AP14" i="75"/>
  <c r="D13" i="75"/>
  <c r="AM36" i="75"/>
  <c r="AM37" i="75"/>
  <c r="AM38" i="75"/>
  <c r="AM39" i="75"/>
  <c r="AI36" i="75"/>
  <c r="D24" i="75"/>
  <c r="AL36" i="75"/>
  <c r="AL37" i="75"/>
  <c r="AL38" i="75"/>
  <c r="AL39" i="75"/>
  <c r="BG8" i="75"/>
  <c r="AT8" i="75"/>
  <c r="AM46" i="75"/>
  <c r="E23" i="75"/>
  <c r="AN118" i="78"/>
  <c r="AN119" i="78"/>
  <c r="AN120" i="78"/>
  <c r="AN121" i="78"/>
  <c r="AN122" i="78"/>
  <c r="AN123" i="78"/>
  <c r="AN124" i="78"/>
  <c r="AN125" i="78"/>
  <c r="AN126" i="78"/>
  <c r="AN127" i="78"/>
  <c r="AN128" i="78"/>
  <c r="AN129" i="78"/>
  <c r="AN130" i="78"/>
  <c r="AN131" i="78"/>
  <c r="AN132" i="78"/>
  <c r="AN133" i="78"/>
  <c r="AN134" i="78"/>
  <c r="AN135" i="78"/>
  <c r="AN136" i="78"/>
  <c r="AN137" i="78"/>
  <c r="AN138" i="78"/>
  <c r="AN139" i="78"/>
  <c r="AN140" i="78"/>
  <c r="AN141" i="78"/>
  <c r="AN142" i="78"/>
  <c r="AN143" i="78"/>
  <c r="AN144" i="78"/>
  <c r="AN145" i="78"/>
  <c r="AN146" i="78"/>
  <c r="AN147" i="78"/>
  <c r="AN88" i="78"/>
  <c r="AN89" i="78"/>
  <c r="AN90" i="78"/>
  <c r="AN91" i="78"/>
  <c r="AN92" i="78"/>
  <c r="AN93" i="78"/>
  <c r="AN94" i="78"/>
  <c r="AN95" i="78"/>
  <c r="AN96" i="78"/>
  <c r="AN97" i="78"/>
  <c r="AN98" i="78"/>
  <c r="AN99" i="78"/>
  <c r="AN100" i="78"/>
  <c r="AN101" i="78"/>
  <c r="AN102" i="78"/>
  <c r="AN103" i="78"/>
  <c r="AN104" i="78"/>
  <c r="AN105" i="78"/>
  <c r="AN106" i="78"/>
  <c r="AN107" i="78"/>
  <c r="AN108" i="78"/>
  <c r="AN109" i="78"/>
  <c r="AN110" i="78"/>
  <c r="AN111" i="78"/>
  <c r="AN112" i="78"/>
  <c r="AN113" i="78"/>
  <c r="AN114" i="78"/>
  <c r="AN115" i="78"/>
  <c r="AN116" i="78"/>
  <c r="AN117" i="78"/>
  <c r="AI89" i="59"/>
  <c r="G19" i="59"/>
  <c r="H12" i="59"/>
  <c r="BE12" i="59"/>
  <c r="AN22" i="59"/>
  <c r="AN38" i="59"/>
  <c r="H13" i="59"/>
  <c r="BE13" i="59"/>
  <c r="E25" i="59"/>
  <c r="M12" i="66"/>
  <c r="L12" i="66"/>
  <c r="O4" i="66"/>
  <c r="O5" i="66"/>
  <c r="BF8" i="59"/>
  <c r="D15" i="75"/>
  <c r="U13" i="75"/>
  <c r="V12" i="75"/>
  <c r="R12" i="75"/>
  <c r="Z10" i="78"/>
  <c r="AA10" i="78"/>
  <c r="AB10" i="78"/>
  <c r="AE13" i="78"/>
  <c r="E27" i="78"/>
  <c r="AA21" i="78"/>
  <c r="AA22" i="78"/>
  <c r="Z21" i="78"/>
  <c r="X22" i="78"/>
  <c r="Z22" i="78"/>
  <c r="AM61" i="78"/>
  <c r="AF57" i="78"/>
  <c r="AI88" i="59"/>
  <c r="AI54" i="59"/>
  <c r="H9" i="59"/>
  <c r="BE9" i="59"/>
  <c r="AN16" i="59"/>
  <c r="AN31" i="59"/>
  <c r="P4" i="66"/>
  <c r="P5" i="66"/>
  <c r="Y47" i="75"/>
  <c r="AL89" i="75"/>
  <c r="G10" i="75"/>
  <c r="H9" i="75"/>
  <c r="BJ9" i="75"/>
  <c r="W44" i="75"/>
  <c r="BL54" i="75"/>
  <c r="Y21" i="78"/>
  <c r="AM60" i="78"/>
  <c r="Z9" i="78"/>
  <c r="AA9" i="78"/>
  <c r="AB9" i="78"/>
  <c r="AN36" i="59"/>
  <c r="AN27" i="59"/>
  <c r="AN34" i="59"/>
  <c r="AN33" i="59"/>
  <c r="AN13" i="59"/>
  <c r="AN12" i="59"/>
  <c r="AN14" i="59"/>
  <c r="AN15" i="59"/>
  <c r="H16" i="59"/>
  <c r="BE16" i="59"/>
  <c r="H17" i="59"/>
  <c r="BE17" i="59"/>
  <c r="AN32" i="59"/>
  <c r="AN39" i="59"/>
  <c r="AN30" i="59"/>
  <c r="AN25" i="59"/>
  <c r="AN24" i="59"/>
  <c r="AN10" i="59"/>
  <c r="AN11" i="59"/>
  <c r="H10" i="59"/>
  <c r="BE10" i="59"/>
  <c r="H11" i="59"/>
  <c r="BE11" i="59"/>
  <c r="H15" i="59"/>
  <c r="BE15" i="59"/>
  <c r="H18" i="59"/>
  <c r="BE18" i="59"/>
  <c r="AN20" i="59"/>
  <c r="AN28" i="59"/>
  <c r="AN35" i="59"/>
  <c r="AN26" i="59"/>
  <c r="AN21" i="59"/>
  <c r="AN29" i="59"/>
  <c r="AN37" i="59"/>
  <c r="AN18" i="59"/>
  <c r="H14" i="59"/>
  <c r="BE14" i="59"/>
  <c r="BR8" i="59"/>
  <c r="BQ9" i="59"/>
  <c r="BG9" i="78"/>
  <c r="AH49" i="78"/>
  <c r="AP17" i="78"/>
  <c r="AP18" i="78"/>
  <c r="AP19" i="78"/>
  <c r="AP20" i="78"/>
  <c r="AP21" i="78"/>
  <c r="AP22" i="78"/>
  <c r="AP23" i="78"/>
  <c r="AP24" i="78"/>
  <c r="AP25" i="78"/>
  <c r="AP26" i="78"/>
  <c r="AP27" i="78"/>
  <c r="AP28" i="78"/>
  <c r="AP29" i="78"/>
  <c r="AP30" i="78"/>
  <c r="AP31" i="78"/>
  <c r="AP32" i="78"/>
  <c r="AP33" i="78"/>
  <c r="AQ16" i="78"/>
  <c r="F13" i="66"/>
  <c r="Q11" i="78"/>
  <c r="I41" i="78"/>
  <c r="AQ17" i="78"/>
  <c r="AQ29" i="78"/>
  <c r="AQ28" i="78"/>
  <c r="W51" i="78"/>
  <c r="BJ56" i="78"/>
  <c r="BW19" i="78"/>
  <c r="BX18" i="78"/>
  <c r="AL79" i="78"/>
  <c r="AL74" i="78"/>
  <c r="AL78" i="78"/>
  <c r="AM66" i="78"/>
  <c r="AL70" i="78"/>
  <c r="AL58" i="78"/>
  <c r="AL55" i="78"/>
  <c r="AM62" i="78"/>
  <c r="AS9" i="78"/>
  <c r="W49" i="78"/>
  <c r="AS10" i="78"/>
  <c r="AL83" i="78"/>
  <c r="AL84" i="78"/>
  <c r="AL73" i="78"/>
  <c r="AL69" i="78"/>
  <c r="AM65" i="78"/>
  <c r="AM64" i="78"/>
  <c r="AL57" i="78"/>
  <c r="AL54" i="78"/>
  <c r="AL86" i="78"/>
  <c r="BJ55" i="78"/>
  <c r="AL85" i="78"/>
  <c r="AL81" i="78"/>
  <c r="AL76" i="78"/>
  <c r="AL72" i="78"/>
  <c r="AL68" i="78"/>
  <c r="AL82" i="78"/>
  <c r="AM63" i="78"/>
  <c r="AL52" i="78"/>
  <c r="AL53" i="78"/>
  <c r="AL88" i="78"/>
  <c r="K9" i="78"/>
  <c r="W50" i="78"/>
  <c r="C13" i="61"/>
  <c r="C29" i="65"/>
  <c r="C25" i="65"/>
  <c r="B24" i="65"/>
  <c r="C19" i="65"/>
  <c r="C11" i="65"/>
  <c r="C30" i="65"/>
  <c r="C18" i="65"/>
  <c r="C12" i="65"/>
  <c r="C16" i="65"/>
  <c r="AA12" i="66"/>
  <c r="N11" i="66"/>
  <c r="BI12" i="75"/>
  <c r="BH13" i="75"/>
  <c r="AL76" i="75"/>
  <c r="AL73" i="75"/>
  <c r="AL68" i="75"/>
  <c r="AL57" i="75"/>
  <c r="AL72" i="75"/>
  <c r="AL84" i="75"/>
  <c r="AL67" i="75"/>
  <c r="AL66" i="75"/>
  <c r="AL71" i="75"/>
  <c r="AL82" i="75"/>
  <c r="I10" i="75"/>
  <c r="AL75" i="75"/>
  <c r="AL79" i="75"/>
  <c r="AL56" i="75"/>
  <c r="AL54" i="75"/>
  <c r="AL65" i="75"/>
  <c r="AL61" i="75"/>
  <c r="AL51" i="75"/>
  <c r="AL69" i="75"/>
  <c r="AL48" i="75"/>
  <c r="AL148" i="75"/>
  <c r="K9" i="75"/>
  <c r="I9" i="75"/>
  <c r="AL83" i="75"/>
  <c r="AL78" i="75"/>
  <c r="AL81" i="75"/>
  <c r="AL64" i="75"/>
  <c r="AL50" i="75"/>
  <c r="AL62" i="75"/>
  <c r="AL49" i="75"/>
  <c r="AL58" i="75"/>
  <c r="AL85" i="75"/>
  <c r="AL86" i="75"/>
  <c r="AL87" i="75"/>
  <c r="L9" i="75"/>
  <c r="A21" i="75"/>
  <c r="AH36" i="75"/>
  <c r="C24" i="75"/>
  <c r="K11" i="78"/>
  <c r="O11" i="78"/>
  <c r="M11" i="78"/>
  <c r="P12" i="78"/>
  <c r="W15" i="78"/>
  <c r="C20" i="78"/>
  <c r="E43" i="78"/>
  <c r="T15" i="78"/>
  <c r="U14" i="78"/>
  <c r="E39" i="78"/>
  <c r="AE94" i="78"/>
  <c r="AE95" i="78"/>
  <c r="AQ19" i="78"/>
  <c r="BA17" i="88"/>
  <c r="BK7" i="86"/>
  <c r="X42" i="86"/>
  <c r="Q12" i="75"/>
  <c r="Q13" i="75"/>
  <c r="Q14" i="75"/>
  <c r="Q10" i="75"/>
  <c r="C42" i="75"/>
  <c r="C18" i="75"/>
  <c r="C31" i="75"/>
  <c r="E31" i="75"/>
  <c r="C47" i="75"/>
  <c r="AG37" i="75"/>
  <c r="AE55" i="75"/>
  <c r="AE56" i="75"/>
  <c r="AD55" i="75"/>
  <c r="AE57" i="75"/>
  <c r="AE54" i="75"/>
  <c r="AL90" i="78"/>
  <c r="Y53" i="78"/>
  <c r="G13" i="78"/>
  <c r="AR12" i="78"/>
  <c r="K12" i="78"/>
  <c r="O12" i="78"/>
  <c r="M12" i="78"/>
  <c r="AS12" i="78"/>
  <c r="J12" i="78"/>
  <c r="BJ57" i="78"/>
  <c r="W52" i="78"/>
  <c r="N12" i="78"/>
  <c r="I40" i="78"/>
  <c r="I33" i="78"/>
  <c r="I42" i="78"/>
  <c r="I44" i="78"/>
  <c r="I39" i="78"/>
  <c r="I35" i="78"/>
  <c r="AF97" i="78"/>
  <c r="I37" i="78"/>
  <c r="I34" i="78"/>
  <c r="I43" i="78"/>
  <c r="AE96" i="78"/>
  <c r="AQ22" i="78"/>
  <c r="AQ32" i="78"/>
  <c r="AQ27" i="78"/>
  <c r="AQ21" i="78"/>
  <c r="AQ15" i="78"/>
  <c r="AQ11" i="78"/>
  <c r="AQ24" i="78"/>
  <c r="H11" i="78"/>
  <c r="BH11" i="78"/>
  <c r="AQ31" i="78"/>
  <c r="AQ25" i="78"/>
  <c r="AQ26" i="78"/>
  <c r="AQ14" i="78"/>
  <c r="AQ9" i="78"/>
  <c r="AQ10" i="78"/>
  <c r="H12" i="78"/>
  <c r="BH12" i="78"/>
  <c r="AQ30" i="78"/>
  <c r="AQ23" i="78"/>
  <c r="AQ13" i="78"/>
  <c r="H10" i="78"/>
  <c r="BH10" i="78"/>
  <c r="AQ12" i="78"/>
  <c r="AQ18" i="78"/>
  <c r="AQ20" i="78"/>
  <c r="H13" i="78"/>
  <c r="BH13" i="78"/>
  <c r="Z11" i="78"/>
  <c r="AA11" i="78"/>
  <c r="AB11" i="78"/>
  <c r="AE43" i="78"/>
  <c r="AE40" i="78"/>
  <c r="BX17" i="78"/>
  <c r="AN118" i="86"/>
  <c r="AN119" i="86"/>
  <c r="AN120" i="86"/>
  <c r="AN121" i="86"/>
  <c r="AN122" i="86"/>
  <c r="AN123" i="86"/>
  <c r="AN124" i="86"/>
  <c r="AN125" i="86"/>
  <c r="AN126" i="86"/>
  <c r="AN127" i="86"/>
  <c r="AN128" i="86"/>
  <c r="AN129" i="86"/>
  <c r="AN130" i="86"/>
  <c r="AN131" i="86"/>
  <c r="AN132" i="86"/>
  <c r="AN133" i="86"/>
  <c r="AN134" i="86"/>
  <c r="AN135" i="86"/>
  <c r="AN136" i="86"/>
  <c r="AN137" i="86"/>
  <c r="AN138" i="86"/>
  <c r="AN139" i="86"/>
  <c r="AN140" i="86"/>
  <c r="AN141" i="86"/>
  <c r="AN142" i="86"/>
  <c r="AN143" i="86"/>
  <c r="AN144" i="86"/>
  <c r="AN145" i="86"/>
  <c r="AN146" i="86"/>
  <c r="AN147" i="86"/>
  <c r="AN88" i="86"/>
  <c r="AN89" i="86"/>
  <c r="AN90" i="86"/>
  <c r="AN91" i="86"/>
  <c r="AN92" i="86"/>
  <c r="AN93" i="86"/>
  <c r="AN94" i="86"/>
  <c r="AN95" i="86"/>
  <c r="AN96" i="86"/>
  <c r="AN97" i="86"/>
  <c r="AN98" i="86"/>
  <c r="AN99" i="86"/>
  <c r="AN100" i="86"/>
  <c r="AN101" i="86"/>
  <c r="AN102" i="86"/>
  <c r="AN103" i="86"/>
  <c r="AN104" i="86"/>
  <c r="AN105" i="86"/>
  <c r="AN106" i="86"/>
  <c r="AN107" i="86"/>
  <c r="AN108" i="86"/>
  <c r="AN109" i="86"/>
  <c r="AN110" i="86"/>
  <c r="AN111" i="86"/>
  <c r="AN112" i="86"/>
  <c r="AN113" i="86"/>
  <c r="AN114" i="86"/>
  <c r="AN115" i="86"/>
  <c r="AN116" i="86"/>
  <c r="AN117" i="86"/>
  <c r="I30" i="78"/>
  <c r="I21" i="78"/>
  <c r="I28" i="78"/>
  <c r="BH20" i="88"/>
  <c r="BI19" i="88"/>
  <c r="D28" i="86"/>
  <c r="E25" i="86"/>
  <c r="Y43" i="86"/>
  <c r="AD54" i="86"/>
  <c r="BJ8" i="86"/>
  <c r="BJ7" i="86"/>
  <c r="Y42" i="86"/>
  <c r="V10" i="86"/>
  <c r="R10" i="86"/>
  <c r="U11" i="86"/>
  <c r="AN118" i="91"/>
  <c r="AN119" i="91"/>
  <c r="AN120" i="91"/>
  <c r="AN121" i="91"/>
  <c r="AN122" i="91"/>
  <c r="AN123" i="91"/>
  <c r="AN124" i="91"/>
  <c r="AN125" i="91"/>
  <c r="AN126" i="91"/>
  <c r="AN127" i="91"/>
  <c r="AN128" i="91"/>
  <c r="AN129" i="91"/>
  <c r="AN130" i="91"/>
  <c r="AN131" i="91"/>
  <c r="AN132" i="91"/>
  <c r="AN133" i="91"/>
  <c r="AN134" i="91"/>
  <c r="AN135" i="91"/>
  <c r="AN136" i="91"/>
  <c r="AN137" i="91"/>
  <c r="AN138" i="91"/>
  <c r="AN139" i="91"/>
  <c r="AN140" i="91"/>
  <c r="AN141" i="91"/>
  <c r="AN142" i="91"/>
  <c r="AN143" i="91"/>
  <c r="AN144" i="91"/>
  <c r="AN145" i="91"/>
  <c r="AN146" i="91"/>
  <c r="AN147" i="91"/>
  <c r="AN88" i="91"/>
  <c r="AN89" i="91"/>
  <c r="AN90" i="91"/>
  <c r="AN91" i="91"/>
  <c r="AN92" i="91"/>
  <c r="AN93" i="91"/>
  <c r="AN94" i="91"/>
  <c r="AN95" i="91"/>
  <c r="AN96" i="91"/>
  <c r="AN97" i="91"/>
  <c r="AN98" i="91"/>
  <c r="AN99" i="91"/>
  <c r="AN100" i="91"/>
  <c r="AN101" i="91"/>
  <c r="AN102" i="91"/>
  <c r="AN103" i="91"/>
  <c r="AN104" i="91"/>
  <c r="AN105" i="91"/>
  <c r="AN106" i="91"/>
  <c r="AN107" i="91"/>
  <c r="AN108" i="91"/>
  <c r="AN109" i="91"/>
  <c r="AN110" i="91"/>
  <c r="AN111" i="91"/>
  <c r="AN112" i="91"/>
  <c r="AN113" i="91"/>
  <c r="AN114" i="91"/>
  <c r="AN115" i="91"/>
  <c r="AN116" i="91"/>
  <c r="AN117" i="91"/>
  <c r="X10" i="86"/>
  <c r="AG47" i="86"/>
  <c r="W10" i="86"/>
  <c r="C42" i="86"/>
  <c r="Q11" i="86"/>
  <c r="C47" i="86"/>
  <c r="Q10" i="86"/>
  <c r="I10" i="86"/>
  <c r="W45" i="86"/>
  <c r="BL55" i="86"/>
  <c r="L10" i="86"/>
  <c r="P10" i="86"/>
  <c r="G11" i="86"/>
  <c r="U11" i="88"/>
  <c r="V10" i="88"/>
  <c r="R10" i="88"/>
  <c r="AD66" i="88"/>
  <c r="AB48" i="88"/>
  <c r="D25" i="88"/>
  <c r="D24" i="88"/>
  <c r="AL86" i="88"/>
  <c r="Y44" i="88"/>
  <c r="Q13" i="86"/>
  <c r="AE55" i="86"/>
  <c r="AE57" i="86"/>
  <c r="AE54" i="86"/>
  <c r="AM38" i="86"/>
  <c r="AM37" i="86"/>
  <c r="AM39" i="86"/>
  <c r="BA9" i="86"/>
  <c r="I20" i="86"/>
  <c r="I28" i="86"/>
  <c r="I15" i="86"/>
  <c r="I32" i="86"/>
  <c r="I17" i="86"/>
  <c r="I18" i="86"/>
  <c r="I27" i="86"/>
  <c r="I31" i="86"/>
  <c r="I30" i="86"/>
  <c r="I21" i="86"/>
  <c r="I24" i="86"/>
  <c r="I22" i="86"/>
  <c r="I16" i="86"/>
  <c r="I23" i="86"/>
  <c r="I78" i="86"/>
  <c r="I83" i="86"/>
  <c r="I72" i="86"/>
  <c r="I67" i="86"/>
  <c r="I89" i="86"/>
  <c r="I107" i="86"/>
  <c r="I106" i="86"/>
  <c r="I68" i="86"/>
  <c r="I101" i="86"/>
  <c r="I82" i="86"/>
  <c r="I95" i="86"/>
  <c r="I108" i="86"/>
  <c r="I61" i="86"/>
  <c r="I85" i="86"/>
  <c r="I102" i="86"/>
  <c r="I74" i="86"/>
  <c r="I104" i="86"/>
  <c r="I99" i="86"/>
  <c r="I58" i="86"/>
  <c r="I88" i="86"/>
  <c r="I71" i="86"/>
  <c r="I84" i="86"/>
  <c r="I105" i="86"/>
  <c r="I98" i="86"/>
  <c r="I60" i="86"/>
  <c r="I69" i="86"/>
  <c r="I96" i="86"/>
  <c r="I91" i="86"/>
  <c r="I65" i="86"/>
  <c r="I90" i="86"/>
  <c r="I81" i="86"/>
  <c r="I79" i="86"/>
  <c r="I93" i="86"/>
  <c r="I64" i="86"/>
  <c r="I57" i="86"/>
  <c r="I94" i="86"/>
  <c r="I87" i="86"/>
  <c r="I77" i="86"/>
  <c r="I76" i="86"/>
  <c r="D15" i="86"/>
  <c r="D23" i="86"/>
  <c r="E23" i="86"/>
  <c r="AM37" i="88"/>
  <c r="AM40" i="88"/>
  <c r="AM39" i="88"/>
  <c r="AM38" i="88"/>
  <c r="I51" i="88"/>
  <c r="I49" i="88"/>
  <c r="I47" i="88"/>
  <c r="I53" i="88"/>
  <c r="I55" i="88"/>
  <c r="I46" i="88"/>
  <c r="I56" i="88"/>
  <c r="I50" i="88"/>
  <c r="AN47" i="88"/>
  <c r="AN48" i="88"/>
  <c r="AN49" i="88"/>
  <c r="AN50" i="88"/>
  <c r="AN51" i="88"/>
  <c r="AN52" i="88"/>
  <c r="AN53" i="88"/>
  <c r="AN54" i="88"/>
  <c r="AN55" i="88"/>
  <c r="AN56" i="88"/>
  <c r="AN57" i="88"/>
  <c r="AN58" i="88"/>
  <c r="AN59" i="88"/>
  <c r="AN60" i="88"/>
  <c r="AN61" i="88"/>
  <c r="AN62" i="88"/>
  <c r="AN63" i="88"/>
  <c r="AN64" i="88"/>
  <c r="AN65" i="88"/>
  <c r="AN66" i="88"/>
  <c r="AN67" i="88"/>
  <c r="AN68" i="88"/>
  <c r="AN69" i="88"/>
  <c r="AN70" i="88"/>
  <c r="AN71" i="88"/>
  <c r="AN72" i="88"/>
  <c r="AN73" i="88"/>
  <c r="AN74" i="88"/>
  <c r="AN75" i="88"/>
  <c r="AN76" i="88"/>
  <c r="AN77" i="88"/>
  <c r="AN78" i="88"/>
  <c r="AN79" i="88"/>
  <c r="AN80" i="88"/>
  <c r="AN81" i="88"/>
  <c r="AN82" i="88"/>
  <c r="AN83" i="88"/>
  <c r="AN84" i="88"/>
  <c r="AN85" i="88"/>
  <c r="AN86" i="88"/>
  <c r="AN87" i="88"/>
  <c r="AN46" i="88"/>
  <c r="BA12" i="88"/>
  <c r="I49" i="86"/>
  <c r="I55" i="86"/>
  <c r="I54" i="86"/>
  <c r="I45" i="86"/>
  <c r="I48" i="86"/>
  <c r="I51" i="86"/>
  <c r="I50" i="86"/>
  <c r="I47" i="86"/>
  <c r="I56" i="86"/>
  <c r="I46" i="86"/>
  <c r="I52" i="86"/>
  <c r="E24" i="88"/>
  <c r="C27" i="88"/>
  <c r="C22" i="88"/>
  <c r="I9" i="86"/>
  <c r="W44" i="86"/>
  <c r="L9" i="86"/>
  <c r="BI10" i="86"/>
  <c r="BH11" i="86"/>
  <c r="W46" i="88"/>
  <c r="G12" i="88"/>
  <c r="BL56" i="88"/>
  <c r="AL94" i="91"/>
  <c r="Y52" i="91"/>
  <c r="AI36" i="88"/>
  <c r="D13" i="88"/>
  <c r="U11" i="91"/>
  <c r="V10" i="91"/>
  <c r="R10" i="91"/>
  <c r="AP13" i="91"/>
  <c r="AQ12" i="91"/>
  <c r="AL76" i="91"/>
  <c r="AI36" i="86"/>
  <c r="D13" i="86"/>
  <c r="AD54" i="88"/>
  <c r="I93" i="88"/>
  <c r="I77" i="88"/>
  <c r="I96" i="88"/>
  <c r="I80" i="88"/>
  <c r="I98" i="88"/>
  <c r="I82" i="88"/>
  <c r="I99" i="88"/>
  <c r="I83" i="88"/>
  <c r="I68" i="88"/>
  <c r="I62" i="88"/>
  <c r="I71" i="88"/>
  <c r="I70" i="88"/>
  <c r="I61" i="88"/>
  <c r="I58" i="88"/>
  <c r="I105" i="88"/>
  <c r="I89" i="88"/>
  <c r="I108" i="88"/>
  <c r="I92" i="88"/>
  <c r="I76" i="88"/>
  <c r="I94" i="88"/>
  <c r="I78" i="88"/>
  <c r="I95" i="88"/>
  <c r="I79" i="88"/>
  <c r="I60" i="88"/>
  <c r="I74" i="88"/>
  <c r="I69" i="88"/>
  <c r="I72" i="88"/>
  <c r="I59" i="88"/>
  <c r="W45" i="91"/>
  <c r="L10" i="91"/>
  <c r="G11" i="91"/>
  <c r="BL55" i="91"/>
  <c r="H10" i="91"/>
  <c r="BJ10" i="91"/>
  <c r="BH10" i="91"/>
  <c r="BI9" i="91"/>
  <c r="AF35" i="91"/>
  <c r="AL35" i="91"/>
  <c r="AD65" i="91"/>
  <c r="AB49" i="91"/>
  <c r="C26" i="91"/>
  <c r="D26" i="91"/>
  <c r="I56" i="91"/>
  <c r="I51" i="91"/>
  <c r="I45" i="91"/>
  <c r="I53" i="91"/>
  <c r="I49" i="91"/>
  <c r="I46" i="91"/>
  <c r="I52" i="91"/>
  <c r="I55" i="91"/>
  <c r="I47" i="91"/>
  <c r="I64" i="91"/>
  <c r="I105" i="91"/>
  <c r="I100" i="91"/>
  <c r="I108" i="91"/>
  <c r="I90" i="91"/>
  <c r="I104" i="91"/>
  <c r="I75" i="91"/>
  <c r="I83" i="91"/>
  <c r="I76" i="91"/>
  <c r="I70" i="91"/>
  <c r="I63" i="91"/>
  <c r="I80" i="91"/>
  <c r="I81" i="91"/>
  <c r="I87" i="91"/>
  <c r="I103" i="91"/>
  <c r="I98" i="91"/>
  <c r="I97" i="91"/>
  <c r="I88" i="91"/>
  <c r="I99" i="91"/>
  <c r="I73" i="91"/>
  <c r="I95" i="91"/>
  <c r="I74" i="91"/>
  <c r="I68" i="91"/>
  <c r="I61" i="91"/>
  <c r="I69" i="91"/>
  <c r="I71" i="91"/>
  <c r="I62" i="91"/>
  <c r="I106" i="91"/>
  <c r="I96" i="91"/>
  <c r="I93" i="91"/>
  <c r="I86" i="91"/>
  <c r="I78" i="91"/>
  <c r="I89" i="91"/>
  <c r="I82" i="91"/>
  <c r="I72" i="91"/>
  <c r="I66" i="91"/>
  <c r="I59" i="91"/>
  <c r="I67" i="91"/>
  <c r="I60" i="91"/>
  <c r="D13" i="91"/>
  <c r="AE14" i="91"/>
  <c r="AM47" i="91"/>
  <c r="AE15" i="91"/>
  <c r="L9" i="91"/>
  <c r="AE12" i="91"/>
  <c r="R9" i="94"/>
  <c r="AM64" i="94"/>
  <c r="AM48" i="94"/>
  <c r="AF9" i="94"/>
  <c r="AM59" i="94"/>
  <c r="A23" i="94"/>
  <c r="E35" i="100"/>
  <c r="C36" i="100"/>
  <c r="E36" i="100"/>
  <c r="D24" i="86"/>
  <c r="AL36" i="86"/>
  <c r="AL76" i="86"/>
  <c r="U12" i="91"/>
  <c r="V11" i="91"/>
  <c r="R11" i="91"/>
  <c r="AN88" i="88"/>
  <c r="AN89" i="88"/>
  <c r="AN90" i="88"/>
  <c r="AN91" i="88"/>
  <c r="AN92" i="88"/>
  <c r="AN93" i="88"/>
  <c r="AN94" i="88"/>
  <c r="AN95" i="88"/>
  <c r="AN96" i="88"/>
  <c r="AN97" i="88"/>
  <c r="AN98" i="88"/>
  <c r="AN99" i="88"/>
  <c r="AN100" i="88"/>
  <c r="AN101" i="88"/>
  <c r="AN102" i="88"/>
  <c r="AN103" i="88"/>
  <c r="AN104" i="88"/>
  <c r="AN105" i="88"/>
  <c r="AN106" i="88"/>
  <c r="AN107" i="88"/>
  <c r="AN108" i="88"/>
  <c r="AN109" i="88"/>
  <c r="AN110" i="88"/>
  <c r="AN111" i="88"/>
  <c r="AN112" i="88"/>
  <c r="AN113" i="88"/>
  <c r="AN114" i="88"/>
  <c r="AN115" i="88"/>
  <c r="AN116" i="88"/>
  <c r="AN117" i="88"/>
  <c r="AN118" i="88"/>
  <c r="AN119" i="88"/>
  <c r="AN120" i="88"/>
  <c r="AN121" i="88"/>
  <c r="AN122" i="88"/>
  <c r="AN123" i="88"/>
  <c r="AN124" i="88"/>
  <c r="AN125" i="88"/>
  <c r="AN126" i="88"/>
  <c r="AN127" i="88"/>
  <c r="AN128" i="88"/>
  <c r="AN129" i="88"/>
  <c r="AN130" i="88"/>
  <c r="AN131" i="88"/>
  <c r="AN132" i="88"/>
  <c r="AN133" i="88"/>
  <c r="AN134" i="88"/>
  <c r="AN135" i="88"/>
  <c r="AN136" i="88"/>
  <c r="AN137" i="88"/>
  <c r="AN138" i="88"/>
  <c r="AN139" i="88"/>
  <c r="AN140" i="88"/>
  <c r="AN141" i="88"/>
  <c r="AN142" i="88"/>
  <c r="AN143" i="88"/>
  <c r="AN144" i="88"/>
  <c r="AN145" i="88"/>
  <c r="AN146" i="88"/>
  <c r="AN147" i="88"/>
  <c r="C24" i="86"/>
  <c r="AC56" i="86"/>
  <c r="D29" i="86"/>
  <c r="E29" i="86"/>
  <c r="E28" i="86"/>
  <c r="AF98" i="78"/>
  <c r="I49" i="78"/>
  <c r="I46" i="78"/>
  <c r="I51" i="78"/>
  <c r="AE97" i="78"/>
  <c r="AE98" i="78"/>
  <c r="I48" i="78"/>
  <c r="I53" i="78"/>
  <c r="I50" i="78"/>
  <c r="I52" i="78"/>
  <c r="I45" i="78"/>
  <c r="I54" i="78"/>
  <c r="I55" i="78"/>
  <c r="I47" i="78"/>
  <c r="I56" i="78"/>
  <c r="N13" i="78"/>
  <c r="H6" i="61"/>
  <c r="T36" i="61"/>
  <c r="AA44" i="61"/>
  <c r="P6" i="61"/>
  <c r="AA43" i="61"/>
  <c r="AA46" i="61"/>
  <c r="AA45" i="61"/>
  <c r="AR11" i="78"/>
  <c r="AX9" i="78"/>
  <c r="AY9" i="78"/>
  <c r="AM40" i="75"/>
  <c r="AL40" i="75"/>
  <c r="V63" i="59"/>
  <c r="AI93" i="59"/>
  <c r="AT76" i="78"/>
  <c r="BF83" i="78"/>
  <c r="J68" i="61"/>
  <c r="Q69" i="61"/>
  <c r="AM41" i="59"/>
  <c r="AN40" i="59"/>
  <c r="AR108" i="91"/>
  <c r="AR103" i="91"/>
  <c r="AR96" i="91"/>
  <c r="AR99" i="91"/>
  <c r="AR86" i="91"/>
  <c r="AR80" i="91"/>
  <c r="AR83" i="91"/>
  <c r="AR72" i="91"/>
  <c r="AR82" i="91"/>
  <c r="AR61" i="91"/>
  <c r="AR67" i="91"/>
  <c r="AR64" i="91"/>
  <c r="AR56" i="91"/>
  <c r="AR38" i="91"/>
  <c r="AR49" i="91"/>
  <c r="AR34" i="91"/>
  <c r="AR57" i="91"/>
  <c r="AR36" i="91"/>
  <c r="AR50" i="91"/>
  <c r="AR46" i="91"/>
  <c r="AR10" i="91"/>
  <c r="AR27" i="91"/>
  <c r="AR12" i="91"/>
  <c r="AR26" i="91"/>
  <c r="AR15" i="91"/>
  <c r="AR25" i="91"/>
  <c r="AR107" i="91"/>
  <c r="AR102" i="91"/>
  <c r="AR94" i="91"/>
  <c r="AR93" i="91"/>
  <c r="AR84" i="91"/>
  <c r="AR91" i="91"/>
  <c r="AR77" i="91"/>
  <c r="AR70" i="91"/>
  <c r="AR79" i="91"/>
  <c r="AR59" i="91"/>
  <c r="AR65" i="91"/>
  <c r="AR62" i="91"/>
  <c r="AR45" i="91"/>
  <c r="AR24" i="91"/>
  <c r="AR48" i="91"/>
  <c r="AR33" i="91"/>
  <c r="AF57" i="91"/>
  <c r="AR31" i="91"/>
  <c r="AR40" i="91"/>
  <c r="AR29" i="91"/>
  <c r="AR81" i="91"/>
  <c r="AR22" i="91"/>
  <c r="AR53" i="91"/>
  <c r="AR23" i="91"/>
  <c r="AR13" i="91"/>
  <c r="AR11" i="91"/>
  <c r="AR105" i="91"/>
  <c r="AR100" i="91"/>
  <c r="AR106" i="91"/>
  <c r="AR90" i="91"/>
  <c r="AR97" i="91"/>
  <c r="AR87" i="91"/>
  <c r="AR76" i="91"/>
  <c r="AR89" i="91"/>
  <c r="AR73" i="91"/>
  <c r="AR75" i="91"/>
  <c r="AR78" i="91"/>
  <c r="AR60" i="91"/>
  <c r="AR42" i="91"/>
  <c r="AR66" i="91"/>
  <c r="AR47" i="91"/>
  <c r="AR30" i="91"/>
  <c r="AR43" i="91"/>
  <c r="AR54" i="91"/>
  <c r="AR28" i="91"/>
  <c r="AR20" i="91"/>
  <c r="AR35" i="91"/>
  <c r="AR18" i="91"/>
  <c r="AR51" i="91"/>
  <c r="AR19" i="91"/>
  <c r="AE13" i="91"/>
  <c r="AR104" i="91"/>
  <c r="AR92" i="91"/>
  <c r="AR63" i="91"/>
  <c r="AR39" i="91"/>
  <c r="AR41" i="91"/>
  <c r="AR32" i="91"/>
  <c r="AR9" i="91"/>
  <c r="AR98" i="91"/>
  <c r="AR95" i="91"/>
  <c r="AR69" i="91"/>
  <c r="AR55" i="91"/>
  <c r="AR52" i="91"/>
  <c r="AR14" i="91"/>
  <c r="AR101" i="91"/>
  <c r="AR74" i="91"/>
  <c r="AR71" i="91"/>
  <c r="AR37" i="91"/>
  <c r="AR21" i="91"/>
  <c r="AR44" i="91"/>
  <c r="AR58" i="91"/>
  <c r="AR68" i="91"/>
  <c r="AR88" i="91"/>
  <c r="AR16" i="91"/>
  <c r="AR85" i="91"/>
  <c r="AR17" i="91"/>
  <c r="AR19" i="88"/>
  <c r="AR27" i="88"/>
  <c r="AR35" i="88"/>
  <c r="AR40" i="88"/>
  <c r="AR59" i="88"/>
  <c r="AR96" i="88"/>
  <c r="AR14" i="88"/>
  <c r="AR61" i="88"/>
  <c r="AR98" i="88"/>
  <c r="AR11" i="88"/>
  <c r="AR50" i="88"/>
  <c r="AR66" i="88"/>
  <c r="AR99" i="88"/>
  <c r="AR64" i="88"/>
  <c r="AR34" i="88"/>
  <c r="AF57" i="88"/>
  <c r="AR74" i="88"/>
  <c r="AR92" i="88"/>
  <c r="AR22" i="88"/>
  <c r="AR43" i="88"/>
  <c r="AR45" i="88"/>
  <c r="AR67" i="88"/>
  <c r="AR86" i="88"/>
  <c r="AR107" i="88"/>
  <c r="AR26" i="88"/>
  <c r="AR9" i="88"/>
  <c r="AR54" i="88"/>
  <c r="AR68" i="88"/>
  <c r="AE13" i="88"/>
  <c r="AR58" i="88"/>
  <c r="AR17" i="88"/>
  <c r="AR93" i="88"/>
  <c r="AR106" i="88"/>
  <c r="AR32" i="88"/>
  <c r="AR89" i="88"/>
  <c r="AR103" i="88"/>
  <c r="AR13" i="88"/>
  <c r="AR69" i="88"/>
  <c r="AR108" i="88"/>
  <c r="AR31" i="88"/>
  <c r="AR41" i="88"/>
  <c r="AR49" i="88"/>
  <c r="AR63" i="88"/>
  <c r="AR83" i="88"/>
  <c r="AR100" i="88"/>
  <c r="AR44" i="88"/>
  <c r="AR29" i="88"/>
  <c r="AR36" i="88"/>
  <c r="AR57" i="88"/>
  <c r="AR85" i="88"/>
  <c r="AR94" i="88"/>
  <c r="AR48" i="88"/>
  <c r="AR16" i="88"/>
  <c r="AR90" i="88"/>
  <c r="AR101" i="88"/>
  <c r="AR95" i="88"/>
  <c r="AR79" i="88"/>
  <c r="AR47" i="88"/>
  <c r="AR46" i="88"/>
  <c r="AR55" i="88"/>
  <c r="AR30" i="88"/>
  <c r="AR24" i="88"/>
  <c r="AR70" i="88"/>
  <c r="AR102" i="88"/>
  <c r="AR72" i="88"/>
  <c r="AR104" i="88"/>
  <c r="AR77" i="88"/>
  <c r="AR80" i="88"/>
  <c r="AR39" i="88"/>
  <c r="AR33" i="88"/>
  <c r="AR76" i="88"/>
  <c r="AR10" i="88"/>
  <c r="AR15" i="88"/>
  <c r="AR65" i="88"/>
  <c r="AR105" i="88"/>
  <c r="AR51" i="88"/>
  <c r="AR87" i="88"/>
  <c r="AR37" i="88"/>
  <c r="AR81" i="88"/>
  <c r="AR91" i="88"/>
  <c r="AR60" i="88"/>
  <c r="AR28" i="88"/>
  <c r="AR75" i="88"/>
  <c r="AR53" i="88"/>
  <c r="AR38" i="88"/>
  <c r="AR82" i="88"/>
  <c r="AR88" i="88"/>
  <c r="AR42" i="88"/>
  <c r="AR20" i="88"/>
  <c r="AR18" i="88"/>
  <c r="AR97" i="88"/>
  <c r="AR71" i="88"/>
  <c r="AR21" i="88"/>
  <c r="AR56" i="88"/>
  <c r="AR23" i="88"/>
  <c r="AR73" i="88"/>
  <c r="AR62" i="88"/>
  <c r="AE14" i="88"/>
  <c r="AR25" i="88"/>
  <c r="AR12" i="88"/>
  <c r="AR84" i="88"/>
  <c r="AR78" i="88"/>
  <c r="AR52" i="88"/>
  <c r="BI11" i="86"/>
  <c r="BH12" i="86"/>
  <c r="D22" i="88"/>
  <c r="D27" i="88"/>
  <c r="D28" i="88"/>
  <c r="V11" i="88"/>
  <c r="R11" i="88"/>
  <c r="U12" i="88"/>
  <c r="V11" i="86"/>
  <c r="R11" i="86"/>
  <c r="U12" i="86"/>
  <c r="AQ106" i="86"/>
  <c r="AQ97" i="86"/>
  <c r="AQ103" i="86"/>
  <c r="AQ98" i="86"/>
  <c r="AQ107" i="86"/>
  <c r="AQ85" i="86"/>
  <c r="AQ81" i="86"/>
  <c r="AQ75" i="86"/>
  <c r="AQ67" i="86"/>
  <c r="AQ62" i="86"/>
  <c r="AQ104" i="86"/>
  <c r="AQ95" i="86"/>
  <c r="AQ100" i="86"/>
  <c r="AQ96" i="86"/>
  <c r="AQ94" i="86"/>
  <c r="AQ83" i="86"/>
  <c r="AQ79" i="86"/>
  <c r="AQ73" i="86"/>
  <c r="AQ65" i="86"/>
  <c r="AQ99" i="86"/>
  <c r="AQ105" i="86"/>
  <c r="AQ87" i="86"/>
  <c r="AQ78" i="86"/>
  <c r="AQ64" i="86"/>
  <c r="AQ70" i="86"/>
  <c r="AQ58" i="86"/>
  <c r="AQ47" i="86"/>
  <c r="AQ84" i="86"/>
  <c r="AQ50" i="86"/>
  <c r="AQ35" i="86"/>
  <c r="AQ61" i="86"/>
  <c r="AQ46" i="86"/>
  <c r="AQ29" i="86"/>
  <c r="AQ14" i="86"/>
  <c r="AQ45" i="86"/>
  <c r="AQ17" i="86"/>
  <c r="H9" i="86"/>
  <c r="BJ9" i="86"/>
  <c r="AQ28" i="86"/>
  <c r="AQ16" i="86"/>
  <c r="AQ22" i="86"/>
  <c r="AQ93" i="86"/>
  <c r="AQ102" i="86"/>
  <c r="AQ77" i="86"/>
  <c r="AQ71" i="86"/>
  <c r="AQ82" i="86"/>
  <c r="AQ68" i="86"/>
  <c r="AQ55" i="86"/>
  <c r="AQ37" i="86"/>
  <c r="AQ56" i="86"/>
  <c r="AQ48" i="86"/>
  <c r="AQ33" i="86"/>
  <c r="AQ59" i="86"/>
  <c r="AQ44" i="86"/>
  <c r="AQ27" i="86"/>
  <c r="AQ12" i="86"/>
  <c r="AQ38" i="86"/>
  <c r="AQ15" i="86"/>
  <c r="H10" i="86"/>
  <c r="BJ10" i="86"/>
  <c r="AQ26" i="86"/>
  <c r="AQ11" i="86"/>
  <c r="AQ101" i="86"/>
  <c r="AQ90" i="86"/>
  <c r="AQ88" i="86"/>
  <c r="AQ60" i="86"/>
  <c r="AQ34" i="86"/>
  <c r="AQ41" i="86"/>
  <c r="AQ54" i="86"/>
  <c r="AQ18" i="86"/>
  <c r="AQ19" i="86"/>
  <c r="AQ9" i="86"/>
  <c r="AQ20" i="86"/>
  <c r="AQ91" i="86"/>
  <c r="AQ89" i="86"/>
  <c r="AQ74" i="86"/>
  <c r="AQ51" i="86"/>
  <c r="AQ53" i="86"/>
  <c r="AQ32" i="86"/>
  <c r="AQ40" i="86"/>
  <c r="AQ39" i="86"/>
  <c r="AQ13" i="86"/>
  <c r="AQ42" i="86"/>
  <c r="AQ10" i="86"/>
  <c r="AQ92" i="86"/>
  <c r="AQ86" i="86"/>
  <c r="AQ72" i="86"/>
  <c r="AQ49" i="86"/>
  <c r="AQ52" i="86"/>
  <c r="AQ76" i="86"/>
  <c r="AQ31" i="86"/>
  <c r="AQ25" i="86"/>
  <c r="H11" i="86"/>
  <c r="BJ11" i="86"/>
  <c r="AQ30" i="86"/>
  <c r="AQ63" i="86"/>
  <c r="AQ66" i="86"/>
  <c r="AQ23" i="86"/>
  <c r="AQ108" i="86"/>
  <c r="AQ36" i="86"/>
  <c r="AQ24" i="86"/>
  <c r="AQ80" i="86"/>
  <c r="AQ43" i="86"/>
  <c r="AQ69" i="86"/>
  <c r="AQ57" i="86"/>
  <c r="AQ21" i="86"/>
  <c r="AL50" i="78"/>
  <c r="AO12" i="78"/>
  <c r="AM51" i="78"/>
  <c r="I29" i="75"/>
  <c r="I21" i="75"/>
  <c r="I32" i="75"/>
  <c r="AG38" i="75"/>
  <c r="I22" i="75"/>
  <c r="I23" i="75"/>
  <c r="I25" i="75"/>
  <c r="I26" i="75"/>
  <c r="I27" i="75"/>
  <c r="I24" i="75"/>
  <c r="I28" i="75"/>
  <c r="I30" i="75"/>
  <c r="I31" i="75"/>
  <c r="P9" i="75"/>
  <c r="BH14" i="75"/>
  <c r="BI13" i="75"/>
  <c r="AR10" i="78"/>
  <c r="O9" i="78"/>
  <c r="M9" i="78"/>
  <c r="J9" i="78"/>
  <c r="AW9" i="78"/>
  <c r="AU9" i="78"/>
  <c r="AT9" i="78"/>
  <c r="J11" i="78"/>
  <c r="U13" i="66"/>
  <c r="F14" i="66"/>
  <c r="BR9" i="59"/>
  <c r="BQ10" i="59"/>
  <c r="H10" i="75"/>
  <c r="BJ10" i="75"/>
  <c r="BL55" i="75"/>
  <c r="G11" i="75"/>
  <c r="W45" i="75"/>
  <c r="K10" i="75"/>
  <c r="L10" i="75"/>
  <c r="P10" i="75"/>
  <c r="N10" i="75"/>
  <c r="AR15" i="75"/>
  <c r="AR104" i="75"/>
  <c r="AR100" i="75"/>
  <c r="AR92" i="75"/>
  <c r="AR97" i="75"/>
  <c r="AR86" i="75"/>
  <c r="AR79" i="75"/>
  <c r="AR70" i="75"/>
  <c r="AR87" i="75"/>
  <c r="AR77" i="75"/>
  <c r="AR52" i="75"/>
  <c r="AR62" i="75"/>
  <c r="AR89" i="75"/>
  <c r="AR49" i="75"/>
  <c r="AR33" i="75"/>
  <c r="AR71" i="75"/>
  <c r="AR57" i="75"/>
  <c r="AR40" i="75"/>
  <c r="AR14" i="75"/>
  <c r="AR36" i="75"/>
  <c r="AR45" i="75"/>
  <c r="AR22" i="75"/>
  <c r="AR78" i="75"/>
  <c r="AR53" i="75"/>
  <c r="AR24" i="75"/>
  <c r="AR63" i="75"/>
  <c r="AR19" i="75"/>
  <c r="AR107" i="75"/>
  <c r="AR98" i="75"/>
  <c r="AR90" i="75"/>
  <c r="AR93" i="75"/>
  <c r="AR84" i="75"/>
  <c r="AR76" i="75"/>
  <c r="AR68" i="75"/>
  <c r="AR83" i="75"/>
  <c r="AR75" i="75"/>
  <c r="AR44" i="75"/>
  <c r="AR60" i="75"/>
  <c r="AR80" i="75"/>
  <c r="AR43" i="75"/>
  <c r="AR28" i="75"/>
  <c r="AR42" i="75"/>
  <c r="AR50" i="75"/>
  <c r="AR32" i="75"/>
  <c r="AR12" i="75"/>
  <c r="AR21" i="75"/>
  <c r="AR31" i="75"/>
  <c r="AR13" i="75"/>
  <c r="AR61" i="75"/>
  <c r="AR48" i="75"/>
  <c r="AR27" i="75"/>
  <c r="AR17" i="75"/>
  <c r="AR16" i="75"/>
  <c r="AR103" i="75"/>
  <c r="AR96" i="75"/>
  <c r="AR108" i="75"/>
  <c r="AR81" i="75"/>
  <c r="AR82" i="75"/>
  <c r="AR74" i="75"/>
  <c r="AR66" i="75"/>
  <c r="AR99" i="75"/>
  <c r="AR67" i="75"/>
  <c r="AR73" i="75"/>
  <c r="AR58" i="75"/>
  <c r="AR59" i="75"/>
  <c r="AR37" i="75"/>
  <c r="AR26" i="75"/>
  <c r="AR38" i="75"/>
  <c r="AR46" i="75"/>
  <c r="AR25" i="75"/>
  <c r="AR11" i="75"/>
  <c r="AR69" i="75"/>
  <c r="AR30" i="75"/>
  <c r="AE13" i="75"/>
  <c r="AF57" i="75"/>
  <c r="AF56" i="75"/>
  <c r="AR47" i="75"/>
  <c r="AR102" i="75"/>
  <c r="AR95" i="75"/>
  <c r="AR65" i="75"/>
  <c r="AR35" i="75"/>
  <c r="AR23" i="75"/>
  <c r="AR9" i="75"/>
  <c r="AU9" i="75"/>
  <c r="AR18" i="75"/>
  <c r="AR94" i="75"/>
  <c r="AR72" i="75"/>
  <c r="AR64" i="75"/>
  <c r="AR85" i="75"/>
  <c r="AR10" i="75"/>
  <c r="AR54" i="75"/>
  <c r="AR20" i="75"/>
  <c r="AR101" i="75"/>
  <c r="AR105" i="75"/>
  <c r="AR55" i="75"/>
  <c r="AR34" i="75"/>
  <c r="AR51" i="75"/>
  <c r="AR39" i="75"/>
  <c r="AE14" i="75"/>
  <c r="AR91" i="75"/>
  <c r="AR56" i="75"/>
  <c r="AR106" i="75"/>
  <c r="AR41" i="75"/>
  <c r="AR88" i="75"/>
  <c r="AR29" i="75"/>
  <c r="AL51" i="78"/>
  <c r="E26" i="91"/>
  <c r="BA9" i="91"/>
  <c r="AQ108" i="88"/>
  <c r="AQ101" i="88"/>
  <c r="AQ100" i="88"/>
  <c r="AQ92" i="88"/>
  <c r="AQ84" i="88"/>
  <c r="AQ85" i="88"/>
  <c r="AQ95" i="88"/>
  <c r="AQ77" i="88"/>
  <c r="AQ74" i="88"/>
  <c r="AQ67" i="88"/>
  <c r="AQ56" i="88"/>
  <c r="AQ66" i="88"/>
  <c r="AQ57" i="88"/>
  <c r="AQ40" i="88"/>
  <c r="AQ42" i="88"/>
  <c r="AQ51" i="88"/>
  <c r="AQ31" i="88"/>
  <c r="AQ37" i="88"/>
  <c r="AQ18" i="88"/>
  <c r="AQ43" i="88"/>
  <c r="AQ19" i="88"/>
  <c r="H12" i="88"/>
  <c r="BJ12" i="88"/>
  <c r="H10" i="88"/>
  <c r="BJ10" i="88"/>
  <c r="AQ30" i="88"/>
  <c r="AQ20" i="88"/>
  <c r="AQ55" i="88"/>
  <c r="AQ106" i="88"/>
  <c r="AQ99" i="88"/>
  <c r="AQ98" i="88"/>
  <c r="AQ90" i="88"/>
  <c r="AQ82" i="88"/>
  <c r="AQ78" i="88"/>
  <c r="AQ91" i="88"/>
  <c r="AQ76" i="88"/>
  <c r="AQ73" i="88"/>
  <c r="AQ80" i="88"/>
  <c r="AQ53" i="88"/>
  <c r="AQ63" i="88"/>
  <c r="AQ54" i="88"/>
  <c r="AQ68" i="88"/>
  <c r="AQ39" i="88"/>
  <c r="AQ41" i="88"/>
  <c r="AQ25" i="88"/>
  <c r="AQ70" i="88"/>
  <c r="AQ29" i="88"/>
  <c r="AQ14" i="88"/>
  <c r="AQ34" i="88"/>
  <c r="AQ17" i="88"/>
  <c r="AQ21" i="88"/>
  <c r="AQ11" i="88"/>
  <c r="AQ33" i="88"/>
  <c r="AQ104" i="88"/>
  <c r="AQ88" i="88"/>
  <c r="AQ97" i="88"/>
  <c r="AQ75" i="88"/>
  <c r="AQ64" i="88"/>
  <c r="AQ61" i="88"/>
  <c r="AQ65" i="88"/>
  <c r="AQ36" i="88"/>
  <c r="AQ62" i="88"/>
  <c r="AQ12" i="88"/>
  <c r="AQ15" i="88"/>
  <c r="AQ9" i="88"/>
  <c r="AQ48" i="88"/>
  <c r="AQ102" i="88"/>
  <c r="AQ86" i="88"/>
  <c r="AQ105" i="88"/>
  <c r="AQ79" i="88"/>
  <c r="AQ72" i="88"/>
  <c r="AQ59" i="88"/>
  <c r="AQ45" i="88"/>
  <c r="AQ35" i="88"/>
  <c r="AQ49" i="88"/>
  <c r="AQ50" i="88"/>
  <c r="AQ13" i="88"/>
  <c r="AQ58" i="88"/>
  <c r="AQ26" i="88"/>
  <c r="AQ96" i="88"/>
  <c r="AQ87" i="88"/>
  <c r="AQ52" i="88"/>
  <c r="AQ38" i="88"/>
  <c r="AQ27" i="88"/>
  <c r="H11" i="88"/>
  <c r="BJ11" i="88"/>
  <c r="AQ28" i="88"/>
  <c r="AQ94" i="88"/>
  <c r="AQ83" i="88"/>
  <c r="AQ81" i="88"/>
  <c r="AQ60" i="88"/>
  <c r="AQ23" i="88"/>
  <c r="AQ47" i="88"/>
  <c r="AQ107" i="88"/>
  <c r="AQ93" i="88"/>
  <c r="AQ71" i="88"/>
  <c r="AQ46" i="88"/>
  <c r="AQ22" i="88"/>
  <c r="AQ32" i="88"/>
  <c r="AQ16" i="88"/>
  <c r="AQ69" i="88"/>
  <c r="AQ10" i="88"/>
  <c r="AQ44" i="88"/>
  <c r="AQ103" i="88"/>
  <c r="H9" i="88"/>
  <c r="BJ9" i="88"/>
  <c r="AQ89" i="88"/>
  <c r="AQ24" i="88"/>
  <c r="AP14" i="91"/>
  <c r="AQ13" i="91"/>
  <c r="AL76" i="88"/>
  <c r="BA10" i="86"/>
  <c r="K8" i="88"/>
  <c r="AD56" i="88"/>
  <c r="AE54" i="88"/>
  <c r="AD55" i="88"/>
  <c r="S8" i="88"/>
  <c r="AE57" i="88"/>
  <c r="E22" i="88"/>
  <c r="AE55" i="88"/>
  <c r="C17" i="88"/>
  <c r="AE56" i="88"/>
  <c r="BL56" i="86"/>
  <c r="K11" i="86"/>
  <c r="G12" i="86"/>
  <c r="L11" i="86"/>
  <c r="P11" i="86"/>
  <c r="N11" i="86"/>
  <c r="I11" i="86"/>
  <c r="W46" i="86"/>
  <c r="Y44" i="86"/>
  <c r="AL86" i="86"/>
  <c r="BI20" i="88"/>
  <c r="BH21" i="88"/>
  <c r="BI12" i="78"/>
  <c r="X52" i="78"/>
  <c r="W53" i="78"/>
  <c r="G14" i="78"/>
  <c r="BJ58" i="78"/>
  <c r="J13" i="78"/>
  <c r="AR13" i="78"/>
  <c r="AS13" i="78"/>
  <c r="K13" i="78"/>
  <c r="O13" i="78"/>
  <c r="M13" i="78"/>
  <c r="N14" i="78"/>
  <c r="P14" i="78"/>
  <c r="Q14" i="78"/>
  <c r="AF36" i="75"/>
  <c r="AF37" i="75"/>
  <c r="E24" i="75"/>
  <c r="X44" i="75"/>
  <c r="BK9" i="75"/>
  <c r="J9" i="75"/>
  <c r="BA12" i="75"/>
  <c r="J10" i="78"/>
  <c r="G13" i="66"/>
  <c r="AP15" i="75"/>
  <c r="AQ14" i="75"/>
  <c r="E15" i="59"/>
  <c r="C16" i="59"/>
  <c r="E28" i="59"/>
  <c r="C29" i="59"/>
  <c r="E29" i="59"/>
  <c r="X12" i="66"/>
  <c r="I5" i="66"/>
  <c r="C21" i="66"/>
  <c r="K12" i="66"/>
  <c r="J12" i="66"/>
  <c r="I12" i="66"/>
  <c r="W15" i="66"/>
  <c r="AB48" i="91"/>
  <c r="D25" i="91"/>
  <c r="D24" i="91"/>
  <c r="AD66" i="91"/>
  <c r="C25" i="91"/>
  <c r="C24" i="91"/>
  <c r="BI10" i="91"/>
  <c r="BH11" i="91"/>
  <c r="G12" i="91"/>
  <c r="H11" i="91"/>
  <c r="BJ11" i="91"/>
  <c r="L11" i="91"/>
  <c r="W46" i="91"/>
  <c r="BL56" i="91"/>
  <c r="I11" i="91"/>
  <c r="AR16" i="86"/>
  <c r="AE14" i="86"/>
  <c r="AG56" i="86"/>
  <c r="AF55" i="86"/>
  <c r="AR20" i="86"/>
  <c r="AR17" i="86"/>
  <c r="AR108" i="86"/>
  <c r="AR98" i="86"/>
  <c r="AR104" i="86"/>
  <c r="AR85" i="86"/>
  <c r="AR89" i="86"/>
  <c r="AR106" i="86"/>
  <c r="AR88" i="86"/>
  <c r="AR78" i="86"/>
  <c r="AR72" i="86"/>
  <c r="AR80" i="86"/>
  <c r="AR56" i="86"/>
  <c r="AR48" i="86"/>
  <c r="AR33" i="86"/>
  <c r="AR65" i="86"/>
  <c r="AF57" i="86"/>
  <c r="AF56" i="86"/>
  <c r="AR40" i="86"/>
  <c r="AR42" i="86"/>
  <c r="AR49" i="86"/>
  <c r="AR13" i="86"/>
  <c r="AR14" i="86"/>
  <c r="AR28" i="86"/>
  <c r="AR10" i="86"/>
  <c r="AR25" i="86"/>
  <c r="AR51" i="86"/>
  <c r="AR18" i="86"/>
  <c r="AR107" i="86"/>
  <c r="AR97" i="86"/>
  <c r="AR102" i="86"/>
  <c r="AR83" i="86"/>
  <c r="AR81" i="86"/>
  <c r="AR103" i="86"/>
  <c r="AR86" i="86"/>
  <c r="AR101" i="86"/>
  <c r="AR70" i="86"/>
  <c r="AR63" i="86"/>
  <c r="AR53" i="86"/>
  <c r="AR43" i="86"/>
  <c r="AR32" i="86"/>
  <c r="AR61" i="86"/>
  <c r="AR54" i="86"/>
  <c r="AR73" i="86"/>
  <c r="AR39" i="86"/>
  <c r="AR37" i="86"/>
  <c r="AE13" i="86"/>
  <c r="AR47" i="86"/>
  <c r="AR26" i="86"/>
  <c r="AR12" i="86"/>
  <c r="AR22" i="86"/>
  <c r="AR29" i="86"/>
  <c r="AR90" i="86"/>
  <c r="AR91" i="86"/>
  <c r="AR95" i="86"/>
  <c r="AR74" i="86"/>
  <c r="AR69" i="86"/>
  <c r="AR35" i="86"/>
  <c r="AR57" i="86"/>
  <c r="AR45" i="86"/>
  <c r="AR24" i="86"/>
  <c r="AR30" i="86"/>
  <c r="AR55" i="86"/>
  <c r="AR23" i="86"/>
  <c r="AR15" i="86"/>
  <c r="AR105" i="86"/>
  <c r="AR94" i="86"/>
  <c r="AR79" i="86"/>
  <c r="AR84" i="86"/>
  <c r="AR68" i="86"/>
  <c r="AR52" i="86"/>
  <c r="AR77" i="86"/>
  <c r="AR46" i="86"/>
  <c r="AR38" i="86"/>
  <c r="AR9" i="86"/>
  <c r="AR21" i="86"/>
  <c r="AR67" i="86"/>
  <c r="AR19" i="86"/>
  <c r="AR99" i="86"/>
  <c r="AR87" i="86"/>
  <c r="AR76" i="86"/>
  <c r="AR82" i="86"/>
  <c r="AR66" i="86"/>
  <c r="AR50" i="86"/>
  <c r="AR71" i="86"/>
  <c r="AR44" i="86"/>
  <c r="AR75" i="86"/>
  <c r="AR31" i="86"/>
  <c r="AR11" i="86"/>
  <c r="AR60" i="86"/>
  <c r="AR64" i="86"/>
  <c r="AR62" i="86"/>
  <c r="AR27" i="86"/>
  <c r="AR96" i="86"/>
  <c r="AR93" i="86"/>
  <c r="AR34" i="86"/>
  <c r="AR92" i="86"/>
  <c r="AR41" i="86"/>
  <c r="AR36" i="86"/>
  <c r="AR100" i="86"/>
  <c r="AR59" i="86"/>
  <c r="AR58" i="86"/>
  <c r="AL95" i="91"/>
  <c r="Y53" i="91"/>
  <c r="I12" i="88"/>
  <c r="BL57" i="88"/>
  <c r="L12" i="88"/>
  <c r="G13" i="88"/>
  <c r="W47" i="88"/>
  <c r="P9" i="86"/>
  <c r="C28" i="88"/>
  <c r="E28" i="88"/>
  <c r="E27" i="88"/>
  <c r="AG54" i="86"/>
  <c r="BG8" i="86"/>
  <c r="AG55" i="86"/>
  <c r="AT8" i="86"/>
  <c r="AM46" i="86"/>
  <c r="AL87" i="88"/>
  <c r="Y45" i="88"/>
  <c r="N10" i="86"/>
  <c r="K9" i="86"/>
  <c r="K10" i="86"/>
  <c r="AL85" i="86"/>
  <c r="AH49" i="86"/>
  <c r="AL91" i="78"/>
  <c r="Y54" i="78"/>
  <c r="AH49" i="75"/>
  <c r="T16" i="78"/>
  <c r="U15" i="78"/>
  <c r="AR9" i="78"/>
  <c r="BW20" i="78"/>
  <c r="BX19" i="78"/>
  <c r="AP34" i="78"/>
  <c r="AQ33" i="78"/>
  <c r="AA13" i="66"/>
  <c r="AL48" i="78"/>
  <c r="AL148" i="78"/>
  <c r="AL90" i="75"/>
  <c r="Y48" i="75"/>
  <c r="D49" i="78"/>
  <c r="E49" i="78"/>
  <c r="AF56" i="78"/>
  <c r="AL49" i="78"/>
  <c r="U14" i="75"/>
  <c r="V13" i="75"/>
  <c r="R13" i="75"/>
  <c r="G20" i="59"/>
  <c r="H19" i="59"/>
  <c r="BE25" i="59"/>
  <c r="V29" i="59"/>
  <c r="W11" i="59"/>
  <c r="V38" i="59"/>
  <c r="M5" i="66"/>
  <c r="BC84" i="59"/>
  <c r="AQ77" i="59"/>
  <c r="AP9" i="59"/>
  <c r="BG54" i="59"/>
  <c r="AY9" i="75"/>
  <c r="AW9" i="75"/>
  <c r="AT109" i="78"/>
  <c r="BE9" i="78"/>
  <c r="BG10" i="78"/>
  <c r="G21" i="59"/>
  <c r="H20" i="59"/>
  <c r="BE26" i="59"/>
  <c r="AP35" i="78"/>
  <c r="AQ34" i="78"/>
  <c r="AO9" i="78"/>
  <c r="AM48" i="78"/>
  <c r="X44" i="86"/>
  <c r="BK9" i="86"/>
  <c r="J9" i="86"/>
  <c r="AL88" i="88"/>
  <c r="Y46" i="88"/>
  <c r="AU9" i="86"/>
  <c r="G14" i="88"/>
  <c r="I13" i="88"/>
  <c r="W48" i="88"/>
  <c r="BL58" i="88"/>
  <c r="L13" i="88"/>
  <c r="AL96" i="91"/>
  <c r="Y54" i="91"/>
  <c r="L12" i="91"/>
  <c r="BL57" i="91"/>
  <c r="W47" i="91"/>
  <c r="I12" i="91"/>
  <c r="G13" i="91"/>
  <c r="H12" i="91"/>
  <c r="BJ12" i="91"/>
  <c r="G15" i="78"/>
  <c r="AR14" i="78"/>
  <c r="K14" i="78"/>
  <c r="O14" i="78"/>
  <c r="M14" i="78"/>
  <c r="W54" i="78"/>
  <c r="J14" i="78"/>
  <c r="AS14" i="78"/>
  <c r="H14" i="78"/>
  <c r="BH14" i="78"/>
  <c r="BH22" i="88"/>
  <c r="BI21" i="88"/>
  <c r="AL87" i="86"/>
  <c r="Y45" i="86"/>
  <c r="X42" i="88"/>
  <c r="BK7" i="88"/>
  <c r="AQ14" i="91"/>
  <c r="AP15" i="91"/>
  <c r="U14" i="66"/>
  <c r="G14" i="66"/>
  <c r="F15" i="66"/>
  <c r="AA14" i="66"/>
  <c r="N10" i="78"/>
  <c r="L9" i="78"/>
  <c r="V12" i="88"/>
  <c r="R12" i="88"/>
  <c r="U13" i="88"/>
  <c r="BI12" i="86"/>
  <c r="BH13" i="86"/>
  <c r="AM42" i="59"/>
  <c r="AN41" i="59"/>
  <c r="V64" i="59"/>
  <c r="AI94" i="59"/>
  <c r="AV10" i="78"/>
  <c r="AL37" i="86"/>
  <c r="AL38" i="86"/>
  <c r="AL40" i="86"/>
  <c r="AL39" i="86"/>
  <c r="P15" i="78"/>
  <c r="Q15" i="78"/>
  <c r="AL92" i="78"/>
  <c r="Y55" i="78"/>
  <c r="AG57" i="86"/>
  <c r="N9" i="86"/>
  <c r="BH12" i="91"/>
  <c r="BI11" i="91"/>
  <c r="D27" i="91"/>
  <c r="D28" i="91"/>
  <c r="D22" i="91"/>
  <c r="L13" i="66"/>
  <c r="N13" i="66"/>
  <c r="M13" i="66"/>
  <c r="AO13" i="78"/>
  <c r="AM52" i="78"/>
  <c r="G13" i="86"/>
  <c r="I12" i="86"/>
  <c r="K12" i="86"/>
  <c r="W47" i="86"/>
  <c r="L12" i="86"/>
  <c r="BL57" i="86"/>
  <c r="Q9" i="88"/>
  <c r="Q14" i="88"/>
  <c r="C46" i="88"/>
  <c r="Q12" i="88"/>
  <c r="P12" i="88"/>
  <c r="Q11" i="88"/>
  <c r="P11" i="88"/>
  <c r="C41" i="88"/>
  <c r="C18" i="88"/>
  <c r="C30" i="88"/>
  <c r="E30" i="88"/>
  <c r="Q13" i="88"/>
  <c r="Q10" i="88"/>
  <c r="P10" i="88"/>
  <c r="AG47" i="88"/>
  <c r="W10" i="88"/>
  <c r="X10" i="88"/>
  <c r="BK10" i="75"/>
  <c r="X45" i="75"/>
  <c r="J10" i="75"/>
  <c r="AO10" i="78"/>
  <c r="AM49" i="78"/>
  <c r="N9" i="75"/>
  <c r="I38" i="75"/>
  <c r="I43" i="75"/>
  <c r="I37" i="75"/>
  <c r="I41" i="75"/>
  <c r="I42" i="75"/>
  <c r="I36" i="75"/>
  <c r="AG39" i="75"/>
  <c r="I33" i="75"/>
  <c r="I35" i="75"/>
  <c r="I40" i="75"/>
  <c r="I34" i="75"/>
  <c r="I39" i="75"/>
  <c r="I44" i="75"/>
  <c r="AF38" i="75"/>
  <c r="BA11" i="86"/>
  <c r="J69" i="61"/>
  <c r="Q70" i="61"/>
  <c r="BF84" i="78"/>
  <c r="AT77" i="78"/>
  <c r="AM50" i="78"/>
  <c r="AO11" i="78"/>
  <c r="I60" i="78"/>
  <c r="I76" i="78"/>
  <c r="I92" i="78"/>
  <c r="I108" i="78"/>
  <c r="I73" i="78"/>
  <c r="I89" i="78"/>
  <c r="I105" i="78"/>
  <c r="I79" i="78"/>
  <c r="I58" i="78"/>
  <c r="I74" i="78"/>
  <c r="I90" i="78"/>
  <c r="I106" i="78"/>
  <c r="I83" i="78"/>
  <c r="I64" i="78"/>
  <c r="I80" i="78"/>
  <c r="I96" i="78"/>
  <c r="I61" i="78"/>
  <c r="I77" i="78"/>
  <c r="I93" i="78"/>
  <c r="I57" i="78"/>
  <c r="I87" i="78"/>
  <c r="I62" i="78"/>
  <c r="I78" i="78"/>
  <c r="I94" i="78"/>
  <c r="I59" i="78"/>
  <c r="I91" i="78"/>
  <c r="I68" i="78"/>
  <c r="I84" i="78"/>
  <c r="I100" i="78"/>
  <c r="I65" i="78"/>
  <c r="I81" i="78"/>
  <c r="I97" i="78"/>
  <c r="I63" i="78"/>
  <c r="I99" i="78"/>
  <c r="I66" i="78"/>
  <c r="I82" i="78"/>
  <c r="I98" i="78"/>
  <c r="I67" i="78"/>
  <c r="I95" i="78"/>
  <c r="I72" i="78"/>
  <c r="I85" i="78"/>
  <c r="I70" i="78"/>
  <c r="I103" i="78"/>
  <c r="I88" i="78"/>
  <c r="I101" i="78"/>
  <c r="I86" i="78"/>
  <c r="I104" i="78"/>
  <c r="I71" i="78"/>
  <c r="I102" i="78"/>
  <c r="I69" i="78"/>
  <c r="I107" i="78"/>
  <c r="I75" i="78"/>
  <c r="X11" i="59"/>
  <c r="W38" i="59"/>
  <c r="AI71" i="59"/>
  <c r="W29" i="59"/>
  <c r="AI62" i="59"/>
  <c r="BK10" i="86"/>
  <c r="X45" i="86"/>
  <c r="J10" i="86"/>
  <c r="BC85" i="59"/>
  <c r="AQ78" i="59"/>
  <c r="AI70" i="59"/>
  <c r="V14" i="75"/>
  <c r="R14" i="75"/>
  <c r="U15" i="75"/>
  <c r="AL91" i="75"/>
  <c r="Y49" i="75"/>
  <c r="BX20" i="78"/>
  <c r="BW21" i="78"/>
  <c r="U16" i="78"/>
  <c r="T17" i="78"/>
  <c r="BA10" i="91"/>
  <c r="W16" i="66"/>
  <c r="S12" i="66"/>
  <c r="T12" i="66"/>
  <c r="AP16" i="75"/>
  <c r="AQ15" i="75"/>
  <c r="X50" i="78"/>
  <c r="BI10" i="78"/>
  <c r="N15" i="78"/>
  <c r="X53" i="78"/>
  <c r="BI13" i="78"/>
  <c r="BK11" i="86"/>
  <c r="J11" i="86"/>
  <c r="X46" i="86"/>
  <c r="AH49" i="88"/>
  <c r="H13" i="88"/>
  <c r="BJ13" i="88"/>
  <c r="AG57" i="75"/>
  <c r="AG55" i="75"/>
  <c r="AG56" i="75"/>
  <c r="AF55" i="75"/>
  <c r="AG54" i="75"/>
  <c r="BQ11" i="59"/>
  <c r="BR10" i="59"/>
  <c r="BI9" i="78"/>
  <c r="X49" i="78"/>
  <c r="BA13" i="75"/>
  <c r="H12" i="86"/>
  <c r="BJ12" i="86"/>
  <c r="U13" i="86"/>
  <c r="V12" i="86"/>
  <c r="R12" i="86"/>
  <c r="E24" i="86"/>
  <c r="AF36" i="86"/>
  <c r="AF37" i="86"/>
  <c r="AF38" i="86"/>
  <c r="AF39" i="86"/>
  <c r="AF40" i="86"/>
  <c r="U13" i="91"/>
  <c r="V12" i="91"/>
  <c r="R12" i="91"/>
  <c r="C27" i="91"/>
  <c r="E24" i="91"/>
  <c r="C22" i="91"/>
  <c r="BK8" i="91"/>
  <c r="E16" i="59"/>
  <c r="C23" i="59"/>
  <c r="AC56" i="88"/>
  <c r="H11" i="75"/>
  <c r="BJ11" i="75"/>
  <c r="BL56" i="75"/>
  <c r="G12" i="75"/>
  <c r="L11" i="75"/>
  <c r="P11" i="75"/>
  <c r="N11" i="75"/>
  <c r="K11" i="75"/>
  <c r="W46" i="75"/>
  <c r="I11" i="75"/>
  <c r="X51" i="78"/>
  <c r="BI11" i="78"/>
  <c r="BH15" i="75"/>
  <c r="BI14" i="75"/>
  <c r="BG8" i="88"/>
  <c r="AF56" i="88"/>
  <c r="AT8" i="88"/>
  <c r="AM46" i="88"/>
  <c r="AG54" i="88"/>
  <c r="AF55" i="88"/>
  <c r="AG56" i="88"/>
  <c r="AG57" i="88"/>
  <c r="AG55" i="88"/>
  <c r="AU9" i="88"/>
  <c r="X46" i="75"/>
  <c r="J11" i="75"/>
  <c r="BK11" i="75"/>
  <c r="AA56" i="59"/>
  <c r="Z56" i="59"/>
  <c r="C34" i="59"/>
  <c r="E34" i="59"/>
  <c r="E23" i="59"/>
  <c r="AB57" i="59"/>
  <c r="I8" i="59"/>
  <c r="AB56" i="59"/>
  <c r="Q8" i="59"/>
  <c r="AB54" i="59"/>
  <c r="AB55" i="59"/>
  <c r="AA55" i="59"/>
  <c r="AD56" i="91"/>
  <c r="S8" i="91"/>
  <c r="AE57" i="91"/>
  <c r="AE56" i="91"/>
  <c r="K8" i="91"/>
  <c r="AE55" i="91"/>
  <c r="AE54" i="91"/>
  <c r="AD55" i="91"/>
  <c r="E22" i="91"/>
  <c r="C17" i="91"/>
  <c r="U14" i="86"/>
  <c r="V13" i="86"/>
  <c r="R13" i="86"/>
  <c r="T18" i="78"/>
  <c r="U17" i="78"/>
  <c r="Y50" i="75"/>
  <c r="AL92" i="75"/>
  <c r="BC86" i="59"/>
  <c r="AQ79" i="59"/>
  <c r="K9" i="88"/>
  <c r="K10" i="88"/>
  <c r="K11" i="88"/>
  <c r="K12" i="88"/>
  <c r="P12" i="86"/>
  <c r="BL58" i="86"/>
  <c r="L13" i="86"/>
  <c r="P13" i="86"/>
  <c r="G14" i="86"/>
  <c r="W48" i="86"/>
  <c r="K13" i="86"/>
  <c r="I13" i="86"/>
  <c r="H13" i="86"/>
  <c r="BJ13" i="86"/>
  <c r="AM43" i="59"/>
  <c r="AN42" i="59"/>
  <c r="L14" i="66"/>
  <c r="M14" i="66"/>
  <c r="N14" i="66"/>
  <c r="AQ15" i="91"/>
  <c r="AP16" i="91"/>
  <c r="Y46" i="86"/>
  <c r="AL88" i="86"/>
  <c r="AT10" i="78"/>
  <c r="AX10" i="78"/>
  <c r="AY10" i="78"/>
  <c r="BE10" i="78"/>
  <c r="BG11" i="78"/>
  <c r="AT9" i="75"/>
  <c r="AV9" i="75"/>
  <c r="BA14" i="75"/>
  <c r="V13" i="91"/>
  <c r="R13" i="91"/>
  <c r="U14" i="91"/>
  <c r="BQ12" i="59"/>
  <c r="BR11" i="59"/>
  <c r="AP17" i="75"/>
  <c r="AQ16" i="75"/>
  <c r="P16" i="78"/>
  <c r="Q16" i="78"/>
  <c r="X29" i="59"/>
  <c r="X38" i="59"/>
  <c r="AT78" i="78"/>
  <c r="BF85" i="78"/>
  <c r="C23" i="88"/>
  <c r="D23" i="88"/>
  <c r="AL36" i="88"/>
  <c r="BA11" i="91"/>
  <c r="AL93" i="78"/>
  <c r="Y56" i="78"/>
  <c r="BH14" i="86"/>
  <c r="BI13" i="86"/>
  <c r="AO14" i="78"/>
  <c r="AM53" i="78"/>
  <c r="I13" i="91"/>
  <c r="BL58" i="91"/>
  <c r="G14" i="91"/>
  <c r="H13" i="91"/>
  <c r="BJ13" i="91"/>
  <c r="W48" i="91"/>
  <c r="L13" i="91"/>
  <c r="K13" i="88"/>
  <c r="AP36" i="78"/>
  <c r="AQ35" i="78"/>
  <c r="G22" i="59"/>
  <c r="H21" i="59"/>
  <c r="BE27" i="59"/>
  <c r="BH16" i="75"/>
  <c r="BI15" i="75"/>
  <c r="G13" i="75"/>
  <c r="H12" i="75"/>
  <c r="BJ12" i="75"/>
  <c r="I12" i="75"/>
  <c r="BL57" i="75"/>
  <c r="K12" i="75"/>
  <c r="L12" i="75"/>
  <c r="P12" i="75"/>
  <c r="N12" i="75"/>
  <c r="W47" i="75"/>
  <c r="C28" i="91"/>
  <c r="E28" i="91"/>
  <c r="E27" i="91"/>
  <c r="W17" i="66"/>
  <c r="BX21" i="78"/>
  <c r="BW22" i="78"/>
  <c r="U16" i="75"/>
  <c r="V15" i="75"/>
  <c r="I49" i="75"/>
  <c r="I54" i="75"/>
  <c r="I48" i="75"/>
  <c r="I53" i="75"/>
  <c r="I47" i="75"/>
  <c r="I52" i="75"/>
  <c r="I46" i="75"/>
  <c r="I51" i="75"/>
  <c r="I56" i="75"/>
  <c r="AG40" i="75"/>
  <c r="I50" i="75"/>
  <c r="I55" i="75"/>
  <c r="I45" i="75"/>
  <c r="AF39" i="75"/>
  <c r="M9" i="75"/>
  <c r="N10" i="88"/>
  <c r="N11" i="88"/>
  <c r="P9" i="88"/>
  <c r="BK12" i="86"/>
  <c r="J12" i="86"/>
  <c r="X47" i="86"/>
  <c r="BH13" i="91"/>
  <c r="BI12" i="91"/>
  <c r="V65" i="59"/>
  <c r="AI95" i="59"/>
  <c r="BA12" i="86"/>
  <c r="R9" i="78"/>
  <c r="X54" i="78"/>
  <c r="BI14" i="78"/>
  <c r="G16" i="78"/>
  <c r="H15" i="78"/>
  <c r="BH15" i="78"/>
  <c r="P13" i="88"/>
  <c r="W49" i="88"/>
  <c r="K14" i="88"/>
  <c r="BL59" i="88"/>
  <c r="L14" i="88"/>
  <c r="G15" i="88"/>
  <c r="I14" i="88"/>
  <c r="H14" i="88"/>
  <c r="BJ14" i="88"/>
  <c r="AY9" i="86"/>
  <c r="AW9" i="86"/>
  <c r="AI61" i="59"/>
  <c r="AI148" i="59"/>
  <c r="J70" i="61"/>
  <c r="Q71" i="61"/>
  <c r="AG55" i="91"/>
  <c r="AG54" i="91"/>
  <c r="AF55" i="91"/>
  <c r="AT8" i="91"/>
  <c r="AM46" i="91"/>
  <c r="AG57" i="91"/>
  <c r="AG56" i="91"/>
  <c r="BG8" i="91"/>
  <c r="AF56" i="91"/>
  <c r="M9" i="86"/>
  <c r="U14" i="88"/>
  <c r="V13" i="88"/>
  <c r="R13" i="88"/>
  <c r="G15" i="66"/>
  <c r="F16" i="66"/>
  <c r="U15" i="66"/>
  <c r="AA15" i="66"/>
  <c r="BI22" i="88"/>
  <c r="BH23" i="88"/>
  <c r="AL97" i="91"/>
  <c r="Y55" i="91"/>
  <c r="AL89" i="88"/>
  <c r="Y47" i="88"/>
  <c r="R12" i="66"/>
  <c r="P12" i="66"/>
  <c r="H12" i="66"/>
  <c r="AL98" i="91"/>
  <c r="Y56" i="91"/>
  <c r="N9" i="88"/>
  <c r="S9" i="75"/>
  <c r="Q15" i="75"/>
  <c r="R15" i="75"/>
  <c r="F17" i="66"/>
  <c r="U16" i="66"/>
  <c r="AA16" i="66"/>
  <c r="G16" i="66"/>
  <c r="U15" i="88"/>
  <c r="V14" i="88"/>
  <c r="R14" i="88"/>
  <c r="S9" i="86"/>
  <c r="G16" i="88"/>
  <c r="H15" i="88"/>
  <c r="BJ15" i="88"/>
  <c r="G17" i="78"/>
  <c r="H16" i="78"/>
  <c r="BH16" i="78"/>
  <c r="L10" i="78"/>
  <c r="R10" i="78"/>
  <c r="V66" i="59"/>
  <c r="AI96" i="59"/>
  <c r="BA12" i="91"/>
  <c r="I71" i="75"/>
  <c r="I64" i="75"/>
  <c r="I65" i="75"/>
  <c r="I62" i="75"/>
  <c r="I57" i="75"/>
  <c r="I101" i="75"/>
  <c r="I93" i="75"/>
  <c r="I89" i="75"/>
  <c r="I100" i="75"/>
  <c r="I104" i="75"/>
  <c r="I79" i="75"/>
  <c r="I94" i="75"/>
  <c r="I77" i="75"/>
  <c r="I59" i="75"/>
  <c r="I68" i="75"/>
  <c r="I69" i="75"/>
  <c r="I66" i="75"/>
  <c r="I107" i="75"/>
  <c r="I99" i="75"/>
  <c r="I91" i="75"/>
  <c r="I87" i="75"/>
  <c r="I96" i="75"/>
  <c r="I88" i="75"/>
  <c r="I98" i="75"/>
  <c r="I75" i="75"/>
  <c r="I76" i="75"/>
  <c r="I67" i="75"/>
  <c r="I72" i="75"/>
  <c r="I73" i="75"/>
  <c r="I70" i="75"/>
  <c r="I105" i="75"/>
  <c r="I97" i="75"/>
  <c r="I106" i="75"/>
  <c r="I85" i="75"/>
  <c r="I92" i="75"/>
  <c r="I84" i="75"/>
  <c r="I90" i="75"/>
  <c r="I102" i="75"/>
  <c r="I78" i="75"/>
  <c r="I58" i="75"/>
  <c r="I95" i="75"/>
  <c r="I82" i="75"/>
  <c r="I74" i="75"/>
  <c r="I63" i="75"/>
  <c r="I108" i="75"/>
  <c r="I86" i="75"/>
  <c r="I60" i="75"/>
  <c r="I83" i="75"/>
  <c r="I80" i="75"/>
  <c r="I61" i="75"/>
  <c r="I81" i="75"/>
  <c r="I103" i="75"/>
  <c r="AF40" i="75"/>
  <c r="V16" i="75"/>
  <c r="U17" i="75"/>
  <c r="BH17" i="75"/>
  <c r="BI16" i="75"/>
  <c r="AP37" i="78"/>
  <c r="AQ36" i="78"/>
  <c r="AL38" i="88"/>
  <c r="AL39" i="88"/>
  <c r="AL37" i="88"/>
  <c r="AL40" i="88"/>
  <c r="AP18" i="75"/>
  <c r="AQ17" i="75"/>
  <c r="Y47" i="86"/>
  <c r="AL89" i="86"/>
  <c r="N13" i="86"/>
  <c r="X47" i="88"/>
  <c r="J12" i="88"/>
  <c r="BK12" i="88"/>
  <c r="Y51" i="75"/>
  <c r="AL93" i="75"/>
  <c r="U15" i="86"/>
  <c r="V14" i="86"/>
  <c r="R14" i="86"/>
  <c r="X42" i="91"/>
  <c r="BK7" i="91"/>
  <c r="J71" i="61"/>
  <c r="Q72" i="61"/>
  <c r="AT9" i="86"/>
  <c r="AV9" i="86"/>
  <c r="P14" i="88"/>
  <c r="N14" i="88"/>
  <c r="N13" i="88"/>
  <c r="BI13" i="91"/>
  <c r="BH14" i="91"/>
  <c r="BX22" i="78"/>
  <c r="BW23" i="78"/>
  <c r="W18" i="66"/>
  <c r="AF36" i="88"/>
  <c r="AF37" i="88"/>
  <c r="AF38" i="88"/>
  <c r="AF39" i="88"/>
  <c r="AF40" i="88"/>
  <c r="E23" i="88"/>
  <c r="BE11" i="78"/>
  <c r="BG12" i="78"/>
  <c r="AX11" i="78"/>
  <c r="AY11" i="78"/>
  <c r="AT11" i="78"/>
  <c r="AQ16" i="91"/>
  <c r="AP17" i="91"/>
  <c r="AM44" i="59"/>
  <c r="AN43" i="59"/>
  <c r="X48" i="86"/>
  <c r="J13" i="86"/>
  <c r="BK13" i="86"/>
  <c r="BK11" i="88"/>
  <c r="X46" i="88"/>
  <c r="J11" i="88"/>
  <c r="P17" i="78"/>
  <c r="Q17" i="78"/>
  <c r="BD9" i="59"/>
  <c r="C24" i="59"/>
  <c r="E24" i="59"/>
  <c r="AE49" i="59"/>
  <c r="S9" i="59"/>
  <c r="U54" i="59"/>
  <c r="BF7" i="59"/>
  <c r="N12" i="88"/>
  <c r="N15" i="66"/>
  <c r="L15" i="66"/>
  <c r="M15" i="66"/>
  <c r="X47" i="75"/>
  <c r="J12" i="75"/>
  <c r="BK12" i="75"/>
  <c r="G14" i="75"/>
  <c r="H13" i="75"/>
  <c r="BJ13" i="75"/>
  <c r="BL58" i="75"/>
  <c r="W48" i="75"/>
  <c r="K13" i="75"/>
  <c r="L13" i="75"/>
  <c r="P13" i="75"/>
  <c r="N13" i="75"/>
  <c r="I13" i="75"/>
  <c r="G23" i="59"/>
  <c r="H22" i="59"/>
  <c r="BE28" i="59"/>
  <c r="BA13" i="86"/>
  <c r="AL94" i="78"/>
  <c r="Y57" i="78"/>
  <c r="BR12" i="59"/>
  <c r="BQ13" i="59"/>
  <c r="AS9" i="75"/>
  <c r="AO9" i="75"/>
  <c r="AM48" i="75"/>
  <c r="X45" i="88"/>
  <c r="J10" i="88"/>
  <c r="BK10" i="88"/>
  <c r="BC87" i="59"/>
  <c r="AQ80" i="59"/>
  <c r="T19" i="78"/>
  <c r="U18" i="78"/>
  <c r="AY9" i="88"/>
  <c r="AW9" i="88"/>
  <c r="AL90" i="88"/>
  <c r="Y48" i="88"/>
  <c r="BI23" i="88"/>
  <c r="BH24" i="88"/>
  <c r="AU9" i="91"/>
  <c r="Q13" i="66"/>
  <c r="J14" i="88"/>
  <c r="X49" i="88"/>
  <c r="BK14" i="88"/>
  <c r="BA15" i="75"/>
  <c r="BK13" i="88"/>
  <c r="X48" i="88"/>
  <c r="J13" i="88"/>
  <c r="W49" i="91"/>
  <c r="L14" i="91"/>
  <c r="Q14" i="91"/>
  <c r="P14" i="91"/>
  <c r="G15" i="91"/>
  <c r="H14" i="91"/>
  <c r="BJ14" i="91"/>
  <c r="I14" i="91"/>
  <c r="BL59" i="91"/>
  <c r="BI14" i="86"/>
  <c r="BH15" i="86"/>
  <c r="BF86" i="78"/>
  <c r="AT79" i="78"/>
  <c r="V14" i="91"/>
  <c r="R14" i="91"/>
  <c r="U15" i="91"/>
  <c r="BG9" i="75"/>
  <c r="AW10" i="78"/>
  <c r="AU10" i="78"/>
  <c r="AV11" i="78"/>
  <c r="G15" i="86"/>
  <c r="K14" i="86"/>
  <c r="I14" i="86"/>
  <c r="W49" i="86"/>
  <c r="BL59" i="86"/>
  <c r="L14" i="86"/>
  <c r="P14" i="86"/>
  <c r="N14" i="86"/>
  <c r="H14" i="86"/>
  <c r="BJ14" i="86"/>
  <c r="N12" i="86"/>
  <c r="X44" i="88"/>
  <c r="BK9" i="88"/>
  <c r="J9" i="88"/>
  <c r="Q11" i="91"/>
  <c r="P11" i="91"/>
  <c r="Q13" i="91"/>
  <c r="P13" i="91"/>
  <c r="C46" i="91"/>
  <c r="Q12" i="91"/>
  <c r="P12" i="91"/>
  <c r="C18" i="91"/>
  <c r="C30" i="91"/>
  <c r="E30" i="91"/>
  <c r="C41" i="91"/>
  <c r="Q9" i="91"/>
  <c r="Q10" i="91"/>
  <c r="P10" i="91"/>
  <c r="W10" i="91"/>
  <c r="K14" i="91"/>
  <c r="X10" i="91"/>
  <c r="AG47" i="91"/>
  <c r="AH49" i="91"/>
  <c r="J9" i="59"/>
  <c r="T23" i="59"/>
  <c r="U23" i="59"/>
  <c r="T56" i="59"/>
  <c r="BK14" i="91"/>
  <c r="J14" i="91"/>
  <c r="X49" i="91"/>
  <c r="BA14" i="86"/>
  <c r="BH25" i="88"/>
  <c r="BI24" i="88"/>
  <c r="T20" i="78"/>
  <c r="U19" i="78"/>
  <c r="W19" i="66"/>
  <c r="P9" i="91"/>
  <c r="J14" i="86"/>
  <c r="X49" i="86"/>
  <c r="BK14" i="86"/>
  <c r="U16" i="91"/>
  <c r="V15" i="91"/>
  <c r="G16" i="91"/>
  <c r="H15" i="91"/>
  <c r="BJ15" i="91"/>
  <c r="BR13" i="59"/>
  <c r="BQ14" i="59"/>
  <c r="AM45" i="59"/>
  <c r="AN44" i="59"/>
  <c r="BA13" i="91"/>
  <c r="J72" i="61"/>
  <c r="Q73" i="61"/>
  <c r="Y48" i="86"/>
  <c r="AL90" i="86"/>
  <c r="BI17" i="75"/>
  <c r="BH18" i="75"/>
  <c r="V17" i="75"/>
  <c r="U18" i="75"/>
  <c r="V67" i="59"/>
  <c r="AI97" i="59"/>
  <c r="M10" i="86"/>
  <c r="C23" i="91"/>
  <c r="N14" i="91"/>
  <c r="AL91" i="88"/>
  <c r="Y49" i="88"/>
  <c r="AL94" i="75"/>
  <c r="Y52" i="75"/>
  <c r="Q16" i="75"/>
  <c r="R16" i="75"/>
  <c r="L11" i="78"/>
  <c r="R11" i="78"/>
  <c r="G18" i="78"/>
  <c r="H17" i="78"/>
  <c r="BH17" i="78"/>
  <c r="M10" i="75"/>
  <c r="S10" i="75"/>
  <c r="N10" i="91"/>
  <c r="G16" i="86"/>
  <c r="H15" i="86"/>
  <c r="BJ15" i="86"/>
  <c r="BF87" i="78"/>
  <c r="AT80" i="78"/>
  <c r="AT9" i="88"/>
  <c r="AV9" i="88"/>
  <c r="AL95" i="78"/>
  <c r="Y58" i="78"/>
  <c r="G24" i="59"/>
  <c r="H23" i="59"/>
  <c r="BE29" i="59"/>
  <c r="X48" i="75"/>
  <c r="J13" i="75"/>
  <c r="BK13" i="75"/>
  <c r="G15" i="75"/>
  <c r="H14" i="75"/>
  <c r="BJ14" i="75"/>
  <c r="BL59" i="75"/>
  <c r="W49" i="75"/>
  <c r="K14" i="75"/>
  <c r="L14" i="75"/>
  <c r="P14" i="75"/>
  <c r="I14" i="75"/>
  <c r="AU9" i="59"/>
  <c r="AV9" i="59"/>
  <c r="D23" i="91"/>
  <c r="AL36" i="91"/>
  <c r="K9" i="91"/>
  <c r="K10" i="91"/>
  <c r="K11" i="91"/>
  <c r="K12" i="91"/>
  <c r="K13" i="91"/>
  <c r="AU10" i="75"/>
  <c r="BI15" i="86"/>
  <c r="BH16" i="86"/>
  <c r="AY9" i="91"/>
  <c r="P18" i="78"/>
  <c r="Q18" i="78"/>
  <c r="AP18" i="91"/>
  <c r="AQ17" i="91"/>
  <c r="AW11" i="78"/>
  <c r="AU11" i="78"/>
  <c r="AV12" i="78"/>
  <c r="BW24" i="78"/>
  <c r="BX24" i="78"/>
  <c r="BX23" i="78"/>
  <c r="AS9" i="86"/>
  <c r="AO9" i="86"/>
  <c r="AM48" i="86"/>
  <c r="AQ18" i="75"/>
  <c r="AP19" i="75"/>
  <c r="AP38" i="78"/>
  <c r="AQ37" i="78"/>
  <c r="G17" i="88"/>
  <c r="H16" i="88"/>
  <c r="BJ16" i="88"/>
  <c r="V15" i="88"/>
  <c r="U16" i="88"/>
  <c r="O12" i="66"/>
  <c r="N12" i="91"/>
  <c r="N11" i="91"/>
  <c r="BC88" i="59"/>
  <c r="AQ81" i="59"/>
  <c r="P9" i="59"/>
  <c r="O9" i="59"/>
  <c r="N9" i="59"/>
  <c r="L9" i="59"/>
  <c r="AX12" i="78"/>
  <c r="AT12" i="78"/>
  <c r="BE12" i="78"/>
  <c r="BG13" i="78"/>
  <c r="AY12" i="78"/>
  <c r="BH15" i="91"/>
  <c r="BI14" i="91"/>
  <c r="BG9" i="86"/>
  <c r="AC56" i="91"/>
  <c r="U16" i="86"/>
  <c r="V15" i="86"/>
  <c r="BA16" i="75"/>
  <c r="M16" i="66"/>
  <c r="L16" i="66"/>
  <c r="N16" i="66"/>
  <c r="G17" i="66"/>
  <c r="U17" i="66"/>
  <c r="F18" i="66"/>
  <c r="AA17" i="66"/>
  <c r="M9" i="88"/>
  <c r="AL99" i="91"/>
  <c r="Y57" i="91"/>
  <c r="I9" i="59"/>
  <c r="K9" i="59"/>
  <c r="BK11" i="91"/>
  <c r="X46" i="91"/>
  <c r="J11" i="91"/>
  <c r="G18" i="66"/>
  <c r="F19" i="66"/>
  <c r="AA18" i="66"/>
  <c r="U18" i="66"/>
  <c r="AU10" i="86"/>
  <c r="BK10" i="91"/>
  <c r="J10" i="91"/>
  <c r="X45" i="91"/>
  <c r="AW12" i="78"/>
  <c r="AU12" i="78"/>
  <c r="AV13" i="78"/>
  <c r="V16" i="88"/>
  <c r="U17" i="88"/>
  <c r="AP20" i="75"/>
  <c r="AQ19" i="75"/>
  <c r="BH17" i="86"/>
  <c r="BI16" i="86"/>
  <c r="J13" i="91"/>
  <c r="BK13" i="91"/>
  <c r="X48" i="91"/>
  <c r="X44" i="91"/>
  <c r="BK9" i="91"/>
  <c r="J9" i="91"/>
  <c r="AL100" i="91"/>
  <c r="Y58" i="91"/>
  <c r="BA14" i="91"/>
  <c r="Q15" i="88"/>
  <c r="R15" i="88"/>
  <c r="AP19" i="91"/>
  <c r="AQ18" i="91"/>
  <c r="BA15" i="86"/>
  <c r="AY10" i="75"/>
  <c r="AW10" i="75"/>
  <c r="X47" i="91"/>
  <c r="BK12" i="91"/>
  <c r="J12" i="91"/>
  <c r="AF36" i="91"/>
  <c r="AF37" i="91"/>
  <c r="AF38" i="91"/>
  <c r="AF39" i="91"/>
  <c r="AF40" i="91"/>
  <c r="E23" i="91"/>
  <c r="AT9" i="59"/>
  <c r="AR9" i="59"/>
  <c r="AS10" i="59"/>
  <c r="N14" i="75"/>
  <c r="G25" i="59"/>
  <c r="H24" i="59"/>
  <c r="BE30" i="59"/>
  <c r="AS9" i="88"/>
  <c r="AO9" i="88"/>
  <c r="AM48" i="88"/>
  <c r="G17" i="86"/>
  <c r="H16" i="86"/>
  <c r="BJ16" i="86"/>
  <c r="AL95" i="75"/>
  <c r="Y53" i="75"/>
  <c r="V68" i="59"/>
  <c r="AI98" i="59"/>
  <c r="BI18" i="75"/>
  <c r="BH19" i="75"/>
  <c r="AL91" i="86"/>
  <c r="Y49" i="86"/>
  <c r="J73" i="61"/>
  <c r="Q74" i="61"/>
  <c r="Q15" i="91"/>
  <c r="R15" i="91"/>
  <c r="N9" i="91"/>
  <c r="W20" i="66"/>
  <c r="BI25" i="88"/>
  <c r="BH26" i="88"/>
  <c r="L17" i="66"/>
  <c r="N17" i="66"/>
  <c r="M17" i="66"/>
  <c r="Q15" i="86"/>
  <c r="R15" i="86"/>
  <c r="BH16" i="91"/>
  <c r="BI15" i="91"/>
  <c r="AL38" i="91"/>
  <c r="AL37" i="91"/>
  <c r="AL40" i="91"/>
  <c r="AL39" i="91"/>
  <c r="X49" i="75"/>
  <c r="J14" i="75"/>
  <c r="BK14" i="75"/>
  <c r="G16" i="75"/>
  <c r="H15" i="75"/>
  <c r="BJ15" i="75"/>
  <c r="Y59" i="78"/>
  <c r="AL96" i="78"/>
  <c r="BF88" i="78"/>
  <c r="AT81" i="78"/>
  <c r="M11" i="75"/>
  <c r="S11" i="75"/>
  <c r="G19" i="78"/>
  <c r="H18" i="78"/>
  <c r="BH18" i="78"/>
  <c r="L12" i="78"/>
  <c r="R12" i="78"/>
  <c r="U19" i="75"/>
  <c r="V18" i="75"/>
  <c r="BA17" i="75"/>
  <c r="U17" i="91"/>
  <c r="V16" i="91"/>
  <c r="Q19" i="78"/>
  <c r="P19" i="78"/>
  <c r="S9" i="88"/>
  <c r="AW9" i="91"/>
  <c r="S10" i="86"/>
  <c r="R17" i="75"/>
  <c r="Q17" i="75"/>
  <c r="AM46" i="59"/>
  <c r="AN45" i="59"/>
  <c r="T21" i="78"/>
  <c r="U20" i="78"/>
  <c r="N13" i="91"/>
  <c r="BE13" i="78"/>
  <c r="BG14" i="78"/>
  <c r="AY13" i="78"/>
  <c r="AT13" i="78"/>
  <c r="AX13" i="78"/>
  <c r="M10" i="59"/>
  <c r="V12" i="66"/>
  <c r="Z12" i="66"/>
  <c r="G18" i="88"/>
  <c r="H17" i="88"/>
  <c r="BJ17" i="88"/>
  <c r="U17" i="86"/>
  <c r="V16" i="86"/>
  <c r="BC89" i="59"/>
  <c r="AQ82" i="59"/>
  <c r="AQ39" i="78"/>
  <c r="AQ38" i="78"/>
  <c r="BG9" i="88"/>
  <c r="AL92" i="88"/>
  <c r="Y50" i="88"/>
  <c r="BQ15" i="59"/>
  <c r="BR14" i="59"/>
  <c r="H16" i="91"/>
  <c r="BJ16" i="91"/>
  <c r="G17" i="91"/>
  <c r="G18" i="91"/>
  <c r="H17" i="91"/>
  <c r="BJ17" i="91"/>
  <c r="G19" i="88"/>
  <c r="H18" i="88"/>
  <c r="BJ18" i="88"/>
  <c r="L13" i="78"/>
  <c r="R13" i="78"/>
  <c r="BQ16" i="59"/>
  <c r="BR15" i="59"/>
  <c r="AU10" i="88"/>
  <c r="BC90" i="59"/>
  <c r="AQ83" i="59"/>
  <c r="AW13" i="78"/>
  <c r="AU13" i="78"/>
  <c r="AV14" i="78"/>
  <c r="Q20" i="78"/>
  <c r="P20" i="78"/>
  <c r="AM47" i="59"/>
  <c r="AN46" i="59"/>
  <c r="AT9" i="91"/>
  <c r="AV9" i="91"/>
  <c r="AL97" i="78"/>
  <c r="Y60" i="78"/>
  <c r="M9" i="91"/>
  <c r="AL92" i="86"/>
  <c r="Y50" i="86"/>
  <c r="AQ19" i="91"/>
  <c r="AP20" i="91"/>
  <c r="Y51" i="88"/>
  <c r="AL93" i="88"/>
  <c r="AQ40" i="78"/>
  <c r="AR39" i="78"/>
  <c r="R16" i="86"/>
  <c r="Q16" i="86"/>
  <c r="M11" i="86"/>
  <c r="M10" i="88"/>
  <c r="S10" i="88"/>
  <c r="Q16" i="91"/>
  <c r="R16" i="91"/>
  <c r="BH27" i="88"/>
  <c r="BI26" i="88"/>
  <c r="V69" i="59"/>
  <c r="AI99" i="59"/>
  <c r="AL101" i="91"/>
  <c r="Y59" i="91"/>
  <c r="AP21" i="75"/>
  <c r="AQ20" i="75"/>
  <c r="AY10" i="86"/>
  <c r="AW10" i="86"/>
  <c r="G19" i="66"/>
  <c r="F20" i="66"/>
  <c r="U19" i="66"/>
  <c r="AA19" i="66"/>
  <c r="U56" i="59"/>
  <c r="Q9" i="59"/>
  <c r="K13" i="66"/>
  <c r="J13" i="66"/>
  <c r="I13" i="66"/>
  <c r="X13" i="66"/>
  <c r="U21" i="78"/>
  <c r="T22" i="78"/>
  <c r="M12" i="75"/>
  <c r="S12" i="75"/>
  <c r="U18" i="86"/>
  <c r="V17" i="86"/>
  <c r="V17" i="91"/>
  <c r="U18" i="91"/>
  <c r="R18" i="75"/>
  <c r="Q18" i="75"/>
  <c r="G17" i="75"/>
  <c r="H16" i="75"/>
  <c r="BJ16" i="75"/>
  <c r="BA15" i="91"/>
  <c r="BA19" i="88"/>
  <c r="W21" i="66"/>
  <c r="J74" i="61"/>
  <c r="Q75" i="61"/>
  <c r="BH20" i="75"/>
  <c r="BI19" i="75"/>
  <c r="AL96" i="75"/>
  <c r="Y54" i="75"/>
  <c r="G18" i="86"/>
  <c r="H17" i="86"/>
  <c r="BJ17" i="86"/>
  <c r="AO9" i="59"/>
  <c r="BA16" i="86"/>
  <c r="V17" i="88"/>
  <c r="U18" i="88"/>
  <c r="M18" i="66"/>
  <c r="N18" i="66"/>
  <c r="L18" i="66"/>
  <c r="BF9" i="59"/>
  <c r="BE14" i="78"/>
  <c r="AX14" i="78"/>
  <c r="AY14" i="78"/>
  <c r="AT14" i="78"/>
  <c r="U20" i="75"/>
  <c r="V19" i="75"/>
  <c r="G20" i="78"/>
  <c r="H19" i="78"/>
  <c r="BH25" i="78"/>
  <c r="AT82" i="78"/>
  <c r="BF89" i="78"/>
  <c r="BH17" i="91"/>
  <c r="BI16" i="91"/>
  <c r="BA18" i="75"/>
  <c r="G26" i="59"/>
  <c r="H25" i="59"/>
  <c r="BE31" i="59"/>
  <c r="AT10" i="75"/>
  <c r="AV10" i="75"/>
  <c r="BI17" i="86"/>
  <c r="BH18" i="86"/>
  <c r="R16" i="88"/>
  <c r="Q16" i="88"/>
  <c r="BG10" i="75"/>
  <c r="BG9" i="91"/>
  <c r="M13" i="75"/>
  <c r="S13" i="75"/>
  <c r="BH19" i="86"/>
  <c r="BI18" i="86"/>
  <c r="BF90" i="78"/>
  <c r="AT83" i="78"/>
  <c r="G21" i="78"/>
  <c r="H20" i="78"/>
  <c r="BH26" i="78"/>
  <c r="M11" i="88"/>
  <c r="S11" i="88"/>
  <c r="BA17" i="86"/>
  <c r="AW14" i="78"/>
  <c r="AU14" i="78"/>
  <c r="AV15" i="78"/>
  <c r="G18" i="75"/>
  <c r="H17" i="75"/>
  <c r="BJ17" i="75"/>
  <c r="S13" i="66"/>
  <c r="T13" i="66"/>
  <c r="T57" i="59"/>
  <c r="J10" i="59"/>
  <c r="S10" i="59"/>
  <c r="BA20" i="88"/>
  <c r="S9" i="91"/>
  <c r="AL98" i="78"/>
  <c r="Y61" i="78"/>
  <c r="AM48" i="59"/>
  <c r="AN47" i="59"/>
  <c r="AS10" i="75"/>
  <c r="AO10" i="75"/>
  <c r="AM49" i="75"/>
  <c r="AL9" i="59"/>
  <c r="AJ48" i="59"/>
  <c r="Q76" i="61"/>
  <c r="J75" i="61"/>
  <c r="Q21" i="78"/>
  <c r="P21" i="78"/>
  <c r="G27" i="59"/>
  <c r="H26" i="59"/>
  <c r="BE32" i="59"/>
  <c r="BA16" i="91"/>
  <c r="R19" i="75"/>
  <c r="Q19" i="75"/>
  <c r="V18" i="88"/>
  <c r="U19" i="88"/>
  <c r="V18" i="91"/>
  <c r="U19" i="91"/>
  <c r="AT10" i="86"/>
  <c r="AV10" i="86"/>
  <c r="AL102" i="91"/>
  <c r="Y60" i="91"/>
  <c r="V70" i="59"/>
  <c r="AI100" i="59"/>
  <c r="BI27" i="88"/>
  <c r="BH28" i="88"/>
  <c r="AL94" i="88"/>
  <c r="Y52" i="88"/>
  <c r="AQ20" i="91"/>
  <c r="AP21" i="91"/>
  <c r="AO9" i="91"/>
  <c r="AM48" i="91"/>
  <c r="AS9" i="91"/>
  <c r="AY10" i="88"/>
  <c r="AW10" i="88"/>
  <c r="BG15" i="78"/>
  <c r="AS15" i="78"/>
  <c r="Q17" i="86"/>
  <c r="R17" i="86"/>
  <c r="BH18" i="91"/>
  <c r="BI17" i="91"/>
  <c r="U21" i="75"/>
  <c r="V20" i="75"/>
  <c r="R17" i="88"/>
  <c r="Q17" i="88"/>
  <c r="AQ9" i="59"/>
  <c r="G19" i="86"/>
  <c r="H18" i="86"/>
  <c r="BJ18" i="86"/>
  <c r="BI20" i="75"/>
  <c r="BH21" i="75"/>
  <c r="R17" i="91"/>
  <c r="Q17" i="91"/>
  <c r="U19" i="86"/>
  <c r="V18" i="86"/>
  <c r="U22" i="78"/>
  <c r="T23" i="78"/>
  <c r="U20" i="66"/>
  <c r="G20" i="66"/>
  <c r="F21" i="66"/>
  <c r="AA20" i="66"/>
  <c r="S11" i="86"/>
  <c r="AL93" i="86"/>
  <c r="Y51" i="86"/>
  <c r="BC91" i="59"/>
  <c r="AQ84" i="59"/>
  <c r="G19" i="91"/>
  <c r="H18" i="91"/>
  <c r="BJ18" i="91"/>
  <c r="AL97" i="75"/>
  <c r="Y55" i="75"/>
  <c r="W22" i="66"/>
  <c r="L19" i="66"/>
  <c r="N19" i="66"/>
  <c r="M19" i="66"/>
  <c r="AP22" i="75"/>
  <c r="AQ21" i="75"/>
  <c r="AQ41" i="78"/>
  <c r="AR40" i="78"/>
  <c r="BR16" i="59"/>
  <c r="BQ17" i="59"/>
  <c r="L14" i="78"/>
  <c r="R14" i="78"/>
  <c r="G20" i="88"/>
  <c r="H19" i="88"/>
  <c r="BJ19" i="88"/>
  <c r="M14" i="75"/>
  <c r="S14" i="75"/>
  <c r="M12" i="88"/>
  <c r="S12" i="88"/>
  <c r="W55" i="78"/>
  <c r="K15" i="78"/>
  <c r="U21" i="66"/>
  <c r="G21" i="66"/>
  <c r="F22" i="66"/>
  <c r="AA21" i="66"/>
  <c r="Q18" i="86"/>
  <c r="R18" i="86"/>
  <c r="BI21" i="75"/>
  <c r="BH22" i="75"/>
  <c r="BB9" i="59"/>
  <c r="R20" i="75"/>
  <c r="Q20" i="75"/>
  <c r="BQ18" i="59"/>
  <c r="BR18" i="59"/>
  <c r="BR17" i="59"/>
  <c r="T24" i="78"/>
  <c r="U23" i="78"/>
  <c r="AX15" i="78"/>
  <c r="AT15" i="78"/>
  <c r="BE15" i="78"/>
  <c r="AY15" i="78"/>
  <c r="AP22" i="91"/>
  <c r="AQ21" i="91"/>
  <c r="V71" i="59"/>
  <c r="AI101" i="59"/>
  <c r="AP42" i="78"/>
  <c r="AR41" i="78"/>
  <c r="AL98" i="75"/>
  <c r="Y56" i="75"/>
  <c r="G20" i="91"/>
  <c r="H19" i="91"/>
  <c r="BJ19" i="91"/>
  <c r="Y52" i="86"/>
  <c r="AL94" i="86"/>
  <c r="P22" i="78"/>
  <c r="Q22" i="78"/>
  <c r="BH19" i="91"/>
  <c r="BI18" i="91"/>
  <c r="BI28" i="88"/>
  <c r="BH29" i="88"/>
  <c r="AL103" i="91"/>
  <c r="Y61" i="91"/>
  <c r="V19" i="88"/>
  <c r="U20" i="88"/>
  <c r="G28" i="59"/>
  <c r="H27" i="59"/>
  <c r="BE33" i="59"/>
  <c r="M10" i="91"/>
  <c r="S10" i="91"/>
  <c r="O10" i="59"/>
  <c r="P10" i="59"/>
  <c r="AT84" i="78"/>
  <c r="BF91" i="78"/>
  <c r="AU10" i="91"/>
  <c r="AW15" i="78"/>
  <c r="AU15" i="78"/>
  <c r="AR15" i="78"/>
  <c r="AS109" i="78"/>
  <c r="D45" i="78"/>
  <c r="D46" i="78"/>
  <c r="AL95" i="88"/>
  <c r="Y53" i="88"/>
  <c r="BA21" i="88"/>
  <c r="AZ21" i="88"/>
  <c r="R18" i="88"/>
  <c r="Q18" i="88"/>
  <c r="AM49" i="59"/>
  <c r="AN48" i="59"/>
  <c r="N10" i="59"/>
  <c r="L10" i="59"/>
  <c r="R13" i="66"/>
  <c r="P13" i="66"/>
  <c r="Q14" i="66"/>
  <c r="G22" i="78"/>
  <c r="H21" i="78"/>
  <c r="BH27" i="78"/>
  <c r="G21" i="88"/>
  <c r="H20" i="88"/>
  <c r="BJ20" i="88"/>
  <c r="AP23" i="75"/>
  <c r="AQ22" i="75"/>
  <c r="L20" i="66"/>
  <c r="N20" i="66"/>
  <c r="M20" i="66"/>
  <c r="V19" i="86"/>
  <c r="U20" i="86"/>
  <c r="U22" i="75"/>
  <c r="V21" i="75"/>
  <c r="AT10" i="88"/>
  <c r="AV10" i="88"/>
  <c r="AM49" i="86"/>
  <c r="AS10" i="86"/>
  <c r="AO10" i="86"/>
  <c r="U20" i="91"/>
  <c r="V19" i="91"/>
  <c r="J76" i="61"/>
  <c r="Q77" i="61"/>
  <c r="Y62" i="78"/>
  <c r="AL99" i="78"/>
  <c r="BA18" i="86"/>
  <c r="AU11" i="75"/>
  <c r="W23" i="66"/>
  <c r="BC92" i="59"/>
  <c r="AQ85" i="59"/>
  <c r="M12" i="86"/>
  <c r="S12" i="86"/>
  <c r="G20" i="86"/>
  <c r="H19" i="86"/>
  <c r="BJ19" i="86"/>
  <c r="BA17" i="91"/>
  <c r="BG10" i="86"/>
  <c r="R18" i="91"/>
  <c r="Q18" i="91"/>
  <c r="H18" i="75"/>
  <c r="BJ18" i="75"/>
  <c r="G19" i="75"/>
  <c r="BI19" i="86"/>
  <c r="BH20" i="86"/>
  <c r="M13" i="86"/>
  <c r="S13" i="86"/>
  <c r="M13" i="88"/>
  <c r="S13" i="88"/>
  <c r="W50" i="75"/>
  <c r="L15" i="75"/>
  <c r="P15" i="75"/>
  <c r="BI20" i="86"/>
  <c r="BH21" i="86"/>
  <c r="AY11" i="75"/>
  <c r="AW11" i="75"/>
  <c r="G21" i="86"/>
  <c r="H20" i="86"/>
  <c r="BJ20" i="86"/>
  <c r="W24" i="66"/>
  <c r="Y63" i="78"/>
  <c r="AL100" i="78"/>
  <c r="AS10" i="88"/>
  <c r="AM49" i="88"/>
  <c r="AO10" i="88"/>
  <c r="R21" i="75"/>
  <c r="Q21" i="75"/>
  <c r="G22" i="88"/>
  <c r="H21" i="88"/>
  <c r="BJ21" i="88"/>
  <c r="I10" i="59"/>
  <c r="AL104" i="91"/>
  <c r="Y62" i="91"/>
  <c r="BI19" i="91"/>
  <c r="BH20" i="91"/>
  <c r="AL95" i="86"/>
  <c r="Y53" i="86"/>
  <c r="AQ22" i="91"/>
  <c r="AP23" i="91"/>
  <c r="AV16" i="78"/>
  <c r="O15" i="78"/>
  <c r="M15" i="78"/>
  <c r="G20" i="75"/>
  <c r="H19" i="75"/>
  <c r="BJ19" i="75"/>
  <c r="Q78" i="61"/>
  <c r="J77" i="61"/>
  <c r="R19" i="91"/>
  <c r="Q19" i="91"/>
  <c r="BG10" i="88"/>
  <c r="U23" i="75"/>
  <c r="V22" i="75"/>
  <c r="V20" i="86"/>
  <c r="U21" i="86"/>
  <c r="AQ23" i="75"/>
  <c r="AP24" i="75"/>
  <c r="G23" i="78"/>
  <c r="H22" i="78"/>
  <c r="BH28" i="78"/>
  <c r="AL96" i="88"/>
  <c r="Y54" i="88"/>
  <c r="D51" i="78"/>
  <c r="E46" i="78"/>
  <c r="G29" i="59"/>
  <c r="H28" i="59"/>
  <c r="BE34" i="59"/>
  <c r="BG55" i="59"/>
  <c r="AP10" i="59"/>
  <c r="BD10" i="59"/>
  <c r="U22" i="66"/>
  <c r="AA22" i="66"/>
  <c r="F23" i="66"/>
  <c r="G22" i="66"/>
  <c r="H13" i="66"/>
  <c r="O13" i="66"/>
  <c r="U21" i="91"/>
  <c r="V20" i="91"/>
  <c r="Q19" i="86"/>
  <c r="R19" i="86"/>
  <c r="AM50" i="59"/>
  <c r="AN49" i="59"/>
  <c r="AM54" i="78"/>
  <c r="AO15" i="78"/>
  <c r="AO7" i="78"/>
  <c r="AR109" i="78"/>
  <c r="D44" i="78"/>
  <c r="AC51" i="78"/>
  <c r="AB51" i="78"/>
  <c r="AY10" i="91"/>
  <c r="AW10" i="91"/>
  <c r="M11" i="59"/>
  <c r="V20" i="88"/>
  <c r="U21" i="88"/>
  <c r="BH30" i="88"/>
  <c r="BI29" i="88"/>
  <c r="AP43" i="78"/>
  <c r="AQ42" i="78"/>
  <c r="V72" i="59"/>
  <c r="AI102" i="59"/>
  <c r="BG16" i="78"/>
  <c r="AS16" i="78"/>
  <c r="Q23" i="78"/>
  <c r="P23" i="78"/>
  <c r="L21" i="66"/>
  <c r="N21" i="66"/>
  <c r="M21" i="66"/>
  <c r="AU11" i="86"/>
  <c r="BC93" i="59"/>
  <c r="AQ86" i="59"/>
  <c r="AT85" i="78"/>
  <c r="BF92" i="78"/>
  <c r="M11" i="91"/>
  <c r="S11" i="91"/>
  <c r="R19" i="88"/>
  <c r="Q19" i="88"/>
  <c r="AZ22" i="88"/>
  <c r="BA22" i="88"/>
  <c r="BA18" i="91"/>
  <c r="H20" i="91"/>
  <c r="BJ20" i="91"/>
  <c r="G21" i="91"/>
  <c r="AL99" i="75"/>
  <c r="Y57" i="75"/>
  <c r="T25" i="78"/>
  <c r="U24" i="78"/>
  <c r="BH23" i="75"/>
  <c r="BI22" i="75"/>
  <c r="V13" i="66"/>
  <c r="Z13" i="66"/>
  <c r="M14" i="86"/>
  <c r="S14" i="86"/>
  <c r="BH24" i="75"/>
  <c r="BI23" i="75"/>
  <c r="AZ23" i="88"/>
  <c r="BA23" i="88"/>
  <c r="P24" i="78"/>
  <c r="Q24" i="78"/>
  <c r="AL100" i="75"/>
  <c r="Y58" i="75"/>
  <c r="V73" i="59"/>
  <c r="AI103" i="59"/>
  <c r="BI30" i="88"/>
  <c r="BH31" i="88"/>
  <c r="AN148" i="78"/>
  <c r="D56" i="78"/>
  <c r="AM148" i="78"/>
  <c r="AP25" i="75"/>
  <c r="AQ24" i="75"/>
  <c r="R20" i="86"/>
  <c r="Q20" i="86"/>
  <c r="N16" i="78"/>
  <c r="J15" i="78"/>
  <c r="L15" i="78"/>
  <c r="R15" i="78"/>
  <c r="BF10" i="59"/>
  <c r="K10" i="59"/>
  <c r="AL101" i="78"/>
  <c r="Y64" i="78"/>
  <c r="U25" i="78"/>
  <c r="T26" i="78"/>
  <c r="M12" i="91"/>
  <c r="S12" i="91"/>
  <c r="U22" i="88"/>
  <c r="V21" i="88"/>
  <c r="AM51" i="59"/>
  <c r="AN50" i="59"/>
  <c r="Q20" i="91"/>
  <c r="R20" i="91"/>
  <c r="G30" i="59"/>
  <c r="H29" i="59"/>
  <c r="BE35" i="59"/>
  <c r="R22" i="75"/>
  <c r="Q22" i="75"/>
  <c r="Q79" i="61"/>
  <c r="J78" i="61"/>
  <c r="Y54" i="86"/>
  <c r="AL96" i="86"/>
  <c r="Y63" i="91"/>
  <c r="AL105" i="91"/>
  <c r="G23" i="88"/>
  <c r="H22" i="88"/>
  <c r="BJ22" i="88"/>
  <c r="AT11" i="75"/>
  <c r="AV11" i="75"/>
  <c r="BH22" i="86"/>
  <c r="BI21" i="86"/>
  <c r="M14" i="88"/>
  <c r="S14" i="88"/>
  <c r="AT10" i="91"/>
  <c r="AV10" i="91"/>
  <c r="N22" i="66"/>
  <c r="M22" i="66"/>
  <c r="L22" i="66"/>
  <c r="D52" i="78"/>
  <c r="D53" i="78"/>
  <c r="D54" i="78"/>
  <c r="G22" i="91"/>
  <c r="H21" i="91"/>
  <c r="BJ21" i="91"/>
  <c r="BC94" i="59"/>
  <c r="AQ87" i="59"/>
  <c r="AY11" i="86"/>
  <c r="AW11" i="86"/>
  <c r="BE16" i="78"/>
  <c r="AY16" i="78"/>
  <c r="AX16" i="78"/>
  <c r="AT16" i="78"/>
  <c r="AP44" i="78"/>
  <c r="AQ43" i="78"/>
  <c r="R20" i="88"/>
  <c r="Q20" i="88"/>
  <c r="V21" i="91"/>
  <c r="U22" i="91"/>
  <c r="U23" i="66"/>
  <c r="F24" i="66"/>
  <c r="AA23" i="66"/>
  <c r="G23" i="66"/>
  <c r="AU10" i="59"/>
  <c r="AT10" i="59"/>
  <c r="AV10" i="59"/>
  <c r="AR10" i="59"/>
  <c r="AL97" i="88"/>
  <c r="Y55" i="88"/>
  <c r="G24" i="78"/>
  <c r="H23" i="78"/>
  <c r="BH29" i="78"/>
  <c r="V23" i="75"/>
  <c r="U24" i="75"/>
  <c r="H20" i="75"/>
  <c r="BJ20" i="75"/>
  <c r="G21" i="75"/>
  <c r="W25" i="66"/>
  <c r="BF93" i="78"/>
  <c r="AT86" i="78"/>
  <c r="D57" i="78"/>
  <c r="BL33" i="78"/>
  <c r="V21" i="86"/>
  <c r="U22" i="86"/>
  <c r="AU11" i="88"/>
  <c r="AP24" i="91"/>
  <c r="AQ23" i="91"/>
  <c r="BI20" i="91"/>
  <c r="BH21" i="91"/>
  <c r="G22" i="86"/>
  <c r="H21" i="86"/>
  <c r="BJ21" i="86"/>
  <c r="N15" i="75"/>
  <c r="AO10" i="59"/>
  <c r="AQ10" i="59"/>
  <c r="L15" i="86"/>
  <c r="W50" i="86"/>
  <c r="L15" i="88"/>
  <c r="W50" i="88"/>
  <c r="BG11" i="75"/>
  <c r="K15" i="75"/>
  <c r="M15" i="75"/>
  <c r="S15" i="75"/>
  <c r="G23" i="86"/>
  <c r="H22" i="86"/>
  <c r="BJ22" i="86"/>
  <c r="AY11" i="88"/>
  <c r="AW11" i="88"/>
  <c r="R21" i="86"/>
  <c r="Q21" i="86"/>
  <c r="BF94" i="78"/>
  <c r="AT87" i="78"/>
  <c r="W26" i="66"/>
  <c r="BC95" i="59"/>
  <c r="AQ88" i="59"/>
  <c r="AW16" i="78"/>
  <c r="AU16" i="78"/>
  <c r="AR16" i="78"/>
  <c r="Y65" i="78"/>
  <c r="AL102" i="78"/>
  <c r="BI15" i="78"/>
  <c r="X55" i="78"/>
  <c r="BA24" i="88"/>
  <c r="AZ24" i="88"/>
  <c r="Y59" i="75"/>
  <c r="AL101" i="75"/>
  <c r="G24" i="88"/>
  <c r="H23" i="88"/>
  <c r="BJ23" i="88"/>
  <c r="AM52" i="59"/>
  <c r="AN51" i="59"/>
  <c r="M13" i="91"/>
  <c r="S13" i="91"/>
  <c r="BH25" i="75"/>
  <c r="BI24" i="75"/>
  <c r="U25" i="75"/>
  <c r="V24" i="75"/>
  <c r="V22" i="91"/>
  <c r="U23" i="91"/>
  <c r="AT11" i="86"/>
  <c r="BI22" i="86"/>
  <c r="BH23" i="86"/>
  <c r="AL97" i="86"/>
  <c r="Y55" i="86"/>
  <c r="AP25" i="91"/>
  <c r="AQ24" i="91"/>
  <c r="R23" i="75"/>
  <c r="Q23" i="75"/>
  <c r="G25" i="78"/>
  <c r="H24" i="78"/>
  <c r="BH30" i="78"/>
  <c r="AS11" i="59"/>
  <c r="U24" i="66"/>
  <c r="AA24" i="66"/>
  <c r="F25" i="66"/>
  <c r="G24" i="66"/>
  <c r="R21" i="91"/>
  <c r="Q21" i="91"/>
  <c r="AP45" i="78"/>
  <c r="AQ44" i="78"/>
  <c r="BG17" i="78"/>
  <c r="AS17" i="78"/>
  <c r="G23" i="91"/>
  <c r="H22" i="91"/>
  <c r="BJ22" i="91"/>
  <c r="AM49" i="91"/>
  <c r="AS10" i="91"/>
  <c r="AO10" i="91"/>
  <c r="J79" i="61"/>
  <c r="Q80" i="61"/>
  <c r="R21" i="88"/>
  <c r="Q21" i="88"/>
  <c r="T27" i="78"/>
  <c r="U26" i="78"/>
  <c r="AP26" i="75"/>
  <c r="AQ25" i="75"/>
  <c r="V74" i="59"/>
  <c r="AI104" i="59"/>
  <c r="K14" i="66"/>
  <c r="J14" i="66"/>
  <c r="I14" i="66"/>
  <c r="X14" i="66"/>
  <c r="BI21" i="91"/>
  <c r="BH22" i="91"/>
  <c r="U23" i="86"/>
  <c r="V22" i="86"/>
  <c r="G22" i="75"/>
  <c r="H21" i="75"/>
  <c r="BJ21" i="75"/>
  <c r="AL98" i="88"/>
  <c r="Y56" i="88"/>
  <c r="N23" i="66"/>
  <c r="M23" i="66"/>
  <c r="L23" i="66"/>
  <c r="BG10" i="91"/>
  <c r="AO11" i="75"/>
  <c r="AM50" i="75"/>
  <c r="AS11" i="75"/>
  <c r="AL106" i="91"/>
  <c r="Y64" i="91"/>
  <c r="G31" i="59"/>
  <c r="H30" i="59"/>
  <c r="BE36" i="59"/>
  <c r="U23" i="88"/>
  <c r="V22" i="88"/>
  <c r="P25" i="78"/>
  <c r="Q25" i="78"/>
  <c r="U57" i="59"/>
  <c r="Q10" i="59"/>
  <c r="W56" i="78"/>
  <c r="K16" i="78"/>
  <c r="BH32" i="88"/>
  <c r="BI31" i="88"/>
  <c r="M14" i="91"/>
  <c r="S14" i="91"/>
  <c r="BB10" i="59"/>
  <c r="BA25" i="88"/>
  <c r="AZ25" i="88"/>
  <c r="H23" i="91"/>
  <c r="BJ23" i="91"/>
  <c r="G24" i="91"/>
  <c r="U25" i="66"/>
  <c r="F26" i="66"/>
  <c r="AA25" i="66"/>
  <c r="G25" i="66"/>
  <c r="O16" i="78"/>
  <c r="M16" i="78"/>
  <c r="J11" i="59"/>
  <c r="T58" i="59"/>
  <c r="S11" i="59"/>
  <c r="Y57" i="88"/>
  <c r="AL99" i="88"/>
  <c r="R22" i="86"/>
  <c r="Q22" i="86"/>
  <c r="T28" i="78"/>
  <c r="U27" i="78"/>
  <c r="M24" i="66"/>
  <c r="L24" i="66"/>
  <c r="N24" i="66"/>
  <c r="AL98" i="86"/>
  <c r="Y56" i="86"/>
  <c r="U24" i="91"/>
  <c r="V23" i="91"/>
  <c r="R24" i="75"/>
  <c r="Q24" i="75"/>
  <c r="W27" i="66"/>
  <c r="AT88" i="78"/>
  <c r="BF95" i="78"/>
  <c r="R22" i="88"/>
  <c r="Q22" i="88"/>
  <c r="AU11" i="91"/>
  <c r="U24" i="86"/>
  <c r="V23" i="86"/>
  <c r="V75" i="59"/>
  <c r="AI105" i="59"/>
  <c r="R22" i="91"/>
  <c r="Q22" i="91"/>
  <c r="AM53" i="59"/>
  <c r="AN52" i="59"/>
  <c r="BC96" i="59"/>
  <c r="AQ89" i="59"/>
  <c r="AT11" i="88"/>
  <c r="AV11" i="88"/>
  <c r="P15" i="88"/>
  <c r="AP46" i="78"/>
  <c r="AQ45" i="78"/>
  <c r="AP26" i="91"/>
  <c r="AQ25" i="91"/>
  <c r="AS11" i="86"/>
  <c r="AO11" i="86"/>
  <c r="AM50" i="86"/>
  <c r="U26" i="75"/>
  <c r="V25" i="75"/>
  <c r="BH23" i="91"/>
  <c r="BI22" i="91"/>
  <c r="T14" i="66"/>
  <c r="S14" i="66"/>
  <c r="G26" i="78"/>
  <c r="H25" i="78"/>
  <c r="BH31" i="78"/>
  <c r="BI23" i="86"/>
  <c r="BH24" i="86"/>
  <c r="AV11" i="86"/>
  <c r="G25" i="88"/>
  <c r="H24" i="88"/>
  <c r="BJ24" i="88"/>
  <c r="AL103" i="78"/>
  <c r="Y66" i="78"/>
  <c r="AV17" i="78"/>
  <c r="G24" i="86"/>
  <c r="H23" i="86"/>
  <c r="BJ23" i="86"/>
  <c r="BK15" i="75"/>
  <c r="J15" i="75"/>
  <c r="X50" i="75"/>
  <c r="AU12" i="75"/>
  <c r="P15" i="86"/>
  <c r="BH33" i="88"/>
  <c r="BI32" i="88"/>
  <c r="V23" i="88"/>
  <c r="U24" i="88"/>
  <c r="G32" i="59"/>
  <c r="H31" i="59"/>
  <c r="BE37" i="59"/>
  <c r="Y65" i="91"/>
  <c r="AL107" i="91"/>
  <c r="G23" i="75"/>
  <c r="H22" i="75"/>
  <c r="BJ22" i="75"/>
  <c r="R14" i="66"/>
  <c r="P14" i="66"/>
  <c r="AQ26" i="75"/>
  <c r="AP27" i="75"/>
  <c r="Q26" i="78"/>
  <c r="P26" i="78"/>
  <c r="Q81" i="61"/>
  <c r="J80" i="61"/>
  <c r="AY17" i="78"/>
  <c r="AX17" i="78"/>
  <c r="AW17" i="78"/>
  <c r="AU17" i="78"/>
  <c r="AR17" i="78"/>
  <c r="AT17" i="78"/>
  <c r="BE17" i="78"/>
  <c r="BH26" i="75"/>
  <c r="BI25" i="75"/>
  <c r="Y60" i="75"/>
  <c r="AL102" i="75"/>
  <c r="AO16" i="78"/>
  <c r="AM55" i="78"/>
  <c r="L16" i="75"/>
  <c r="P16" i="75"/>
  <c r="N16" i="75"/>
  <c r="W51" i="75"/>
  <c r="AJ49" i="59"/>
  <c r="AL10" i="59"/>
  <c r="BG11" i="88"/>
  <c r="AM56" i="78"/>
  <c r="AO17" i="78"/>
  <c r="Q82" i="61"/>
  <c r="J81" i="61"/>
  <c r="Q23" i="88"/>
  <c r="R23" i="88"/>
  <c r="N15" i="86"/>
  <c r="G25" i="86"/>
  <c r="H24" i="86"/>
  <c r="BJ24" i="86"/>
  <c r="BG11" i="86"/>
  <c r="G27" i="78"/>
  <c r="H26" i="78"/>
  <c r="BH32" i="78"/>
  <c r="Q25" i="75"/>
  <c r="R25" i="75"/>
  <c r="N15" i="88"/>
  <c r="AM54" i="59"/>
  <c r="AN53" i="59"/>
  <c r="Y57" i="86"/>
  <c r="AL99" i="86"/>
  <c r="O11" i="59"/>
  <c r="P11" i="59"/>
  <c r="AP11" i="59"/>
  <c r="BG56" i="59"/>
  <c r="BD11" i="59"/>
  <c r="BG18" i="78"/>
  <c r="AS18" i="78"/>
  <c r="G24" i="75"/>
  <c r="H23" i="75"/>
  <c r="BJ23" i="75"/>
  <c r="BA26" i="88"/>
  <c r="AZ26" i="88"/>
  <c r="BH25" i="86"/>
  <c r="BI24" i="86"/>
  <c r="U27" i="75"/>
  <c r="V26" i="75"/>
  <c r="AP47" i="78"/>
  <c r="AQ46" i="78"/>
  <c r="BC97" i="59"/>
  <c r="AQ90" i="59"/>
  <c r="V76" i="59"/>
  <c r="AI106" i="59"/>
  <c r="Q23" i="86"/>
  <c r="R23" i="86"/>
  <c r="AY11" i="91"/>
  <c r="AW11" i="91"/>
  <c r="AT89" i="78"/>
  <c r="BF96" i="78"/>
  <c r="W28" i="66"/>
  <c r="Q23" i="91"/>
  <c r="R23" i="91"/>
  <c r="Q27" i="78"/>
  <c r="P27" i="78"/>
  <c r="Y58" i="88"/>
  <c r="AL100" i="88"/>
  <c r="N17" i="78"/>
  <c r="J16" i="78"/>
  <c r="AA26" i="66"/>
  <c r="U26" i="66"/>
  <c r="F27" i="66"/>
  <c r="G26" i="66"/>
  <c r="K16" i="75"/>
  <c r="AL103" i="75"/>
  <c r="Y61" i="75"/>
  <c r="AL108" i="91"/>
  <c r="Y66" i="91"/>
  <c r="G33" i="59"/>
  <c r="H32" i="59"/>
  <c r="BE38" i="59"/>
  <c r="BH34" i="88"/>
  <c r="BI33" i="88"/>
  <c r="BH24" i="91"/>
  <c r="BI23" i="91"/>
  <c r="U25" i="86"/>
  <c r="V24" i="86"/>
  <c r="U25" i="91"/>
  <c r="V24" i="91"/>
  <c r="U28" i="78"/>
  <c r="T29" i="78"/>
  <c r="N25" i="66"/>
  <c r="M25" i="66"/>
  <c r="L25" i="66"/>
  <c r="G25" i="91"/>
  <c r="H24" i="91"/>
  <c r="BJ24" i="91"/>
  <c r="W50" i="91"/>
  <c r="L15" i="91"/>
  <c r="BA19" i="75"/>
  <c r="BH27" i="75"/>
  <c r="BI26" i="75"/>
  <c r="AV18" i="78"/>
  <c r="AQ27" i="75"/>
  <c r="AP28" i="75"/>
  <c r="H14" i="66"/>
  <c r="U25" i="88"/>
  <c r="V24" i="88"/>
  <c r="AY12" i="75"/>
  <c r="AW12" i="75"/>
  <c r="AL104" i="78"/>
  <c r="Y67" i="78"/>
  <c r="G26" i="88"/>
  <c r="H25" i="88"/>
  <c r="BJ25" i="88"/>
  <c r="Q15" i="66"/>
  <c r="AP27" i="91"/>
  <c r="AQ26" i="91"/>
  <c r="AM50" i="88"/>
  <c r="AS11" i="88"/>
  <c r="AO11" i="88"/>
  <c r="N11" i="59"/>
  <c r="L11" i="59"/>
  <c r="N26" i="66"/>
  <c r="L26" i="66"/>
  <c r="M26" i="66"/>
  <c r="W29" i="66"/>
  <c r="AX18" i="78"/>
  <c r="AT18" i="78"/>
  <c r="BE18" i="78"/>
  <c r="AY18" i="78"/>
  <c r="O14" i="66"/>
  <c r="G26" i="86"/>
  <c r="H25" i="86"/>
  <c r="BJ25" i="86"/>
  <c r="G27" i="88"/>
  <c r="H26" i="88"/>
  <c r="BJ26" i="88"/>
  <c r="AP28" i="91"/>
  <c r="AQ27" i="91"/>
  <c r="AT12" i="75"/>
  <c r="AP29" i="75"/>
  <c r="AQ28" i="75"/>
  <c r="P15" i="91"/>
  <c r="H25" i="91"/>
  <c r="BJ25" i="91"/>
  <c r="G26" i="91"/>
  <c r="Q24" i="91"/>
  <c r="R24" i="91"/>
  <c r="Q24" i="86"/>
  <c r="R24" i="86"/>
  <c r="BA27" i="88"/>
  <c r="AZ27" i="88"/>
  <c r="G34" i="59"/>
  <c r="H33" i="59"/>
  <c r="BE39" i="59"/>
  <c r="AL104" i="75"/>
  <c r="Y62" i="75"/>
  <c r="BI16" i="78"/>
  <c r="X56" i="78"/>
  <c r="AT11" i="91"/>
  <c r="AV11" i="91"/>
  <c r="V77" i="59"/>
  <c r="AI107" i="59"/>
  <c r="BC98" i="59"/>
  <c r="AQ91" i="59"/>
  <c r="R26" i="75"/>
  <c r="Q26" i="75"/>
  <c r="BI25" i="86"/>
  <c r="BH26" i="86"/>
  <c r="M12" i="59"/>
  <c r="AM55" i="59"/>
  <c r="AN54" i="59"/>
  <c r="AU12" i="86"/>
  <c r="AU12" i="88"/>
  <c r="I11" i="59"/>
  <c r="AL105" i="78"/>
  <c r="Y68" i="78"/>
  <c r="Q24" i="88"/>
  <c r="R24" i="88"/>
  <c r="BA20" i="75"/>
  <c r="U29" i="78"/>
  <c r="T30" i="78"/>
  <c r="V25" i="91"/>
  <c r="U26" i="91"/>
  <c r="V25" i="86"/>
  <c r="U26" i="86"/>
  <c r="BI24" i="91"/>
  <c r="BH25" i="91"/>
  <c r="BI34" i="88"/>
  <c r="BH35" i="88"/>
  <c r="G27" i="66"/>
  <c r="U27" i="66"/>
  <c r="F28" i="66"/>
  <c r="AA27" i="66"/>
  <c r="L16" i="78"/>
  <c r="R16" i="78"/>
  <c r="AL101" i="88"/>
  <c r="Y59" i="88"/>
  <c r="U28" i="75"/>
  <c r="V27" i="75"/>
  <c r="H24" i="75"/>
  <c r="BJ24" i="75"/>
  <c r="G25" i="75"/>
  <c r="AW18" i="78"/>
  <c r="AU18" i="78"/>
  <c r="AR18" i="78"/>
  <c r="AV11" i="59"/>
  <c r="AU11" i="59"/>
  <c r="K15" i="86"/>
  <c r="M15" i="86"/>
  <c r="S15" i="86"/>
  <c r="Q83" i="61"/>
  <c r="J82" i="61"/>
  <c r="U26" i="88"/>
  <c r="V25" i="88"/>
  <c r="BI27" i="75"/>
  <c r="BH28" i="75"/>
  <c r="Q28" i="78"/>
  <c r="P28" i="78"/>
  <c r="Y67" i="91"/>
  <c r="AL109" i="91"/>
  <c r="X51" i="75"/>
  <c r="J16" i="75"/>
  <c r="BK16" i="75"/>
  <c r="BF97" i="78"/>
  <c r="AT90" i="78"/>
  <c r="AP48" i="78"/>
  <c r="AQ47" i="78"/>
  <c r="K11" i="59"/>
  <c r="AL100" i="86"/>
  <c r="Y58" i="86"/>
  <c r="K15" i="88"/>
  <c r="M15" i="88"/>
  <c r="S15" i="88"/>
  <c r="G28" i="78"/>
  <c r="H27" i="78"/>
  <c r="BH33" i="78"/>
  <c r="M16" i="75"/>
  <c r="S16" i="75"/>
  <c r="U27" i="88"/>
  <c r="V26" i="88"/>
  <c r="J15" i="86"/>
  <c r="X50" i="86"/>
  <c r="BK15" i="86"/>
  <c r="G26" i="75"/>
  <c r="H25" i="75"/>
  <c r="BJ25" i="75"/>
  <c r="V28" i="75"/>
  <c r="U29" i="75"/>
  <c r="R25" i="86"/>
  <c r="Q25" i="86"/>
  <c r="Q29" i="78"/>
  <c r="P29" i="78"/>
  <c r="AL106" i="78"/>
  <c r="Y69" i="78"/>
  <c r="BF11" i="59"/>
  <c r="AY12" i="88"/>
  <c r="AW12" i="88"/>
  <c r="AY12" i="86"/>
  <c r="AW12" i="86"/>
  <c r="BC99" i="59"/>
  <c r="AQ92" i="59"/>
  <c r="AO11" i="91"/>
  <c r="AM50" i="91"/>
  <c r="AS11" i="91"/>
  <c r="AP30" i="75"/>
  <c r="AQ29" i="75"/>
  <c r="AV19" i="78"/>
  <c r="BI35" i="88"/>
  <c r="BH36" i="88"/>
  <c r="BH27" i="86"/>
  <c r="BI26" i="86"/>
  <c r="AL105" i="75"/>
  <c r="Y63" i="75"/>
  <c r="AM51" i="75"/>
  <c r="AS12" i="75"/>
  <c r="AO12" i="75"/>
  <c r="AP29" i="91"/>
  <c r="AQ28" i="91"/>
  <c r="G29" i="78"/>
  <c r="H28" i="78"/>
  <c r="BH34" i="78"/>
  <c r="AL101" i="86"/>
  <c r="Y59" i="86"/>
  <c r="Y68" i="91"/>
  <c r="AL110" i="91"/>
  <c r="BH29" i="75"/>
  <c r="BI28" i="75"/>
  <c r="Y60" i="88"/>
  <c r="AL102" i="88"/>
  <c r="U28" i="66"/>
  <c r="G28" i="66"/>
  <c r="F29" i="66"/>
  <c r="AA28" i="66"/>
  <c r="V26" i="91"/>
  <c r="U27" i="91"/>
  <c r="BK15" i="88"/>
  <c r="X50" i="88"/>
  <c r="J15" i="88"/>
  <c r="BF98" i="78"/>
  <c r="AT91" i="78"/>
  <c r="AZ21" i="75"/>
  <c r="BA21" i="75"/>
  <c r="Q84" i="61"/>
  <c r="J83" i="61"/>
  <c r="AZ28" i="88"/>
  <c r="BA28" i="88"/>
  <c r="R25" i="91"/>
  <c r="Q25" i="91"/>
  <c r="AT11" i="59"/>
  <c r="AR11" i="59"/>
  <c r="BA19" i="86"/>
  <c r="V78" i="59"/>
  <c r="AI108" i="59"/>
  <c r="G35" i="59"/>
  <c r="H34" i="59"/>
  <c r="BE40" i="59"/>
  <c r="G27" i="91"/>
  <c r="H26" i="91"/>
  <c r="BJ26" i="91"/>
  <c r="N15" i="91"/>
  <c r="AV12" i="75"/>
  <c r="G28" i="88"/>
  <c r="H27" i="88"/>
  <c r="BJ27" i="88"/>
  <c r="G27" i="86"/>
  <c r="H26" i="86"/>
  <c r="BJ26" i="86"/>
  <c r="V14" i="66"/>
  <c r="Z14" i="66"/>
  <c r="BG25" i="78"/>
  <c r="AS19" i="78"/>
  <c r="W30" i="66"/>
  <c r="W52" i="75"/>
  <c r="L17" i="75"/>
  <c r="P17" i="75"/>
  <c r="N17" i="75"/>
  <c r="W51" i="88"/>
  <c r="L16" i="88"/>
  <c r="Q11" i="59"/>
  <c r="U58" i="59"/>
  <c r="AP49" i="78"/>
  <c r="AQ48" i="78"/>
  <c r="R25" i="88"/>
  <c r="Q25" i="88"/>
  <c r="L16" i="86"/>
  <c r="W51" i="86"/>
  <c r="AM57" i="78"/>
  <c r="AO18" i="78"/>
  <c r="R27" i="75"/>
  <c r="Q27" i="75"/>
  <c r="K17" i="78"/>
  <c r="W57" i="78"/>
  <c r="L27" i="66"/>
  <c r="N27" i="66"/>
  <c r="M27" i="66"/>
  <c r="BI25" i="91"/>
  <c r="BH26" i="91"/>
  <c r="V26" i="86"/>
  <c r="U27" i="86"/>
  <c r="T31" i="78"/>
  <c r="U30" i="78"/>
  <c r="AM56" i="59"/>
  <c r="AN55" i="59"/>
  <c r="BG11" i="91"/>
  <c r="AM57" i="59"/>
  <c r="AN56" i="59"/>
  <c r="R26" i="86"/>
  <c r="Q26" i="86"/>
  <c r="Q30" i="78"/>
  <c r="P30" i="78"/>
  <c r="BH27" i="91"/>
  <c r="BI26" i="91"/>
  <c r="P16" i="86"/>
  <c r="K17" i="75"/>
  <c r="BE19" i="78"/>
  <c r="AY19" i="78"/>
  <c r="AX19" i="78"/>
  <c r="AT19" i="78"/>
  <c r="BG12" i="75"/>
  <c r="K15" i="91"/>
  <c r="BI29" i="75"/>
  <c r="BH30" i="75"/>
  <c r="AL106" i="75"/>
  <c r="Y64" i="75"/>
  <c r="AZ29" i="88"/>
  <c r="BA29" i="88"/>
  <c r="AQ30" i="75"/>
  <c r="AP31" i="75"/>
  <c r="AT12" i="86"/>
  <c r="G27" i="75"/>
  <c r="H26" i="75"/>
  <c r="BJ26" i="75"/>
  <c r="Q26" i="88"/>
  <c r="R26" i="88"/>
  <c r="J12" i="59"/>
  <c r="T59" i="59"/>
  <c r="S12" i="59"/>
  <c r="G28" i="86"/>
  <c r="H27" i="86"/>
  <c r="BJ27" i="86"/>
  <c r="H27" i="91"/>
  <c r="BJ27" i="91"/>
  <c r="G28" i="91"/>
  <c r="G36" i="59"/>
  <c r="H35" i="59"/>
  <c r="BE41" i="59"/>
  <c r="Q85" i="61"/>
  <c r="J84" i="61"/>
  <c r="BF99" i="78"/>
  <c r="AT92" i="78"/>
  <c r="AL107" i="78"/>
  <c r="Y70" i="78"/>
  <c r="U30" i="75"/>
  <c r="V29" i="75"/>
  <c r="U28" i="88"/>
  <c r="V27" i="88"/>
  <c r="AU12" i="91"/>
  <c r="V27" i="86"/>
  <c r="U28" i="86"/>
  <c r="AW19" i="78"/>
  <c r="AU19" i="78"/>
  <c r="AR19" i="78"/>
  <c r="K15" i="66"/>
  <c r="I15" i="66"/>
  <c r="J15" i="66"/>
  <c r="X15" i="66"/>
  <c r="V27" i="91"/>
  <c r="U28" i="91"/>
  <c r="G29" i="66"/>
  <c r="F30" i="66"/>
  <c r="U29" i="66"/>
  <c r="AA29" i="66"/>
  <c r="AL103" i="88"/>
  <c r="Y61" i="88"/>
  <c r="AL111" i="91"/>
  <c r="Y69" i="91"/>
  <c r="G30" i="78"/>
  <c r="H29" i="78"/>
  <c r="BH35" i="78"/>
  <c r="BA20" i="86"/>
  <c r="BC100" i="59"/>
  <c r="AQ93" i="59"/>
  <c r="AT12" i="88"/>
  <c r="AV12" i="88"/>
  <c r="Q28" i="75"/>
  <c r="R28" i="75"/>
  <c r="U31" i="78"/>
  <c r="T32" i="78"/>
  <c r="BA19" i="91"/>
  <c r="O17" i="78"/>
  <c r="M17" i="78"/>
  <c r="AP50" i="78"/>
  <c r="AQ49" i="78"/>
  <c r="P16" i="88"/>
  <c r="W31" i="66"/>
  <c r="G29" i="88"/>
  <c r="H28" i="88"/>
  <c r="BJ28" i="88"/>
  <c r="V79" i="59"/>
  <c r="AI109" i="59"/>
  <c r="AO11" i="59"/>
  <c r="AS12" i="59"/>
  <c r="R26" i="91"/>
  <c r="Q26" i="91"/>
  <c r="M28" i="66"/>
  <c r="L28" i="66"/>
  <c r="N28" i="66"/>
  <c r="BA22" i="75"/>
  <c r="AZ22" i="75"/>
  <c r="AL102" i="86"/>
  <c r="Y60" i="86"/>
  <c r="AP30" i="91"/>
  <c r="AQ29" i="91"/>
  <c r="BI27" i="86"/>
  <c r="BH28" i="86"/>
  <c r="BH37" i="88"/>
  <c r="BI36" i="88"/>
  <c r="BH38" i="88"/>
  <c r="BI37" i="88"/>
  <c r="AL11" i="59"/>
  <c r="AJ50" i="59"/>
  <c r="P31" i="78"/>
  <c r="Q31" i="78"/>
  <c r="F31" i="66"/>
  <c r="AA30" i="66"/>
  <c r="G30" i="66"/>
  <c r="U30" i="66"/>
  <c r="T15" i="66"/>
  <c r="S15" i="66"/>
  <c r="V28" i="86"/>
  <c r="U29" i="86"/>
  <c r="U29" i="88"/>
  <c r="V28" i="88"/>
  <c r="AT93" i="78"/>
  <c r="BF100" i="78"/>
  <c r="G29" i="86"/>
  <c r="H28" i="86"/>
  <c r="BJ28" i="86"/>
  <c r="AZ23" i="75"/>
  <c r="BA23" i="75"/>
  <c r="AV20" i="78"/>
  <c r="BA20" i="91"/>
  <c r="BH29" i="86"/>
  <c r="BI28" i="86"/>
  <c r="AQ30" i="91"/>
  <c r="AP31" i="91"/>
  <c r="AP51" i="78"/>
  <c r="AQ50" i="78"/>
  <c r="AM51" i="88"/>
  <c r="AS12" i="88"/>
  <c r="AO12" i="88"/>
  <c r="Y70" i="91"/>
  <c r="AL112" i="91"/>
  <c r="L29" i="66"/>
  <c r="N29" i="66"/>
  <c r="M29" i="66"/>
  <c r="Q27" i="86"/>
  <c r="R27" i="86"/>
  <c r="AY12" i="91"/>
  <c r="AW12" i="91"/>
  <c r="R29" i="75"/>
  <c r="Q29" i="75"/>
  <c r="P12" i="59"/>
  <c r="O12" i="59"/>
  <c r="N12" i="59"/>
  <c r="L12" i="59"/>
  <c r="G28" i="75"/>
  <c r="H27" i="75"/>
  <c r="BJ27" i="75"/>
  <c r="AL107" i="75"/>
  <c r="Y65" i="75"/>
  <c r="AU13" i="75"/>
  <c r="X52" i="75"/>
  <c r="J17" i="75"/>
  <c r="BK17" i="75"/>
  <c r="BI27" i="91"/>
  <c r="BH28" i="91"/>
  <c r="G29" i="91"/>
  <c r="H28" i="91"/>
  <c r="BJ28" i="91"/>
  <c r="AM51" i="86"/>
  <c r="AS12" i="86"/>
  <c r="AO12" i="86"/>
  <c r="AP32" i="75"/>
  <c r="AQ31" i="75"/>
  <c r="X50" i="91"/>
  <c r="BK15" i="91"/>
  <c r="J15" i="91"/>
  <c r="BG26" i="78"/>
  <c r="AS20" i="78"/>
  <c r="N16" i="86"/>
  <c r="M17" i="75"/>
  <c r="S17" i="75"/>
  <c r="BA21" i="86"/>
  <c r="AZ21" i="86"/>
  <c r="AL103" i="86"/>
  <c r="Y61" i="86"/>
  <c r="V80" i="59"/>
  <c r="AI110" i="59"/>
  <c r="G30" i="88"/>
  <c r="H29" i="88"/>
  <c r="BJ29" i="88"/>
  <c r="BG12" i="88"/>
  <c r="V28" i="91"/>
  <c r="U29" i="91"/>
  <c r="R15" i="66"/>
  <c r="P15" i="66"/>
  <c r="H15" i="66"/>
  <c r="U31" i="75"/>
  <c r="V30" i="75"/>
  <c r="BA30" i="88"/>
  <c r="AZ30" i="88"/>
  <c r="AQ11" i="59"/>
  <c r="W32" i="66"/>
  <c r="N16" i="88"/>
  <c r="N18" i="78"/>
  <c r="J17" i="78"/>
  <c r="L17" i="78"/>
  <c r="R17" i="78"/>
  <c r="U32" i="78"/>
  <c r="T33" i="78"/>
  <c r="AQ94" i="59"/>
  <c r="BC101" i="59"/>
  <c r="G31" i="78"/>
  <c r="H30" i="78"/>
  <c r="BH36" i="78"/>
  <c r="AL104" i="88"/>
  <c r="Y62" i="88"/>
  <c r="R27" i="91"/>
  <c r="Q27" i="91"/>
  <c r="AM58" i="78"/>
  <c r="AO19" i="78"/>
  <c r="Q27" i="88"/>
  <c r="R27" i="88"/>
  <c r="AL108" i="78"/>
  <c r="Y71" i="78"/>
  <c r="G37" i="59"/>
  <c r="H36" i="59"/>
  <c r="BE42" i="59"/>
  <c r="AV12" i="86"/>
  <c r="BH31" i="75"/>
  <c r="BI30" i="75"/>
  <c r="M15" i="91"/>
  <c r="S15" i="91"/>
  <c r="AM58" i="59"/>
  <c r="AN57" i="59"/>
  <c r="I12" i="59"/>
  <c r="K12" i="59"/>
  <c r="W58" i="78"/>
  <c r="K18" i="78"/>
  <c r="O18" i="78"/>
  <c r="M18" i="78"/>
  <c r="BG12" i="86"/>
  <c r="BI31" i="75"/>
  <c r="BH32" i="75"/>
  <c r="AQ95" i="59"/>
  <c r="BC102" i="59"/>
  <c r="O15" i="66"/>
  <c r="AU13" i="88"/>
  <c r="W53" i="75"/>
  <c r="L18" i="75"/>
  <c r="P18" i="75"/>
  <c r="N18" i="75"/>
  <c r="K18" i="75"/>
  <c r="BA21" i="91"/>
  <c r="AZ21" i="91"/>
  <c r="AL108" i="75"/>
  <c r="Y66" i="75"/>
  <c r="AT12" i="91"/>
  <c r="AV12" i="91"/>
  <c r="BI29" i="86"/>
  <c r="BH30" i="86"/>
  <c r="BF101" i="78"/>
  <c r="AT94" i="78"/>
  <c r="R28" i="86"/>
  <c r="Q28" i="86"/>
  <c r="L30" i="66"/>
  <c r="N30" i="66"/>
  <c r="M30" i="66"/>
  <c r="G32" i="78"/>
  <c r="H31" i="78"/>
  <c r="BH37" i="78"/>
  <c r="BB11" i="59"/>
  <c r="G31" i="88"/>
  <c r="H30" i="88"/>
  <c r="BJ30" i="88"/>
  <c r="Y71" i="91"/>
  <c r="AL113" i="91"/>
  <c r="AQ31" i="91"/>
  <c r="AP32" i="91"/>
  <c r="Q16" i="66"/>
  <c r="AZ31" i="88"/>
  <c r="BA31" i="88"/>
  <c r="BI17" i="78"/>
  <c r="X57" i="78"/>
  <c r="K16" i="88"/>
  <c r="V81" i="59"/>
  <c r="AI111" i="59"/>
  <c r="L16" i="91"/>
  <c r="P16" i="91"/>
  <c r="W51" i="91"/>
  <c r="Y72" i="78"/>
  <c r="AL109" i="78"/>
  <c r="AL105" i="88"/>
  <c r="Y63" i="88"/>
  <c r="U33" i="78"/>
  <c r="T34" i="78"/>
  <c r="W33" i="66"/>
  <c r="Q30" i="75"/>
  <c r="R30" i="75"/>
  <c r="U30" i="91"/>
  <c r="V29" i="91"/>
  <c r="Y62" i="86"/>
  <c r="AL104" i="86"/>
  <c r="AT20" i="78"/>
  <c r="BE20" i="78"/>
  <c r="AX20" i="78"/>
  <c r="AW20" i="78"/>
  <c r="AU20" i="78"/>
  <c r="AR20" i="78"/>
  <c r="AY20" i="78"/>
  <c r="G29" i="75"/>
  <c r="H28" i="75"/>
  <c r="BJ28" i="75"/>
  <c r="G30" i="86"/>
  <c r="H29" i="86"/>
  <c r="BJ29" i="86"/>
  <c r="Q28" i="88"/>
  <c r="R28" i="88"/>
  <c r="BH39" i="88"/>
  <c r="BI38" i="88"/>
  <c r="AM59" i="59"/>
  <c r="AN58" i="59"/>
  <c r="BA24" i="75"/>
  <c r="AZ24" i="75"/>
  <c r="G38" i="59"/>
  <c r="H37" i="59"/>
  <c r="BE43" i="59"/>
  <c r="P32" i="78"/>
  <c r="Q32" i="78"/>
  <c r="V31" i="75"/>
  <c r="U32" i="75"/>
  <c r="R28" i="91"/>
  <c r="Q28" i="91"/>
  <c r="K16" i="86"/>
  <c r="M16" i="86"/>
  <c r="S16" i="86"/>
  <c r="AP33" i="75"/>
  <c r="AQ32" i="75"/>
  <c r="G30" i="91"/>
  <c r="H29" i="91"/>
  <c r="BJ29" i="91"/>
  <c r="BI28" i="91"/>
  <c r="BH29" i="91"/>
  <c r="AY13" i="75"/>
  <c r="AW13" i="75"/>
  <c r="M13" i="59"/>
  <c r="AP52" i="78"/>
  <c r="AQ51" i="78"/>
  <c r="AZ22" i="86"/>
  <c r="BA22" i="86"/>
  <c r="V29" i="88"/>
  <c r="U30" i="88"/>
  <c r="V29" i="86"/>
  <c r="U30" i="86"/>
  <c r="G31" i="66"/>
  <c r="U31" i="66"/>
  <c r="F32" i="66"/>
  <c r="AA31" i="66"/>
  <c r="J18" i="75"/>
  <c r="BK18" i="75"/>
  <c r="X53" i="75"/>
  <c r="AN59" i="78"/>
  <c r="AO20" i="78"/>
  <c r="AP34" i="75"/>
  <c r="AQ33" i="75"/>
  <c r="AZ32" i="88"/>
  <c r="BA32" i="88"/>
  <c r="BG27" i="78"/>
  <c r="AS21" i="78"/>
  <c r="AL105" i="86"/>
  <c r="Y63" i="86"/>
  <c r="T35" i="78"/>
  <c r="U34" i="78"/>
  <c r="AL110" i="78"/>
  <c r="Y73" i="78"/>
  <c r="BK16" i="88"/>
  <c r="X51" i="88"/>
  <c r="J16" i="88"/>
  <c r="AQ32" i="91"/>
  <c r="AP33" i="91"/>
  <c r="BG12" i="91"/>
  <c r="M18" i="75"/>
  <c r="S18" i="75"/>
  <c r="N19" i="78"/>
  <c r="J18" i="78"/>
  <c r="L18" i="78"/>
  <c r="R18" i="78"/>
  <c r="G32" i="66"/>
  <c r="F33" i="66"/>
  <c r="U32" i="66"/>
  <c r="AA32" i="66"/>
  <c r="Q29" i="86"/>
  <c r="R29" i="86"/>
  <c r="BA22" i="91"/>
  <c r="AZ22" i="91"/>
  <c r="U31" i="88"/>
  <c r="V30" i="88"/>
  <c r="X51" i="86"/>
  <c r="J16" i="86"/>
  <c r="BK16" i="86"/>
  <c r="G39" i="59"/>
  <c r="H38" i="59"/>
  <c r="BE44" i="59"/>
  <c r="AM60" i="59"/>
  <c r="AN59" i="59"/>
  <c r="BH40" i="88"/>
  <c r="BI39" i="88"/>
  <c r="G30" i="75"/>
  <c r="H29" i="75"/>
  <c r="BJ29" i="75"/>
  <c r="R29" i="91"/>
  <c r="Q29" i="91"/>
  <c r="P33" i="78"/>
  <c r="Q33" i="78"/>
  <c r="M16" i="88"/>
  <c r="S16" i="88"/>
  <c r="BF102" i="78"/>
  <c r="AT95" i="78"/>
  <c r="V15" i="66"/>
  <c r="Z15" i="66"/>
  <c r="BH33" i="75"/>
  <c r="BI32" i="75"/>
  <c r="U59" i="59"/>
  <c r="Q12" i="59"/>
  <c r="G31" i="86"/>
  <c r="H30" i="86"/>
  <c r="BJ30" i="86"/>
  <c r="U31" i="91"/>
  <c r="V30" i="91"/>
  <c r="W34" i="66"/>
  <c r="AL106" i="88"/>
  <c r="Y64" i="88"/>
  <c r="AP12" i="59"/>
  <c r="BG57" i="59"/>
  <c r="BD12" i="59"/>
  <c r="G33" i="78"/>
  <c r="H32" i="78"/>
  <c r="BH38" i="78"/>
  <c r="BH31" i="86"/>
  <c r="BI30" i="86"/>
  <c r="Y67" i="75"/>
  <c r="AL109" i="75"/>
  <c r="AY13" i="88"/>
  <c r="AW13" i="88"/>
  <c r="AZ25" i="75"/>
  <c r="BA25" i="75"/>
  <c r="AU13" i="86"/>
  <c r="BF12" i="59"/>
  <c r="N31" i="66"/>
  <c r="M31" i="66"/>
  <c r="L31" i="66"/>
  <c r="R29" i="88"/>
  <c r="Q29" i="88"/>
  <c r="AT13" i="75"/>
  <c r="AV13" i="75"/>
  <c r="W52" i="86"/>
  <c r="L17" i="86"/>
  <c r="P17" i="86"/>
  <c r="U33" i="75"/>
  <c r="V32" i="75"/>
  <c r="U31" i="86"/>
  <c r="V30" i="86"/>
  <c r="AP53" i="78"/>
  <c r="AQ52" i="78"/>
  <c r="BI29" i="91"/>
  <c r="BH30" i="91"/>
  <c r="G31" i="91"/>
  <c r="H30" i="91"/>
  <c r="BJ30" i="91"/>
  <c r="Q31" i="75"/>
  <c r="R31" i="75"/>
  <c r="AV21" i="78"/>
  <c r="N16" i="91"/>
  <c r="V82" i="59"/>
  <c r="AI112" i="59"/>
  <c r="AL114" i="91"/>
  <c r="Y72" i="91"/>
  <c r="G32" i="88"/>
  <c r="H31" i="88"/>
  <c r="BJ31" i="88"/>
  <c r="BA23" i="86"/>
  <c r="AZ23" i="86"/>
  <c r="AS12" i="91"/>
  <c r="AO12" i="91"/>
  <c r="AM51" i="91"/>
  <c r="BC103" i="59"/>
  <c r="AQ96" i="59"/>
  <c r="BG13" i="75"/>
  <c r="AL115" i="91"/>
  <c r="Y73" i="91"/>
  <c r="BC104" i="59"/>
  <c r="AQ97" i="59"/>
  <c r="G33" i="88"/>
  <c r="H32" i="88"/>
  <c r="BJ32" i="88"/>
  <c r="H31" i="91"/>
  <c r="BJ31" i="91"/>
  <c r="G32" i="91"/>
  <c r="BH31" i="91"/>
  <c r="BI30" i="91"/>
  <c r="R30" i="86"/>
  <c r="Q30" i="86"/>
  <c r="K16" i="91"/>
  <c r="AZ23" i="91"/>
  <c r="BA23" i="91"/>
  <c r="U32" i="86"/>
  <c r="V31" i="86"/>
  <c r="BA24" i="86"/>
  <c r="AZ24" i="86"/>
  <c r="G34" i="78"/>
  <c r="H33" i="78"/>
  <c r="BI39" i="78"/>
  <c r="R30" i="91"/>
  <c r="Q30" i="91"/>
  <c r="BI18" i="78"/>
  <c r="X58" i="78"/>
  <c r="BA26" i="75"/>
  <c r="AZ26" i="75"/>
  <c r="G31" i="75"/>
  <c r="H30" i="75"/>
  <c r="BJ30" i="75"/>
  <c r="R30" i="88"/>
  <c r="Q30" i="88"/>
  <c r="L32" i="66"/>
  <c r="N32" i="66"/>
  <c r="M32" i="66"/>
  <c r="Q34" i="78"/>
  <c r="P34" i="78"/>
  <c r="AQ34" i="75"/>
  <c r="AP35" i="75"/>
  <c r="Q32" i="75"/>
  <c r="R32" i="75"/>
  <c r="AS13" i="75"/>
  <c r="AO13" i="75"/>
  <c r="AM52" i="75"/>
  <c r="U32" i="91"/>
  <c r="V31" i="91"/>
  <c r="G32" i="86"/>
  <c r="H31" i="86"/>
  <c r="BJ31" i="86"/>
  <c r="T60" i="59"/>
  <c r="J13" i="59"/>
  <c r="S13" i="59"/>
  <c r="BI33" i="75"/>
  <c r="BH34" i="75"/>
  <c r="AT96" i="78"/>
  <c r="BF103" i="78"/>
  <c r="AZ33" i="88"/>
  <c r="BA33" i="88"/>
  <c r="V31" i="88"/>
  <c r="U32" i="88"/>
  <c r="W59" i="78"/>
  <c r="K19" i="78"/>
  <c r="O19" i="78"/>
  <c r="M19" i="78"/>
  <c r="N20" i="78"/>
  <c r="J19" i="78"/>
  <c r="U35" i="78"/>
  <c r="T36" i="78"/>
  <c r="AY13" i="86"/>
  <c r="AW13" i="86"/>
  <c r="AL110" i="75"/>
  <c r="Y68" i="75"/>
  <c r="BI31" i="86"/>
  <c r="BH32" i="86"/>
  <c r="V83" i="59"/>
  <c r="AI113" i="59"/>
  <c r="AP54" i="78"/>
  <c r="AQ53" i="78"/>
  <c r="U34" i="75"/>
  <c r="V33" i="75"/>
  <c r="AV12" i="59"/>
  <c r="AU12" i="59"/>
  <c r="BH41" i="88"/>
  <c r="BI40" i="88"/>
  <c r="G40" i="59"/>
  <c r="H39" i="59"/>
  <c r="BE45" i="59"/>
  <c r="L19" i="75"/>
  <c r="P19" i="75"/>
  <c r="N19" i="75"/>
  <c r="K19" i="75"/>
  <c r="W54" i="75"/>
  <c r="AU13" i="91"/>
  <c r="AP34" i="91"/>
  <c r="AQ33" i="91"/>
  <c r="AL111" i="78"/>
  <c r="Y74" i="78"/>
  <c r="AL106" i="86"/>
  <c r="Y64" i="86"/>
  <c r="BE21" i="78"/>
  <c r="AY21" i="78"/>
  <c r="AX21" i="78"/>
  <c r="AT21" i="78"/>
  <c r="N17" i="86"/>
  <c r="AT13" i="88"/>
  <c r="AV13" i="88"/>
  <c r="Y65" i="88"/>
  <c r="AL107" i="88"/>
  <c r="W35" i="66"/>
  <c r="K16" i="66"/>
  <c r="J16" i="66"/>
  <c r="I16" i="66"/>
  <c r="X16" i="66"/>
  <c r="W52" i="88"/>
  <c r="L17" i="88"/>
  <c r="AM61" i="59"/>
  <c r="AN60" i="59"/>
  <c r="F34" i="66"/>
  <c r="U33" i="66"/>
  <c r="G33" i="66"/>
  <c r="AA33" i="66"/>
  <c r="X54" i="75"/>
  <c r="J19" i="75"/>
  <c r="BK19" i="75"/>
  <c r="S16" i="66"/>
  <c r="T16" i="66"/>
  <c r="AY13" i="91"/>
  <c r="AW13" i="91"/>
  <c r="R16" i="66"/>
  <c r="P16" i="66"/>
  <c r="H16" i="66"/>
  <c r="W36" i="66"/>
  <c r="AS13" i="88"/>
  <c r="AO13" i="88"/>
  <c r="AM52" i="88"/>
  <c r="K17" i="86"/>
  <c r="M17" i="86"/>
  <c r="S17" i="86"/>
  <c r="AL112" i="78"/>
  <c r="Y75" i="78"/>
  <c r="M19" i="75"/>
  <c r="S19" i="75"/>
  <c r="AL111" i="75"/>
  <c r="Y69" i="75"/>
  <c r="Q35" i="78"/>
  <c r="P35" i="78"/>
  <c r="BH35" i="75"/>
  <c r="BI34" i="75"/>
  <c r="G33" i="86"/>
  <c r="H32" i="86"/>
  <c r="BJ32" i="86"/>
  <c r="V32" i="86"/>
  <c r="U33" i="86"/>
  <c r="AU14" i="75"/>
  <c r="AY14" i="75"/>
  <c r="AW14" i="75"/>
  <c r="AT14" i="75"/>
  <c r="AV14" i="75"/>
  <c r="BG14" i="75"/>
  <c r="G34" i="66"/>
  <c r="U34" i="66"/>
  <c r="F35" i="66"/>
  <c r="AA34" i="66"/>
  <c r="P17" i="88"/>
  <c r="BG13" i="88"/>
  <c r="BG28" i="78"/>
  <c r="AS22" i="78"/>
  <c r="BJ67" i="78"/>
  <c r="G41" i="59"/>
  <c r="H40" i="59"/>
  <c r="BE46" i="59"/>
  <c r="AZ34" i="88"/>
  <c r="BA34" i="88"/>
  <c r="AP55" i="78"/>
  <c r="AQ54" i="78"/>
  <c r="V84" i="59"/>
  <c r="AI114" i="59"/>
  <c r="X59" i="78"/>
  <c r="BI25" i="78"/>
  <c r="L19" i="78"/>
  <c r="R19" i="78"/>
  <c r="BF104" i="78"/>
  <c r="AT97" i="78"/>
  <c r="BA27" i="75"/>
  <c r="AZ27" i="75"/>
  <c r="AT12" i="59"/>
  <c r="AR12" i="59"/>
  <c r="AS13" i="59"/>
  <c r="BK16" i="91"/>
  <c r="X51" i="91"/>
  <c r="J16" i="91"/>
  <c r="H32" i="91"/>
  <c r="BJ32" i="91"/>
  <c r="G33" i="91"/>
  <c r="G34" i="88"/>
  <c r="H33" i="88"/>
  <c r="BJ33" i="88"/>
  <c r="AQ98" i="59"/>
  <c r="BC105" i="59"/>
  <c r="AL107" i="86"/>
  <c r="Y65" i="86"/>
  <c r="BI41" i="88"/>
  <c r="BH42" i="88"/>
  <c r="Q33" i="75"/>
  <c r="R33" i="75"/>
  <c r="BI32" i="86"/>
  <c r="BH33" i="86"/>
  <c r="AW21" i="78"/>
  <c r="AU21" i="78"/>
  <c r="AR21" i="78"/>
  <c r="V32" i="88"/>
  <c r="U33" i="88"/>
  <c r="Q31" i="91"/>
  <c r="R31" i="91"/>
  <c r="AQ35" i="75"/>
  <c r="AP36" i="75"/>
  <c r="M16" i="91"/>
  <c r="S16" i="91"/>
  <c r="AZ24" i="91"/>
  <c r="BA24" i="91"/>
  <c r="Y74" i="91"/>
  <c r="AL116" i="91"/>
  <c r="L33" i="66"/>
  <c r="N33" i="66"/>
  <c r="M33" i="66"/>
  <c r="AM62" i="59"/>
  <c r="AN61" i="59"/>
  <c r="AL108" i="88"/>
  <c r="Y66" i="88"/>
  <c r="AP35" i="91"/>
  <c r="AQ34" i="91"/>
  <c r="U35" i="75"/>
  <c r="V34" i="75"/>
  <c r="AZ25" i="86"/>
  <c r="BA25" i="86"/>
  <c r="AT13" i="86"/>
  <c r="AV13" i="86"/>
  <c r="U36" i="78"/>
  <c r="T37" i="78"/>
  <c r="Q31" i="88"/>
  <c r="R31" i="88"/>
  <c r="O13" i="59"/>
  <c r="N13" i="59"/>
  <c r="L13" i="59"/>
  <c r="P13" i="59"/>
  <c r="U33" i="91"/>
  <c r="V32" i="91"/>
  <c r="G32" i="75"/>
  <c r="H31" i="75"/>
  <c r="BJ31" i="75"/>
  <c r="G35" i="78"/>
  <c r="H34" i="78"/>
  <c r="BI40" i="78"/>
  <c r="Q31" i="86"/>
  <c r="R31" i="86"/>
  <c r="BH32" i="91"/>
  <c r="BI31" i="91"/>
  <c r="AU15" i="75"/>
  <c r="AY15" i="75"/>
  <c r="AW15" i="75"/>
  <c r="AT15" i="75"/>
  <c r="BL60" i="75"/>
  <c r="I13" i="59"/>
  <c r="K13" i="59"/>
  <c r="BI32" i="91"/>
  <c r="BH33" i="91"/>
  <c r="G36" i="78"/>
  <c r="H35" i="78"/>
  <c r="BI41" i="78"/>
  <c r="G33" i="75"/>
  <c r="H32" i="75"/>
  <c r="BJ32" i="75"/>
  <c r="Q32" i="91"/>
  <c r="R32" i="91"/>
  <c r="AO13" i="86"/>
  <c r="AS13" i="86"/>
  <c r="AM52" i="86"/>
  <c r="U36" i="75"/>
  <c r="V35" i="75"/>
  <c r="AM63" i="59"/>
  <c r="AN62" i="59"/>
  <c r="AP37" i="75"/>
  <c r="AQ36" i="75"/>
  <c r="U34" i="88"/>
  <c r="V33" i="88"/>
  <c r="BA26" i="86"/>
  <c r="AZ26" i="86"/>
  <c r="BC106" i="59"/>
  <c r="AQ99" i="59"/>
  <c r="W60" i="78"/>
  <c r="K20" i="78"/>
  <c r="O20" i="78"/>
  <c r="M20" i="78"/>
  <c r="N21" i="78"/>
  <c r="V85" i="59"/>
  <c r="AI115" i="59"/>
  <c r="F36" i="66"/>
  <c r="G35" i="66"/>
  <c r="U35" i="66"/>
  <c r="AA35" i="66"/>
  <c r="R32" i="86"/>
  <c r="Q32" i="86"/>
  <c r="Q17" i="66"/>
  <c r="AL109" i="88"/>
  <c r="Y67" i="88"/>
  <c r="R32" i="88"/>
  <c r="Q32" i="88"/>
  <c r="BI42" i="88"/>
  <c r="BH43" i="88"/>
  <c r="G34" i="91"/>
  <c r="H33" i="91"/>
  <c r="BJ33" i="91"/>
  <c r="AO14" i="75"/>
  <c r="AM53" i="75"/>
  <c r="AS14" i="75"/>
  <c r="G34" i="86"/>
  <c r="H33" i="86"/>
  <c r="BJ33" i="86"/>
  <c r="BA28" i="75"/>
  <c r="AZ28" i="75"/>
  <c r="AT13" i="91"/>
  <c r="AV13" i="91"/>
  <c r="U34" i="91"/>
  <c r="V33" i="91"/>
  <c r="M14" i="59"/>
  <c r="BG13" i="86"/>
  <c r="AZ25" i="91"/>
  <c r="BA25" i="91"/>
  <c r="U37" i="78"/>
  <c r="T38" i="78"/>
  <c r="AQ35" i="91"/>
  <c r="AP36" i="91"/>
  <c r="L17" i="91"/>
  <c r="P17" i="91"/>
  <c r="W52" i="91"/>
  <c r="AN60" i="78"/>
  <c r="AO21" i="78"/>
  <c r="AZ35" i="88"/>
  <c r="BA35" i="88"/>
  <c r="G35" i="88"/>
  <c r="H34" i="88"/>
  <c r="BJ34" i="88"/>
  <c r="AP56" i="78"/>
  <c r="AQ55" i="78"/>
  <c r="G42" i="59"/>
  <c r="H41" i="59"/>
  <c r="BE47" i="59"/>
  <c r="AY22" i="78"/>
  <c r="AX22" i="78"/>
  <c r="AW22" i="78"/>
  <c r="AU22" i="78"/>
  <c r="AR22" i="78"/>
  <c r="AT22" i="78"/>
  <c r="BE22" i="78"/>
  <c r="AU14" i="88"/>
  <c r="AY14" i="88"/>
  <c r="AW14" i="88"/>
  <c r="AT14" i="88"/>
  <c r="N17" i="88"/>
  <c r="BH36" i="75"/>
  <c r="BI35" i="75"/>
  <c r="L20" i="75"/>
  <c r="P20" i="75"/>
  <c r="N20" i="75"/>
  <c r="K20" i="75"/>
  <c r="W55" i="75"/>
  <c r="BK17" i="86"/>
  <c r="J17" i="86"/>
  <c r="X52" i="86"/>
  <c r="AV22" i="78"/>
  <c r="Q36" i="78"/>
  <c r="P36" i="78"/>
  <c r="R34" i="75"/>
  <c r="Q34" i="75"/>
  <c r="AL117" i="91"/>
  <c r="Y75" i="91"/>
  <c r="BH34" i="86"/>
  <c r="BI33" i="86"/>
  <c r="AL108" i="86"/>
  <c r="Y66" i="86"/>
  <c r="AO12" i="59"/>
  <c r="AQ12" i="59"/>
  <c r="BF105" i="78"/>
  <c r="AT98" i="78"/>
  <c r="N34" i="66"/>
  <c r="M34" i="66"/>
  <c r="L34" i="66"/>
  <c r="U34" i="86"/>
  <c r="V33" i="86"/>
  <c r="Y70" i="75"/>
  <c r="AL112" i="75"/>
  <c r="AL113" i="78"/>
  <c r="Y76" i="78"/>
  <c r="L18" i="86"/>
  <c r="P18" i="86"/>
  <c r="N18" i="86"/>
  <c r="W53" i="86"/>
  <c r="W37" i="66"/>
  <c r="O16" i="66"/>
  <c r="J20" i="75"/>
  <c r="X55" i="75"/>
  <c r="BK20" i="75"/>
  <c r="M20" i="75"/>
  <c r="S20" i="75"/>
  <c r="AN61" i="78"/>
  <c r="AO22" i="78"/>
  <c r="BG13" i="91"/>
  <c r="U60" i="59"/>
  <c r="Q13" i="59"/>
  <c r="AS14" i="88"/>
  <c r="AO14" i="88"/>
  <c r="AM53" i="88"/>
  <c r="AS15" i="75"/>
  <c r="AM54" i="75"/>
  <c r="AO15" i="75"/>
  <c r="R33" i="86"/>
  <c r="Q33" i="86"/>
  <c r="AJ51" i="59"/>
  <c r="AL12" i="59"/>
  <c r="BA27" i="86"/>
  <c r="AZ27" i="86"/>
  <c r="BG29" i="78"/>
  <c r="BJ68" i="78"/>
  <c r="AS23" i="78"/>
  <c r="AQ36" i="91"/>
  <c r="AP37" i="91"/>
  <c r="V16" i="66"/>
  <c r="Z16" i="66"/>
  <c r="W38" i="66"/>
  <c r="BH35" i="86"/>
  <c r="BI34" i="86"/>
  <c r="AV14" i="88"/>
  <c r="BG14" i="88"/>
  <c r="G36" i="88"/>
  <c r="H35" i="88"/>
  <c r="BJ35" i="88"/>
  <c r="AU14" i="86"/>
  <c r="AY14" i="86"/>
  <c r="AW14" i="86"/>
  <c r="AT14" i="86"/>
  <c r="AV14" i="86"/>
  <c r="BG14" i="86"/>
  <c r="V34" i="91"/>
  <c r="U35" i="91"/>
  <c r="G35" i="86"/>
  <c r="H34" i="86"/>
  <c r="BJ34" i="86"/>
  <c r="F37" i="66"/>
  <c r="U36" i="66"/>
  <c r="G36" i="66"/>
  <c r="AA36" i="66"/>
  <c r="V86" i="59"/>
  <c r="AI116" i="59"/>
  <c r="BC107" i="59"/>
  <c r="AQ100" i="59"/>
  <c r="AQ37" i="75"/>
  <c r="AP38" i="75"/>
  <c r="AL114" i="78"/>
  <c r="Y77" i="78"/>
  <c r="K18" i="86"/>
  <c r="M18" i="86"/>
  <c r="S18" i="86"/>
  <c r="AL113" i="75"/>
  <c r="Y71" i="75"/>
  <c r="BF106" i="78"/>
  <c r="AT99" i="78"/>
  <c r="Y67" i="86"/>
  <c r="AL109" i="86"/>
  <c r="AL118" i="91"/>
  <c r="Y76" i="91"/>
  <c r="BA29" i="75"/>
  <c r="AZ29" i="75"/>
  <c r="AV23" i="78"/>
  <c r="AP57" i="78"/>
  <c r="AQ56" i="78"/>
  <c r="T39" i="78"/>
  <c r="U38" i="78"/>
  <c r="AS13" i="91"/>
  <c r="AO13" i="91"/>
  <c r="AM52" i="91"/>
  <c r="H34" i="91"/>
  <c r="BJ34" i="91"/>
  <c r="G35" i="91"/>
  <c r="BH44" i="88"/>
  <c r="BI43" i="88"/>
  <c r="J20" i="78"/>
  <c r="L20" i="78"/>
  <c r="R20" i="78"/>
  <c r="Q33" i="88"/>
  <c r="R33" i="88"/>
  <c r="G34" i="75"/>
  <c r="H33" i="75"/>
  <c r="BJ33" i="75"/>
  <c r="BF13" i="59"/>
  <c r="AV15" i="75"/>
  <c r="BG15" i="75"/>
  <c r="BB12" i="59"/>
  <c r="BI36" i="75"/>
  <c r="BH37" i="75"/>
  <c r="K17" i="88"/>
  <c r="M17" i="88"/>
  <c r="S17" i="88"/>
  <c r="G43" i="59"/>
  <c r="H42" i="59"/>
  <c r="BE48" i="59"/>
  <c r="P37" i="78"/>
  <c r="Q37" i="78"/>
  <c r="BA36" i="88"/>
  <c r="AZ36" i="88"/>
  <c r="AL110" i="88"/>
  <c r="Y68" i="88"/>
  <c r="N35" i="66"/>
  <c r="L35" i="66"/>
  <c r="M35" i="66"/>
  <c r="V34" i="88"/>
  <c r="U35" i="88"/>
  <c r="Q35" i="75"/>
  <c r="R35" i="75"/>
  <c r="BI33" i="91"/>
  <c r="BH34" i="91"/>
  <c r="V34" i="86"/>
  <c r="U35" i="86"/>
  <c r="N17" i="91"/>
  <c r="R33" i="91"/>
  <c r="Q33" i="91"/>
  <c r="AM64" i="59"/>
  <c r="AN63" i="59"/>
  <c r="U37" i="75"/>
  <c r="V36" i="75"/>
  <c r="G37" i="78"/>
  <c r="H36" i="78"/>
  <c r="BH42" i="78"/>
  <c r="AZ26" i="91"/>
  <c r="BA26" i="91"/>
  <c r="AU15" i="86"/>
  <c r="AY15" i="86"/>
  <c r="AW15" i="86"/>
  <c r="AT15" i="86"/>
  <c r="BL60" i="86"/>
  <c r="W53" i="88"/>
  <c r="L18" i="88"/>
  <c r="P18" i="88"/>
  <c r="N18" i="88"/>
  <c r="K18" i="88"/>
  <c r="M18" i="88"/>
  <c r="S18" i="88"/>
  <c r="L19" i="86"/>
  <c r="P19" i="86"/>
  <c r="N19" i="86"/>
  <c r="K19" i="86"/>
  <c r="W54" i="86"/>
  <c r="G38" i="78"/>
  <c r="H37" i="78"/>
  <c r="BH43" i="78"/>
  <c r="R36" i="75"/>
  <c r="Q36" i="75"/>
  <c r="R34" i="86"/>
  <c r="Q34" i="86"/>
  <c r="BH45" i="88"/>
  <c r="BI44" i="88"/>
  <c r="Q38" i="78"/>
  <c r="P38" i="78"/>
  <c r="AL119" i="91"/>
  <c r="Y77" i="91"/>
  <c r="AL114" i="75"/>
  <c r="Y72" i="75"/>
  <c r="V87" i="59"/>
  <c r="AI117" i="59"/>
  <c r="U36" i="91"/>
  <c r="V35" i="91"/>
  <c r="AU15" i="88"/>
  <c r="AY15" i="88"/>
  <c r="AW15" i="88"/>
  <c r="AT15" i="88"/>
  <c r="AV15" i="88"/>
  <c r="BG15" i="88"/>
  <c r="BL60" i="88"/>
  <c r="BH36" i="86"/>
  <c r="BI35" i="86"/>
  <c r="AP38" i="91"/>
  <c r="AQ37" i="91"/>
  <c r="AU14" i="91"/>
  <c r="AY14" i="91"/>
  <c r="AW14" i="91"/>
  <c r="AT14" i="91"/>
  <c r="AV14" i="91"/>
  <c r="BG14" i="91"/>
  <c r="AG33" i="75"/>
  <c r="AF33" i="75"/>
  <c r="L21" i="75"/>
  <c r="P21" i="75"/>
  <c r="N21" i="75"/>
  <c r="K21" i="75"/>
  <c r="M21" i="75"/>
  <c r="S21" i="75"/>
  <c r="W56" i="75"/>
  <c r="V37" i="75"/>
  <c r="U38" i="75"/>
  <c r="BH35" i="91"/>
  <c r="BI34" i="91"/>
  <c r="V35" i="88"/>
  <c r="U36" i="88"/>
  <c r="AP13" i="59"/>
  <c r="BG58" i="59"/>
  <c r="BD13" i="59"/>
  <c r="T40" i="78"/>
  <c r="U39" i="78"/>
  <c r="AQ38" i="75"/>
  <c r="AP39" i="75"/>
  <c r="U37" i="66"/>
  <c r="AA37" i="66"/>
  <c r="F38" i="66"/>
  <c r="G37" i="66"/>
  <c r="R34" i="91"/>
  <c r="Q34" i="91"/>
  <c r="AM53" i="86"/>
  <c r="AS14" i="86"/>
  <c r="AO14" i="86"/>
  <c r="J17" i="66"/>
  <c r="I17" i="66"/>
  <c r="K17" i="66"/>
  <c r="X17" i="66"/>
  <c r="AX23" i="78"/>
  <c r="AW23" i="78"/>
  <c r="AU23" i="78"/>
  <c r="AR23" i="78"/>
  <c r="J14" i="59"/>
  <c r="T61" i="59"/>
  <c r="S14" i="59"/>
  <c r="Q34" i="88"/>
  <c r="R34" i="88"/>
  <c r="BH38" i="75"/>
  <c r="BI37" i="75"/>
  <c r="AF91" i="78"/>
  <c r="AE91" i="78"/>
  <c r="W61" i="78"/>
  <c r="K21" i="78"/>
  <c r="O21" i="78"/>
  <c r="M21" i="78"/>
  <c r="N22" i="78"/>
  <c r="J21" i="78"/>
  <c r="H35" i="91"/>
  <c r="BJ35" i="91"/>
  <c r="G36" i="91"/>
  <c r="X53" i="86"/>
  <c r="J18" i="86"/>
  <c r="BK18" i="86"/>
  <c r="BC108" i="59"/>
  <c r="AQ101" i="59"/>
  <c r="G36" i="86"/>
  <c r="H35" i="86"/>
  <c r="BJ35" i="86"/>
  <c r="K17" i="91"/>
  <c r="M17" i="91"/>
  <c r="S17" i="91"/>
  <c r="AZ27" i="91"/>
  <c r="BA27" i="91"/>
  <c r="G44" i="59"/>
  <c r="H43" i="59"/>
  <c r="BE49" i="59"/>
  <c r="AM65" i="59"/>
  <c r="AN64" i="59"/>
  <c r="U36" i="86"/>
  <c r="V35" i="86"/>
  <c r="AL111" i="88"/>
  <c r="Y69" i="88"/>
  <c r="X52" i="88"/>
  <c r="BK17" i="88"/>
  <c r="J17" i="88"/>
  <c r="AZ30" i="75"/>
  <c r="BA30" i="75"/>
  <c r="AU16" i="75"/>
  <c r="AY16" i="75"/>
  <c r="AW16" i="75"/>
  <c r="BL61" i="75"/>
  <c r="H34" i="75"/>
  <c r="BJ34" i="75"/>
  <c r="G35" i="75"/>
  <c r="BI26" i="78"/>
  <c r="X60" i="78"/>
  <c r="AZ37" i="88"/>
  <c r="BA37" i="88"/>
  <c r="AP58" i="78"/>
  <c r="AQ57" i="78"/>
  <c r="Y68" i="86"/>
  <c r="AL110" i="86"/>
  <c r="BF107" i="78"/>
  <c r="AT100" i="78"/>
  <c r="Y78" i="78"/>
  <c r="AL115" i="78"/>
  <c r="N36" i="66"/>
  <c r="M36" i="66"/>
  <c r="L36" i="66"/>
  <c r="G37" i="88"/>
  <c r="H36" i="88"/>
  <c r="BJ36" i="88"/>
  <c r="AZ28" i="86"/>
  <c r="BA28" i="86"/>
  <c r="W39" i="66"/>
  <c r="AY23" i="78"/>
  <c r="AT23" i="78"/>
  <c r="BE23" i="78"/>
  <c r="AU15" i="91"/>
  <c r="AY15" i="91"/>
  <c r="AW15" i="91"/>
  <c r="BL60" i="91"/>
  <c r="L19" i="88"/>
  <c r="P19" i="88"/>
  <c r="N19" i="88"/>
  <c r="K19" i="88"/>
  <c r="W54" i="88"/>
  <c r="J19" i="86"/>
  <c r="X54" i="86"/>
  <c r="BK19" i="86"/>
  <c r="W57" i="75"/>
  <c r="L22" i="75"/>
  <c r="P22" i="75"/>
  <c r="N22" i="75"/>
  <c r="K22" i="75"/>
  <c r="AU16" i="88"/>
  <c r="AY16" i="88"/>
  <c r="AW16" i="88"/>
  <c r="AT16" i="88"/>
  <c r="AV16" i="88"/>
  <c r="BG16" i="88"/>
  <c r="BL61" i="88"/>
  <c r="AO15" i="86"/>
  <c r="AM54" i="86"/>
  <c r="AS15" i="86"/>
  <c r="W40" i="66"/>
  <c r="AO23" i="78"/>
  <c r="AN62" i="78"/>
  <c r="L37" i="66"/>
  <c r="N37" i="66"/>
  <c r="M37" i="66"/>
  <c r="T41" i="78"/>
  <c r="U40" i="78"/>
  <c r="V36" i="88"/>
  <c r="U37" i="88"/>
  <c r="G36" i="75"/>
  <c r="H35" i="75"/>
  <c r="BJ35" i="75"/>
  <c r="Q35" i="86"/>
  <c r="R35" i="86"/>
  <c r="AM66" i="59"/>
  <c r="AN65" i="59"/>
  <c r="G45" i="59"/>
  <c r="H44" i="59"/>
  <c r="BE50" i="59"/>
  <c r="BI38" i="75"/>
  <c r="BH39" i="75"/>
  <c r="Q39" i="78"/>
  <c r="P39" i="78"/>
  <c r="AV13" i="59"/>
  <c r="AU13" i="59"/>
  <c r="AT13" i="59"/>
  <c r="AR13" i="59"/>
  <c r="AO13" i="59"/>
  <c r="AQ13" i="59"/>
  <c r="BH36" i="91"/>
  <c r="BI35" i="91"/>
  <c r="AL115" i="75"/>
  <c r="Y73" i="75"/>
  <c r="BA38" i="88"/>
  <c r="AZ38" i="88"/>
  <c r="M19" i="86"/>
  <c r="S19" i="86"/>
  <c r="AL116" i="78"/>
  <c r="Y79" i="78"/>
  <c r="AQ59" i="78"/>
  <c r="AQ58" i="78"/>
  <c r="AL112" i="88"/>
  <c r="Y70" i="88"/>
  <c r="BI27" i="78"/>
  <c r="X61" i="78"/>
  <c r="T17" i="66"/>
  <c r="S17" i="66"/>
  <c r="AT16" i="75"/>
  <c r="X52" i="91"/>
  <c r="J17" i="91"/>
  <c r="BK17" i="91"/>
  <c r="L21" i="78"/>
  <c r="R21" i="78"/>
  <c r="O14" i="59"/>
  <c r="N14" i="59"/>
  <c r="L14" i="59"/>
  <c r="I14" i="59"/>
  <c r="BF14" i="59"/>
  <c r="AQ39" i="75"/>
  <c r="AP40" i="75"/>
  <c r="Q35" i="88"/>
  <c r="R35" i="88"/>
  <c r="Q37" i="75"/>
  <c r="R37" i="75"/>
  <c r="AZ29" i="86"/>
  <c r="BA29" i="86"/>
  <c r="V36" i="91"/>
  <c r="U37" i="91"/>
  <c r="AL120" i="91"/>
  <c r="Y78" i="91"/>
  <c r="G39" i="78"/>
  <c r="H38" i="78"/>
  <c r="BH44" i="78"/>
  <c r="X53" i="88"/>
  <c r="J18" i="88"/>
  <c r="BK18" i="88"/>
  <c r="BG30" i="78"/>
  <c r="AS24" i="78"/>
  <c r="BJ69" i="78"/>
  <c r="U37" i="86"/>
  <c r="V36" i="86"/>
  <c r="V38" i="75"/>
  <c r="U39" i="75"/>
  <c r="J21" i="75"/>
  <c r="X56" i="75"/>
  <c r="BK21" i="75"/>
  <c r="Q35" i="91"/>
  <c r="R35" i="91"/>
  <c r="BH46" i="88"/>
  <c r="BI45" i="88"/>
  <c r="AV24" i="78"/>
  <c r="G38" i="88"/>
  <c r="H37" i="88"/>
  <c r="BJ37" i="88"/>
  <c r="BF108" i="78"/>
  <c r="AT101" i="78"/>
  <c r="Y69" i="86"/>
  <c r="AL111" i="86"/>
  <c r="L18" i="91"/>
  <c r="P18" i="91"/>
  <c r="W53" i="91"/>
  <c r="G37" i="86"/>
  <c r="H36" i="86"/>
  <c r="BJ36" i="86"/>
  <c r="BC109" i="59"/>
  <c r="AQ102" i="59"/>
  <c r="G37" i="91"/>
  <c r="H36" i="91"/>
  <c r="BJ36" i="91"/>
  <c r="AZ31" i="75"/>
  <c r="BA31" i="75"/>
  <c r="K14" i="59"/>
  <c r="P14" i="59"/>
  <c r="U61" i="59"/>
  <c r="R17" i="66"/>
  <c r="P17" i="66"/>
  <c r="H17" i="66"/>
  <c r="U38" i="66"/>
  <c r="AA38" i="66"/>
  <c r="F39" i="66"/>
  <c r="G38" i="66"/>
  <c r="AZ28" i="91"/>
  <c r="BA28" i="91"/>
  <c r="AM53" i="91"/>
  <c r="AO14" i="91"/>
  <c r="AS14" i="91"/>
  <c r="AP39" i="91"/>
  <c r="AQ38" i="91"/>
  <c r="BI36" i="86"/>
  <c r="BH37" i="86"/>
  <c r="AS15" i="88"/>
  <c r="AM54" i="88"/>
  <c r="AO15" i="88"/>
  <c r="V88" i="59"/>
  <c r="AI118" i="59"/>
  <c r="AV15" i="86"/>
  <c r="BG15" i="86"/>
  <c r="AU17" i="88"/>
  <c r="AY17" i="88"/>
  <c r="AW17" i="88"/>
  <c r="AT17" i="88"/>
  <c r="BL62" i="88"/>
  <c r="J22" i="75"/>
  <c r="BK22" i="75"/>
  <c r="X57" i="75"/>
  <c r="M22" i="75"/>
  <c r="S22" i="75"/>
  <c r="BK19" i="88"/>
  <c r="J19" i="88"/>
  <c r="X54" i="88"/>
  <c r="G38" i="86"/>
  <c r="H37" i="86"/>
  <c r="BJ37" i="86"/>
  <c r="AQ60" i="78"/>
  <c r="AR59" i="78"/>
  <c r="AZ29" i="91"/>
  <c r="BA29" i="91"/>
  <c r="AM67" i="59"/>
  <c r="AN66" i="59"/>
  <c r="G37" i="75"/>
  <c r="H36" i="75"/>
  <c r="BJ36" i="75"/>
  <c r="V37" i="88"/>
  <c r="U38" i="88"/>
  <c r="AO16" i="88"/>
  <c r="AM55" i="88"/>
  <c r="AS16" i="88"/>
  <c r="U38" i="91"/>
  <c r="V37" i="91"/>
  <c r="AU16" i="86"/>
  <c r="AY16" i="86"/>
  <c r="AW16" i="86"/>
  <c r="BL61" i="86"/>
  <c r="AP40" i="91"/>
  <c r="AQ39" i="91"/>
  <c r="U39" i="66"/>
  <c r="G39" i="66"/>
  <c r="F40" i="66"/>
  <c r="AA39" i="66"/>
  <c r="Q14" i="59"/>
  <c r="N18" i="91"/>
  <c r="BA39" i="88"/>
  <c r="AZ39" i="88"/>
  <c r="U40" i="75"/>
  <c r="V39" i="75"/>
  <c r="Q36" i="91"/>
  <c r="R36" i="91"/>
  <c r="AL113" i="88"/>
  <c r="Y71" i="88"/>
  <c r="Y80" i="78"/>
  <c r="AL117" i="78"/>
  <c r="BH37" i="91"/>
  <c r="BI36" i="91"/>
  <c r="Q36" i="88"/>
  <c r="R36" i="88"/>
  <c r="M19" i="88"/>
  <c r="S19" i="88"/>
  <c r="AT15" i="91"/>
  <c r="AV15" i="91"/>
  <c r="BG15" i="91"/>
  <c r="AL112" i="86"/>
  <c r="Y70" i="86"/>
  <c r="G39" i="88"/>
  <c r="H38" i="88"/>
  <c r="BJ38" i="88"/>
  <c r="V89" i="59"/>
  <c r="AI119" i="59"/>
  <c r="BI37" i="86"/>
  <c r="BH38" i="86"/>
  <c r="O17" i="66"/>
  <c r="BI46" i="88"/>
  <c r="BH47" i="88"/>
  <c r="R38" i="75"/>
  <c r="Q38" i="75"/>
  <c r="AX24" i="78"/>
  <c r="BE24" i="78"/>
  <c r="AT24" i="78"/>
  <c r="AY24" i="78"/>
  <c r="G40" i="78"/>
  <c r="H39" i="78"/>
  <c r="BH45" i="78"/>
  <c r="Y79" i="91"/>
  <c r="AL121" i="91"/>
  <c r="AP41" i="75"/>
  <c r="AQ40" i="75"/>
  <c r="W62" i="78"/>
  <c r="K22" i="78"/>
  <c r="O22" i="78"/>
  <c r="M22" i="78"/>
  <c r="N23" i="78"/>
  <c r="AS14" i="59"/>
  <c r="BH40" i="75"/>
  <c r="BI39" i="75"/>
  <c r="G46" i="59"/>
  <c r="H45" i="59"/>
  <c r="BE51" i="59"/>
  <c r="Q40" i="78"/>
  <c r="P40" i="78"/>
  <c r="L38" i="66"/>
  <c r="N38" i="66"/>
  <c r="M38" i="66"/>
  <c r="U38" i="86"/>
  <c r="V37" i="86"/>
  <c r="BA30" i="86"/>
  <c r="AZ30" i="86"/>
  <c r="M15" i="59"/>
  <c r="H37" i="91"/>
  <c r="BJ37" i="91"/>
  <c r="G38" i="91"/>
  <c r="BC110" i="59"/>
  <c r="AQ103" i="59"/>
  <c r="BF109" i="78"/>
  <c r="AT102" i="78"/>
  <c r="Q36" i="86"/>
  <c r="R36" i="86"/>
  <c r="AL13" i="59"/>
  <c r="AJ52" i="59"/>
  <c r="AO16" i="75"/>
  <c r="AS16" i="75"/>
  <c r="AM55" i="75"/>
  <c r="Q18" i="66"/>
  <c r="L20" i="86"/>
  <c r="P20" i="86"/>
  <c r="N20" i="86"/>
  <c r="K20" i="86"/>
  <c r="M20" i="86"/>
  <c r="S20" i="86"/>
  <c r="W55" i="86"/>
  <c r="AL116" i="75"/>
  <c r="Y74" i="75"/>
  <c r="BB13" i="59"/>
  <c r="AZ32" i="75"/>
  <c r="BA32" i="75"/>
  <c r="T42" i="78"/>
  <c r="U41" i="78"/>
  <c r="W41" i="66"/>
  <c r="AV16" i="75"/>
  <c r="BG16" i="75"/>
  <c r="AG33" i="86"/>
  <c r="AF33" i="86"/>
  <c r="L21" i="86"/>
  <c r="P21" i="86"/>
  <c r="N21" i="86"/>
  <c r="W56" i="86"/>
  <c r="AU16" i="91"/>
  <c r="AY16" i="91"/>
  <c r="AW16" i="91"/>
  <c r="AT16" i="91"/>
  <c r="BL61" i="91"/>
  <c r="AS17" i="88"/>
  <c r="AM56" i="88"/>
  <c r="AO17" i="88"/>
  <c r="BA33" i="75"/>
  <c r="AZ33" i="75"/>
  <c r="BH48" i="88"/>
  <c r="BI47" i="88"/>
  <c r="T43" i="78"/>
  <c r="U42" i="78"/>
  <c r="BH41" i="75"/>
  <c r="BI40" i="75"/>
  <c r="J22" i="78"/>
  <c r="AL122" i="91"/>
  <c r="Y80" i="91"/>
  <c r="G41" i="78"/>
  <c r="H40" i="78"/>
  <c r="BH46" i="78"/>
  <c r="AZ40" i="88"/>
  <c r="BA40" i="88"/>
  <c r="AZ31" i="86"/>
  <c r="BA31" i="86"/>
  <c r="L20" i="88"/>
  <c r="P20" i="88"/>
  <c r="N20" i="88"/>
  <c r="K20" i="88"/>
  <c r="M20" i="88"/>
  <c r="S20" i="88"/>
  <c r="W55" i="88"/>
  <c r="AL114" i="88"/>
  <c r="Y72" i="88"/>
  <c r="R39" i="75"/>
  <c r="Q39" i="75"/>
  <c r="G40" i="66"/>
  <c r="F41" i="66"/>
  <c r="U40" i="66"/>
  <c r="AA40" i="66"/>
  <c r="AP41" i="91"/>
  <c r="AQ40" i="91"/>
  <c r="AT16" i="86"/>
  <c r="AQ61" i="78"/>
  <c r="AR60" i="78"/>
  <c r="G39" i="86"/>
  <c r="H38" i="86"/>
  <c r="BJ38" i="86"/>
  <c r="AV17" i="88"/>
  <c r="BG17" i="88"/>
  <c r="X55" i="86"/>
  <c r="J20" i="86"/>
  <c r="BK20" i="86"/>
  <c r="AQ104" i="59"/>
  <c r="BC111" i="59"/>
  <c r="Q37" i="86"/>
  <c r="R37" i="86"/>
  <c r="BG31" i="78"/>
  <c r="AS25" i="78"/>
  <c r="BJ70" i="78"/>
  <c r="Y71" i="86"/>
  <c r="AL113" i="86"/>
  <c r="BA30" i="91"/>
  <c r="AZ30" i="91"/>
  <c r="U41" i="75"/>
  <c r="V40" i="75"/>
  <c r="K18" i="91"/>
  <c r="T62" i="59"/>
  <c r="J15" i="59"/>
  <c r="S15" i="59"/>
  <c r="L39" i="66"/>
  <c r="N39" i="66"/>
  <c r="M39" i="66"/>
  <c r="G38" i="75"/>
  <c r="H37" i="75"/>
  <c r="BJ37" i="75"/>
  <c r="W42" i="66"/>
  <c r="AP14" i="59"/>
  <c r="BG59" i="59"/>
  <c r="BD14" i="59"/>
  <c r="AL117" i="75"/>
  <c r="Y75" i="75"/>
  <c r="V38" i="86"/>
  <c r="U39" i="86"/>
  <c r="G47" i="59"/>
  <c r="H46" i="59"/>
  <c r="BE52" i="59"/>
  <c r="AP42" i="75"/>
  <c r="AQ41" i="75"/>
  <c r="V17" i="66"/>
  <c r="Z17" i="66"/>
  <c r="V90" i="59"/>
  <c r="AI120" i="59"/>
  <c r="G40" i="88"/>
  <c r="H39" i="88"/>
  <c r="BJ39" i="88"/>
  <c r="BH38" i="91"/>
  <c r="BI37" i="91"/>
  <c r="Q37" i="91"/>
  <c r="R37" i="91"/>
  <c r="U39" i="88"/>
  <c r="V38" i="88"/>
  <c r="W58" i="75"/>
  <c r="L23" i="75"/>
  <c r="P23" i="75"/>
  <c r="N23" i="75"/>
  <c r="K23" i="75"/>
  <c r="AU17" i="75"/>
  <c r="AY17" i="75"/>
  <c r="AW17" i="75"/>
  <c r="AT17" i="75"/>
  <c r="BL62" i="75"/>
  <c r="P41" i="78"/>
  <c r="Q41" i="78"/>
  <c r="BF110" i="78"/>
  <c r="AT103" i="78"/>
  <c r="G39" i="91"/>
  <c r="H38" i="91"/>
  <c r="BJ38" i="91"/>
  <c r="L22" i="78"/>
  <c r="R22" i="78"/>
  <c r="BH39" i="86"/>
  <c r="BI38" i="86"/>
  <c r="AS15" i="91"/>
  <c r="AO15" i="91"/>
  <c r="AM54" i="91"/>
  <c r="AL118" i="78"/>
  <c r="Y81" i="78"/>
  <c r="AW24" i="78"/>
  <c r="AU24" i="78"/>
  <c r="AR24" i="78"/>
  <c r="U39" i="91"/>
  <c r="V38" i="91"/>
  <c r="Q37" i="88"/>
  <c r="R37" i="88"/>
  <c r="AM68" i="59"/>
  <c r="AN67" i="59"/>
  <c r="J23" i="75"/>
  <c r="X58" i="75"/>
  <c r="BK23" i="75"/>
  <c r="AO16" i="91"/>
  <c r="AM55" i="91"/>
  <c r="AS16" i="91"/>
  <c r="AS17" i="75"/>
  <c r="AM56" i="75"/>
  <c r="AO17" i="75"/>
  <c r="Q38" i="91"/>
  <c r="R38" i="91"/>
  <c r="AM69" i="59"/>
  <c r="AN68" i="59"/>
  <c r="U40" i="91"/>
  <c r="V39" i="91"/>
  <c r="Y82" i="78"/>
  <c r="AL119" i="78"/>
  <c r="BI39" i="86"/>
  <c r="BH40" i="86"/>
  <c r="AV17" i="75"/>
  <c r="BG17" i="75"/>
  <c r="BI38" i="91"/>
  <c r="BH39" i="91"/>
  <c r="G41" i="88"/>
  <c r="H40" i="88"/>
  <c r="BJ40" i="88"/>
  <c r="V91" i="59"/>
  <c r="AI121" i="59"/>
  <c r="V39" i="86"/>
  <c r="U40" i="86"/>
  <c r="AV14" i="59"/>
  <c r="AU14" i="59"/>
  <c r="P15" i="59"/>
  <c r="O15" i="59"/>
  <c r="X53" i="91"/>
  <c r="BK18" i="91"/>
  <c r="J18" i="91"/>
  <c r="V41" i="75"/>
  <c r="U42" i="75"/>
  <c r="AL114" i="86"/>
  <c r="Y72" i="86"/>
  <c r="AM55" i="86"/>
  <c r="AS16" i="86"/>
  <c r="AO16" i="86"/>
  <c r="AL115" i="88"/>
  <c r="Y73" i="88"/>
  <c r="AG33" i="88"/>
  <c r="AF33" i="88"/>
  <c r="W56" i="88"/>
  <c r="L21" i="88"/>
  <c r="P21" i="88"/>
  <c r="N21" i="88"/>
  <c r="K21" i="88"/>
  <c r="G42" i="78"/>
  <c r="H41" i="78"/>
  <c r="BH47" i="78"/>
  <c r="P42" i="78"/>
  <c r="Q42" i="78"/>
  <c r="AV16" i="86"/>
  <c r="BG16" i="86"/>
  <c r="K21" i="86"/>
  <c r="M23" i="75"/>
  <c r="S23" i="75"/>
  <c r="AV25" i="78"/>
  <c r="R38" i="86"/>
  <c r="Q38" i="86"/>
  <c r="W43" i="66"/>
  <c r="M18" i="91"/>
  <c r="S18" i="91"/>
  <c r="G40" i="86"/>
  <c r="H39" i="86"/>
  <c r="BJ39" i="86"/>
  <c r="X62" i="78"/>
  <c r="BI28" i="78"/>
  <c r="AZ34" i="75"/>
  <c r="BA34" i="75"/>
  <c r="U43" i="78"/>
  <c r="T44" i="78"/>
  <c r="AV16" i="91"/>
  <c r="BG16" i="91"/>
  <c r="K23" i="78"/>
  <c r="O23" i="78"/>
  <c r="M23" i="78"/>
  <c r="N24" i="78"/>
  <c r="W63" i="78"/>
  <c r="G40" i="91"/>
  <c r="H39" i="91"/>
  <c r="BJ39" i="91"/>
  <c r="Q38" i="88"/>
  <c r="R38" i="88"/>
  <c r="K18" i="66"/>
  <c r="J18" i="66"/>
  <c r="I18" i="66"/>
  <c r="X18" i="66"/>
  <c r="Y76" i="75"/>
  <c r="AL118" i="75"/>
  <c r="AT14" i="59"/>
  <c r="AR14" i="59"/>
  <c r="AO14" i="59"/>
  <c r="H38" i="75"/>
  <c r="BJ38" i="75"/>
  <c r="G39" i="75"/>
  <c r="N15" i="59"/>
  <c r="L15" i="59"/>
  <c r="I15" i="59"/>
  <c r="BF15" i="59"/>
  <c r="BE25" i="78"/>
  <c r="AY25" i="78"/>
  <c r="AX25" i="78"/>
  <c r="AW25" i="78"/>
  <c r="AU25" i="78"/>
  <c r="AR25" i="78"/>
  <c r="AT25" i="78"/>
  <c r="AQ105" i="59"/>
  <c r="BC112" i="59"/>
  <c r="AP42" i="91"/>
  <c r="AQ41" i="91"/>
  <c r="F42" i="66"/>
  <c r="U41" i="66"/>
  <c r="AA41" i="66"/>
  <c r="G41" i="66"/>
  <c r="BK20" i="88"/>
  <c r="J20" i="88"/>
  <c r="X55" i="88"/>
  <c r="BH42" i="75"/>
  <c r="BI41" i="75"/>
  <c r="AZ41" i="88"/>
  <c r="BA41" i="88"/>
  <c r="AN63" i="78"/>
  <c r="AO24" i="78"/>
  <c r="BA32" i="86"/>
  <c r="AZ32" i="86"/>
  <c r="BF111" i="78"/>
  <c r="AT104" i="78"/>
  <c r="V39" i="88"/>
  <c r="U40" i="88"/>
  <c r="BA31" i="91"/>
  <c r="AZ31" i="91"/>
  <c r="AP43" i="75"/>
  <c r="AQ42" i="75"/>
  <c r="G48" i="59"/>
  <c r="H47" i="59"/>
  <c r="BE53" i="59"/>
  <c r="Q40" i="75"/>
  <c r="R40" i="75"/>
  <c r="AU18" i="88"/>
  <c r="AY18" i="88"/>
  <c r="AW18" i="88"/>
  <c r="BL63" i="88"/>
  <c r="AQ62" i="78"/>
  <c r="AR61" i="78"/>
  <c r="M40" i="66"/>
  <c r="L40" i="66"/>
  <c r="N40" i="66"/>
  <c r="AL123" i="91"/>
  <c r="Y81" i="91"/>
  <c r="BI48" i="88"/>
  <c r="BH49" i="88"/>
  <c r="AN64" i="78"/>
  <c r="AO25" i="78"/>
  <c r="AT18" i="88"/>
  <c r="AQ43" i="75"/>
  <c r="AP44" i="75"/>
  <c r="BA35" i="75"/>
  <c r="AZ35" i="75"/>
  <c r="AQ42" i="91"/>
  <c r="AP43" i="91"/>
  <c r="BG32" i="78"/>
  <c r="BJ71" i="78"/>
  <c r="AS26" i="78"/>
  <c r="P43" i="78"/>
  <c r="Q43" i="78"/>
  <c r="G41" i="86"/>
  <c r="H40" i="86"/>
  <c r="BJ40" i="86"/>
  <c r="L19" i="91"/>
  <c r="P19" i="91"/>
  <c r="N19" i="91"/>
  <c r="K19" i="91"/>
  <c r="M19" i="91"/>
  <c r="S19" i="91"/>
  <c r="W54" i="91"/>
  <c r="AL115" i="86"/>
  <c r="Y73" i="86"/>
  <c r="M16" i="59"/>
  <c r="U41" i="86"/>
  <c r="V40" i="86"/>
  <c r="BH40" i="91"/>
  <c r="BI39" i="91"/>
  <c r="BH41" i="86"/>
  <c r="BI40" i="86"/>
  <c r="Q39" i="91"/>
  <c r="R39" i="91"/>
  <c r="BA42" i="88"/>
  <c r="AZ42" i="88"/>
  <c r="AL124" i="91"/>
  <c r="Y82" i="91"/>
  <c r="BI49" i="88"/>
  <c r="BH50" i="88"/>
  <c r="AQ63" i="78"/>
  <c r="AR62" i="78"/>
  <c r="U41" i="88"/>
  <c r="V40" i="88"/>
  <c r="BH43" i="75"/>
  <c r="BI42" i="75"/>
  <c r="AJ53" i="59"/>
  <c r="AL14" i="59"/>
  <c r="G41" i="91"/>
  <c r="H40" i="91"/>
  <c r="BJ40" i="91"/>
  <c r="J23" i="78"/>
  <c r="L23" i="78"/>
  <c r="R23" i="78"/>
  <c r="X56" i="86"/>
  <c r="BK21" i="86"/>
  <c r="J21" i="86"/>
  <c r="AL116" i="88"/>
  <c r="Y74" i="88"/>
  <c r="K15" i="59"/>
  <c r="AS15" i="59"/>
  <c r="R39" i="86"/>
  <c r="Q39" i="86"/>
  <c r="V92" i="59"/>
  <c r="AI122" i="59"/>
  <c r="AZ32" i="91"/>
  <c r="BA32" i="91"/>
  <c r="BA33" i="86"/>
  <c r="AZ33" i="86"/>
  <c r="U41" i="91"/>
  <c r="V40" i="91"/>
  <c r="G49" i="59"/>
  <c r="H48" i="59"/>
  <c r="BE54" i="59"/>
  <c r="Q39" i="88"/>
  <c r="R39" i="88"/>
  <c r="BF112" i="78"/>
  <c r="AT105" i="78"/>
  <c r="N41" i="66"/>
  <c r="M41" i="66"/>
  <c r="L41" i="66"/>
  <c r="U42" i="66"/>
  <c r="G42" i="66"/>
  <c r="F43" i="66"/>
  <c r="AA42" i="66"/>
  <c r="AV26" i="78"/>
  <c r="T18" i="66"/>
  <c r="S18" i="66"/>
  <c r="AU17" i="91"/>
  <c r="AY17" i="91"/>
  <c r="AW17" i="91"/>
  <c r="AT17" i="91"/>
  <c r="BL62" i="91"/>
  <c r="AV17" i="91"/>
  <c r="BG17" i="91"/>
  <c r="W44" i="66"/>
  <c r="L24" i="75"/>
  <c r="P24" i="75"/>
  <c r="N24" i="75"/>
  <c r="W59" i="75"/>
  <c r="AU17" i="86"/>
  <c r="AY17" i="86"/>
  <c r="AW17" i="86"/>
  <c r="AT17" i="86"/>
  <c r="BL62" i="86"/>
  <c r="G43" i="78"/>
  <c r="H42" i="78"/>
  <c r="BH48" i="78"/>
  <c r="V42" i="75"/>
  <c r="U43" i="75"/>
  <c r="AQ14" i="59"/>
  <c r="BB14" i="59"/>
  <c r="M21" i="86"/>
  <c r="S21" i="86"/>
  <c r="BC113" i="59"/>
  <c r="AQ106" i="59"/>
  <c r="G40" i="75"/>
  <c r="H39" i="75"/>
  <c r="BJ39" i="75"/>
  <c r="Y77" i="75"/>
  <c r="AL119" i="75"/>
  <c r="R18" i="66"/>
  <c r="P18" i="66"/>
  <c r="H18" i="66"/>
  <c r="T45" i="78"/>
  <c r="U44" i="78"/>
  <c r="BK21" i="88"/>
  <c r="X56" i="88"/>
  <c r="J21" i="88"/>
  <c r="M21" i="88"/>
  <c r="S21" i="88"/>
  <c r="R41" i="75"/>
  <c r="Q41" i="75"/>
  <c r="G42" i="88"/>
  <c r="H41" i="88"/>
  <c r="BJ41" i="88"/>
  <c r="AU18" i="75"/>
  <c r="AY18" i="75"/>
  <c r="AW18" i="75"/>
  <c r="AT18" i="75"/>
  <c r="AV18" i="75"/>
  <c r="BG18" i="75"/>
  <c r="BL63" i="75"/>
  <c r="Y83" i="78"/>
  <c r="AL120" i="78"/>
  <c r="AM70" i="59"/>
  <c r="AN69" i="59"/>
  <c r="AU19" i="75"/>
  <c r="AY19" i="75"/>
  <c r="AW19" i="75"/>
  <c r="AT19" i="75"/>
  <c r="BL64" i="75"/>
  <c r="W64" i="78"/>
  <c r="K24" i="78"/>
  <c r="O24" i="78"/>
  <c r="M24" i="78"/>
  <c r="N25" i="78"/>
  <c r="L20" i="91"/>
  <c r="P20" i="91"/>
  <c r="N20" i="91"/>
  <c r="K20" i="91"/>
  <c r="W55" i="91"/>
  <c r="AM56" i="86"/>
  <c r="AO17" i="86"/>
  <c r="AS17" i="86"/>
  <c r="AV17" i="86"/>
  <c r="BG17" i="86"/>
  <c r="AU18" i="91"/>
  <c r="AY18" i="91"/>
  <c r="AW18" i="91"/>
  <c r="AT18" i="91"/>
  <c r="BL63" i="91"/>
  <c r="AL121" i="78"/>
  <c r="Y84" i="78"/>
  <c r="AO18" i="75"/>
  <c r="AM57" i="75"/>
  <c r="AS18" i="75"/>
  <c r="G43" i="88"/>
  <c r="H42" i="88"/>
  <c r="BJ42" i="88"/>
  <c r="W57" i="88"/>
  <c r="L22" i="88"/>
  <c r="P22" i="88"/>
  <c r="N22" i="88"/>
  <c r="Q44" i="78"/>
  <c r="P44" i="78"/>
  <c r="AL120" i="75"/>
  <c r="Y78" i="75"/>
  <c r="V43" i="75"/>
  <c r="U44" i="75"/>
  <c r="K24" i="75"/>
  <c r="W45" i="66"/>
  <c r="U42" i="88"/>
  <c r="V41" i="88"/>
  <c r="BA43" i="88"/>
  <c r="AZ43" i="88"/>
  <c r="AL125" i="91"/>
  <c r="Y83" i="91"/>
  <c r="BH41" i="91"/>
  <c r="BI40" i="91"/>
  <c r="J19" i="91"/>
  <c r="BK19" i="91"/>
  <c r="X54" i="91"/>
  <c r="AS18" i="88"/>
  <c r="AM57" i="88"/>
  <c r="AO18" i="88"/>
  <c r="U45" i="78"/>
  <c r="T46" i="78"/>
  <c r="AP15" i="59"/>
  <c r="BG60" i="59"/>
  <c r="BD15" i="59"/>
  <c r="Q42" i="75"/>
  <c r="R42" i="75"/>
  <c r="G44" i="78"/>
  <c r="H43" i="78"/>
  <c r="BH49" i="78"/>
  <c r="U43" i="66"/>
  <c r="G43" i="66"/>
  <c r="F44" i="66"/>
  <c r="AA43" i="66"/>
  <c r="G50" i="59"/>
  <c r="H49" i="59"/>
  <c r="BE55" i="59"/>
  <c r="Q15" i="59"/>
  <c r="U62" i="59"/>
  <c r="H41" i="91"/>
  <c r="BJ41" i="91"/>
  <c r="G42" i="91"/>
  <c r="BA36" i="75"/>
  <c r="AZ36" i="75"/>
  <c r="AZ34" i="86"/>
  <c r="BA34" i="86"/>
  <c r="R40" i="86"/>
  <c r="Q40" i="86"/>
  <c r="AT26" i="78"/>
  <c r="BE26" i="78"/>
  <c r="AX26" i="78"/>
  <c r="AY26" i="78"/>
  <c r="AM71" i="59"/>
  <c r="AN70" i="59"/>
  <c r="O18" i="66"/>
  <c r="G41" i="75"/>
  <c r="H40" i="75"/>
  <c r="BJ40" i="75"/>
  <c r="AQ107" i="59"/>
  <c r="BC114" i="59"/>
  <c r="W57" i="86"/>
  <c r="L22" i="86"/>
  <c r="P22" i="86"/>
  <c r="N22" i="86"/>
  <c r="K22" i="86"/>
  <c r="AM56" i="91"/>
  <c r="AS17" i="91"/>
  <c r="AO17" i="91"/>
  <c r="L42" i="66"/>
  <c r="M42" i="66"/>
  <c r="N42" i="66"/>
  <c r="Q40" i="91"/>
  <c r="R40" i="91"/>
  <c r="AL117" i="88"/>
  <c r="Y75" i="88"/>
  <c r="BH44" i="75"/>
  <c r="BI43" i="75"/>
  <c r="AQ64" i="78"/>
  <c r="AR63" i="78"/>
  <c r="BH42" i="86"/>
  <c r="BI41" i="86"/>
  <c r="U42" i="86"/>
  <c r="V41" i="86"/>
  <c r="AL116" i="86"/>
  <c r="Y74" i="86"/>
  <c r="AW26" i="78"/>
  <c r="AU26" i="78"/>
  <c r="AR26" i="78"/>
  <c r="AQ43" i="91"/>
  <c r="AP44" i="91"/>
  <c r="Q19" i="66"/>
  <c r="AT106" i="78"/>
  <c r="BF113" i="78"/>
  <c r="U42" i="91"/>
  <c r="V41" i="91"/>
  <c r="V93" i="59"/>
  <c r="AI123" i="59"/>
  <c r="X63" i="78"/>
  <c r="BI29" i="78"/>
  <c r="Q40" i="88"/>
  <c r="R40" i="88"/>
  <c r="BH51" i="88"/>
  <c r="BI50" i="88"/>
  <c r="AZ33" i="91"/>
  <c r="BA33" i="91"/>
  <c r="G42" i="86"/>
  <c r="H41" i="86"/>
  <c r="BJ41" i="86"/>
  <c r="AP45" i="75"/>
  <c r="AQ44" i="75"/>
  <c r="AV18" i="88"/>
  <c r="BG18" i="88"/>
  <c r="AM57" i="91"/>
  <c r="AS18" i="91"/>
  <c r="AO18" i="91"/>
  <c r="AV18" i="91"/>
  <c r="BG18" i="91"/>
  <c r="X55" i="91"/>
  <c r="J20" i="91"/>
  <c r="BK20" i="91"/>
  <c r="AS19" i="75"/>
  <c r="AM58" i="75"/>
  <c r="AO19" i="75"/>
  <c r="BK22" i="86"/>
  <c r="J22" i="86"/>
  <c r="X57" i="86"/>
  <c r="AU19" i="88"/>
  <c r="AY19" i="88"/>
  <c r="AW19" i="88"/>
  <c r="BL64" i="88"/>
  <c r="G43" i="86"/>
  <c r="H42" i="86"/>
  <c r="BJ42" i="86"/>
  <c r="BH52" i="88"/>
  <c r="BI51" i="88"/>
  <c r="U43" i="91"/>
  <c r="V42" i="91"/>
  <c r="Y75" i="86"/>
  <c r="AL117" i="86"/>
  <c r="BA35" i="86"/>
  <c r="AZ35" i="86"/>
  <c r="BH45" i="75"/>
  <c r="BI44" i="75"/>
  <c r="M22" i="86"/>
  <c r="S22" i="86"/>
  <c r="AQ108" i="59"/>
  <c r="V18" i="66"/>
  <c r="Z18" i="66"/>
  <c r="AM72" i="59"/>
  <c r="AN71" i="59"/>
  <c r="BG33" i="78"/>
  <c r="BJ72" i="78"/>
  <c r="AS27" i="78"/>
  <c r="G51" i="59"/>
  <c r="H50" i="59"/>
  <c r="BE56" i="59"/>
  <c r="U44" i="66"/>
  <c r="AA44" i="66"/>
  <c r="F45" i="66"/>
  <c r="G44" i="66"/>
  <c r="X59" i="75"/>
  <c r="J24" i="75"/>
  <c r="BK24" i="75"/>
  <c r="G44" i="88"/>
  <c r="H43" i="88"/>
  <c r="BJ43" i="88"/>
  <c r="AU18" i="86"/>
  <c r="AY18" i="86"/>
  <c r="AW18" i="86"/>
  <c r="AT18" i="86"/>
  <c r="BL63" i="86"/>
  <c r="M20" i="91"/>
  <c r="S20" i="91"/>
  <c r="AV19" i="75"/>
  <c r="BG19" i="75"/>
  <c r="BI42" i="86"/>
  <c r="BH43" i="86"/>
  <c r="Y76" i="88"/>
  <c r="AL118" i="88"/>
  <c r="H42" i="91"/>
  <c r="BJ42" i="91"/>
  <c r="G43" i="91"/>
  <c r="M43" i="66"/>
  <c r="L43" i="66"/>
  <c r="N43" i="66"/>
  <c r="AV15" i="59"/>
  <c r="AU15" i="59"/>
  <c r="U46" i="78"/>
  <c r="T47" i="78"/>
  <c r="AZ34" i="91"/>
  <c r="BA34" i="91"/>
  <c r="Q41" i="88"/>
  <c r="R41" i="88"/>
  <c r="U45" i="75"/>
  <c r="V44" i="75"/>
  <c r="Y79" i="75"/>
  <c r="AL121" i="75"/>
  <c r="K22" i="88"/>
  <c r="AL122" i="78"/>
  <c r="Y85" i="78"/>
  <c r="M24" i="75"/>
  <c r="S24" i="75"/>
  <c r="BF114" i="78"/>
  <c r="AT107" i="78"/>
  <c r="AP45" i="91"/>
  <c r="AQ44" i="91"/>
  <c r="AP46" i="75"/>
  <c r="AQ45" i="75"/>
  <c r="V94" i="59"/>
  <c r="AI124" i="59"/>
  <c r="R41" i="86"/>
  <c r="Q41" i="86"/>
  <c r="AQ65" i="78"/>
  <c r="AR64" i="78"/>
  <c r="T63" i="59"/>
  <c r="J16" i="59"/>
  <c r="S16" i="59"/>
  <c r="Q45" i="78"/>
  <c r="P45" i="78"/>
  <c r="BH42" i="91"/>
  <c r="BI41" i="91"/>
  <c r="U43" i="88"/>
  <c r="V42" i="88"/>
  <c r="R43" i="75"/>
  <c r="Q43" i="75"/>
  <c r="J24" i="78"/>
  <c r="AZ44" i="88"/>
  <c r="BA44" i="88"/>
  <c r="R41" i="91"/>
  <c r="Q41" i="91"/>
  <c r="AO26" i="78"/>
  <c r="AN65" i="78"/>
  <c r="U43" i="86"/>
  <c r="V42" i="86"/>
  <c r="BA37" i="75"/>
  <c r="AZ37" i="75"/>
  <c r="G42" i="75"/>
  <c r="H41" i="75"/>
  <c r="BJ41" i="75"/>
  <c r="AV27" i="78"/>
  <c r="G45" i="78"/>
  <c r="H44" i="78"/>
  <c r="BH50" i="78"/>
  <c r="AL126" i="91"/>
  <c r="Y84" i="91"/>
  <c r="Y114" i="91"/>
  <c r="Y115" i="91"/>
  <c r="Y116" i="91"/>
  <c r="Y117" i="91"/>
  <c r="Y118" i="91"/>
  <c r="Y119" i="91"/>
  <c r="Y120" i="91"/>
  <c r="Y121" i="91"/>
  <c r="Y122" i="91"/>
  <c r="Y123" i="91"/>
  <c r="Y124" i="91"/>
  <c r="Y125" i="91"/>
  <c r="Y126" i="91"/>
  <c r="Y127" i="91"/>
  <c r="Y128" i="91"/>
  <c r="Y129" i="91"/>
  <c r="Y130" i="91"/>
  <c r="Y131" i="91"/>
  <c r="Y132" i="91"/>
  <c r="Y133" i="91"/>
  <c r="Y134" i="91"/>
  <c r="Y135" i="91"/>
  <c r="Y136" i="91"/>
  <c r="Y137" i="91"/>
  <c r="Y138" i="91"/>
  <c r="Y139" i="91"/>
  <c r="Y140" i="91"/>
  <c r="Y141" i="91"/>
  <c r="Y142" i="91"/>
  <c r="Y143" i="91"/>
  <c r="W46" i="66"/>
  <c r="AO18" i="86"/>
  <c r="AS18" i="86"/>
  <c r="AM57" i="86"/>
  <c r="AV18" i="86"/>
  <c r="BG18" i="86"/>
  <c r="X64" i="78"/>
  <c r="BI30" i="78"/>
  <c r="Q42" i="88"/>
  <c r="R42" i="88"/>
  <c r="P16" i="59"/>
  <c r="O16" i="59"/>
  <c r="R44" i="75"/>
  <c r="Q44" i="75"/>
  <c r="T48" i="78"/>
  <c r="U47" i="78"/>
  <c r="Y77" i="88"/>
  <c r="AL119" i="88"/>
  <c r="BA38" i="75"/>
  <c r="AZ38" i="75"/>
  <c r="U44" i="91"/>
  <c r="V43" i="91"/>
  <c r="G44" i="86"/>
  <c r="H43" i="86"/>
  <c r="BJ43" i="86"/>
  <c r="AT19" i="88"/>
  <c r="AU19" i="91"/>
  <c r="AY19" i="91"/>
  <c r="AW19" i="91"/>
  <c r="AT19" i="91"/>
  <c r="BL64" i="91"/>
  <c r="G46" i="78"/>
  <c r="H45" i="78"/>
  <c r="BH51" i="78"/>
  <c r="N16" i="59"/>
  <c r="L16" i="59"/>
  <c r="I16" i="59"/>
  <c r="BF16" i="59"/>
  <c r="V95" i="59"/>
  <c r="AI125" i="59"/>
  <c r="AP47" i="75"/>
  <c r="AQ46" i="75"/>
  <c r="BK22" i="88"/>
  <c r="J22" i="88"/>
  <c r="X57" i="88"/>
  <c r="U46" i="75"/>
  <c r="V45" i="75"/>
  <c r="Q46" i="78"/>
  <c r="P46" i="78"/>
  <c r="G44" i="91"/>
  <c r="H43" i="91"/>
  <c r="BJ43" i="91"/>
  <c r="BI43" i="86"/>
  <c r="BH44" i="86"/>
  <c r="U45" i="66"/>
  <c r="G45" i="66"/>
  <c r="F46" i="66"/>
  <c r="AA45" i="66"/>
  <c r="AM73" i="59"/>
  <c r="AN72" i="59"/>
  <c r="BH46" i="75"/>
  <c r="BI45" i="75"/>
  <c r="AZ45" i="88"/>
  <c r="BA45" i="88"/>
  <c r="M22" i="88"/>
  <c r="S22" i="88"/>
  <c r="G43" i="75"/>
  <c r="H42" i="75"/>
  <c r="BJ42" i="75"/>
  <c r="V43" i="88"/>
  <c r="U44" i="88"/>
  <c r="AL127" i="91"/>
  <c r="Y85" i="91"/>
  <c r="Q42" i="86"/>
  <c r="R42" i="86"/>
  <c r="AZ35" i="91"/>
  <c r="BA35" i="91"/>
  <c r="AQ66" i="78"/>
  <c r="AR65" i="78"/>
  <c r="L25" i="75"/>
  <c r="P25" i="75"/>
  <c r="N25" i="75"/>
  <c r="K25" i="75"/>
  <c r="M25" i="75"/>
  <c r="S25" i="75"/>
  <c r="W60" i="75"/>
  <c r="AZ36" i="86"/>
  <c r="BA36" i="86"/>
  <c r="AU20" i="75"/>
  <c r="AY20" i="75"/>
  <c r="AW20" i="75"/>
  <c r="AT20" i="75"/>
  <c r="AV20" i="75"/>
  <c r="BG20" i="75"/>
  <c r="BL65" i="75"/>
  <c r="G45" i="88"/>
  <c r="H44" i="88"/>
  <c r="BJ44" i="88"/>
  <c r="AT15" i="59"/>
  <c r="AR15" i="59"/>
  <c r="AL118" i="86"/>
  <c r="Y76" i="86"/>
  <c r="BI52" i="88"/>
  <c r="BH53" i="88"/>
  <c r="W47" i="66"/>
  <c r="U44" i="86"/>
  <c r="V43" i="86"/>
  <c r="L24" i="78"/>
  <c r="R24" i="78"/>
  <c r="BH43" i="91"/>
  <c r="BI42" i="91"/>
  <c r="AP46" i="91"/>
  <c r="AQ45" i="91"/>
  <c r="AT108" i="78"/>
  <c r="AL123" i="78"/>
  <c r="Y86" i="78"/>
  <c r="AL122" i="75"/>
  <c r="Y80" i="75"/>
  <c r="AG33" i="91"/>
  <c r="AF33" i="91"/>
  <c r="L21" i="91"/>
  <c r="P21" i="91"/>
  <c r="N21" i="91"/>
  <c r="K21" i="91"/>
  <c r="W56" i="91"/>
  <c r="N44" i="66"/>
  <c r="M44" i="66"/>
  <c r="L44" i="66"/>
  <c r="G52" i="59"/>
  <c r="H51" i="59"/>
  <c r="BE57" i="59"/>
  <c r="AY27" i="78"/>
  <c r="BE27" i="78"/>
  <c r="AX27" i="78"/>
  <c r="AT27" i="78"/>
  <c r="J19" i="66"/>
  <c r="I19" i="66"/>
  <c r="K19" i="66"/>
  <c r="X19" i="66"/>
  <c r="W58" i="86"/>
  <c r="L23" i="86"/>
  <c r="P23" i="86"/>
  <c r="N23" i="86"/>
  <c r="K23" i="86"/>
  <c r="R42" i="91"/>
  <c r="Q42" i="91"/>
  <c r="AU21" i="75"/>
  <c r="AY21" i="75"/>
  <c r="AW21" i="75"/>
  <c r="AT21" i="75"/>
  <c r="BL66" i="75"/>
  <c r="AS19" i="91"/>
  <c r="AM58" i="91"/>
  <c r="AO19" i="91"/>
  <c r="BK21" i="91"/>
  <c r="X56" i="91"/>
  <c r="J21" i="91"/>
  <c r="W61" i="75"/>
  <c r="L26" i="75"/>
  <c r="P26" i="75"/>
  <c r="N26" i="75"/>
  <c r="K26" i="75"/>
  <c r="M26" i="75"/>
  <c r="S26" i="75"/>
  <c r="AL124" i="78"/>
  <c r="Y87" i="78"/>
  <c r="BA36" i="91"/>
  <c r="AZ36" i="91"/>
  <c r="S19" i="66"/>
  <c r="T19" i="66"/>
  <c r="BH44" i="91"/>
  <c r="BI43" i="91"/>
  <c r="W48" i="66"/>
  <c r="BH54" i="88"/>
  <c r="BI53" i="88"/>
  <c r="AO15" i="59"/>
  <c r="AQ15" i="59"/>
  <c r="AL128" i="91"/>
  <c r="Y86" i="91"/>
  <c r="W58" i="88"/>
  <c r="L23" i="88"/>
  <c r="P23" i="88"/>
  <c r="N23" i="88"/>
  <c r="K23" i="88"/>
  <c r="M23" i="88"/>
  <c r="S23" i="88"/>
  <c r="AM74" i="59"/>
  <c r="AN73" i="59"/>
  <c r="G46" i="66"/>
  <c r="U46" i="66"/>
  <c r="F47" i="66"/>
  <c r="AA46" i="66"/>
  <c r="G45" i="91"/>
  <c r="H44" i="91"/>
  <c r="BJ44" i="91"/>
  <c r="U47" i="75"/>
  <c r="V46" i="75"/>
  <c r="AV19" i="91"/>
  <c r="BG19" i="91"/>
  <c r="AS19" i="88"/>
  <c r="AO19" i="88"/>
  <c r="AM58" i="88"/>
  <c r="V44" i="91"/>
  <c r="U45" i="91"/>
  <c r="AL120" i="88"/>
  <c r="Y78" i="88"/>
  <c r="M21" i="91"/>
  <c r="S21" i="91"/>
  <c r="Y81" i="75"/>
  <c r="AL123" i="75"/>
  <c r="AP47" i="91"/>
  <c r="AQ46" i="91"/>
  <c r="K25" i="78"/>
  <c r="O25" i="78"/>
  <c r="M25" i="78"/>
  <c r="J25" i="78"/>
  <c r="L25" i="78"/>
  <c r="R25" i="78"/>
  <c r="N26" i="78"/>
  <c r="W65" i="78"/>
  <c r="R43" i="86"/>
  <c r="Q43" i="86"/>
  <c r="BA46" i="88"/>
  <c r="AZ46" i="88"/>
  <c r="G46" i="88"/>
  <c r="H45" i="88"/>
  <c r="BJ45" i="88"/>
  <c r="G44" i="75"/>
  <c r="H43" i="75"/>
  <c r="BJ43" i="75"/>
  <c r="AZ39" i="75"/>
  <c r="BA39" i="75"/>
  <c r="AW27" i="78"/>
  <c r="AU27" i="78"/>
  <c r="AR27" i="78"/>
  <c r="L45" i="66"/>
  <c r="N45" i="66"/>
  <c r="M45" i="66"/>
  <c r="BH45" i="86"/>
  <c r="BI44" i="86"/>
  <c r="AQ47" i="75"/>
  <c r="AP48" i="75"/>
  <c r="G47" i="78"/>
  <c r="H46" i="78"/>
  <c r="BH52" i="78"/>
  <c r="AS16" i="59"/>
  <c r="M17" i="59"/>
  <c r="BK23" i="86"/>
  <c r="J23" i="86"/>
  <c r="X58" i="86"/>
  <c r="M23" i="86"/>
  <c r="S23" i="86"/>
  <c r="BG34" i="78"/>
  <c r="AS28" i="78"/>
  <c r="BJ73" i="78"/>
  <c r="R19" i="66"/>
  <c r="P19" i="66"/>
  <c r="H19" i="66"/>
  <c r="G53" i="59"/>
  <c r="H52" i="59"/>
  <c r="BE58" i="59"/>
  <c r="V44" i="86"/>
  <c r="U45" i="86"/>
  <c r="AL119" i="86"/>
  <c r="Y77" i="86"/>
  <c r="AR66" i="78"/>
  <c r="AP67" i="78"/>
  <c r="U45" i="88"/>
  <c r="V44" i="88"/>
  <c r="BI46" i="75"/>
  <c r="BH47" i="75"/>
  <c r="BA37" i="86"/>
  <c r="AZ37" i="86"/>
  <c r="G45" i="86"/>
  <c r="H44" i="86"/>
  <c r="BJ44" i="86"/>
  <c r="Q47" i="78"/>
  <c r="P47" i="78"/>
  <c r="K16" i="59"/>
  <c r="AO20" i="75"/>
  <c r="AM59" i="75"/>
  <c r="AS20" i="75"/>
  <c r="J25" i="75"/>
  <c r="BK25" i="75"/>
  <c r="X60" i="75"/>
  <c r="Q43" i="88"/>
  <c r="R43" i="88"/>
  <c r="Q45" i="75"/>
  <c r="R45" i="75"/>
  <c r="V126" i="59"/>
  <c r="V127" i="59"/>
  <c r="V128" i="59"/>
  <c r="V129" i="59"/>
  <c r="V130" i="59"/>
  <c r="V131" i="59"/>
  <c r="V132" i="59"/>
  <c r="V133" i="59"/>
  <c r="V134" i="59"/>
  <c r="V135" i="59"/>
  <c r="V136" i="59"/>
  <c r="V137" i="59"/>
  <c r="V138" i="59"/>
  <c r="V139" i="59"/>
  <c r="V140" i="59"/>
  <c r="V141" i="59"/>
  <c r="V142" i="59"/>
  <c r="V143" i="59"/>
  <c r="V144" i="59"/>
  <c r="V145" i="59"/>
  <c r="V146" i="59"/>
  <c r="V147" i="59"/>
  <c r="V148" i="59"/>
  <c r="V149" i="59"/>
  <c r="V150" i="59"/>
  <c r="V151" i="59"/>
  <c r="V152" i="59"/>
  <c r="V153" i="59"/>
  <c r="V154" i="59"/>
  <c r="V155" i="59"/>
  <c r="V96" i="59"/>
  <c r="AI126" i="59"/>
  <c r="R43" i="91"/>
  <c r="Q43" i="91"/>
  <c r="T49" i="78"/>
  <c r="U48" i="78"/>
  <c r="AU19" i="86"/>
  <c r="AY19" i="86"/>
  <c r="AW19" i="86"/>
  <c r="AT19" i="86"/>
  <c r="AV19" i="86"/>
  <c r="BG19" i="86"/>
  <c r="BL64" i="86"/>
  <c r="AV19" i="88"/>
  <c r="BG19" i="88"/>
  <c r="W62" i="75"/>
  <c r="L27" i="75"/>
  <c r="P27" i="75"/>
  <c r="N27" i="75"/>
  <c r="AS21" i="75"/>
  <c r="AO21" i="75"/>
  <c r="AM60" i="75"/>
  <c r="W66" i="78"/>
  <c r="K26" i="78"/>
  <c r="O26" i="78"/>
  <c r="M26" i="78"/>
  <c r="N27" i="78"/>
  <c r="L24" i="88"/>
  <c r="P24" i="88"/>
  <c r="N24" i="88"/>
  <c r="W59" i="88"/>
  <c r="BB15" i="59"/>
  <c r="AU20" i="86"/>
  <c r="AY20" i="86"/>
  <c r="AW20" i="86"/>
  <c r="AT20" i="86"/>
  <c r="BL65" i="86"/>
  <c r="W59" i="86"/>
  <c r="L24" i="86"/>
  <c r="P24" i="86"/>
  <c r="N24" i="86"/>
  <c r="K24" i="86"/>
  <c r="AP49" i="75"/>
  <c r="AQ48" i="75"/>
  <c r="BH46" i="86"/>
  <c r="BI45" i="86"/>
  <c r="AN66" i="78"/>
  <c r="AO27" i="78"/>
  <c r="AL124" i="75"/>
  <c r="Y82" i="75"/>
  <c r="R44" i="91"/>
  <c r="Q44" i="91"/>
  <c r="AU20" i="91"/>
  <c r="AY20" i="91"/>
  <c r="AW20" i="91"/>
  <c r="AT20" i="91"/>
  <c r="BL65" i="91"/>
  <c r="AV20" i="91"/>
  <c r="BG20" i="91"/>
  <c r="BK23" i="88"/>
  <c r="J23" i="88"/>
  <c r="X58" i="88"/>
  <c r="Y87" i="91"/>
  <c r="AL129" i="91"/>
  <c r="BI44" i="91"/>
  <c r="BH45" i="91"/>
  <c r="X61" i="75"/>
  <c r="BK26" i="75"/>
  <c r="J26" i="75"/>
  <c r="G54" i="59"/>
  <c r="H53" i="59"/>
  <c r="BE59" i="59"/>
  <c r="BI47" i="75"/>
  <c r="BH48" i="75"/>
  <c r="G48" i="78"/>
  <c r="H47" i="78"/>
  <c r="BH53" i="78"/>
  <c r="X65" i="78"/>
  <c r="BI31" i="78"/>
  <c r="L22" i="91"/>
  <c r="P22" i="91"/>
  <c r="N22" i="91"/>
  <c r="K22" i="91"/>
  <c r="M22" i="91"/>
  <c r="S22" i="91"/>
  <c r="W57" i="91"/>
  <c r="AL121" i="88"/>
  <c r="Y79" i="88"/>
  <c r="H45" i="91"/>
  <c r="BJ45" i="91"/>
  <c r="G46" i="91"/>
  <c r="U47" i="66"/>
  <c r="AA47" i="66"/>
  <c r="F48" i="66"/>
  <c r="G47" i="66"/>
  <c r="W49" i="66"/>
  <c r="AV28" i="78"/>
  <c r="AV21" i="75"/>
  <c r="BG21" i="75"/>
  <c r="AS19" i="86"/>
  <c r="AM58" i="86"/>
  <c r="AO19" i="86"/>
  <c r="P48" i="78"/>
  <c r="Q48" i="78"/>
  <c r="T50" i="78"/>
  <c r="U49" i="78"/>
  <c r="V97" i="59"/>
  <c r="AI127" i="59"/>
  <c r="Q16" i="59"/>
  <c r="U63" i="59"/>
  <c r="G46" i="86"/>
  <c r="H45" i="86"/>
  <c r="BJ45" i="86"/>
  <c r="BA40" i="75"/>
  <c r="AZ40" i="75"/>
  <c r="Q44" i="88"/>
  <c r="R44" i="88"/>
  <c r="AP68" i="78"/>
  <c r="AQ67" i="78"/>
  <c r="O19" i="66"/>
  <c r="G45" i="75"/>
  <c r="H44" i="75"/>
  <c r="BJ44" i="75"/>
  <c r="G47" i="88"/>
  <c r="H46" i="88"/>
  <c r="BJ46" i="88"/>
  <c r="AQ47" i="91"/>
  <c r="AP48" i="91"/>
  <c r="R46" i="75"/>
  <c r="Q46" i="75"/>
  <c r="AM75" i="59"/>
  <c r="AN74" i="59"/>
  <c r="AL15" i="59"/>
  <c r="AJ54" i="59"/>
  <c r="BA47" i="88"/>
  <c r="AZ47" i="88"/>
  <c r="AU20" i="88"/>
  <c r="AY20" i="88"/>
  <c r="AW20" i="88"/>
  <c r="AT20" i="88"/>
  <c r="AV20" i="88"/>
  <c r="BG20" i="88"/>
  <c r="BL65" i="88"/>
  <c r="R44" i="86"/>
  <c r="Q44" i="86"/>
  <c r="U46" i="88"/>
  <c r="V45" i="88"/>
  <c r="Y78" i="86"/>
  <c r="AL120" i="86"/>
  <c r="U46" i="86"/>
  <c r="V45" i="86"/>
  <c r="AY28" i="78"/>
  <c r="AX28" i="78"/>
  <c r="AT28" i="78"/>
  <c r="BE28" i="78"/>
  <c r="BA38" i="86"/>
  <c r="AZ38" i="86"/>
  <c r="U46" i="91"/>
  <c r="V45" i="91"/>
  <c r="U48" i="75"/>
  <c r="V47" i="75"/>
  <c r="M46" i="66"/>
  <c r="L46" i="66"/>
  <c r="N46" i="66"/>
  <c r="BI54" i="88"/>
  <c r="BH55" i="88"/>
  <c r="BA37" i="91"/>
  <c r="AZ37" i="91"/>
  <c r="Q20" i="66"/>
  <c r="AL125" i="78"/>
  <c r="Y88" i="78"/>
  <c r="L23" i="91"/>
  <c r="P23" i="91"/>
  <c r="N23" i="91"/>
  <c r="W58" i="91"/>
  <c r="AU21" i="91"/>
  <c r="AY21" i="91"/>
  <c r="AW21" i="91"/>
  <c r="AT21" i="91"/>
  <c r="BL66" i="91"/>
  <c r="J24" i="86"/>
  <c r="BK24" i="86"/>
  <c r="X59" i="86"/>
  <c r="AO20" i="86"/>
  <c r="AM59" i="86"/>
  <c r="AS20" i="86"/>
  <c r="AV20" i="86"/>
  <c r="BG20" i="86"/>
  <c r="AL121" i="86"/>
  <c r="Y79" i="86"/>
  <c r="AM76" i="59"/>
  <c r="AN75" i="59"/>
  <c r="G46" i="75"/>
  <c r="H45" i="75"/>
  <c r="BJ45" i="75"/>
  <c r="Q49" i="78"/>
  <c r="P49" i="78"/>
  <c r="W50" i="66"/>
  <c r="H46" i="91"/>
  <c r="BJ46" i="91"/>
  <c r="G47" i="91"/>
  <c r="G49" i="78"/>
  <c r="H48" i="78"/>
  <c r="BH54" i="78"/>
  <c r="BA41" i="75"/>
  <c r="AZ41" i="75"/>
  <c r="G55" i="59"/>
  <c r="H54" i="59"/>
  <c r="BE60" i="59"/>
  <c r="AL125" i="75"/>
  <c r="Y83" i="75"/>
  <c r="K24" i="88"/>
  <c r="M24" i="88"/>
  <c r="S24" i="88"/>
  <c r="J26" i="78"/>
  <c r="BH56" i="88"/>
  <c r="BI55" i="88"/>
  <c r="AZ48" i="88"/>
  <c r="BA48" i="88"/>
  <c r="R47" i="75"/>
  <c r="Q47" i="75"/>
  <c r="R45" i="86"/>
  <c r="Q45" i="86"/>
  <c r="R45" i="88"/>
  <c r="Q45" i="88"/>
  <c r="AM59" i="88"/>
  <c r="AO20" i="88"/>
  <c r="AS20" i="88"/>
  <c r="G48" i="88"/>
  <c r="H47" i="88"/>
  <c r="BJ47" i="88"/>
  <c r="V19" i="66"/>
  <c r="Z19" i="66"/>
  <c r="AP69" i="78"/>
  <c r="AQ68" i="78"/>
  <c r="G47" i="86"/>
  <c r="H46" i="86"/>
  <c r="BJ46" i="86"/>
  <c r="T51" i="78"/>
  <c r="U50" i="78"/>
  <c r="AL122" i="88"/>
  <c r="Y80" i="88"/>
  <c r="BK22" i="91"/>
  <c r="J22" i="91"/>
  <c r="X57" i="91"/>
  <c r="AL130" i="91"/>
  <c r="Y88" i="91"/>
  <c r="AO20" i="91"/>
  <c r="AM59" i="91"/>
  <c r="AS20" i="91"/>
  <c r="AP50" i="75"/>
  <c r="AQ49" i="75"/>
  <c r="M24" i="86"/>
  <c r="S24" i="86"/>
  <c r="AP16" i="59"/>
  <c r="BG61" i="59"/>
  <c r="BD16" i="59"/>
  <c r="K27" i="75"/>
  <c r="M27" i="75"/>
  <c r="S27" i="75"/>
  <c r="BG35" i="78"/>
  <c r="BJ74" i="78"/>
  <c r="AS29" i="78"/>
  <c r="AU21" i="88"/>
  <c r="AY21" i="88"/>
  <c r="AW21" i="88"/>
  <c r="AT21" i="88"/>
  <c r="BL66" i="88"/>
  <c r="V46" i="91"/>
  <c r="U47" i="91"/>
  <c r="Y119" i="78"/>
  <c r="Y120" i="78"/>
  <c r="Y121" i="78"/>
  <c r="Y122" i="78"/>
  <c r="Y123" i="78"/>
  <c r="Y124" i="78"/>
  <c r="Y125" i="78"/>
  <c r="Y126" i="78"/>
  <c r="Y127" i="78"/>
  <c r="Y128" i="78"/>
  <c r="Y129" i="78"/>
  <c r="Y130" i="78"/>
  <c r="Y131" i="78"/>
  <c r="Y132" i="78"/>
  <c r="Y133" i="78"/>
  <c r="Y134" i="78"/>
  <c r="Y135" i="78"/>
  <c r="Y136" i="78"/>
  <c r="Y137" i="78"/>
  <c r="Y138" i="78"/>
  <c r="Y139" i="78"/>
  <c r="Y140" i="78"/>
  <c r="Y141" i="78"/>
  <c r="Y142" i="78"/>
  <c r="Y143" i="78"/>
  <c r="Y144" i="78"/>
  <c r="Y145" i="78"/>
  <c r="Y146" i="78"/>
  <c r="Y147" i="78"/>
  <c r="Y148" i="78"/>
  <c r="AL126" i="78"/>
  <c r="Y89" i="78"/>
  <c r="V48" i="75"/>
  <c r="U49" i="75"/>
  <c r="U47" i="86"/>
  <c r="V46" i="86"/>
  <c r="U47" i="88"/>
  <c r="V46" i="88"/>
  <c r="AP49" i="91"/>
  <c r="AQ48" i="91"/>
  <c r="N47" i="66"/>
  <c r="L47" i="66"/>
  <c r="M47" i="66"/>
  <c r="AW28" i="78"/>
  <c r="AU28" i="78"/>
  <c r="AR28" i="78"/>
  <c r="BI45" i="91"/>
  <c r="BH46" i="91"/>
  <c r="AZ39" i="86"/>
  <c r="BA39" i="86"/>
  <c r="R45" i="91"/>
  <c r="Q45" i="91"/>
  <c r="J17" i="59"/>
  <c r="T64" i="59"/>
  <c r="S17" i="59"/>
  <c r="V98" i="59"/>
  <c r="AI128" i="59"/>
  <c r="AU22" i="75"/>
  <c r="AY22" i="75"/>
  <c r="AW22" i="75"/>
  <c r="AT22" i="75"/>
  <c r="AV22" i="75"/>
  <c r="BG22" i="75"/>
  <c r="BL67" i="75"/>
  <c r="F49" i="66"/>
  <c r="G48" i="66"/>
  <c r="U48" i="66"/>
  <c r="AA48" i="66"/>
  <c r="BH49" i="75"/>
  <c r="BI48" i="75"/>
  <c r="AZ38" i="91"/>
  <c r="BA38" i="91"/>
  <c r="BH47" i="86"/>
  <c r="BI46" i="86"/>
  <c r="L26" i="78"/>
  <c r="R26" i="78"/>
  <c r="AU23" i="75"/>
  <c r="AY23" i="75"/>
  <c r="AW23" i="75"/>
  <c r="AT23" i="75"/>
  <c r="BL68" i="75"/>
  <c r="AM60" i="91"/>
  <c r="AO21" i="91"/>
  <c r="AS21" i="91"/>
  <c r="AS21" i="88"/>
  <c r="AM60" i="88"/>
  <c r="AO21" i="88"/>
  <c r="W60" i="88"/>
  <c r="L25" i="88"/>
  <c r="P25" i="88"/>
  <c r="N25" i="88"/>
  <c r="K25" i="88"/>
  <c r="W63" i="75"/>
  <c r="L28" i="75"/>
  <c r="P28" i="75"/>
  <c r="N28" i="75"/>
  <c r="BA42" i="75"/>
  <c r="AZ42" i="75"/>
  <c r="AM61" i="75"/>
  <c r="AS22" i="75"/>
  <c r="AO22" i="75"/>
  <c r="AP50" i="91"/>
  <c r="AQ49" i="91"/>
  <c r="V47" i="86"/>
  <c r="U48" i="86"/>
  <c r="R48" i="75"/>
  <c r="Q48" i="75"/>
  <c r="V47" i="91"/>
  <c r="U48" i="91"/>
  <c r="BI47" i="86"/>
  <c r="BH48" i="86"/>
  <c r="BI49" i="75"/>
  <c r="BH50" i="75"/>
  <c r="R46" i="88"/>
  <c r="Q46" i="88"/>
  <c r="AL127" i="78"/>
  <c r="Y90" i="78"/>
  <c r="Q46" i="91"/>
  <c r="R46" i="91"/>
  <c r="G49" i="88"/>
  <c r="H48" i="88"/>
  <c r="BJ48" i="88"/>
  <c r="AV29" i="78"/>
  <c r="AZ49" i="88"/>
  <c r="BA49" i="88"/>
  <c r="AL126" i="75"/>
  <c r="Y84" i="75"/>
  <c r="Y114" i="75"/>
  <c r="Y115" i="75"/>
  <c r="Y116" i="75"/>
  <c r="Y117" i="75"/>
  <c r="Y118" i="75"/>
  <c r="Y119" i="75"/>
  <c r="Y120" i="75"/>
  <c r="Y121" i="75"/>
  <c r="Y122" i="75"/>
  <c r="Y123" i="75"/>
  <c r="Y124" i="75"/>
  <c r="Y125" i="75"/>
  <c r="Y126" i="75"/>
  <c r="Y127" i="75"/>
  <c r="Y128" i="75"/>
  <c r="Y129" i="75"/>
  <c r="Y130" i="75"/>
  <c r="Y131" i="75"/>
  <c r="Y132" i="75"/>
  <c r="Y133" i="75"/>
  <c r="Y134" i="75"/>
  <c r="Y135" i="75"/>
  <c r="Y136" i="75"/>
  <c r="Y137" i="75"/>
  <c r="Y138" i="75"/>
  <c r="Y139" i="75"/>
  <c r="Y140" i="75"/>
  <c r="Y141" i="75"/>
  <c r="Y142" i="75"/>
  <c r="Y143" i="75"/>
  <c r="W51" i="66"/>
  <c r="H46" i="75"/>
  <c r="BJ46" i="75"/>
  <c r="G47" i="75"/>
  <c r="K23" i="91"/>
  <c r="M48" i="66"/>
  <c r="L48" i="66"/>
  <c r="N48" i="66"/>
  <c r="U48" i="88"/>
  <c r="V47" i="88"/>
  <c r="AV21" i="88"/>
  <c r="BG21" i="88"/>
  <c r="AY29" i="78"/>
  <c r="AT29" i="78"/>
  <c r="AX29" i="78"/>
  <c r="BE29" i="78"/>
  <c r="AP51" i="75"/>
  <c r="AQ50" i="75"/>
  <c r="AL131" i="91"/>
  <c r="Y89" i="91"/>
  <c r="G48" i="86"/>
  <c r="H47" i="86"/>
  <c r="BJ47" i="86"/>
  <c r="J20" i="66"/>
  <c r="I20" i="66"/>
  <c r="K20" i="66"/>
  <c r="X20" i="66"/>
  <c r="BI56" i="88"/>
  <c r="BH57" i="88"/>
  <c r="G56" i="59"/>
  <c r="H55" i="59"/>
  <c r="BE61" i="59"/>
  <c r="G48" i="91"/>
  <c r="H47" i="91"/>
  <c r="BJ47" i="91"/>
  <c r="AM77" i="59"/>
  <c r="AN76" i="59"/>
  <c r="BI46" i="91"/>
  <c r="BH47" i="91"/>
  <c r="W67" i="78"/>
  <c r="K27" i="78"/>
  <c r="O27" i="78"/>
  <c r="M27" i="78"/>
  <c r="N28" i="78"/>
  <c r="J27" i="78"/>
  <c r="G49" i="66"/>
  <c r="U49" i="66"/>
  <c r="F50" i="66"/>
  <c r="AA49" i="66"/>
  <c r="V99" i="59"/>
  <c r="AI129" i="59"/>
  <c r="BA39" i="91"/>
  <c r="AZ39" i="91"/>
  <c r="AV45" i="91"/>
  <c r="Q46" i="86"/>
  <c r="R46" i="86"/>
  <c r="U50" i="75"/>
  <c r="V49" i="75"/>
  <c r="AW29" i="78"/>
  <c r="AU29" i="78"/>
  <c r="AR29" i="78"/>
  <c r="J27" i="75"/>
  <c r="X62" i="75"/>
  <c r="BK27" i="75"/>
  <c r="AL123" i="88"/>
  <c r="Y81" i="88"/>
  <c r="Q50" i="78"/>
  <c r="P50" i="78"/>
  <c r="BI32" i="78"/>
  <c r="X66" i="78"/>
  <c r="Y80" i="86"/>
  <c r="AL122" i="86"/>
  <c r="AU21" i="86"/>
  <c r="AY21" i="86"/>
  <c r="AW21" i="86"/>
  <c r="BL66" i="86"/>
  <c r="AV21" i="91"/>
  <c r="BG21" i="91"/>
  <c r="BA40" i="86"/>
  <c r="AZ40" i="86"/>
  <c r="O17" i="59"/>
  <c r="P17" i="59"/>
  <c r="AM67" i="78"/>
  <c r="AO28" i="78"/>
  <c r="AU16" i="59"/>
  <c r="AT16" i="59"/>
  <c r="AV16" i="59"/>
  <c r="AR16" i="59"/>
  <c r="L25" i="86"/>
  <c r="P25" i="86"/>
  <c r="N25" i="86"/>
  <c r="K25" i="86"/>
  <c r="W60" i="86"/>
  <c r="T52" i="78"/>
  <c r="U51" i="78"/>
  <c r="AP70" i="78"/>
  <c r="AQ69" i="78"/>
  <c r="X59" i="88"/>
  <c r="BK24" i="88"/>
  <c r="J24" i="88"/>
  <c r="G50" i="78"/>
  <c r="H49" i="78"/>
  <c r="BH55" i="78"/>
  <c r="BK25" i="86"/>
  <c r="X60" i="86"/>
  <c r="J25" i="86"/>
  <c r="AM62" i="75"/>
  <c r="AO23" i="75"/>
  <c r="AS23" i="75"/>
  <c r="AO16" i="59"/>
  <c r="AQ16" i="59"/>
  <c r="J25" i="88"/>
  <c r="X60" i="88"/>
  <c r="BK25" i="88"/>
  <c r="M25" i="86"/>
  <c r="S25" i="86"/>
  <c r="AP71" i="78"/>
  <c r="AQ70" i="78"/>
  <c r="AU22" i="91"/>
  <c r="AY22" i="91"/>
  <c r="AW22" i="91"/>
  <c r="AT22" i="91"/>
  <c r="BL67" i="91"/>
  <c r="AT21" i="86"/>
  <c r="AV21" i="86"/>
  <c r="BG21" i="86"/>
  <c r="AL124" i="88"/>
  <c r="Y82" i="88"/>
  <c r="N17" i="59"/>
  <c r="L17" i="59"/>
  <c r="M18" i="59"/>
  <c r="L49" i="66"/>
  <c r="N49" i="66"/>
  <c r="M49" i="66"/>
  <c r="BI47" i="91"/>
  <c r="BH48" i="91"/>
  <c r="AM78" i="59"/>
  <c r="AN77" i="59"/>
  <c r="BI57" i="88"/>
  <c r="BH58" i="88"/>
  <c r="S20" i="66"/>
  <c r="T20" i="66"/>
  <c r="G49" i="86"/>
  <c r="H48" i="86"/>
  <c r="BJ48" i="86"/>
  <c r="AQ51" i="75"/>
  <c r="AP52" i="75"/>
  <c r="V48" i="88"/>
  <c r="U49" i="88"/>
  <c r="X58" i="91"/>
  <c r="J23" i="91"/>
  <c r="BK23" i="91"/>
  <c r="BA41" i="86"/>
  <c r="AZ41" i="86"/>
  <c r="V48" i="86"/>
  <c r="U49" i="86"/>
  <c r="K28" i="75"/>
  <c r="M28" i="75"/>
  <c r="S28" i="75"/>
  <c r="M25" i="88"/>
  <c r="S25" i="88"/>
  <c r="Q51" i="78"/>
  <c r="P51" i="78"/>
  <c r="AO29" i="78"/>
  <c r="AM68" i="78"/>
  <c r="AZ40" i="91"/>
  <c r="BA40" i="91"/>
  <c r="AV46" i="91"/>
  <c r="BA50" i="88"/>
  <c r="AZ50" i="88"/>
  <c r="AL132" i="91"/>
  <c r="Y90" i="91"/>
  <c r="G48" i="75"/>
  <c r="H47" i="75"/>
  <c r="BJ47" i="75"/>
  <c r="BI50" i="75"/>
  <c r="BH51" i="75"/>
  <c r="V48" i="91"/>
  <c r="U49" i="91"/>
  <c r="Q47" i="86"/>
  <c r="R47" i="86"/>
  <c r="AV23" i="75"/>
  <c r="BG23" i="75"/>
  <c r="T53" i="78"/>
  <c r="U52" i="78"/>
  <c r="AS17" i="59"/>
  <c r="R49" i="75"/>
  <c r="Q49" i="75"/>
  <c r="G50" i="66"/>
  <c r="F51" i="66"/>
  <c r="U50" i="66"/>
  <c r="AA50" i="66"/>
  <c r="R20" i="66"/>
  <c r="P20" i="66"/>
  <c r="H20" i="66"/>
  <c r="BG36" i="78"/>
  <c r="BJ75" i="78"/>
  <c r="AS30" i="78"/>
  <c r="AU22" i="88"/>
  <c r="AY22" i="88"/>
  <c r="AW22" i="88"/>
  <c r="AT22" i="88"/>
  <c r="AV22" i="88"/>
  <c r="BG22" i="88"/>
  <c r="BL67" i="88"/>
  <c r="BA43" i="75"/>
  <c r="AZ43" i="75"/>
  <c r="Q47" i="91"/>
  <c r="R47" i="91"/>
  <c r="M23" i="91"/>
  <c r="S23" i="91"/>
  <c r="G51" i="78"/>
  <c r="H50" i="78"/>
  <c r="BH56" i="78"/>
  <c r="Y81" i="86"/>
  <c r="AL123" i="86"/>
  <c r="V50" i="75"/>
  <c r="U51" i="75"/>
  <c r="V100" i="59"/>
  <c r="AI130" i="59"/>
  <c r="X67" i="78"/>
  <c r="BI33" i="78"/>
  <c r="L27" i="78"/>
  <c r="R27" i="78"/>
  <c r="G49" i="91"/>
  <c r="H48" i="91"/>
  <c r="BJ48" i="91"/>
  <c r="G57" i="59"/>
  <c r="H56" i="59"/>
  <c r="BE62" i="59"/>
  <c r="AV30" i="78"/>
  <c r="R47" i="88"/>
  <c r="Q47" i="88"/>
  <c r="W52" i="66"/>
  <c r="AL127" i="75"/>
  <c r="Y85" i="75"/>
  <c r="G50" i="88"/>
  <c r="H49" i="88"/>
  <c r="BJ49" i="88"/>
  <c r="AL128" i="78"/>
  <c r="Y91" i="78"/>
  <c r="BH49" i="86"/>
  <c r="BI48" i="86"/>
  <c r="AP51" i="91"/>
  <c r="AQ50" i="91"/>
  <c r="AU22" i="86"/>
  <c r="AY22" i="86"/>
  <c r="AW22" i="86"/>
  <c r="AT22" i="86"/>
  <c r="BL67" i="86"/>
  <c r="AO22" i="91"/>
  <c r="AM61" i="91"/>
  <c r="AS22" i="91"/>
  <c r="AU23" i="88"/>
  <c r="AY23" i="88"/>
  <c r="AW23" i="88"/>
  <c r="AT23" i="88"/>
  <c r="BL68" i="88"/>
  <c r="W64" i="75"/>
  <c r="L29" i="75"/>
  <c r="P29" i="75"/>
  <c r="N29" i="75"/>
  <c r="BB16" i="59"/>
  <c r="AZ42" i="86"/>
  <c r="BA42" i="86"/>
  <c r="W53" i="66"/>
  <c r="G50" i="91"/>
  <c r="H49" i="91"/>
  <c r="BJ49" i="91"/>
  <c r="AL129" i="78"/>
  <c r="Y92" i="78"/>
  <c r="Y86" i="75"/>
  <c r="AL128" i="75"/>
  <c r="K28" i="78"/>
  <c r="O28" i="78"/>
  <c r="M28" i="78"/>
  <c r="N29" i="78"/>
  <c r="W68" i="78"/>
  <c r="V101" i="59"/>
  <c r="AI131" i="59"/>
  <c r="AL124" i="86"/>
  <c r="Y82" i="86"/>
  <c r="W59" i="91"/>
  <c r="L24" i="91"/>
  <c r="P24" i="91"/>
  <c r="N24" i="91"/>
  <c r="K24" i="91"/>
  <c r="M24" i="91"/>
  <c r="S24" i="91"/>
  <c r="O20" i="66"/>
  <c r="M50" i="66"/>
  <c r="N50" i="66"/>
  <c r="L50" i="66"/>
  <c r="R48" i="91"/>
  <c r="Q48" i="91"/>
  <c r="G49" i="75"/>
  <c r="H48" i="75"/>
  <c r="BJ48" i="75"/>
  <c r="R48" i="86"/>
  <c r="Q48" i="86"/>
  <c r="R48" i="88"/>
  <c r="Q48" i="88"/>
  <c r="Q21" i="66"/>
  <c r="AM79" i="59"/>
  <c r="AN78" i="59"/>
  <c r="AV22" i="91"/>
  <c r="BG22" i="91"/>
  <c r="AP72" i="78"/>
  <c r="AQ71" i="78"/>
  <c r="AP52" i="91"/>
  <c r="AQ51" i="91"/>
  <c r="G58" i="59"/>
  <c r="H57" i="59"/>
  <c r="BE63" i="59"/>
  <c r="V51" i="75"/>
  <c r="U52" i="75"/>
  <c r="AT30" i="78"/>
  <c r="BE30" i="78"/>
  <c r="AX30" i="78"/>
  <c r="AY30" i="78"/>
  <c r="Q52" i="78"/>
  <c r="P52" i="78"/>
  <c r="AU24" i="75"/>
  <c r="AY24" i="75"/>
  <c r="AW24" i="75"/>
  <c r="AT24" i="75"/>
  <c r="BL69" i="75"/>
  <c r="BH52" i="75"/>
  <c r="BI51" i="75"/>
  <c r="BH59" i="88"/>
  <c r="BI58" i="88"/>
  <c r="BI48" i="91"/>
  <c r="BH49" i="91"/>
  <c r="Y83" i="88"/>
  <c r="AL125" i="88"/>
  <c r="R50" i="75"/>
  <c r="Q50" i="75"/>
  <c r="G52" i="78"/>
  <c r="H51" i="78"/>
  <c r="BH57" i="78"/>
  <c r="AW30" i="78"/>
  <c r="AU30" i="78"/>
  <c r="AR30" i="78"/>
  <c r="F52" i="66"/>
  <c r="G51" i="66"/>
  <c r="U51" i="66"/>
  <c r="AA51" i="66"/>
  <c r="T54" i="78"/>
  <c r="U53" i="78"/>
  <c r="AZ44" i="75"/>
  <c r="BA44" i="75"/>
  <c r="W61" i="88"/>
  <c r="L26" i="88"/>
  <c r="P26" i="88"/>
  <c r="N26" i="88"/>
  <c r="G50" i="86"/>
  <c r="H49" i="86"/>
  <c r="BJ49" i="86"/>
  <c r="BA51" i="88"/>
  <c r="AZ51" i="88"/>
  <c r="AZ41" i="91"/>
  <c r="AV47" i="91"/>
  <c r="BA41" i="91"/>
  <c r="I17" i="59"/>
  <c r="BF17" i="59"/>
  <c r="K17" i="59"/>
  <c r="L26" i="86"/>
  <c r="P26" i="86"/>
  <c r="N26" i="86"/>
  <c r="K26" i="86"/>
  <c r="W61" i="86"/>
  <c r="BI49" i="86"/>
  <c r="BH50" i="86"/>
  <c r="G51" i="88"/>
  <c r="H50" i="88"/>
  <c r="BJ50" i="88"/>
  <c r="AO22" i="88"/>
  <c r="AS22" i="88"/>
  <c r="AM61" i="88"/>
  <c r="U50" i="91"/>
  <c r="V49" i="91"/>
  <c r="AL133" i="91"/>
  <c r="Y91" i="91"/>
  <c r="BK28" i="75"/>
  <c r="J28" i="75"/>
  <c r="X63" i="75"/>
  <c r="V49" i="86"/>
  <c r="U50" i="86"/>
  <c r="V49" i="88"/>
  <c r="U50" i="88"/>
  <c r="AP53" i="75"/>
  <c r="AQ52" i="75"/>
  <c r="AO21" i="86"/>
  <c r="AM60" i="86"/>
  <c r="AS21" i="86"/>
  <c r="AL16" i="59"/>
  <c r="AJ55" i="59"/>
  <c r="AM61" i="86"/>
  <c r="AO22" i="86"/>
  <c r="AS22" i="86"/>
  <c r="AS24" i="75"/>
  <c r="AM63" i="75"/>
  <c r="AO24" i="75"/>
  <c r="AV24" i="75"/>
  <c r="BG24" i="75"/>
  <c r="L25" i="91"/>
  <c r="P25" i="91"/>
  <c r="N25" i="91"/>
  <c r="W60" i="91"/>
  <c r="AS23" i="88"/>
  <c r="AM62" i="88"/>
  <c r="AO23" i="88"/>
  <c r="J26" i="86"/>
  <c r="X61" i="86"/>
  <c r="BK26" i="86"/>
  <c r="AZ43" i="86"/>
  <c r="BA43" i="86"/>
  <c r="K26" i="88"/>
  <c r="U54" i="78"/>
  <c r="T55" i="78"/>
  <c r="BA42" i="91"/>
  <c r="AV48" i="91"/>
  <c r="AZ42" i="91"/>
  <c r="BA45" i="75"/>
  <c r="AZ45" i="75"/>
  <c r="AP53" i="91"/>
  <c r="AQ52" i="91"/>
  <c r="J28" i="78"/>
  <c r="G51" i="91"/>
  <c r="H50" i="91"/>
  <c r="BJ50" i="91"/>
  <c r="BG62" i="59"/>
  <c r="AP17" i="59"/>
  <c r="BD17" i="59"/>
  <c r="K29" i="75"/>
  <c r="AV22" i="86"/>
  <c r="BG22" i="86"/>
  <c r="AP54" i="75"/>
  <c r="AQ53" i="75"/>
  <c r="BH51" i="86"/>
  <c r="BI50" i="86"/>
  <c r="V50" i="88"/>
  <c r="U51" i="88"/>
  <c r="V50" i="91"/>
  <c r="U51" i="91"/>
  <c r="Q49" i="88"/>
  <c r="R49" i="88"/>
  <c r="Y92" i="91"/>
  <c r="AL134" i="91"/>
  <c r="Y84" i="88"/>
  <c r="Y114" i="88"/>
  <c r="Y115" i="88"/>
  <c r="Y116" i="88"/>
  <c r="Y117" i="88"/>
  <c r="Y118" i="88"/>
  <c r="Y119" i="88"/>
  <c r="Y120" i="88"/>
  <c r="Y121" i="88"/>
  <c r="Y122" i="88"/>
  <c r="Y123" i="88"/>
  <c r="Y124" i="88"/>
  <c r="Y125" i="88"/>
  <c r="Y126" i="88"/>
  <c r="Y127" i="88"/>
  <c r="Y128" i="88"/>
  <c r="Y129" i="88"/>
  <c r="Y130" i="88"/>
  <c r="Y131" i="88"/>
  <c r="Y132" i="88"/>
  <c r="Y133" i="88"/>
  <c r="Y134" i="88"/>
  <c r="Y135" i="88"/>
  <c r="Y136" i="88"/>
  <c r="Y137" i="88"/>
  <c r="Y138" i="88"/>
  <c r="Y139" i="88"/>
  <c r="Y140" i="88"/>
  <c r="Y141" i="88"/>
  <c r="Y142" i="88"/>
  <c r="Y143" i="88"/>
  <c r="AL126" i="88"/>
  <c r="AZ52" i="88"/>
  <c r="BA52" i="88"/>
  <c r="BI52" i="75"/>
  <c r="BH53" i="75"/>
  <c r="V52" i="75"/>
  <c r="U53" i="75"/>
  <c r="Y87" i="75"/>
  <c r="AL129" i="75"/>
  <c r="AV23" i="88"/>
  <c r="BG23" i="88"/>
  <c r="Q49" i="91"/>
  <c r="R49" i="91"/>
  <c r="V50" i="86"/>
  <c r="U51" i="86"/>
  <c r="Q49" i="86"/>
  <c r="R49" i="86"/>
  <c r="M26" i="86"/>
  <c r="S26" i="86"/>
  <c r="G51" i="86"/>
  <c r="H50" i="86"/>
  <c r="BJ50" i="86"/>
  <c r="U52" i="66"/>
  <c r="G52" i="66"/>
  <c r="F53" i="66"/>
  <c r="AA52" i="66"/>
  <c r="G52" i="88"/>
  <c r="H51" i="88"/>
  <c r="BJ51" i="88"/>
  <c r="AM69" i="78"/>
  <c r="AO30" i="78"/>
  <c r="BH60" i="88"/>
  <c r="BI59" i="88"/>
  <c r="AV31" i="78"/>
  <c r="Q51" i="75"/>
  <c r="R51" i="75"/>
  <c r="G59" i="59"/>
  <c r="H58" i="59"/>
  <c r="BE64" i="59"/>
  <c r="AP73" i="78"/>
  <c r="AQ72" i="78"/>
  <c r="G50" i="75"/>
  <c r="H49" i="75"/>
  <c r="BJ49" i="75"/>
  <c r="AI132" i="59"/>
  <c r="V102" i="59"/>
  <c r="Y93" i="78"/>
  <c r="AL130" i="78"/>
  <c r="W54" i="66"/>
  <c r="U64" i="59"/>
  <c r="Q17" i="59"/>
  <c r="Q53" i="78"/>
  <c r="P53" i="78"/>
  <c r="N51" i="66"/>
  <c r="M51" i="66"/>
  <c r="L51" i="66"/>
  <c r="G53" i="78"/>
  <c r="H52" i="78"/>
  <c r="BH58" i="78"/>
  <c r="BH50" i="91"/>
  <c r="BI49" i="91"/>
  <c r="BG37" i="78"/>
  <c r="AS31" i="78"/>
  <c r="BJ76" i="78"/>
  <c r="AU23" i="91"/>
  <c r="AY23" i="91"/>
  <c r="AW23" i="91"/>
  <c r="AT23" i="91"/>
  <c r="BL68" i="91"/>
  <c r="AM80" i="59"/>
  <c r="AN79" i="59"/>
  <c r="V20" i="66"/>
  <c r="Z20" i="66"/>
  <c r="X59" i="91"/>
  <c r="J24" i="91"/>
  <c r="BK24" i="91"/>
  <c r="AL125" i="86"/>
  <c r="Y83" i="86"/>
  <c r="AS23" i="91"/>
  <c r="AO23" i="91"/>
  <c r="AM62" i="91"/>
  <c r="G53" i="88"/>
  <c r="H52" i="88"/>
  <c r="BJ52" i="88"/>
  <c r="Y114" i="86"/>
  <c r="Y115" i="86"/>
  <c r="Y116" i="86"/>
  <c r="Y117" i="86"/>
  <c r="Y118" i="86"/>
  <c r="Y119" i="86"/>
  <c r="Y120" i="86"/>
  <c r="Y121" i="86"/>
  <c r="Y122" i="86"/>
  <c r="Y84" i="86"/>
  <c r="AL126" i="86"/>
  <c r="AV23" i="91"/>
  <c r="BG23" i="91"/>
  <c r="AT31" i="78"/>
  <c r="BE31" i="78"/>
  <c r="AY31" i="78"/>
  <c r="AX31" i="78"/>
  <c r="H50" i="75"/>
  <c r="BJ50" i="75"/>
  <c r="G51" i="75"/>
  <c r="U53" i="66"/>
  <c r="F54" i="66"/>
  <c r="G53" i="66"/>
  <c r="AA53" i="66"/>
  <c r="G52" i="86"/>
  <c r="H51" i="86"/>
  <c r="BJ51" i="86"/>
  <c r="Q50" i="86"/>
  <c r="R50" i="86"/>
  <c r="AL130" i="75"/>
  <c r="Y88" i="75"/>
  <c r="BI53" i="75"/>
  <c r="BH54" i="75"/>
  <c r="Q50" i="88"/>
  <c r="R50" i="88"/>
  <c r="X64" i="75"/>
  <c r="J29" i="75"/>
  <c r="BK29" i="75"/>
  <c r="BI34" i="78"/>
  <c r="X68" i="78"/>
  <c r="L28" i="78"/>
  <c r="R28" i="78"/>
  <c r="AQ53" i="91"/>
  <c r="AP54" i="91"/>
  <c r="AU25" i="75"/>
  <c r="AY25" i="75"/>
  <c r="AW25" i="75"/>
  <c r="AT25" i="75"/>
  <c r="BL70" i="75"/>
  <c r="AL131" i="78"/>
  <c r="Y94" i="78"/>
  <c r="BA53" i="88"/>
  <c r="AZ53" i="88"/>
  <c r="M52" i="66"/>
  <c r="L52" i="66"/>
  <c r="N52" i="66"/>
  <c r="W62" i="86"/>
  <c r="L27" i="86"/>
  <c r="P27" i="86"/>
  <c r="N27" i="86"/>
  <c r="U54" i="75"/>
  <c r="V53" i="75"/>
  <c r="BA46" i="75"/>
  <c r="AZ46" i="75"/>
  <c r="U52" i="91"/>
  <c r="V51" i="91"/>
  <c r="AZ44" i="86"/>
  <c r="BA44" i="86"/>
  <c r="AU17" i="59"/>
  <c r="AT17" i="59"/>
  <c r="AV17" i="59"/>
  <c r="AR17" i="59"/>
  <c r="T56" i="78"/>
  <c r="U55" i="78"/>
  <c r="K25" i="91"/>
  <c r="T65" i="59"/>
  <c r="J18" i="59"/>
  <c r="S18" i="59"/>
  <c r="G54" i="78"/>
  <c r="H53" i="78"/>
  <c r="BI59" i="78"/>
  <c r="K21" i="66"/>
  <c r="J21" i="66"/>
  <c r="I21" i="66"/>
  <c r="X21" i="66"/>
  <c r="BA43" i="91"/>
  <c r="AZ43" i="91"/>
  <c r="AV49" i="91"/>
  <c r="W55" i="66"/>
  <c r="V103" i="59"/>
  <c r="AI133" i="59"/>
  <c r="AP74" i="78"/>
  <c r="AQ73" i="78"/>
  <c r="G60" i="59"/>
  <c r="H59" i="59"/>
  <c r="BE65" i="59"/>
  <c r="BH61" i="88"/>
  <c r="BI60" i="88"/>
  <c r="AU24" i="88"/>
  <c r="AY24" i="88"/>
  <c r="AW24" i="88"/>
  <c r="AT24" i="88"/>
  <c r="AV24" i="88"/>
  <c r="BG24" i="88"/>
  <c r="BL69" i="88"/>
  <c r="R52" i="75"/>
  <c r="Q52" i="75"/>
  <c r="AL127" i="88"/>
  <c r="Y85" i="88"/>
  <c r="AL135" i="91"/>
  <c r="Y93" i="91"/>
  <c r="R50" i="91"/>
  <c r="Q50" i="91"/>
  <c r="BI51" i="86"/>
  <c r="BH52" i="86"/>
  <c r="AQ54" i="75"/>
  <c r="AP55" i="75"/>
  <c r="H51" i="91"/>
  <c r="BJ51" i="91"/>
  <c r="G52" i="91"/>
  <c r="Q54" i="78"/>
  <c r="P54" i="78"/>
  <c r="M29" i="75"/>
  <c r="S29" i="75"/>
  <c r="AM81" i="59"/>
  <c r="AN80" i="59"/>
  <c r="BH51" i="91"/>
  <c r="BI50" i="91"/>
  <c r="V51" i="86"/>
  <c r="U52" i="86"/>
  <c r="V51" i="88"/>
  <c r="U52" i="88"/>
  <c r="AU23" i="86"/>
  <c r="AY23" i="86"/>
  <c r="AW23" i="86"/>
  <c r="AT23" i="86"/>
  <c r="BL68" i="86"/>
  <c r="BK26" i="88"/>
  <c r="X61" i="88"/>
  <c r="J26" i="88"/>
  <c r="M26" i="88"/>
  <c r="S26" i="88"/>
  <c r="AU25" i="88"/>
  <c r="AY25" i="88"/>
  <c r="AW25" i="88"/>
  <c r="AT25" i="88"/>
  <c r="BL70" i="88"/>
  <c r="AM62" i="86"/>
  <c r="AS23" i="86"/>
  <c r="AO23" i="86"/>
  <c r="AV23" i="86"/>
  <c r="BG23" i="86"/>
  <c r="AO17" i="59"/>
  <c r="AQ17" i="59"/>
  <c r="AS25" i="75"/>
  <c r="AO25" i="75"/>
  <c r="AM64" i="75"/>
  <c r="AV25" i="75"/>
  <c r="BG25" i="75"/>
  <c r="W62" i="88"/>
  <c r="L27" i="88"/>
  <c r="P27" i="88"/>
  <c r="N27" i="88"/>
  <c r="K27" i="88"/>
  <c r="R51" i="88"/>
  <c r="Q51" i="88"/>
  <c r="U53" i="86"/>
  <c r="V52" i="86"/>
  <c r="BI51" i="91"/>
  <c r="BH52" i="91"/>
  <c r="AM82" i="59"/>
  <c r="AN81" i="59"/>
  <c r="BH53" i="86"/>
  <c r="BI52" i="86"/>
  <c r="AL136" i="91"/>
  <c r="Y94" i="91"/>
  <c r="BK25" i="91"/>
  <c r="J25" i="91"/>
  <c r="X60" i="91"/>
  <c r="R53" i="75"/>
  <c r="Q53" i="75"/>
  <c r="AP55" i="91"/>
  <c r="AQ54" i="91"/>
  <c r="G53" i="86"/>
  <c r="H52" i="86"/>
  <c r="BJ52" i="86"/>
  <c r="F55" i="66"/>
  <c r="U54" i="66"/>
  <c r="G54" i="66"/>
  <c r="AA54" i="66"/>
  <c r="Y123" i="86"/>
  <c r="Y124" i="86"/>
  <c r="Y125" i="86"/>
  <c r="Y126" i="86"/>
  <c r="Y127" i="86"/>
  <c r="Y128" i="86"/>
  <c r="Y129" i="86"/>
  <c r="Y130" i="86"/>
  <c r="Y131" i="86"/>
  <c r="Y132" i="86"/>
  <c r="Y133" i="86"/>
  <c r="Y134" i="86"/>
  <c r="Y135" i="86"/>
  <c r="Y136" i="86"/>
  <c r="Y137" i="86"/>
  <c r="Y138" i="86"/>
  <c r="Y139" i="86"/>
  <c r="Y140" i="86"/>
  <c r="Y141" i="86"/>
  <c r="Y142" i="86"/>
  <c r="Y143" i="86"/>
  <c r="G54" i="88"/>
  <c r="H53" i="88"/>
  <c r="BJ53" i="88"/>
  <c r="M25" i="91"/>
  <c r="S25" i="91"/>
  <c r="BA45" i="86"/>
  <c r="AZ45" i="86"/>
  <c r="AO24" i="88"/>
  <c r="AM63" i="88"/>
  <c r="AS24" i="88"/>
  <c r="BA54" i="88"/>
  <c r="AZ54" i="88"/>
  <c r="AP75" i="78"/>
  <c r="AQ74" i="78"/>
  <c r="T21" i="66"/>
  <c r="S21" i="66"/>
  <c r="R21" i="66"/>
  <c r="P21" i="66"/>
  <c r="G55" i="78"/>
  <c r="H54" i="78"/>
  <c r="BI60" i="78"/>
  <c r="Q55" i="78"/>
  <c r="P55" i="78"/>
  <c r="AU24" i="91"/>
  <c r="AY24" i="91"/>
  <c r="AW24" i="91"/>
  <c r="AT24" i="91"/>
  <c r="BL69" i="91"/>
  <c r="G53" i="91"/>
  <c r="H52" i="91"/>
  <c r="BJ52" i="91"/>
  <c r="AQ55" i="75"/>
  <c r="AP56" i="75"/>
  <c r="Y86" i="88"/>
  <c r="AL128" i="88"/>
  <c r="BH62" i="88"/>
  <c r="BI61" i="88"/>
  <c r="V104" i="59"/>
  <c r="AI134" i="59"/>
  <c r="AW31" i="78"/>
  <c r="AU31" i="78"/>
  <c r="AR31" i="78"/>
  <c r="O18" i="59"/>
  <c r="P18" i="59"/>
  <c r="T57" i="78"/>
  <c r="U56" i="78"/>
  <c r="R51" i="91"/>
  <c r="Q51" i="91"/>
  <c r="K27" i="86"/>
  <c r="K29" i="78"/>
  <c r="O29" i="78"/>
  <c r="M29" i="78"/>
  <c r="N30" i="78"/>
  <c r="W69" i="78"/>
  <c r="BI54" i="75"/>
  <c r="BH55" i="75"/>
  <c r="AL131" i="75"/>
  <c r="Y89" i="75"/>
  <c r="G52" i="75"/>
  <c r="H51" i="75"/>
  <c r="BJ51" i="75"/>
  <c r="R51" i="86"/>
  <c r="Q51" i="86"/>
  <c r="L30" i="75"/>
  <c r="P30" i="75"/>
  <c r="N30" i="75"/>
  <c r="K30" i="75"/>
  <c r="M30" i="75"/>
  <c r="S30" i="75"/>
  <c r="W65" i="75"/>
  <c r="W56" i="66"/>
  <c r="AS18" i="59"/>
  <c r="U55" i="75"/>
  <c r="V54" i="75"/>
  <c r="AL132" i="78"/>
  <c r="Y95" i="78"/>
  <c r="V52" i="88"/>
  <c r="U53" i="88"/>
  <c r="AZ44" i="91"/>
  <c r="AV50" i="91"/>
  <c r="BA44" i="91"/>
  <c r="G61" i="59"/>
  <c r="H60" i="59"/>
  <c r="BE66" i="59"/>
  <c r="V52" i="91"/>
  <c r="U53" i="91"/>
  <c r="BA47" i="75"/>
  <c r="AZ47" i="75"/>
  <c r="M53" i="66"/>
  <c r="L53" i="66"/>
  <c r="N53" i="66"/>
  <c r="BG38" i="78"/>
  <c r="AS32" i="78"/>
  <c r="BJ77" i="78"/>
  <c r="AL127" i="86"/>
  <c r="Y85" i="86"/>
  <c r="AM64" i="88"/>
  <c r="AS25" i="88"/>
  <c r="AO25" i="88"/>
  <c r="AS24" i="91"/>
  <c r="AO24" i="91"/>
  <c r="AM63" i="91"/>
  <c r="AV24" i="91"/>
  <c r="BG24" i="91"/>
  <c r="H21" i="66"/>
  <c r="O21" i="66"/>
  <c r="BK27" i="88"/>
  <c r="X62" i="88"/>
  <c r="J27" i="88"/>
  <c r="M27" i="88"/>
  <c r="S27" i="88"/>
  <c r="L31" i="75"/>
  <c r="P31" i="75"/>
  <c r="N31" i="75"/>
  <c r="K31" i="75"/>
  <c r="W66" i="75"/>
  <c r="AL128" i="86"/>
  <c r="Y86" i="86"/>
  <c r="U54" i="91"/>
  <c r="V53" i="91"/>
  <c r="G62" i="59"/>
  <c r="H61" i="59"/>
  <c r="BE67" i="59"/>
  <c r="AY32" i="78"/>
  <c r="AX32" i="78"/>
  <c r="AT32" i="78"/>
  <c r="BE32" i="78"/>
  <c r="R52" i="91"/>
  <c r="Q52" i="91"/>
  <c r="V53" i="88"/>
  <c r="U54" i="88"/>
  <c r="Q54" i="75"/>
  <c r="R54" i="75"/>
  <c r="W57" i="66"/>
  <c r="J27" i="86"/>
  <c r="X62" i="86"/>
  <c r="BK27" i="86"/>
  <c r="U57" i="78"/>
  <c r="T58" i="78"/>
  <c r="AO31" i="78"/>
  <c r="AM70" i="78"/>
  <c r="V105" i="59"/>
  <c r="AI135" i="59"/>
  <c r="AL129" i="88"/>
  <c r="Y87" i="88"/>
  <c r="G54" i="91"/>
  <c r="H53" i="91"/>
  <c r="BJ53" i="91"/>
  <c r="AV32" i="78"/>
  <c r="G55" i="88"/>
  <c r="H54" i="88"/>
  <c r="BJ54" i="88"/>
  <c r="L54" i="66"/>
  <c r="N54" i="66"/>
  <c r="M54" i="66"/>
  <c r="BA45" i="91"/>
  <c r="AZ45" i="91"/>
  <c r="AV51" i="91"/>
  <c r="AL17" i="59"/>
  <c r="AJ56" i="59"/>
  <c r="AV25" i="88"/>
  <c r="BG25" i="88"/>
  <c r="X65" i="75"/>
  <c r="J30" i="75"/>
  <c r="BK30" i="75"/>
  <c r="BH56" i="75"/>
  <c r="BI55" i="75"/>
  <c r="G54" i="86"/>
  <c r="H53" i="86"/>
  <c r="BJ53" i="86"/>
  <c r="AP56" i="91"/>
  <c r="AQ55" i="91"/>
  <c r="AZ46" i="86"/>
  <c r="BA46" i="86"/>
  <c r="R52" i="86"/>
  <c r="Q52" i="86"/>
  <c r="AU24" i="86"/>
  <c r="AY24" i="86"/>
  <c r="AW24" i="86"/>
  <c r="AT24" i="86"/>
  <c r="BL69" i="86"/>
  <c r="AV24" i="86"/>
  <c r="BG24" i="86"/>
  <c r="M27" i="86"/>
  <c r="S27" i="86"/>
  <c r="R52" i="88"/>
  <c r="Q52" i="88"/>
  <c r="U56" i="75"/>
  <c r="V55" i="75"/>
  <c r="BA55" i="88"/>
  <c r="AZ55" i="88"/>
  <c r="AP57" i="75"/>
  <c r="AQ56" i="75"/>
  <c r="AL133" i="78"/>
  <c r="Y96" i="78"/>
  <c r="G53" i="75"/>
  <c r="H52" i="75"/>
  <c r="BJ52" i="75"/>
  <c r="BA48" i="75"/>
  <c r="AZ48" i="75"/>
  <c r="BI62" i="88"/>
  <c r="BH63" i="88"/>
  <c r="G56" i="78"/>
  <c r="H55" i="78"/>
  <c r="BI61" i="78"/>
  <c r="AP76" i="78"/>
  <c r="AQ75" i="78"/>
  <c r="BH54" i="86"/>
  <c r="BI53" i="86"/>
  <c r="AM83" i="59"/>
  <c r="AN82" i="59"/>
  <c r="V53" i="86"/>
  <c r="U54" i="86"/>
  <c r="AW32" i="78"/>
  <c r="AU32" i="78"/>
  <c r="AR32" i="78"/>
  <c r="AL132" i="75"/>
  <c r="Y90" i="75"/>
  <c r="J29" i="78"/>
  <c r="L29" i="78"/>
  <c r="R29" i="78"/>
  <c r="Q56" i="78"/>
  <c r="P56" i="78"/>
  <c r="Q22" i="66"/>
  <c r="L26" i="91"/>
  <c r="P26" i="91"/>
  <c r="N26" i="91"/>
  <c r="K26" i="91"/>
  <c r="W61" i="91"/>
  <c r="G55" i="66"/>
  <c r="U55" i="66"/>
  <c r="F56" i="66"/>
  <c r="AA55" i="66"/>
  <c r="N18" i="59"/>
  <c r="L18" i="59"/>
  <c r="M19" i="59"/>
  <c r="AL137" i="91"/>
  <c r="Y95" i="91"/>
  <c r="BI52" i="91"/>
  <c r="BH53" i="91"/>
  <c r="AU26" i="75"/>
  <c r="AY26" i="75"/>
  <c r="AW26" i="75"/>
  <c r="AT26" i="75"/>
  <c r="BL71" i="75"/>
  <c r="BB17" i="59"/>
  <c r="BK31" i="75"/>
  <c r="X66" i="75"/>
  <c r="J31" i="75"/>
  <c r="V21" i="66"/>
  <c r="Z21" i="66"/>
  <c r="AU25" i="86"/>
  <c r="AY25" i="86"/>
  <c r="AW25" i="86"/>
  <c r="BL70" i="86"/>
  <c r="X61" i="91"/>
  <c r="BK26" i="91"/>
  <c r="J26" i="91"/>
  <c r="AM65" i="75"/>
  <c r="AS26" i="75"/>
  <c r="AO26" i="75"/>
  <c r="N55" i="66"/>
  <c r="L55" i="66"/>
  <c r="M55" i="66"/>
  <c r="W70" i="78"/>
  <c r="K30" i="78"/>
  <c r="O30" i="78"/>
  <c r="M30" i="78"/>
  <c r="N31" i="78"/>
  <c r="AM71" i="78"/>
  <c r="AO32" i="78"/>
  <c r="AM84" i="59"/>
  <c r="AN83" i="59"/>
  <c r="G57" i="78"/>
  <c r="H56" i="78"/>
  <c r="BI62" i="78"/>
  <c r="G54" i="75"/>
  <c r="H53" i="75"/>
  <c r="BJ53" i="75"/>
  <c r="V56" i="75"/>
  <c r="U57" i="75"/>
  <c r="BH57" i="75"/>
  <c r="BI56" i="75"/>
  <c r="AU26" i="88"/>
  <c r="AY26" i="88"/>
  <c r="AW26" i="88"/>
  <c r="BL71" i="88"/>
  <c r="G56" i="88"/>
  <c r="H55" i="88"/>
  <c r="BJ55" i="88"/>
  <c r="U58" i="78"/>
  <c r="T59" i="78"/>
  <c r="U55" i="88"/>
  <c r="V54" i="88"/>
  <c r="BH39" i="78"/>
  <c r="BJ78" i="78"/>
  <c r="AS33" i="78"/>
  <c r="Y87" i="86"/>
  <c r="AL129" i="86"/>
  <c r="AV26" i="75"/>
  <c r="BG26" i="75"/>
  <c r="AL138" i="91"/>
  <c r="Y96" i="91"/>
  <c r="M26" i="91"/>
  <c r="S26" i="91"/>
  <c r="BI35" i="78"/>
  <c r="X69" i="78"/>
  <c r="V54" i="86"/>
  <c r="U55" i="86"/>
  <c r="AZ47" i="86"/>
  <c r="BA47" i="86"/>
  <c r="BI63" i="88"/>
  <c r="BH64" i="88"/>
  <c r="Y97" i="78"/>
  <c r="AL134" i="78"/>
  <c r="G55" i="86"/>
  <c r="H54" i="86"/>
  <c r="BJ54" i="86"/>
  <c r="G55" i="91"/>
  <c r="H54" i="91"/>
  <c r="BJ54" i="91"/>
  <c r="AI136" i="59"/>
  <c r="V106" i="59"/>
  <c r="P57" i="78"/>
  <c r="Q57" i="78"/>
  <c r="W58" i="66"/>
  <c r="R53" i="88"/>
  <c r="Q53" i="88"/>
  <c r="AU25" i="91"/>
  <c r="AY25" i="91"/>
  <c r="AW25" i="91"/>
  <c r="AT25" i="91"/>
  <c r="BL70" i="91"/>
  <c r="BI53" i="91"/>
  <c r="BH54" i="91"/>
  <c r="AP18" i="59"/>
  <c r="BG63" i="59"/>
  <c r="BD18" i="59"/>
  <c r="AZ46" i="91"/>
  <c r="BA46" i="91"/>
  <c r="AV52" i="91"/>
  <c r="I18" i="59"/>
  <c r="BF18" i="59"/>
  <c r="K18" i="59"/>
  <c r="U56" i="66"/>
  <c r="AA56" i="66"/>
  <c r="F57" i="66"/>
  <c r="G56" i="66"/>
  <c r="AL133" i="75"/>
  <c r="Y91" i="75"/>
  <c r="Q53" i="86"/>
  <c r="R53" i="86"/>
  <c r="BI54" i="86"/>
  <c r="BH55" i="86"/>
  <c r="AZ56" i="88"/>
  <c r="BA56" i="88"/>
  <c r="AP58" i="75"/>
  <c r="AQ57" i="75"/>
  <c r="L28" i="86"/>
  <c r="P28" i="86"/>
  <c r="N28" i="86"/>
  <c r="W63" i="86"/>
  <c r="Y88" i="88"/>
  <c r="AL130" i="88"/>
  <c r="AV33" i="78"/>
  <c r="Q53" i="91"/>
  <c r="R53" i="91"/>
  <c r="M31" i="75"/>
  <c r="S31" i="75"/>
  <c r="AP77" i="78"/>
  <c r="AQ76" i="78"/>
  <c r="Q55" i="75"/>
  <c r="R55" i="75"/>
  <c r="AO24" i="86"/>
  <c r="AM63" i="86"/>
  <c r="AS24" i="86"/>
  <c r="AP57" i="91"/>
  <c r="AQ56" i="91"/>
  <c r="BA49" i="75"/>
  <c r="AZ49" i="75"/>
  <c r="G63" i="59"/>
  <c r="H62" i="59"/>
  <c r="BE68" i="59"/>
  <c r="U55" i="91"/>
  <c r="V54" i="91"/>
  <c r="L28" i="88"/>
  <c r="P28" i="88"/>
  <c r="N28" i="88"/>
  <c r="K28" i="88"/>
  <c r="W63" i="88"/>
  <c r="AM64" i="91"/>
  <c r="AS25" i="91"/>
  <c r="AO25" i="91"/>
  <c r="BK28" i="88"/>
  <c r="X63" i="88"/>
  <c r="J28" i="88"/>
  <c r="K28" i="86"/>
  <c r="BH56" i="86"/>
  <c r="BI55" i="86"/>
  <c r="Y92" i="75"/>
  <c r="AL134" i="75"/>
  <c r="U57" i="66"/>
  <c r="G57" i="66"/>
  <c r="F58" i="66"/>
  <c r="AA57" i="66"/>
  <c r="Q18" i="59"/>
  <c r="U65" i="59"/>
  <c r="AU18" i="59"/>
  <c r="AV18" i="59"/>
  <c r="BA47" i="91"/>
  <c r="AZ47" i="91"/>
  <c r="AV53" i="91"/>
  <c r="G56" i="91"/>
  <c r="H55" i="91"/>
  <c r="BJ55" i="91"/>
  <c r="V55" i="86"/>
  <c r="U56" i="86"/>
  <c r="AU27" i="75"/>
  <c r="AY27" i="75"/>
  <c r="AW27" i="75"/>
  <c r="AT27" i="75"/>
  <c r="BL72" i="75"/>
  <c r="R54" i="88"/>
  <c r="Q54" i="88"/>
  <c r="G57" i="88"/>
  <c r="H56" i="88"/>
  <c r="BJ56" i="88"/>
  <c r="R56" i="75"/>
  <c r="Q56" i="75"/>
  <c r="J30" i="78"/>
  <c r="L30" i="78"/>
  <c r="R30" i="78"/>
  <c r="K22" i="66"/>
  <c r="J22" i="66"/>
  <c r="I22" i="66"/>
  <c r="X22" i="66"/>
  <c r="M28" i="88"/>
  <c r="S28" i="88"/>
  <c r="W67" i="75"/>
  <c r="L32" i="75"/>
  <c r="P32" i="75"/>
  <c r="N32" i="75"/>
  <c r="Y89" i="88"/>
  <c r="AL131" i="88"/>
  <c r="BA48" i="86"/>
  <c r="AZ48" i="86"/>
  <c r="AV25" i="91"/>
  <c r="BG25" i="91"/>
  <c r="W59" i="66"/>
  <c r="V107" i="59"/>
  <c r="AI137" i="59"/>
  <c r="AL135" i="78"/>
  <c r="Y98" i="78"/>
  <c r="Q54" i="86"/>
  <c r="R54" i="86"/>
  <c r="U56" i="88"/>
  <c r="V55" i="88"/>
  <c r="AT26" i="88"/>
  <c r="AV26" i="88"/>
  <c r="BG26" i="88"/>
  <c r="G58" i="78"/>
  <c r="H57" i="78"/>
  <c r="BI63" i="78"/>
  <c r="AM85" i="59"/>
  <c r="AN84" i="59"/>
  <c r="AT25" i="86"/>
  <c r="G64" i="59"/>
  <c r="H63" i="59"/>
  <c r="BE69" i="59"/>
  <c r="AP59" i="75"/>
  <c r="AQ58" i="75"/>
  <c r="AT18" i="59"/>
  <c r="AR18" i="59"/>
  <c r="AO18" i="59"/>
  <c r="BH65" i="88"/>
  <c r="BI64" i="88"/>
  <c r="L27" i="91"/>
  <c r="P27" i="91"/>
  <c r="N27" i="91"/>
  <c r="W62" i="91"/>
  <c r="AL139" i="91"/>
  <c r="Y97" i="91"/>
  <c r="U59" i="78"/>
  <c r="T60" i="78"/>
  <c r="AZ50" i="75"/>
  <c r="BA50" i="75"/>
  <c r="G55" i="75"/>
  <c r="H54" i="75"/>
  <c r="BJ54" i="75"/>
  <c r="V55" i="91"/>
  <c r="U56" i="91"/>
  <c r="AP78" i="78"/>
  <c r="AQ77" i="78"/>
  <c r="Q54" i="91"/>
  <c r="R54" i="91"/>
  <c r="AQ57" i="91"/>
  <c r="AP58" i="91"/>
  <c r="M56" i="66"/>
  <c r="L56" i="66"/>
  <c r="N56" i="66"/>
  <c r="BI54" i="91"/>
  <c r="BH55" i="91"/>
  <c r="G56" i="86"/>
  <c r="H55" i="86"/>
  <c r="BJ55" i="86"/>
  <c r="AZ57" i="88"/>
  <c r="BA57" i="88"/>
  <c r="AL130" i="86"/>
  <c r="Y88" i="86"/>
  <c r="AY33" i="78"/>
  <c r="AX33" i="78"/>
  <c r="AW33" i="78"/>
  <c r="AU33" i="78"/>
  <c r="AR33" i="78"/>
  <c r="AT33" i="78"/>
  <c r="BE33" i="78"/>
  <c r="Q58" i="78"/>
  <c r="P58" i="78"/>
  <c r="BI57" i="75"/>
  <c r="BH58" i="75"/>
  <c r="U58" i="75"/>
  <c r="V57" i="75"/>
  <c r="W71" i="78"/>
  <c r="K31" i="78"/>
  <c r="O31" i="78"/>
  <c r="M31" i="78"/>
  <c r="N32" i="78"/>
  <c r="AM72" i="78"/>
  <c r="AO33" i="78"/>
  <c r="AU27" i="88"/>
  <c r="AY27" i="88"/>
  <c r="AW27" i="88"/>
  <c r="AT27" i="88"/>
  <c r="AV27" i="88"/>
  <c r="BG27" i="88"/>
  <c r="BL72" i="88"/>
  <c r="AM66" i="75"/>
  <c r="AS27" i="75"/>
  <c r="AO27" i="75"/>
  <c r="AP79" i="78"/>
  <c r="AQ78" i="78"/>
  <c r="U60" i="78"/>
  <c r="T61" i="78"/>
  <c r="Y98" i="91"/>
  <c r="AL140" i="91"/>
  <c r="BI65" i="88"/>
  <c r="BH66" i="88"/>
  <c r="AO25" i="86"/>
  <c r="AM64" i="86"/>
  <c r="AS25" i="86"/>
  <c r="AM86" i="59"/>
  <c r="AN85" i="59"/>
  <c r="G59" i="78"/>
  <c r="H58" i="78"/>
  <c r="BI64" i="78"/>
  <c r="R55" i="88"/>
  <c r="Q55" i="88"/>
  <c r="K32" i="75"/>
  <c r="T66" i="59"/>
  <c r="J19" i="59"/>
  <c r="S19" i="59"/>
  <c r="L57" i="66"/>
  <c r="N57" i="66"/>
  <c r="M57" i="66"/>
  <c r="BA49" i="86"/>
  <c r="AZ49" i="86"/>
  <c r="AV25" i="86"/>
  <c r="BG25" i="86"/>
  <c r="BH59" i="75"/>
  <c r="BI58" i="75"/>
  <c r="BA48" i="91"/>
  <c r="AV54" i="91"/>
  <c r="AZ48" i="91"/>
  <c r="AZ51" i="75"/>
  <c r="BA51" i="75"/>
  <c r="U57" i="91"/>
  <c r="V56" i="91"/>
  <c r="P59" i="78"/>
  <c r="Q59" i="78"/>
  <c r="AL18" i="59"/>
  <c r="AJ57" i="59"/>
  <c r="AQ59" i="75"/>
  <c r="AP60" i="75"/>
  <c r="U57" i="88"/>
  <c r="V56" i="88"/>
  <c r="V108" i="59"/>
  <c r="AI138" i="59"/>
  <c r="AU26" i="91"/>
  <c r="AY26" i="91"/>
  <c r="AW26" i="91"/>
  <c r="AT26" i="91"/>
  <c r="BL71" i="91"/>
  <c r="U57" i="86"/>
  <c r="V56" i="86"/>
  <c r="G57" i="91"/>
  <c r="H56" i="91"/>
  <c r="BJ56" i="91"/>
  <c r="BI56" i="86"/>
  <c r="BH57" i="86"/>
  <c r="BH40" i="78"/>
  <c r="BJ79" i="78"/>
  <c r="AS34" i="78"/>
  <c r="AL131" i="86"/>
  <c r="Y89" i="86"/>
  <c r="G57" i="86"/>
  <c r="H56" i="86"/>
  <c r="BJ56" i="86"/>
  <c r="Q55" i="91"/>
  <c r="R55" i="91"/>
  <c r="K27" i="91"/>
  <c r="T22" i="66"/>
  <c r="S22" i="66"/>
  <c r="BI36" i="78"/>
  <c r="X70" i="78"/>
  <c r="G58" i="88"/>
  <c r="H57" i="88"/>
  <c r="BJ57" i="88"/>
  <c r="AV27" i="75"/>
  <c r="BG27" i="75"/>
  <c r="Q55" i="86"/>
  <c r="R55" i="86"/>
  <c r="AS19" i="59"/>
  <c r="BK28" i="86"/>
  <c r="J28" i="86"/>
  <c r="X63" i="86"/>
  <c r="Q57" i="75"/>
  <c r="R57" i="75"/>
  <c r="AV34" i="78"/>
  <c r="V58" i="75"/>
  <c r="U59" i="75"/>
  <c r="BH56" i="91"/>
  <c r="BI55" i="91"/>
  <c r="AP59" i="91"/>
  <c r="AQ58" i="91"/>
  <c r="G56" i="75"/>
  <c r="H55" i="75"/>
  <c r="BJ55" i="75"/>
  <c r="BA58" i="88"/>
  <c r="AZ58" i="88"/>
  <c r="G65" i="59"/>
  <c r="H64" i="59"/>
  <c r="BE70" i="59"/>
  <c r="AM65" i="88"/>
  <c r="AS26" i="88"/>
  <c r="AO26" i="88"/>
  <c r="AL136" i="78"/>
  <c r="Y99" i="78"/>
  <c r="W60" i="66"/>
  <c r="Y90" i="88"/>
  <c r="AL132" i="88"/>
  <c r="L29" i="88"/>
  <c r="P29" i="88"/>
  <c r="N29" i="88"/>
  <c r="K29" i="88"/>
  <c r="M29" i="88"/>
  <c r="S29" i="88"/>
  <c r="W64" i="88"/>
  <c r="R22" i="66"/>
  <c r="P22" i="66"/>
  <c r="H22" i="66"/>
  <c r="AQ18" i="59"/>
  <c r="BB18" i="59"/>
  <c r="U58" i="66"/>
  <c r="AA58" i="66"/>
  <c r="F59" i="66"/>
  <c r="G58" i="66"/>
  <c r="Y93" i="75"/>
  <c r="AL135" i="75"/>
  <c r="M28" i="86"/>
  <c r="S28" i="86"/>
  <c r="AS26" i="91"/>
  <c r="AO26" i="91"/>
  <c r="AM65" i="91"/>
  <c r="AV26" i="91"/>
  <c r="BG26" i="91"/>
  <c r="AU28" i="88"/>
  <c r="AY28" i="88"/>
  <c r="AW28" i="88"/>
  <c r="AT28" i="88"/>
  <c r="BL73" i="88"/>
  <c r="W65" i="88"/>
  <c r="L30" i="88"/>
  <c r="P30" i="88"/>
  <c r="N30" i="88"/>
  <c r="L58" i="66"/>
  <c r="N58" i="66"/>
  <c r="M58" i="66"/>
  <c r="W61" i="66"/>
  <c r="BH57" i="91"/>
  <c r="BI56" i="91"/>
  <c r="G59" i="88"/>
  <c r="H58" i="88"/>
  <c r="BJ58" i="88"/>
  <c r="G58" i="86"/>
  <c r="H57" i="86"/>
  <c r="BJ57" i="86"/>
  <c r="J32" i="75"/>
  <c r="BK32" i="75"/>
  <c r="X67" i="75"/>
  <c r="BA59" i="88"/>
  <c r="AZ59" i="88"/>
  <c r="Q60" i="78"/>
  <c r="P60" i="78"/>
  <c r="H56" i="75"/>
  <c r="BJ56" i="75"/>
  <c r="G57" i="75"/>
  <c r="U60" i="75"/>
  <c r="V59" i="75"/>
  <c r="J27" i="91"/>
  <c r="X62" i="91"/>
  <c r="BK27" i="91"/>
  <c r="AL132" i="86"/>
  <c r="Y90" i="86"/>
  <c r="AY34" i="78"/>
  <c r="AX34" i="78"/>
  <c r="AT34" i="78"/>
  <c r="BE34" i="78"/>
  <c r="G58" i="91"/>
  <c r="H57" i="91"/>
  <c r="BJ57" i="91"/>
  <c r="R56" i="91"/>
  <c r="Q56" i="91"/>
  <c r="BA52" i="75"/>
  <c r="AZ52" i="75"/>
  <c r="L29" i="86"/>
  <c r="P29" i="86"/>
  <c r="N29" i="86"/>
  <c r="K29" i="86"/>
  <c r="M29" i="86"/>
  <c r="S29" i="86"/>
  <c r="W64" i="86"/>
  <c r="U59" i="66"/>
  <c r="F60" i="66"/>
  <c r="G59" i="66"/>
  <c r="AA59" i="66"/>
  <c r="BK29" i="88"/>
  <c r="X64" i="88"/>
  <c r="J29" i="88"/>
  <c r="AL133" i="88"/>
  <c r="Y91" i="88"/>
  <c r="AL137" i="78"/>
  <c r="Y100" i="78"/>
  <c r="AQ59" i="91"/>
  <c r="AP60" i="91"/>
  <c r="R58" i="75"/>
  <c r="Q58" i="75"/>
  <c r="AU28" i="75"/>
  <c r="AY28" i="75"/>
  <c r="AW28" i="75"/>
  <c r="AT28" i="75"/>
  <c r="AV28" i="75"/>
  <c r="BG28" i="75"/>
  <c r="BL73" i="75"/>
  <c r="BH58" i="86"/>
  <c r="BI57" i="86"/>
  <c r="R56" i="86"/>
  <c r="Q56" i="86"/>
  <c r="V109" i="59"/>
  <c r="AI139" i="59"/>
  <c r="Q56" i="88"/>
  <c r="R56" i="88"/>
  <c r="V57" i="91"/>
  <c r="U58" i="91"/>
  <c r="BI59" i="75"/>
  <c r="BH60" i="75"/>
  <c r="G60" i="78"/>
  <c r="H59" i="78"/>
  <c r="BI65" i="78"/>
  <c r="AL141" i="91"/>
  <c r="Y99" i="91"/>
  <c r="AP80" i="78"/>
  <c r="AQ79" i="78"/>
  <c r="J31" i="78"/>
  <c r="L31" i="78"/>
  <c r="R31" i="78"/>
  <c r="BG64" i="59"/>
  <c r="AP19" i="59"/>
  <c r="BD25" i="59"/>
  <c r="Y94" i="75"/>
  <c r="AL136" i="75"/>
  <c r="O22" i="66"/>
  <c r="G66" i="59"/>
  <c r="H65" i="59"/>
  <c r="BE71" i="59"/>
  <c r="BA49" i="91"/>
  <c r="AZ49" i="91"/>
  <c r="AV55" i="91"/>
  <c r="Q23" i="66"/>
  <c r="AW34" i="78"/>
  <c r="AU34" i="78"/>
  <c r="AR34" i="78"/>
  <c r="BA50" i="86"/>
  <c r="AZ50" i="86"/>
  <c r="V57" i="86"/>
  <c r="U58" i="86"/>
  <c r="U58" i="88"/>
  <c r="V57" i="88"/>
  <c r="AP61" i="75"/>
  <c r="AQ60" i="75"/>
  <c r="AU26" i="86"/>
  <c r="AY26" i="86"/>
  <c r="AW26" i="86"/>
  <c r="AT26" i="86"/>
  <c r="BL71" i="86"/>
  <c r="O19" i="59"/>
  <c r="N19" i="59"/>
  <c r="L19" i="59"/>
  <c r="P19" i="59"/>
  <c r="AM87" i="59"/>
  <c r="AN86" i="59"/>
  <c r="BH67" i="88"/>
  <c r="BI66" i="88"/>
  <c r="T62" i="78"/>
  <c r="U61" i="78"/>
  <c r="M32" i="75"/>
  <c r="S32" i="75"/>
  <c r="AO27" i="88"/>
  <c r="AS27" i="88"/>
  <c r="AM66" i="88"/>
  <c r="M27" i="91"/>
  <c r="S27" i="91"/>
  <c r="W72" i="78"/>
  <c r="K32" i="78"/>
  <c r="O32" i="78"/>
  <c r="M32" i="78"/>
  <c r="N33" i="78"/>
  <c r="AM65" i="86"/>
  <c r="AS26" i="86"/>
  <c r="AO26" i="86"/>
  <c r="AU29" i="75"/>
  <c r="AY29" i="75"/>
  <c r="AW29" i="75"/>
  <c r="AT29" i="75"/>
  <c r="BL74" i="75"/>
  <c r="W65" i="86"/>
  <c r="L30" i="86"/>
  <c r="P30" i="86"/>
  <c r="N30" i="86"/>
  <c r="K30" i="86"/>
  <c r="I19" i="59"/>
  <c r="BF25" i="59"/>
  <c r="K19" i="59"/>
  <c r="AO28" i="88"/>
  <c r="AM67" i="88"/>
  <c r="AS28" i="88"/>
  <c r="AP62" i="75"/>
  <c r="AQ61" i="75"/>
  <c r="L28" i="91"/>
  <c r="P28" i="91"/>
  <c r="N28" i="91"/>
  <c r="K28" i="91"/>
  <c r="M28" i="91"/>
  <c r="S28" i="91"/>
  <c r="W63" i="91"/>
  <c r="T63" i="78"/>
  <c r="U62" i="78"/>
  <c r="AM88" i="59"/>
  <c r="AN87" i="59"/>
  <c r="AV26" i="86"/>
  <c r="BG26" i="86"/>
  <c r="AV19" i="59"/>
  <c r="AU19" i="59"/>
  <c r="AZ60" i="88"/>
  <c r="BA60" i="88"/>
  <c r="U59" i="86"/>
  <c r="V58" i="86"/>
  <c r="V22" i="66"/>
  <c r="Z22" i="66"/>
  <c r="G61" i="78"/>
  <c r="H60" i="78"/>
  <c r="BI66" i="78"/>
  <c r="BI60" i="75"/>
  <c r="BH61" i="75"/>
  <c r="AL134" i="88"/>
  <c r="Y92" i="88"/>
  <c r="AA60" i="66"/>
  <c r="U60" i="66"/>
  <c r="F61" i="66"/>
  <c r="G60" i="66"/>
  <c r="U61" i="75"/>
  <c r="V60" i="75"/>
  <c r="G60" i="88"/>
  <c r="H59" i="88"/>
  <c r="BJ59" i="88"/>
  <c r="K30" i="88"/>
  <c r="AV28" i="88"/>
  <c r="BG28" i="88"/>
  <c r="AU27" i="91"/>
  <c r="AY27" i="91"/>
  <c r="AW27" i="91"/>
  <c r="AT27" i="91"/>
  <c r="BL72" i="91"/>
  <c r="AV27" i="91"/>
  <c r="BG27" i="91"/>
  <c r="AT19" i="59"/>
  <c r="AR19" i="59"/>
  <c r="AO19" i="59"/>
  <c r="X71" i="78"/>
  <c r="BI37" i="78"/>
  <c r="AP81" i="78"/>
  <c r="AQ80" i="78"/>
  <c r="AZ53" i="75"/>
  <c r="BA53" i="75"/>
  <c r="AM67" i="75"/>
  <c r="AO28" i="75"/>
  <c r="AS28" i="75"/>
  <c r="AV35" i="78"/>
  <c r="G58" i="75"/>
  <c r="H57" i="75"/>
  <c r="BJ57" i="75"/>
  <c r="R57" i="86"/>
  <c r="Q57" i="86"/>
  <c r="Q61" i="78"/>
  <c r="P61" i="78"/>
  <c r="M20" i="59"/>
  <c r="Q57" i="88"/>
  <c r="R57" i="88"/>
  <c r="AM73" i="78"/>
  <c r="AO34" i="78"/>
  <c r="Y95" i="75"/>
  <c r="AL137" i="75"/>
  <c r="Y100" i="91"/>
  <c r="AL142" i="91"/>
  <c r="V58" i="91"/>
  <c r="U59" i="91"/>
  <c r="BA51" i="86"/>
  <c r="AZ51" i="86"/>
  <c r="AV57" i="86"/>
  <c r="AP61" i="91"/>
  <c r="AQ60" i="91"/>
  <c r="AL138" i="78"/>
  <c r="Y101" i="78"/>
  <c r="M59" i="66"/>
  <c r="L59" i="66"/>
  <c r="N59" i="66"/>
  <c r="G59" i="91"/>
  <c r="H58" i="91"/>
  <c r="BJ58" i="91"/>
  <c r="G59" i="86"/>
  <c r="H58" i="86"/>
  <c r="BJ58" i="86"/>
  <c r="BA50" i="91"/>
  <c r="AV56" i="91"/>
  <c r="AZ50" i="91"/>
  <c r="W62" i="66"/>
  <c r="BI67" i="88"/>
  <c r="BH68" i="88"/>
  <c r="L33" i="75"/>
  <c r="P33" i="75"/>
  <c r="N33" i="75"/>
  <c r="W68" i="75"/>
  <c r="K33" i="75"/>
  <c r="U59" i="88"/>
  <c r="V58" i="88"/>
  <c r="G67" i="59"/>
  <c r="H66" i="59"/>
  <c r="BE72" i="59"/>
  <c r="R57" i="91"/>
  <c r="Q57" i="91"/>
  <c r="V110" i="59"/>
  <c r="AI140" i="59"/>
  <c r="BI58" i="86"/>
  <c r="BH59" i="86"/>
  <c r="J29" i="86"/>
  <c r="BK29" i="86"/>
  <c r="X64" i="86"/>
  <c r="BH41" i="78"/>
  <c r="BJ80" i="78"/>
  <c r="AS35" i="78"/>
  <c r="Y91" i="86"/>
  <c r="AL133" i="86"/>
  <c r="R59" i="75"/>
  <c r="Q59" i="75"/>
  <c r="BH58" i="91"/>
  <c r="BI57" i="91"/>
  <c r="W64" i="91"/>
  <c r="L29" i="91"/>
  <c r="P29" i="91"/>
  <c r="N29" i="91"/>
  <c r="AM68" i="75"/>
  <c r="AS29" i="75"/>
  <c r="AO29" i="75"/>
  <c r="AU28" i="91"/>
  <c r="AY28" i="91"/>
  <c r="AW28" i="91"/>
  <c r="AT28" i="91"/>
  <c r="BL73" i="91"/>
  <c r="BK30" i="86"/>
  <c r="J30" i="86"/>
  <c r="X65" i="86"/>
  <c r="AL134" i="86"/>
  <c r="Y92" i="86"/>
  <c r="AY35" i="78"/>
  <c r="AX35" i="78"/>
  <c r="BE35" i="78"/>
  <c r="AT35" i="78"/>
  <c r="AZ51" i="91"/>
  <c r="BA51" i="91"/>
  <c r="AV57" i="91"/>
  <c r="AW35" i="78"/>
  <c r="AU35" i="78"/>
  <c r="AR35" i="78"/>
  <c r="Q58" i="88"/>
  <c r="R58" i="88"/>
  <c r="AZ61" i="88"/>
  <c r="BA61" i="88"/>
  <c r="G60" i="91"/>
  <c r="H59" i="91"/>
  <c r="BJ59" i="91"/>
  <c r="AL139" i="78"/>
  <c r="Y102" i="78"/>
  <c r="U60" i="91"/>
  <c r="V59" i="91"/>
  <c r="AL138" i="75"/>
  <c r="Y96" i="75"/>
  <c r="AP82" i="78"/>
  <c r="AQ81" i="78"/>
  <c r="BK30" i="88"/>
  <c r="X65" i="88"/>
  <c r="J30" i="88"/>
  <c r="G61" i="88"/>
  <c r="H60" i="88"/>
  <c r="BJ60" i="88"/>
  <c r="L60" i="66"/>
  <c r="N60" i="66"/>
  <c r="M60" i="66"/>
  <c r="AZ54" i="75"/>
  <c r="BA54" i="75"/>
  <c r="Q58" i="86"/>
  <c r="R58" i="86"/>
  <c r="AM89" i="59"/>
  <c r="AN88" i="59"/>
  <c r="AV29" i="75"/>
  <c r="BG29" i="75"/>
  <c r="J32" i="78"/>
  <c r="V111" i="59"/>
  <c r="AI141" i="59"/>
  <c r="U60" i="88"/>
  <c r="V59" i="88"/>
  <c r="R58" i="91"/>
  <c r="Q58" i="91"/>
  <c r="AO27" i="91"/>
  <c r="AM66" i="91"/>
  <c r="AS27" i="91"/>
  <c r="Y93" i="88"/>
  <c r="AL135" i="88"/>
  <c r="K23" i="66"/>
  <c r="J23" i="66"/>
  <c r="I23" i="66"/>
  <c r="X23" i="66"/>
  <c r="U60" i="86"/>
  <c r="V59" i="86"/>
  <c r="Q62" i="78"/>
  <c r="P62" i="78"/>
  <c r="M30" i="88"/>
  <c r="S30" i="88"/>
  <c r="M30" i="86"/>
  <c r="S30" i="86"/>
  <c r="BH59" i="91"/>
  <c r="BI58" i="91"/>
  <c r="BH60" i="86"/>
  <c r="BI59" i="86"/>
  <c r="J33" i="75"/>
  <c r="BK33" i="75"/>
  <c r="X68" i="75"/>
  <c r="M33" i="75"/>
  <c r="S33" i="75"/>
  <c r="W63" i="66"/>
  <c r="G60" i="86"/>
  <c r="H59" i="86"/>
  <c r="BJ59" i="86"/>
  <c r="AL143" i="91"/>
  <c r="Y101" i="91"/>
  <c r="Q60" i="75"/>
  <c r="R60" i="75"/>
  <c r="AA61" i="66"/>
  <c r="F62" i="66"/>
  <c r="U61" i="66"/>
  <c r="G61" i="66"/>
  <c r="AS20" i="59"/>
  <c r="AU27" i="86"/>
  <c r="AY27" i="86"/>
  <c r="AW27" i="86"/>
  <c r="AT27" i="86"/>
  <c r="AV27" i="86"/>
  <c r="BG27" i="86"/>
  <c r="BL72" i="86"/>
  <c r="U63" i="78"/>
  <c r="T64" i="78"/>
  <c r="L32" i="78"/>
  <c r="R32" i="78"/>
  <c r="AZ52" i="86"/>
  <c r="BA52" i="86"/>
  <c r="AV58" i="86"/>
  <c r="G68" i="59"/>
  <c r="H67" i="59"/>
  <c r="BE73" i="59"/>
  <c r="BH69" i="88"/>
  <c r="BI68" i="88"/>
  <c r="AP62" i="91"/>
  <c r="AQ61" i="91"/>
  <c r="G59" i="75"/>
  <c r="H58" i="75"/>
  <c r="BJ58" i="75"/>
  <c r="AJ58" i="59"/>
  <c r="AL19" i="59"/>
  <c r="AU29" i="88"/>
  <c r="AY29" i="88"/>
  <c r="AW29" i="88"/>
  <c r="AT29" i="88"/>
  <c r="BL74" i="88"/>
  <c r="U62" i="75"/>
  <c r="V61" i="75"/>
  <c r="BI61" i="75"/>
  <c r="BH62" i="75"/>
  <c r="G62" i="78"/>
  <c r="H61" i="78"/>
  <c r="BH67" i="78"/>
  <c r="AQ19" i="59"/>
  <c r="BB19" i="59"/>
  <c r="X63" i="91"/>
  <c r="BK28" i="91"/>
  <c r="J28" i="91"/>
  <c r="AQ62" i="75"/>
  <c r="AP63" i="75"/>
  <c r="U66" i="59"/>
  <c r="Q19" i="59"/>
  <c r="AU28" i="86"/>
  <c r="AY28" i="86"/>
  <c r="AW28" i="86"/>
  <c r="AT28" i="86"/>
  <c r="BL73" i="86"/>
  <c r="AO28" i="91"/>
  <c r="AM67" i="91"/>
  <c r="AS28" i="91"/>
  <c r="BG65" i="59"/>
  <c r="AP20" i="59"/>
  <c r="BD26" i="59"/>
  <c r="V62" i="75"/>
  <c r="U63" i="75"/>
  <c r="J20" i="59"/>
  <c r="T67" i="59"/>
  <c r="S20" i="59"/>
  <c r="AQ63" i="75"/>
  <c r="AP64" i="75"/>
  <c r="R61" i="75"/>
  <c r="Q61" i="75"/>
  <c r="BH70" i="88"/>
  <c r="BI69" i="88"/>
  <c r="G69" i="59"/>
  <c r="H68" i="59"/>
  <c r="BE74" i="59"/>
  <c r="AU30" i="75"/>
  <c r="AY30" i="75"/>
  <c r="AW30" i="75"/>
  <c r="AT30" i="75"/>
  <c r="AV30" i="75"/>
  <c r="BG30" i="75"/>
  <c r="BL75" i="75"/>
  <c r="AM90" i="59"/>
  <c r="AN89" i="59"/>
  <c r="AP83" i="78"/>
  <c r="AQ82" i="78"/>
  <c r="AL139" i="75"/>
  <c r="Y97" i="75"/>
  <c r="AL140" i="78"/>
  <c r="Y103" i="78"/>
  <c r="AV36" i="78"/>
  <c r="AV28" i="91"/>
  <c r="BG28" i="91"/>
  <c r="K29" i="91"/>
  <c r="K33" i="78"/>
  <c r="O33" i="78"/>
  <c r="M33" i="78"/>
  <c r="N34" i="78"/>
  <c r="W73" i="78"/>
  <c r="M61" i="66"/>
  <c r="L61" i="66"/>
  <c r="N61" i="66"/>
  <c r="W64" i="66"/>
  <c r="V112" i="59"/>
  <c r="AI142" i="59"/>
  <c r="G62" i="88"/>
  <c r="H61" i="88"/>
  <c r="BJ61" i="88"/>
  <c r="AM74" i="78"/>
  <c r="AO35" i="78"/>
  <c r="G63" i="78"/>
  <c r="H62" i="78"/>
  <c r="BH68" i="78"/>
  <c r="BH63" i="75"/>
  <c r="BI62" i="75"/>
  <c r="G60" i="75"/>
  <c r="H59" i="75"/>
  <c r="BJ59" i="75"/>
  <c r="T65" i="78"/>
  <c r="U64" i="78"/>
  <c r="AL144" i="91"/>
  <c r="Y102" i="91"/>
  <c r="G61" i="86"/>
  <c r="H60" i="86"/>
  <c r="BJ60" i="86"/>
  <c r="W69" i="75"/>
  <c r="L34" i="75"/>
  <c r="P34" i="75"/>
  <c r="N34" i="75"/>
  <c r="BA53" i="86"/>
  <c r="AZ53" i="86"/>
  <c r="AV59" i="86"/>
  <c r="AZ52" i="91"/>
  <c r="BA52" i="91"/>
  <c r="AV58" i="91"/>
  <c r="W66" i="86"/>
  <c r="L31" i="86"/>
  <c r="P31" i="86"/>
  <c r="N31" i="86"/>
  <c r="R59" i="86"/>
  <c r="Q59" i="86"/>
  <c r="T23" i="66"/>
  <c r="S23" i="66"/>
  <c r="Y94" i="88"/>
  <c r="AL136" i="88"/>
  <c r="R59" i="88"/>
  <c r="Q59" i="88"/>
  <c r="R59" i="91"/>
  <c r="Q59" i="91"/>
  <c r="AL135" i="86"/>
  <c r="Y93" i="86"/>
  <c r="AM68" i="88"/>
  <c r="AS29" i="88"/>
  <c r="AO29" i="88"/>
  <c r="BA55" i="75"/>
  <c r="AZ55" i="75"/>
  <c r="AV29" i="88"/>
  <c r="BG29" i="88"/>
  <c r="AP63" i="91"/>
  <c r="AQ62" i="91"/>
  <c r="BA62" i="88"/>
  <c r="AZ62" i="88"/>
  <c r="Q63" i="78"/>
  <c r="P63" i="78"/>
  <c r="AS27" i="86"/>
  <c r="AO27" i="86"/>
  <c r="AM66" i="86"/>
  <c r="F63" i="66"/>
  <c r="AA62" i="66"/>
  <c r="U62" i="66"/>
  <c r="G62" i="66"/>
  <c r="BH61" i="86"/>
  <c r="BI60" i="86"/>
  <c r="BH60" i="91"/>
  <c r="BI59" i="91"/>
  <c r="L31" i="88"/>
  <c r="P31" i="88"/>
  <c r="N31" i="88"/>
  <c r="K31" i="88"/>
  <c r="M31" i="88"/>
  <c r="S31" i="88"/>
  <c r="W66" i="88"/>
  <c r="V60" i="86"/>
  <c r="U61" i="86"/>
  <c r="R23" i="66"/>
  <c r="P23" i="66"/>
  <c r="H23" i="66"/>
  <c r="V60" i="88"/>
  <c r="U61" i="88"/>
  <c r="X72" i="78"/>
  <c r="BI38" i="78"/>
  <c r="V60" i="91"/>
  <c r="U61" i="91"/>
  <c r="G61" i="91"/>
  <c r="H60" i="91"/>
  <c r="BJ60" i="91"/>
  <c r="BG42" i="78"/>
  <c r="BJ81" i="78"/>
  <c r="AS36" i="78"/>
  <c r="W67" i="88"/>
  <c r="L32" i="88"/>
  <c r="P32" i="88"/>
  <c r="N32" i="88"/>
  <c r="AU31" i="75"/>
  <c r="AY31" i="75"/>
  <c r="AW31" i="75"/>
  <c r="AT31" i="75"/>
  <c r="BL76" i="75"/>
  <c r="AO28" i="86"/>
  <c r="AM67" i="86"/>
  <c r="AS28" i="86"/>
  <c r="AX36" i="78"/>
  <c r="AW36" i="78"/>
  <c r="AU36" i="78"/>
  <c r="AR36" i="78"/>
  <c r="L62" i="66"/>
  <c r="N62" i="66"/>
  <c r="M62" i="66"/>
  <c r="BE36" i="78"/>
  <c r="AY36" i="78"/>
  <c r="AT36" i="78"/>
  <c r="Q60" i="91"/>
  <c r="R60" i="91"/>
  <c r="R60" i="88"/>
  <c r="Q60" i="88"/>
  <c r="V61" i="86"/>
  <c r="U62" i="86"/>
  <c r="BI60" i="91"/>
  <c r="BH61" i="91"/>
  <c r="K31" i="86"/>
  <c r="Y103" i="91"/>
  <c r="AL145" i="91"/>
  <c r="G63" i="88"/>
  <c r="H62" i="88"/>
  <c r="BJ62" i="88"/>
  <c r="AP84" i="78"/>
  <c r="AQ83" i="78"/>
  <c r="BI70" i="88"/>
  <c r="BH71" i="88"/>
  <c r="AV28" i="86"/>
  <c r="BG28" i="86"/>
  <c r="R60" i="86"/>
  <c r="Q60" i="86"/>
  <c r="BA54" i="86"/>
  <c r="AZ54" i="86"/>
  <c r="AV60" i="86"/>
  <c r="K34" i="75"/>
  <c r="G61" i="75"/>
  <c r="H60" i="75"/>
  <c r="BJ60" i="75"/>
  <c r="G64" i="78"/>
  <c r="H63" i="78"/>
  <c r="BH69" i="78"/>
  <c r="J33" i="78"/>
  <c r="L33" i="78"/>
  <c r="R33" i="78"/>
  <c r="BK29" i="91"/>
  <c r="J29" i="91"/>
  <c r="X64" i="91"/>
  <c r="AL140" i="75"/>
  <c r="Y98" i="75"/>
  <c r="P20" i="59"/>
  <c r="O20" i="59"/>
  <c r="U64" i="75"/>
  <c r="V63" i="75"/>
  <c r="BI61" i="86"/>
  <c r="BH62" i="86"/>
  <c r="AP64" i="91"/>
  <c r="AQ63" i="91"/>
  <c r="AU30" i="88"/>
  <c r="AY30" i="88"/>
  <c r="AW30" i="88"/>
  <c r="AT30" i="88"/>
  <c r="BL75" i="88"/>
  <c r="Y94" i="86"/>
  <c r="AL136" i="86"/>
  <c r="Y95" i="88"/>
  <c r="AL137" i="88"/>
  <c r="Q64" i="78"/>
  <c r="P64" i="78"/>
  <c r="BA56" i="75"/>
  <c r="AZ56" i="75"/>
  <c r="AU29" i="91"/>
  <c r="AY29" i="91"/>
  <c r="AW29" i="91"/>
  <c r="AT29" i="91"/>
  <c r="BL74" i="91"/>
  <c r="AM91" i="59"/>
  <c r="AN90" i="59"/>
  <c r="G70" i="59"/>
  <c r="H69" i="59"/>
  <c r="BE75" i="59"/>
  <c r="Q62" i="75"/>
  <c r="R62" i="75"/>
  <c r="G62" i="91"/>
  <c r="H61" i="91"/>
  <c r="BJ61" i="91"/>
  <c r="O23" i="66"/>
  <c r="V61" i="91"/>
  <c r="U62" i="91"/>
  <c r="U62" i="88"/>
  <c r="V61" i="88"/>
  <c r="X66" i="88"/>
  <c r="BK31" i="88"/>
  <c r="J31" i="88"/>
  <c r="AZ53" i="91"/>
  <c r="AV59" i="91"/>
  <c r="BA53" i="91"/>
  <c r="AA63" i="66"/>
  <c r="U63" i="66"/>
  <c r="F64" i="66"/>
  <c r="G63" i="66"/>
  <c r="Q24" i="66"/>
  <c r="G62" i="86"/>
  <c r="H61" i="86"/>
  <c r="BJ61" i="86"/>
  <c r="U65" i="78"/>
  <c r="T66" i="78"/>
  <c r="BH64" i="75"/>
  <c r="BI63" i="75"/>
  <c r="V113" i="59"/>
  <c r="AI143" i="59"/>
  <c r="W65" i="66"/>
  <c r="Y104" i="78"/>
  <c r="AL141" i="78"/>
  <c r="AS30" i="75"/>
  <c r="AO30" i="75"/>
  <c r="AM69" i="75"/>
  <c r="AZ63" i="88"/>
  <c r="BA63" i="88"/>
  <c r="AV69" i="88"/>
  <c r="AP65" i="75"/>
  <c r="AQ64" i="75"/>
  <c r="N20" i="59"/>
  <c r="L20" i="59"/>
  <c r="I20" i="59"/>
  <c r="BF26" i="59"/>
  <c r="AV20" i="59"/>
  <c r="AU20" i="59"/>
  <c r="M29" i="91"/>
  <c r="S29" i="91"/>
  <c r="AM68" i="91"/>
  <c r="AS29" i="91"/>
  <c r="AO29" i="91"/>
  <c r="AS31" i="75"/>
  <c r="AO31" i="75"/>
  <c r="AM70" i="75"/>
  <c r="W74" i="78"/>
  <c r="K34" i="78"/>
  <c r="O34" i="78"/>
  <c r="M34" i="78"/>
  <c r="N35" i="78"/>
  <c r="M63" i="66"/>
  <c r="L63" i="66"/>
  <c r="N63" i="66"/>
  <c r="AL138" i="88"/>
  <c r="Y96" i="88"/>
  <c r="AM69" i="88"/>
  <c r="AS30" i="88"/>
  <c r="AO30" i="88"/>
  <c r="AZ55" i="86"/>
  <c r="BA55" i="86"/>
  <c r="AV61" i="86"/>
  <c r="K20" i="59"/>
  <c r="BK34" i="75"/>
  <c r="X69" i="75"/>
  <c r="J34" i="75"/>
  <c r="BI71" i="88"/>
  <c r="BH72" i="88"/>
  <c r="AL146" i="91"/>
  <c r="Y104" i="91"/>
  <c r="R61" i="86"/>
  <c r="Q61" i="86"/>
  <c r="AO36" i="78"/>
  <c r="AM75" i="78"/>
  <c r="T67" i="78"/>
  <c r="U66" i="78"/>
  <c r="Q61" i="91"/>
  <c r="R61" i="91"/>
  <c r="G63" i="91"/>
  <c r="H62" i="91"/>
  <c r="BJ62" i="91"/>
  <c r="AM92" i="59"/>
  <c r="AN91" i="59"/>
  <c r="Q63" i="75"/>
  <c r="R63" i="75"/>
  <c r="M21" i="59"/>
  <c r="Y99" i="75"/>
  <c r="AL141" i="75"/>
  <c r="G65" i="78"/>
  <c r="H64" i="78"/>
  <c r="BH70" i="78"/>
  <c r="AZ64" i="88"/>
  <c r="BA64" i="88"/>
  <c r="AV70" i="88"/>
  <c r="J31" i="86"/>
  <c r="X66" i="86"/>
  <c r="BK31" i="86"/>
  <c r="BH62" i="91"/>
  <c r="BI61" i="91"/>
  <c r="M34" i="75"/>
  <c r="S34" i="75"/>
  <c r="K32" i="88"/>
  <c r="AP66" i="75"/>
  <c r="AQ65" i="75"/>
  <c r="V62" i="91"/>
  <c r="U63" i="91"/>
  <c r="W66" i="66"/>
  <c r="V114" i="59"/>
  <c r="AI144" i="59"/>
  <c r="Q65" i="78"/>
  <c r="P65" i="78"/>
  <c r="U64" i="66"/>
  <c r="AA64" i="66"/>
  <c r="F65" i="66"/>
  <c r="G64" i="66"/>
  <c r="Q61" i="88"/>
  <c r="R61" i="88"/>
  <c r="V23" i="66"/>
  <c r="Z23" i="66"/>
  <c r="AV29" i="91"/>
  <c r="BG29" i="91"/>
  <c r="AV30" i="88"/>
  <c r="BG30" i="88"/>
  <c r="AQ64" i="91"/>
  <c r="AP65" i="91"/>
  <c r="V64" i="75"/>
  <c r="U65" i="75"/>
  <c r="C26" i="78"/>
  <c r="BJ39" i="78"/>
  <c r="X73" i="78"/>
  <c r="AU29" i="86"/>
  <c r="AY29" i="86"/>
  <c r="AW29" i="86"/>
  <c r="AT29" i="86"/>
  <c r="AV29" i="86"/>
  <c r="BG29" i="86"/>
  <c r="BL74" i="86"/>
  <c r="G64" i="88"/>
  <c r="H63" i="88"/>
  <c r="BJ63" i="88"/>
  <c r="AZ54" i="91"/>
  <c r="BA54" i="91"/>
  <c r="AV60" i="91"/>
  <c r="AV37" i="78"/>
  <c r="AV31" i="75"/>
  <c r="BG31" i="75"/>
  <c r="M31" i="86"/>
  <c r="S31" i="86"/>
  <c r="W65" i="91"/>
  <c r="L30" i="91"/>
  <c r="P30" i="91"/>
  <c r="N30" i="91"/>
  <c r="BI64" i="75"/>
  <c r="BH65" i="75"/>
  <c r="G63" i="86"/>
  <c r="H62" i="86"/>
  <c r="BJ62" i="86"/>
  <c r="AL142" i="78"/>
  <c r="Y105" i="78"/>
  <c r="AZ57" i="75"/>
  <c r="BA57" i="75"/>
  <c r="U63" i="88"/>
  <c r="V62" i="88"/>
  <c r="G71" i="59"/>
  <c r="H70" i="59"/>
  <c r="BE76" i="59"/>
  <c r="Y95" i="86"/>
  <c r="AL137" i="86"/>
  <c r="BI62" i="86"/>
  <c r="BH63" i="86"/>
  <c r="G62" i="75"/>
  <c r="H61" i="75"/>
  <c r="BJ61" i="75"/>
  <c r="AT20" i="59"/>
  <c r="AR20" i="59"/>
  <c r="AP85" i="78"/>
  <c r="AQ84" i="78"/>
  <c r="U63" i="86"/>
  <c r="V62" i="86"/>
  <c r="BG43" i="78"/>
  <c r="BJ82" i="78"/>
  <c r="AS37" i="78"/>
  <c r="AU30" i="86"/>
  <c r="AY30" i="86"/>
  <c r="AW30" i="86"/>
  <c r="AT30" i="86"/>
  <c r="BL75" i="86"/>
  <c r="AL138" i="86"/>
  <c r="Y96" i="86"/>
  <c r="AO20" i="59"/>
  <c r="AQ20" i="59"/>
  <c r="BB20" i="59"/>
  <c r="BI63" i="86"/>
  <c r="BH64" i="86"/>
  <c r="AL143" i="78"/>
  <c r="Y106" i="78"/>
  <c r="BH66" i="75"/>
  <c r="BI65" i="75"/>
  <c r="AU32" i="75"/>
  <c r="AY32" i="75"/>
  <c r="AW32" i="75"/>
  <c r="BL77" i="75"/>
  <c r="V65" i="75"/>
  <c r="U66" i="75"/>
  <c r="AU31" i="88"/>
  <c r="AY31" i="88"/>
  <c r="AW31" i="88"/>
  <c r="AT31" i="88"/>
  <c r="BL76" i="88"/>
  <c r="L64" i="66"/>
  <c r="N64" i="66"/>
  <c r="M64" i="66"/>
  <c r="W67" i="66"/>
  <c r="AS21" i="59"/>
  <c r="AP67" i="75"/>
  <c r="AQ66" i="75"/>
  <c r="BH63" i="91"/>
  <c r="BI62" i="91"/>
  <c r="P66" i="78"/>
  <c r="Q66" i="78"/>
  <c r="AZ65" i="88"/>
  <c r="BA65" i="88"/>
  <c r="AV71" i="88"/>
  <c r="Y97" i="88"/>
  <c r="AL139" i="88"/>
  <c r="Q62" i="86"/>
  <c r="R62" i="86"/>
  <c r="AZ56" i="86"/>
  <c r="BA56" i="86"/>
  <c r="AV62" i="86"/>
  <c r="AZ58" i="75"/>
  <c r="BA58" i="75"/>
  <c r="Q64" i="75"/>
  <c r="R64" i="75"/>
  <c r="K24" i="66"/>
  <c r="J24" i="66"/>
  <c r="I24" i="66"/>
  <c r="X24" i="66"/>
  <c r="V63" i="91"/>
  <c r="U64" i="91"/>
  <c r="X67" i="88"/>
  <c r="J32" i="88"/>
  <c r="BK32" i="88"/>
  <c r="AL142" i="75"/>
  <c r="Y100" i="75"/>
  <c r="U67" i="78"/>
  <c r="T68" i="78"/>
  <c r="Q20" i="59"/>
  <c r="U67" i="59"/>
  <c r="M32" i="88"/>
  <c r="S32" i="88"/>
  <c r="BE37" i="78"/>
  <c r="AY37" i="78"/>
  <c r="AT37" i="78"/>
  <c r="AX37" i="78"/>
  <c r="AP86" i="78"/>
  <c r="AQ85" i="78"/>
  <c r="U64" i="86"/>
  <c r="V63" i="86"/>
  <c r="G63" i="75"/>
  <c r="H62" i="75"/>
  <c r="BJ62" i="75"/>
  <c r="G72" i="59"/>
  <c r="H71" i="59"/>
  <c r="BE77" i="59"/>
  <c r="Q62" i="88"/>
  <c r="R62" i="88"/>
  <c r="K30" i="91"/>
  <c r="AQ65" i="91"/>
  <c r="AP66" i="91"/>
  <c r="U65" i="66"/>
  <c r="AA65" i="66"/>
  <c r="F66" i="66"/>
  <c r="G65" i="66"/>
  <c r="V115" i="59"/>
  <c r="AI145" i="59"/>
  <c r="Q62" i="91"/>
  <c r="R62" i="91"/>
  <c r="L35" i="75"/>
  <c r="P35" i="75"/>
  <c r="N35" i="75"/>
  <c r="K35" i="75"/>
  <c r="W70" i="75"/>
  <c r="AM93" i="59"/>
  <c r="AN92" i="59"/>
  <c r="G64" i="91"/>
  <c r="H63" i="91"/>
  <c r="BJ63" i="91"/>
  <c r="AL147" i="91"/>
  <c r="Y105" i="91"/>
  <c r="Y106" i="91"/>
  <c r="Y107" i="91"/>
  <c r="Y108" i="91"/>
  <c r="Y109" i="91"/>
  <c r="Y110" i="91"/>
  <c r="Y111" i="91"/>
  <c r="Y112" i="91"/>
  <c r="Y113" i="91"/>
  <c r="J34" i="78"/>
  <c r="V63" i="88"/>
  <c r="U64" i="88"/>
  <c r="G64" i="86"/>
  <c r="H63" i="86"/>
  <c r="BJ63" i="86"/>
  <c r="W67" i="86"/>
  <c r="L32" i="86"/>
  <c r="P32" i="86"/>
  <c r="N32" i="86"/>
  <c r="G65" i="88"/>
  <c r="H64" i="88"/>
  <c r="BJ64" i="88"/>
  <c r="AS29" i="86"/>
  <c r="AO29" i="86"/>
  <c r="AM68" i="86"/>
  <c r="AU30" i="91"/>
  <c r="AY30" i="91"/>
  <c r="AW30" i="91"/>
  <c r="AT30" i="91"/>
  <c r="BL75" i="91"/>
  <c r="BA55" i="91"/>
  <c r="AZ55" i="91"/>
  <c r="AV61" i="91"/>
  <c r="G66" i="78"/>
  <c r="H65" i="78"/>
  <c r="BH71" i="78"/>
  <c r="BH73" i="88"/>
  <c r="BI72" i="88"/>
  <c r="L34" i="78"/>
  <c r="R34" i="78"/>
  <c r="J35" i="75"/>
  <c r="X70" i="75"/>
  <c r="BK35" i="75"/>
  <c r="AM69" i="91"/>
  <c r="AS30" i="91"/>
  <c r="AO30" i="91"/>
  <c r="AM70" i="88"/>
  <c r="AS31" i="88"/>
  <c r="AO31" i="88"/>
  <c r="AM69" i="86"/>
  <c r="AO30" i="86"/>
  <c r="AS30" i="86"/>
  <c r="W75" i="78"/>
  <c r="K35" i="78"/>
  <c r="O35" i="78"/>
  <c r="M35" i="78"/>
  <c r="N36" i="78"/>
  <c r="BA66" i="88"/>
  <c r="AZ66" i="88"/>
  <c r="AV72" i="88"/>
  <c r="G67" i="78"/>
  <c r="H66" i="78"/>
  <c r="BH72" i="78"/>
  <c r="K32" i="86"/>
  <c r="R63" i="88"/>
  <c r="Q63" i="88"/>
  <c r="G65" i="91"/>
  <c r="H64" i="91"/>
  <c r="BJ64" i="91"/>
  <c r="M35" i="75"/>
  <c r="S35" i="75"/>
  <c r="X65" i="91"/>
  <c r="BK30" i="91"/>
  <c r="J30" i="91"/>
  <c r="R63" i="86"/>
  <c r="Q63" i="86"/>
  <c r="L33" i="88"/>
  <c r="P33" i="88"/>
  <c r="N33" i="88"/>
  <c r="K33" i="88"/>
  <c r="M33" i="88"/>
  <c r="S33" i="88"/>
  <c r="W68" i="88"/>
  <c r="P67" i="78"/>
  <c r="Q67" i="78"/>
  <c r="AW37" i="78"/>
  <c r="AU37" i="78"/>
  <c r="AR37" i="78"/>
  <c r="BA56" i="91"/>
  <c r="AZ56" i="91"/>
  <c r="AV62" i="91"/>
  <c r="AV31" i="88"/>
  <c r="BG31" i="88"/>
  <c r="U67" i="75"/>
  <c r="V66" i="75"/>
  <c r="BH67" i="75"/>
  <c r="BI66" i="75"/>
  <c r="AJ59" i="59"/>
  <c r="AL20" i="59"/>
  <c r="AV30" i="86"/>
  <c r="BG30" i="86"/>
  <c r="M65" i="66"/>
  <c r="L65" i="66"/>
  <c r="N65" i="66"/>
  <c r="AP67" i="91"/>
  <c r="AQ66" i="91"/>
  <c r="V64" i="86"/>
  <c r="U65" i="86"/>
  <c r="J21" i="59"/>
  <c r="T68" i="59"/>
  <c r="S21" i="59"/>
  <c r="AL143" i="75"/>
  <c r="Y101" i="75"/>
  <c r="BH64" i="91"/>
  <c r="BI63" i="91"/>
  <c r="W68" i="66"/>
  <c r="Q65" i="75"/>
  <c r="R65" i="75"/>
  <c r="Y107" i="78"/>
  <c r="AL144" i="78"/>
  <c r="BH65" i="86"/>
  <c r="BI64" i="86"/>
  <c r="Y97" i="86"/>
  <c r="AL139" i="86"/>
  <c r="BI73" i="88"/>
  <c r="BH74" i="88"/>
  <c r="AV30" i="91"/>
  <c r="BG30" i="91"/>
  <c r="AM94" i="59"/>
  <c r="AN93" i="59"/>
  <c r="AA66" i="66"/>
  <c r="F67" i="66"/>
  <c r="U66" i="66"/>
  <c r="G66" i="66"/>
  <c r="G73" i="59"/>
  <c r="H72" i="59"/>
  <c r="BE78" i="59"/>
  <c r="V64" i="91"/>
  <c r="U65" i="91"/>
  <c r="S24" i="66"/>
  <c r="T24" i="66"/>
  <c r="Y98" i="88"/>
  <c r="AL140" i="88"/>
  <c r="AT32" i="75"/>
  <c r="BA57" i="86"/>
  <c r="AZ57" i="86"/>
  <c r="AV63" i="86"/>
  <c r="M30" i="91"/>
  <c r="S30" i="91"/>
  <c r="G65" i="86"/>
  <c r="H64" i="86"/>
  <c r="BJ64" i="86"/>
  <c r="X74" i="78"/>
  <c r="BJ40" i="78"/>
  <c r="G66" i="88"/>
  <c r="H65" i="88"/>
  <c r="BJ65" i="88"/>
  <c r="U65" i="88"/>
  <c r="V64" i="88"/>
  <c r="V116" i="59"/>
  <c r="AI146" i="59"/>
  <c r="G64" i="75"/>
  <c r="H63" i="75"/>
  <c r="BJ63" i="75"/>
  <c r="AP87" i="78"/>
  <c r="AQ86" i="78"/>
  <c r="BG44" i="78"/>
  <c r="BJ83" i="78"/>
  <c r="AS38" i="78"/>
  <c r="U68" i="78"/>
  <c r="T69" i="78"/>
  <c r="Q63" i="91"/>
  <c r="R63" i="91"/>
  <c r="R24" i="66"/>
  <c r="P24" i="66"/>
  <c r="AQ67" i="75"/>
  <c r="AP68" i="75"/>
  <c r="BA59" i="75"/>
  <c r="AZ59" i="75"/>
  <c r="BG66" i="59"/>
  <c r="AP21" i="59"/>
  <c r="BD27" i="59"/>
  <c r="L34" i="88"/>
  <c r="P34" i="88"/>
  <c r="N34" i="88"/>
  <c r="W69" i="88"/>
  <c r="P68" i="78"/>
  <c r="Q68" i="78"/>
  <c r="AM71" i="75"/>
  <c r="AO32" i="75"/>
  <c r="AS32" i="75"/>
  <c r="AO37" i="78"/>
  <c r="AM76" i="78"/>
  <c r="AU21" i="59"/>
  <c r="AV21" i="59"/>
  <c r="AP69" i="75"/>
  <c r="AQ68" i="75"/>
  <c r="AP88" i="78"/>
  <c r="AQ87" i="78"/>
  <c r="V117" i="59"/>
  <c r="V118" i="59"/>
  <c r="V119" i="59"/>
  <c r="V120" i="59"/>
  <c r="V121" i="59"/>
  <c r="V122" i="59"/>
  <c r="V123" i="59"/>
  <c r="V124" i="59"/>
  <c r="V125" i="59"/>
  <c r="AI147" i="59"/>
  <c r="G67" i="88"/>
  <c r="H66" i="88"/>
  <c r="BJ66" i="88"/>
  <c r="AL141" i="88"/>
  <c r="Y99" i="88"/>
  <c r="R64" i="91"/>
  <c r="Q64" i="91"/>
  <c r="AZ67" i="88"/>
  <c r="BA67" i="88"/>
  <c r="AV73" i="88"/>
  <c r="BI65" i="86"/>
  <c r="BH66" i="86"/>
  <c r="BA57" i="91"/>
  <c r="AZ57" i="91"/>
  <c r="AV63" i="91"/>
  <c r="AL144" i="75"/>
  <c r="Y102" i="75"/>
  <c r="P21" i="59"/>
  <c r="O21" i="59"/>
  <c r="U66" i="86"/>
  <c r="V65" i="86"/>
  <c r="BA60" i="75"/>
  <c r="AZ60" i="75"/>
  <c r="AU32" i="88"/>
  <c r="AY32" i="88"/>
  <c r="AW32" i="88"/>
  <c r="BL77" i="88"/>
  <c r="L36" i="75"/>
  <c r="P36" i="75"/>
  <c r="N36" i="75"/>
  <c r="K36" i="75"/>
  <c r="W71" i="75"/>
  <c r="G66" i="91"/>
  <c r="H65" i="91"/>
  <c r="BJ65" i="91"/>
  <c r="AT21" i="59"/>
  <c r="AR21" i="59"/>
  <c r="AO21" i="59"/>
  <c r="U67" i="66"/>
  <c r="G67" i="66"/>
  <c r="F68" i="66"/>
  <c r="AA67" i="66"/>
  <c r="BH65" i="91"/>
  <c r="BI64" i="91"/>
  <c r="R64" i="86"/>
  <c r="Q64" i="86"/>
  <c r="AU31" i="86"/>
  <c r="AY31" i="86"/>
  <c r="AW31" i="86"/>
  <c r="AT31" i="86"/>
  <c r="BL76" i="86"/>
  <c r="BH68" i="75"/>
  <c r="BI67" i="75"/>
  <c r="AV32" i="75"/>
  <c r="BG32" i="75"/>
  <c r="H24" i="66"/>
  <c r="O24" i="66"/>
  <c r="R64" i="88"/>
  <c r="Q64" i="88"/>
  <c r="AM95" i="59"/>
  <c r="AN94" i="59"/>
  <c r="T70" i="78"/>
  <c r="U69" i="78"/>
  <c r="AX38" i="78"/>
  <c r="AT38" i="78"/>
  <c r="BE38" i="78"/>
  <c r="AY38" i="78"/>
  <c r="H64" i="75"/>
  <c r="BJ64" i="75"/>
  <c r="G65" i="75"/>
  <c r="U66" i="88"/>
  <c r="V65" i="88"/>
  <c r="G66" i="86"/>
  <c r="H65" i="86"/>
  <c r="BJ65" i="86"/>
  <c r="W66" i="91"/>
  <c r="L31" i="91"/>
  <c r="P31" i="91"/>
  <c r="N31" i="91"/>
  <c r="K31" i="91"/>
  <c r="Q25" i="66"/>
  <c r="G74" i="59"/>
  <c r="H73" i="59"/>
  <c r="BE79" i="59"/>
  <c r="AU31" i="91"/>
  <c r="AY31" i="91"/>
  <c r="AW31" i="91"/>
  <c r="AT31" i="91"/>
  <c r="BL76" i="91"/>
  <c r="AL140" i="86"/>
  <c r="Y98" i="86"/>
  <c r="Y108" i="78"/>
  <c r="AL145" i="78"/>
  <c r="AP68" i="91"/>
  <c r="AQ67" i="91"/>
  <c r="R66" i="75"/>
  <c r="Q66" i="75"/>
  <c r="J33" i="88"/>
  <c r="BK33" i="88"/>
  <c r="X68" i="88"/>
  <c r="AW38" i="78"/>
  <c r="AU38" i="78"/>
  <c r="AR38" i="78"/>
  <c r="U66" i="91"/>
  <c r="V65" i="91"/>
  <c r="L66" i="66"/>
  <c r="N66" i="66"/>
  <c r="M66" i="66"/>
  <c r="BH75" i="88"/>
  <c r="BI74" i="88"/>
  <c r="AZ58" i="86"/>
  <c r="BA58" i="86"/>
  <c r="AV64" i="86"/>
  <c r="W69" i="66"/>
  <c r="V67" i="75"/>
  <c r="U68" i="75"/>
  <c r="AV38" i="78"/>
  <c r="BK32" i="86"/>
  <c r="J32" i="86"/>
  <c r="X67" i="86"/>
  <c r="G68" i="78"/>
  <c r="H67" i="78"/>
  <c r="BH73" i="78"/>
  <c r="J35" i="78"/>
  <c r="L35" i="78"/>
  <c r="R35" i="78"/>
  <c r="M32" i="86"/>
  <c r="S32" i="86"/>
  <c r="AM70" i="91"/>
  <c r="AS31" i="91"/>
  <c r="AO31" i="91"/>
  <c r="AV31" i="91"/>
  <c r="BG31" i="91"/>
  <c r="BK36" i="75"/>
  <c r="J36" i="75"/>
  <c r="X71" i="75"/>
  <c r="K36" i="78"/>
  <c r="O36" i="78"/>
  <c r="M36" i="78"/>
  <c r="N37" i="78"/>
  <c r="W76" i="78"/>
  <c r="V24" i="66"/>
  <c r="Z24" i="66"/>
  <c r="BK31" i="91"/>
  <c r="X66" i="91"/>
  <c r="J31" i="91"/>
  <c r="V68" i="75"/>
  <c r="U69" i="75"/>
  <c r="Q67" i="75"/>
  <c r="R67" i="75"/>
  <c r="AZ68" i="88"/>
  <c r="BA68" i="88"/>
  <c r="AV74" i="88"/>
  <c r="AQ68" i="91"/>
  <c r="AP69" i="91"/>
  <c r="G75" i="59"/>
  <c r="H74" i="59"/>
  <c r="BE80" i="59"/>
  <c r="M31" i="91"/>
  <c r="S31" i="91"/>
  <c r="V66" i="88"/>
  <c r="U67" i="88"/>
  <c r="P69" i="78"/>
  <c r="Q69" i="78"/>
  <c r="AZ61" i="75"/>
  <c r="BA61" i="75"/>
  <c r="U68" i="66"/>
  <c r="F69" i="66"/>
  <c r="AA68" i="66"/>
  <c r="G68" i="66"/>
  <c r="H66" i="91"/>
  <c r="BJ66" i="91"/>
  <c r="G67" i="91"/>
  <c r="K34" i="88"/>
  <c r="W68" i="86"/>
  <c r="L33" i="86"/>
  <c r="P33" i="86"/>
  <c r="N33" i="86"/>
  <c r="G66" i="75"/>
  <c r="H65" i="75"/>
  <c r="BJ65" i="75"/>
  <c r="BG45" i="78"/>
  <c r="BJ84" i="78"/>
  <c r="AT39" i="78"/>
  <c r="T71" i="78"/>
  <c r="U70" i="78"/>
  <c r="BH69" i="75"/>
  <c r="BI68" i="75"/>
  <c r="AM70" i="86"/>
  <c r="AS31" i="86"/>
  <c r="AO31" i="86"/>
  <c r="AZ58" i="91"/>
  <c r="BA58" i="91"/>
  <c r="AV64" i="91"/>
  <c r="N67" i="66"/>
  <c r="M67" i="66"/>
  <c r="L67" i="66"/>
  <c r="M36" i="75"/>
  <c r="S36" i="75"/>
  <c r="AT32" i="88"/>
  <c r="Q65" i="86"/>
  <c r="R65" i="86"/>
  <c r="BH67" i="86"/>
  <c r="BI66" i="86"/>
  <c r="AP70" i="75"/>
  <c r="AQ69" i="75"/>
  <c r="AS22" i="59"/>
  <c r="N21" i="59"/>
  <c r="L21" i="59"/>
  <c r="G69" i="78"/>
  <c r="H68" i="78"/>
  <c r="BH74" i="78"/>
  <c r="BI75" i="88"/>
  <c r="BH76" i="88"/>
  <c r="R65" i="91"/>
  <c r="Q65" i="91"/>
  <c r="Y109" i="78"/>
  <c r="AL146" i="78"/>
  <c r="X75" i="78"/>
  <c r="BJ41" i="78"/>
  <c r="W70" i="66"/>
  <c r="U67" i="91"/>
  <c r="V66" i="91"/>
  <c r="AL141" i="86"/>
  <c r="Y99" i="86"/>
  <c r="G67" i="86"/>
  <c r="H66" i="86"/>
  <c r="BJ66" i="86"/>
  <c r="BH66" i="91"/>
  <c r="BI65" i="91"/>
  <c r="AJ60" i="59"/>
  <c r="AL21" i="59"/>
  <c r="U67" i="86"/>
  <c r="V66" i="86"/>
  <c r="BA59" i="86"/>
  <c r="AZ59" i="86"/>
  <c r="AV65" i="86"/>
  <c r="G68" i="88"/>
  <c r="H67" i="88"/>
  <c r="BJ67" i="88"/>
  <c r="AP89" i="78"/>
  <c r="AQ88" i="78"/>
  <c r="AO38" i="78"/>
  <c r="AM77" i="78"/>
  <c r="R65" i="88"/>
  <c r="Q65" i="88"/>
  <c r="AW39" i="78"/>
  <c r="AM96" i="59"/>
  <c r="AN95" i="59"/>
  <c r="AU33" i="75"/>
  <c r="AY33" i="75"/>
  <c r="AW33" i="75"/>
  <c r="AT33" i="75"/>
  <c r="BL78" i="75"/>
  <c r="AV31" i="86"/>
  <c r="BG31" i="86"/>
  <c r="AL145" i="75"/>
  <c r="Y103" i="75"/>
  <c r="Y100" i="88"/>
  <c r="AL142" i="88"/>
  <c r="AQ21" i="59"/>
  <c r="BB21" i="59"/>
  <c r="AS33" i="75"/>
  <c r="AM72" i="75"/>
  <c r="AO33" i="75"/>
  <c r="G69" i="88"/>
  <c r="H68" i="88"/>
  <c r="BJ68" i="88"/>
  <c r="U68" i="86"/>
  <c r="V67" i="86"/>
  <c r="R66" i="91"/>
  <c r="Q66" i="91"/>
  <c r="W71" i="66"/>
  <c r="BA69" i="88"/>
  <c r="AZ69" i="88"/>
  <c r="AV75" i="88"/>
  <c r="I21" i="59"/>
  <c r="BF27" i="59"/>
  <c r="AZ60" i="86"/>
  <c r="BA60" i="86"/>
  <c r="AV66" i="86"/>
  <c r="AS32" i="88"/>
  <c r="AM71" i="88"/>
  <c r="AO32" i="88"/>
  <c r="G67" i="75"/>
  <c r="H66" i="75"/>
  <c r="BJ66" i="75"/>
  <c r="G68" i="91"/>
  <c r="H67" i="91"/>
  <c r="BJ67" i="91"/>
  <c r="W67" i="91"/>
  <c r="L32" i="91"/>
  <c r="P32" i="91"/>
  <c r="N32" i="91"/>
  <c r="G76" i="59"/>
  <c r="H75" i="59"/>
  <c r="BE81" i="59"/>
  <c r="R68" i="75"/>
  <c r="Q68" i="75"/>
  <c r="AL143" i="88"/>
  <c r="Y101" i="88"/>
  <c r="AL146" i="75"/>
  <c r="Y104" i="75"/>
  <c r="BA59" i="91"/>
  <c r="AZ59" i="91"/>
  <c r="AV65" i="91"/>
  <c r="U68" i="91"/>
  <c r="V67" i="91"/>
  <c r="BI67" i="86"/>
  <c r="BH68" i="86"/>
  <c r="L37" i="75"/>
  <c r="P37" i="75"/>
  <c r="N37" i="75"/>
  <c r="K37" i="75"/>
  <c r="M37" i="75"/>
  <c r="S37" i="75"/>
  <c r="W72" i="75"/>
  <c r="BA62" i="75"/>
  <c r="AZ62" i="75"/>
  <c r="Q70" i="78"/>
  <c r="P70" i="78"/>
  <c r="K33" i="86"/>
  <c r="N68" i="66"/>
  <c r="M68" i="66"/>
  <c r="L68" i="66"/>
  <c r="AQ69" i="91"/>
  <c r="AP70" i="91"/>
  <c r="J25" i="66"/>
  <c r="I25" i="66"/>
  <c r="K25" i="66"/>
  <c r="X25" i="66"/>
  <c r="BD28" i="59"/>
  <c r="BG67" i="59"/>
  <c r="AP22" i="59"/>
  <c r="AV33" i="75"/>
  <c r="BG33" i="75"/>
  <c r="AM97" i="59"/>
  <c r="AN96" i="59"/>
  <c r="AP90" i="78"/>
  <c r="AQ89" i="78"/>
  <c r="BH67" i="91"/>
  <c r="BI66" i="91"/>
  <c r="AL142" i="86"/>
  <c r="Y100" i="86"/>
  <c r="Y110" i="78"/>
  <c r="Y111" i="78"/>
  <c r="Y112" i="78"/>
  <c r="Y113" i="78"/>
  <c r="Y114" i="78"/>
  <c r="Y115" i="78"/>
  <c r="Y116" i="78"/>
  <c r="Y117" i="78"/>
  <c r="Y118" i="78"/>
  <c r="AL147" i="78"/>
  <c r="G70" i="78"/>
  <c r="H69" i="78"/>
  <c r="BH75" i="78"/>
  <c r="BH70" i="75"/>
  <c r="BI69" i="75"/>
  <c r="U71" i="78"/>
  <c r="T72" i="78"/>
  <c r="AU39" i="78"/>
  <c r="BF39" i="78"/>
  <c r="AZ39" i="78"/>
  <c r="AY39" i="78"/>
  <c r="J34" i="88"/>
  <c r="X69" i="88"/>
  <c r="BK34" i="88"/>
  <c r="V67" i="88"/>
  <c r="U68" i="88"/>
  <c r="AU32" i="86"/>
  <c r="AY32" i="86"/>
  <c r="AW32" i="86"/>
  <c r="AT32" i="86"/>
  <c r="BL77" i="86"/>
  <c r="R66" i="86"/>
  <c r="Q66" i="86"/>
  <c r="G68" i="86"/>
  <c r="H67" i="86"/>
  <c r="BJ67" i="86"/>
  <c r="BH77" i="88"/>
  <c r="BI76" i="88"/>
  <c r="AQ70" i="75"/>
  <c r="AP71" i="75"/>
  <c r="M22" i="59"/>
  <c r="F70" i="66"/>
  <c r="U69" i="66"/>
  <c r="AA69" i="66"/>
  <c r="G69" i="66"/>
  <c r="Q66" i="88"/>
  <c r="R66" i="88"/>
  <c r="V69" i="75"/>
  <c r="U70" i="75"/>
  <c r="J36" i="78"/>
  <c r="AV32" i="88"/>
  <c r="BG32" i="88"/>
  <c r="AU32" i="91"/>
  <c r="AY32" i="91"/>
  <c r="AW32" i="91"/>
  <c r="AT32" i="91"/>
  <c r="BL77" i="91"/>
  <c r="M34" i="88"/>
  <c r="S34" i="88"/>
  <c r="AM71" i="86"/>
  <c r="AS32" i="86"/>
  <c r="AO32" i="86"/>
  <c r="AM71" i="91"/>
  <c r="AS32" i="91"/>
  <c r="AO32" i="91"/>
  <c r="W73" i="75"/>
  <c r="L38" i="75"/>
  <c r="P38" i="75"/>
  <c r="N38" i="75"/>
  <c r="K38" i="75"/>
  <c r="AV32" i="91"/>
  <c r="BG32" i="91"/>
  <c r="AU33" i="88"/>
  <c r="AY33" i="88"/>
  <c r="AW33" i="88"/>
  <c r="BL78" i="88"/>
  <c r="F71" i="66"/>
  <c r="U70" i="66"/>
  <c r="AA70" i="66"/>
  <c r="G70" i="66"/>
  <c r="AV32" i="86"/>
  <c r="BG32" i="86"/>
  <c r="V68" i="88"/>
  <c r="U69" i="88"/>
  <c r="Q71" i="78"/>
  <c r="P71" i="78"/>
  <c r="G71" i="78"/>
  <c r="H70" i="78"/>
  <c r="BH76" i="78"/>
  <c r="G69" i="91"/>
  <c r="H68" i="91"/>
  <c r="BJ68" i="91"/>
  <c r="R67" i="86"/>
  <c r="Q67" i="86"/>
  <c r="X76" i="78"/>
  <c r="BI42" i="78"/>
  <c r="AZ70" i="88"/>
  <c r="BA70" i="88"/>
  <c r="AV76" i="88"/>
  <c r="Q67" i="88"/>
  <c r="R67" i="88"/>
  <c r="BG46" i="78"/>
  <c r="AT40" i="78"/>
  <c r="BJ85" i="78"/>
  <c r="AV69" i="75"/>
  <c r="AZ63" i="75"/>
  <c r="BA63" i="75"/>
  <c r="BA60" i="91"/>
  <c r="AZ60" i="91"/>
  <c r="AV66" i="91"/>
  <c r="AM98" i="59"/>
  <c r="AN97" i="59"/>
  <c r="AP71" i="91"/>
  <c r="AQ70" i="91"/>
  <c r="Y105" i="75"/>
  <c r="Y106" i="75"/>
  <c r="Y107" i="75"/>
  <c r="Y108" i="75"/>
  <c r="Y109" i="75"/>
  <c r="Y110" i="75"/>
  <c r="Y111" i="75"/>
  <c r="Y112" i="75"/>
  <c r="Y113" i="75"/>
  <c r="AL147" i="75"/>
  <c r="K32" i="91"/>
  <c r="K21" i="59"/>
  <c r="W72" i="66"/>
  <c r="V68" i="86"/>
  <c r="U69" i="86"/>
  <c r="U71" i="75"/>
  <c r="V70" i="75"/>
  <c r="BH71" i="75"/>
  <c r="BI70" i="75"/>
  <c r="BI67" i="91"/>
  <c r="BH68" i="91"/>
  <c r="AP91" i="78"/>
  <c r="AQ90" i="78"/>
  <c r="AU34" i="75"/>
  <c r="AY34" i="75"/>
  <c r="AW34" i="75"/>
  <c r="BL79" i="75"/>
  <c r="AU22" i="59"/>
  <c r="AV22" i="59"/>
  <c r="T25" i="66"/>
  <c r="S25" i="66"/>
  <c r="BK33" i="86"/>
  <c r="X68" i="86"/>
  <c r="J33" i="86"/>
  <c r="BH69" i="86"/>
  <c r="BI68" i="86"/>
  <c r="R67" i="91"/>
  <c r="Q67" i="91"/>
  <c r="AL144" i="88"/>
  <c r="Y102" i="88"/>
  <c r="G77" i="59"/>
  <c r="H76" i="59"/>
  <c r="BE82" i="59"/>
  <c r="G68" i="75"/>
  <c r="H67" i="75"/>
  <c r="BJ67" i="75"/>
  <c r="M69" i="66"/>
  <c r="L69" i="66"/>
  <c r="N69" i="66"/>
  <c r="W70" i="88"/>
  <c r="L35" i="88"/>
  <c r="P35" i="88"/>
  <c r="N35" i="88"/>
  <c r="K35" i="88"/>
  <c r="BH78" i="88"/>
  <c r="BI77" i="88"/>
  <c r="G69" i="86"/>
  <c r="H68" i="86"/>
  <c r="BJ68" i="86"/>
  <c r="Q69" i="75"/>
  <c r="R69" i="75"/>
  <c r="AQ71" i="75"/>
  <c r="AP72" i="75"/>
  <c r="AX39" i="78"/>
  <c r="AV39" i="78"/>
  <c r="AW40" i="78"/>
  <c r="U72" i="78"/>
  <c r="T73" i="78"/>
  <c r="AL143" i="86"/>
  <c r="Y101" i="86"/>
  <c r="L36" i="78"/>
  <c r="R36" i="78"/>
  <c r="J37" i="75"/>
  <c r="BK37" i="75"/>
  <c r="X72" i="75"/>
  <c r="BA61" i="86"/>
  <c r="AZ61" i="86"/>
  <c r="AV67" i="86"/>
  <c r="U69" i="91"/>
  <c r="V68" i="91"/>
  <c r="AS39" i="78"/>
  <c r="G70" i="88"/>
  <c r="H69" i="88"/>
  <c r="BJ69" i="88"/>
  <c r="M33" i="86"/>
  <c r="S33" i="86"/>
  <c r="J38" i="75"/>
  <c r="BK38" i="75"/>
  <c r="X73" i="75"/>
  <c r="X70" i="88"/>
  <c r="J35" i="88"/>
  <c r="BK35" i="88"/>
  <c r="G71" i="88"/>
  <c r="H70" i="88"/>
  <c r="BJ70" i="88"/>
  <c r="W77" i="78"/>
  <c r="K37" i="78"/>
  <c r="O37" i="78"/>
  <c r="M37" i="78"/>
  <c r="N38" i="78"/>
  <c r="AL144" i="86"/>
  <c r="Y102" i="86"/>
  <c r="AM78" i="78"/>
  <c r="AP39" i="78"/>
  <c r="Q68" i="91"/>
  <c r="R68" i="91"/>
  <c r="L34" i="86"/>
  <c r="P34" i="86"/>
  <c r="N34" i="86"/>
  <c r="K34" i="86"/>
  <c r="W69" i="86"/>
  <c r="V69" i="91"/>
  <c r="U70" i="91"/>
  <c r="U73" i="78"/>
  <c r="T74" i="78"/>
  <c r="G70" i="86"/>
  <c r="H69" i="86"/>
  <c r="BJ69" i="86"/>
  <c r="M35" i="88"/>
  <c r="S35" i="88"/>
  <c r="H68" i="75"/>
  <c r="BJ68" i="75"/>
  <c r="G69" i="75"/>
  <c r="Y103" i="88"/>
  <c r="AL145" i="88"/>
  <c r="BH70" i="86"/>
  <c r="BI69" i="86"/>
  <c r="AT34" i="75"/>
  <c r="AV34" i="75"/>
  <c r="BG34" i="75"/>
  <c r="BH69" i="91"/>
  <c r="BI68" i="91"/>
  <c r="U70" i="86"/>
  <c r="V69" i="86"/>
  <c r="W73" i="66"/>
  <c r="X67" i="91"/>
  <c r="BK32" i="91"/>
  <c r="J32" i="91"/>
  <c r="AP72" i="91"/>
  <c r="AQ71" i="91"/>
  <c r="G70" i="91"/>
  <c r="H69" i="91"/>
  <c r="BJ69" i="91"/>
  <c r="R25" i="66"/>
  <c r="P25" i="66"/>
  <c r="Q68" i="88"/>
  <c r="R68" i="88"/>
  <c r="M38" i="75"/>
  <c r="S38" i="75"/>
  <c r="AZ61" i="91"/>
  <c r="BA61" i="91"/>
  <c r="AV67" i="91"/>
  <c r="R68" i="86"/>
  <c r="Q68" i="86"/>
  <c r="Q21" i="59"/>
  <c r="U68" i="59"/>
  <c r="AU33" i="86"/>
  <c r="AY33" i="86"/>
  <c r="AW33" i="86"/>
  <c r="AT33" i="86"/>
  <c r="BL78" i="86"/>
  <c r="M32" i="91"/>
  <c r="S32" i="91"/>
  <c r="Q72" i="78"/>
  <c r="P72" i="78"/>
  <c r="BI78" i="88"/>
  <c r="BH79" i="88"/>
  <c r="AV70" i="75"/>
  <c r="BA64" i="75"/>
  <c r="AZ64" i="75"/>
  <c r="R70" i="75"/>
  <c r="Q70" i="75"/>
  <c r="AM99" i="59"/>
  <c r="AN98" i="59"/>
  <c r="AZ40" i="78"/>
  <c r="AY40" i="78"/>
  <c r="AX40" i="78"/>
  <c r="AV40" i="78"/>
  <c r="AS40" i="78"/>
  <c r="BF40" i="78"/>
  <c r="AU40" i="78"/>
  <c r="AT22" i="59"/>
  <c r="AR22" i="59"/>
  <c r="L70" i="66"/>
  <c r="N70" i="66"/>
  <c r="M70" i="66"/>
  <c r="U71" i="66"/>
  <c r="G71" i="66"/>
  <c r="F72" i="66"/>
  <c r="AA71" i="66"/>
  <c r="AT33" i="88"/>
  <c r="AV33" i="88"/>
  <c r="BG33" i="88"/>
  <c r="AP73" i="75"/>
  <c r="AQ72" i="75"/>
  <c r="BA71" i="88"/>
  <c r="AZ71" i="88"/>
  <c r="AV77" i="88"/>
  <c r="G78" i="59"/>
  <c r="H77" i="59"/>
  <c r="BE83" i="59"/>
  <c r="AZ62" i="86"/>
  <c r="BA62" i="86"/>
  <c r="AV68" i="86"/>
  <c r="AP92" i="78"/>
  <c r="AQ91" i="78"/>
  <c r="BI71" i="75"/>
  <c r="BH72" i="75"/>
  <c r="U72" i="75"/>
  <c r="V71" i="75"/>
  <c r="G72" i="78"/>
  <c r="H71" i="78"/>
  <c r="BH77" i="78"/>
  <c r="U70" i="88"/>
  <c r="V69" i="88"/>
  <c r="AU33" i="91"/>
  <c r="AY33" i="91"/>
  <c r="AW33" i="91"/>
  <c r="AT33" i="91"/>
  <c r="BL78" i="91"/>
  <c r="AM72" i="91"/>
  <c r="AS33" i="91"/>
  <c r="AO33" i="91"/>
  <c r="AP40" i="78"/>
  <c r="AM79" i="78"/>
  <c r="AU34" i="88"/>
  <c r="AY34" i="88"/>
  <c r="AW34" i="88"/>
  <c r="AT34" i="88"/>
  <c r="BL79" i="88"/>
  <c r="J34" i="86"/>
  <c r="X69" i="86"/>
  <c r="BK34" i="86"/>
  <c r="M34" i="86"/>
  <c r="S34" i="86"/>
  <c r="AO33" i="86"/>
  <c r="AM72" i="86"/>
  <c r="AS33" i="86"/>
  <c r="AU35" i="75"/>
  <c r="AY35" i="75"/>
  <c r="AW35" i="75"/>
  <c r="AT35" i="75"/>
  <c r="BL80" i="75"/>
  <c r="V70" i="88"/>
  <c r="U71" i="88"/>
  <c r="G73" i="78"/>
  <c r="H72" i="78"/>
  <c r="BH78" i="78"/>
  <c r="Q71" i="75"/>
  <c r="R71" i="75"/>
  <c r="AV33" i="91"/>
  <c r="BG33" i="91"/>
  <c r="V72" i="75"/>
  <c r="U73" i="75"/>
  <c r="AP93" i="78"/>
  <c r="AQ92" i="78"/>
  <c r="U72" i="66"/>
  <c r="G72" i="66"/>
  <c r="F73" i="66"/>
  <c r="AA72" i="66"/>
  <c r="AV33" i="86"/>
  <c r="BG33" i="86"/>
  <c r="S22" i="59"/>
  <c r="T69" i="59"/>
  <c r="J22" i="59"/>
  <c r="BA62" i="91"/>
  <c r="AZ62" i="91"/>
  <c r="AV68" i="91"/>
  <c r="AZ63" i="86"/>
  <c r="BA63" i="86"/>
  <c r="AV69" i="86"/>
  <c r="G70" i="75"/>
  <c r="H69" i="75"/>
  <c r="BJ69" i="75"/>
  <c r="G71" i="86"/>
  <c r="H70" i="86"/>
  <c r="BJ70" i="86"/>
  <c r="Q73" i="78"/>
  <c r="P73" i="78"/>
  <c r="R69" i="88"/>
  <c r="Q69" i="88"/>
  <c r="BH73" i="75"/>
  <c r="BI72" i="75"/>
  <c r="G79" i="59"/>
  <c r="H78" i="59"/>
  <c r="BE84" i="59"/>
  <c r="AP74" i="75"/>
  <c r="AQ73" i="75"/>
  <c r="N71" i="66"/>
  <c r="M71" i="66"/>
  <c r="L71" i="66"/>
  <c r="BI79" i="88"/>
  <c r="BH80" i="88"/>
  <c r="W74" i="66"/>
  <c r="BH70" i="91"/>
  <c r="BI69" i="91"/>
  <c r="BH71" i="86"/>
  <c r="BI70" i="86"/>
  <c r="U71" i="91"/>
  <c r="V70" i="91"/>
  <c r="J37" i="78"/>
  <c r="BA65" i="75"/>
  <c r="AZ65" i="75"/>
  <c r="AV71" i="75"/>
  <c r="AM72" i="88"/>
  <c r="AS33" i="88"/>
  <c r="AO33" i="88"/>
  <c r="W68" i="91"/>
  <c r="L33" i="91"/>
  <c r="P33" i="91"/>
  <c r="N33" i="91"/>
  <c r="H25" i="66"/>
  <c r="O25" i="66"/>
  <c r="Q69" i="86"/>
  <c r="R69" i="86"/>
  <c r="AM73" i="75"/>
  <c r="AS34" i="75"/>
  <c r="AO34" i="75"/>
  <c r="L36" i="88"/>
  <c r="P36" i="88"/>
  <c r="N36" i="88"/>
  <c r="K36" i="88"/>
  <c r="W71" i="88"/>
  <c r="R69" i="91"/>
  <c r="Q69" i="91"/>
  <c r="BG47" i="78"/>
  <c r="BJ86" i="78"/>
  <c r="AT41" i="78"/>
  <c r="AM100" i="59"/>
  <c r="AN99" i="59"/>
  <c r="BA72" i="88"/>
  <c r="AZ72" i="88"/>
  <c r="AV78" i="88"/>
  <c r="AO22" i="59"/>
  <c r="AQ22" i="59"/>
  <c r="BB22" i="59"/>
  <c r="AW41" i="78"/>
  <c r="W74" i="75"/>
  <c r="L39" i="75"/>
  <c r="P39" i="75"/>
  <c r="N39" i="75"/>
  <c r="G71" i="91"/>
  <c r="H70" i="91"/>
  <c r="BJ70" i="91"/>
  <c r="AP73" i="91"/>
  <c r="AQ72" i="91"/>
  <c r="U71" i="86"/>
  <c r="V70" i="86"/>
  <c r="AS23" i="59"/>
  <c r="Q26" i="66"/>
  <c r="AL146" i="88"/>
  <c r="Y104" i="88"/>
  <c r="U74" i="78"/>
  <c r="T75" i="78"/>
  <c r="AL145" i="86"/>
  <c r="Y103" i="86"/>
  <c r="G72" i="88"/>
  <c r="H71" i="88"/>
  <c r="BJ71" i="88"/>
  <c r="X71" i="88"/>
  <c r="BK36" i="88"/>
  <c r="J36" i="88"/>
  <c r="AM74" i="75"/>
  <c r="AO35" i="75"/>
  <c r="AS35" i="75"/>
  <c r="V25" i="66"/>
  <c r="Z25" i="66"/>
  <c r="AS34" i="88"/>
  <c r="AM73" i="88"/>
  <c r="AO34" i="88"/>
  <c r="Y104" i="86"/>
  <c r="AL146" i="86"/>
  <c r="AL147" i="88"/>
  <c r="Y105" i="88"/>
  <c r="Y106" i="88"/>
  <c r="Y107" i="88"/>
  <c r="Y108" i="88"/>
  <c r="Y109" i="88"/>
  <c r="Y110" i="88"/>
  <c r="Y111" i="88"/>
  <c r="Y112" i="88"/>
  <c r="Y113" i="88"/>
  <c r="Q70" i="86"/>
  <c r="R70" i="86"/>
  <c r="AM101" i="59"/>
  <c r="AN100" i="59"/>
  <c r="BF41" i="78"/>
  <c r="AY41" i="78"/>
  <c r="AZ41" i="78"/>
  <c r="AU41" i="78"/>
  <c r="BI43" i="78"/>
  <c r="X77" i="78"/>
  <c r="BI71" i="86"/>
  <c r="BH72" i="86"/>
  <c r="W75" i="66"/>
  <c r="AZ73" i="88"/>
  <c r="BA73" i="88"/>
  <c r="AV79" i="88"/>
  <c r="G71" i="75"/>
  <c r="H70" i="75"/>
  <c r="BJ70" i="75"/>
  <c r="U73" i="66"/>
  <c r="F74" i="66"/>
  <c r="G73" i="66"/>
  <c r="AA73" i="66"/>
  <c r="U72" i="88"/>
  <c r="V71" i="88"/>
  <c r="AV35" i="75"/>
  <c r="BG35" i="75"/>
  <c r="AV34" i="88"/>
  <c r="BG34" i="88"/>
  <c r="AX41" i="78"/>
  <c r="AV41" i="78"/>
  <c r="AS41" i="78"/>
  <c r="M36" i="88"/>
  <c r="S36" i="88"/>
  <c r="K33" i="91"/>
  <c r="R70" i="91"/>
  <c r="Q70" i="91"/>
  <c r="BA63" i="91"/>
  <c r="AZ63" i="91"/>
  <c r="AV69" i="91"/>
  <c r="G80" i="59"/>
  <c r="H79" i="59"/>
  <c r="BE85" i="59"/>
  <c r="AU34" i="86"/>
  <c r="AY34" i="86"/>
  <c r="AW34" i="86"/>
  <c r="AT34" i="86"/>
  <c r="BL79" i="86"/>
  <c r="AP94" i="78"/>
  <c r="AQ93" i="78"/>
  <c r="Q70" i="88"/>
  <c r="R70" i="88"/>
  <c r="U75" i="78"/>
  <c r="T76" i="78"/>
  <c r="BD29" i="59"/>
  <c r="BG68" i="59"/>
  <c r="AP23" i="59"/>
  <c r="V71" i="91"/>
  <c r="U72" i="91"/>
  <c r="BI70" i="91"/>
  <c r="BH71" i="91"/>
  <c r="BA66" i="75"/>
  <c r="AZ66" i="75"/>
  <c r="AV72" i="75"/>
  <c r="L37" i="78"/>
  <c r="R37" i="78"/>
  <c r="G72" i="86"/>
  <c r="H71" i="86"/>
  <c r="BJ71" i="86"/>
  <c r="N72" i="66"/>
  <c r="M72" i="66"/>
  <c r="L72" i="66"/>
  <c r="V73" i="75"/>
  <c r="U74" i="75"/>
  <c r="AU34" i="91"/>
  <c r="AY34" i="91"/>
  <c r="AW34" i="91"/>
  <c r="AT34" i="91"/>
  <c r="BL79" i="91"/>
  <c r="AV34" i="91"/>
  <c r="BG34" i="91"/>
  <c r="W70" i="86"/>
  <c r="L35" i="86"/>
  <c r="P35" i="86"/>
  <c r="N35" i="86"/>
  <c r="U72" i="86"/>
  <c r="V71" i="86"/>
  <c r="G73" i="88"/>
  <c r="H72" i="88"/>
  <c r="BJ72" i="88"/>
  <c r="Q74" i="78"/>
  <c r="P74" i="78"/>
  <c r="AP74" i="91"/>
  <c r="AQ73" i="91"/>
  <c r="G72" i="91"/>
  <c r="H71" i="91"/>
  <c r="BJ71" i="91"/>
  <c r="K39" i="75"/>
  <c r="M39" i="75"/>
  <c r="S39" i="75"/>
  <c r="AJ61" i="59"/>
  <c r="AL22" i="59"/>
  <c r="AV70" i="86"/>
  <c r="BA64" i="86"/>
  <c r="AZ64" i="86"/>
  <c r="BI80" i="88"/>
  <c r="BH81" i="88"/>
  <c r="AQ74" i="75"/>
  <c r="AP75" i="75"/>
  <c r="BI73" i="75"/>
  <c r="BH74" i="75"/>
  <c r="P22" i="59"/>
  <c r="O22" i="59"/>
  <c r="Q72" i="75"/>
  <c r="R72" i="75"/>
  <c r="G74" i="78"/>
  <c r="H73" i="78"/>
  <c r="BH79" i="78"/>
  <c r="AO34" i="86"/>
  <c r="AS34" i="86"/>
  <c r="AM73" i="86"/>
  <c r="AU35" i="91"/>
  <c r="AY35" i="91"/>
  <c r="AW35" i="91"/>
  <c r="AT35" i="91"/>
  <c r="BL80" i="91"/>
  <c r="W75" i="75"/>
  <c r="L40" i="75"/>
  <c r="P40" i="75"/>
  <c r="N40" i="75"/>
  <c r="K40" i="75"/>
  <c r="K35" i="86"/>
  <c r="M35" i="86"/>
  <c r="S35" i="86"/>
  <c r="U75" i="75"/>
  <c r="V74" i="75"/>
  <c r="AZ64" i="91"/>
  <c r="BA64" i="91"/>
  <c r="AV70" i="91"/>
  <c r="AV23" i="59"/>
  <c r="AU23" i="59"/>
  <c r="P75" i="78"/>
  <c r="Q75" i="78"/>
  <c r="W72" i="88"/>
  <c r="L37" i="88"/>
  <c r="P37" i="88"/>
  <c r="N37" i="88"/>
  <c r="Q71" i="88"/>
  <c r="R71" i="88"/>
  <c r="M73" i="66"/>
  <c r="L73" i="66"/>
  <c r="N73" i="66"/>
  <c r="G72" i="75"/>
  <c r="H71" i="75"/>
  <c r="BJ71" i="75"/>
  <c r="AZ65" i="86"/>
  <c r="AV71" i="86"/>
  <c r="BA65" i="86"/>
  <c r="AM102" i="59"/>
  <c r="AN101" i="59"/>
  <c r="AP76" i="75"/>
  <c r="AQ75" i="75"/>
  <c r="X74" i="75"/>
  <c r="BK39" i="75"/>
  <c r="J39" i="75"/>
  <c r="AP75" i="91"/>
  <c r="AQ74" i="91"/>
  <c r="G74" i="88"/>
  <c r="H73" i="88"/>
  <c r="BJ73" i="88"/>
  <c r="Q71" i="86"/>
  <c r="R71" i="86"/>
  <c r="Q73" i="75"/>
  <c r="R73" i="75"/>
  <c r="U73" i="91"/>
  <c r="V72" i="91"/>
  <c r="AT23" i="59"/>
  <c r="AR23" i="59"/>
  <c r="AO23" i="59"/>
  <c r="AV34" i="86"/>
  <c r="BG34" i="86"/>
  <c r="V72" i="88"/>
  <c r="U73" i="88"/>
  <c r="AA74" i="66"/>
  <c r="U74" i="66"/>
  <c r="F75" i="66"/>
  <c r="G74" i="66"/>
  <c r="AV42" i="78"/>
  <c r="AZ74" i="88"/>
  <c r="BA74" i="88"/>
  <c r="AV80" i="88"/>
  <c r="BI74" i="75"/>
  <c r="BH75" i="75"/>
  <c r="V72" i="86"/>
  <c r="U73" i="86"/>
  <c r="G73" i="86"/>
  <c r="H72" i="86"/>
  <c r="BJ72" i="86"/>
  <c r="R71" i="91"/>
  <c r="Q71" i="91"/>
  <c r="AP95" i="78"/>
  <c r="AQ94" i="78"/>
  <c r="AU35" i="88"/>
  <c r="AY35" i="88"/>
  <c r="AW35" i="88"/>
  <c r="AT35" i="88"/>
  <c r="BL80" i="88"/>
  <c r="W76" i="66"/>
  <c r="O75" i="66"/>
  <c r="BG48" i="78"/>
  <c r="BJ87" i="78"/>
  <c r="AS42" i="78"/>
  <c r="AL147" i="86"/>
  <c r="Y105" i="86"/>
  <c r="Y106" i="86"/>
  <c r="Y107" i="86"/>
  <c r="Y108" i="86"/>
  <c r="Y109" i="86"/>
  <c r="Y110" i="86"/>
  <c r="Y111" i="86"/>
  <c r="Y112" i="86"/>
  <c r="Y113" i="86"/>
  <c r="G75" i="78"/>
  <c r="H74" i="78"/>
  <c r="BH80" i="78"/>
  <c r="AZ67" i="75"/>
  <c r="AV73" i="75"/>
  <c r="BA67" i="75"/>
  <c r="BH82" i="88"/>
  <c r="BI81" i="88"/>
  <c r="G73" i="91"/>
  <c r="H72" i="91"/>
  <c r="BJ72" i="91"/>
  <c r="AO34" i="91"/>
  <c r="AM73" i="91"/>
  <c r="AS34" i="91"/>
  <c r="K38" i="78"/>
  <c r="O38" i="78"/>
  <c r="M38" i="78"/>
  <c r="N39" i="78"/>
  <c r="W78" i="78"/>
  <c r="BI71" i="91"/>
  <c r="BH72" i="91"/>
  <c r="U76" i="78"/>
  <c r="T77" i="78"/>
  <c r="N22" i="59"/>
  <c r="L22" i="59"/>
  <c r="G81" i="59"/>
  <c r="H80" i="59"/>
  <c r="BE86" i="59"/>
  <c r="X68" i="91"/>
  <c r="BK33" i="91"/>
  <c r="J33" i="91"/>
  <c r="AM80" i="78"/>
  <c r="AP41" i="78"/>
  <c r="AU36" i="75"/>
  <c r="AY36" i="75"/>
  <c r="AW36" i="75"/>
  <c r="AT36" i="75"/>
  <c r="AV36" i="75"/>
  <c r="BG36" i="75"/>
  <c r="BL81" i="75"/>
  <c r="BI72" i="86"/>
  <c r="BH73" i="86"/>
  <c r="K26" i="66"/>
  <c r="J26" i="66"/>
  <c r="I26" i="66"/>
  <c r="X26" i="66"/>
  <c r="M33" i="91"/>
  <c r="S33" i="91"/>
  <c r="AS35" i="88"/>
  <c r="AM74" i="88"/>
  <c r="AO35" i="88"/>
  <c r="AU37" i="75"/>
  <c r="AY37" i="75"/>
  <c r="AW37" i="75"/>
  <c r="AT37" i="75"/>
  <c r="BL82" i="75"/>
  <c r="AS35" i="91"/>
  <c r="AO35" i="91"/>
  <c r="AM74" i="91"/>
  <c r="X75" i="75"/>
  <c r="J40" i="75"/>
  <c r="BK40" i="75"/>
  <c r="W71" i="86"/>
  <c r="L36" i="86"/>
  <c r="P36" i="86"/>
  <c r="N36" i="86"/>
  <c r="G74" i="91"/>
  <c r="H73" i="91"/>
  <c r="BJ73" i="91"/>
  <c r="BH74" i="86"/>
  <c r="BI73" i="86"/>
  <c r="I22" i="59"/>
  <c r="BF28" i="59"/>
  <c r="K22" i="59"/>
  <c r="P76" i="78"/>
  <c r="Q76" i="78"/>
  <c r="BA65" i="91"/>
  <c r="AZ65" i="91"/>
  <c r="AV71" i="91"/>
  <c r="G76" i="78"/>
  <c r="H75" i="78"/>
  <c r="BH81" i="78"/>
  <c r="AV35" i="88"/>
  <c r="BG35" i="88"/>
  <c r="BH76" i="75"/>
  <c r="BI75" i="75"/>
  <c r="R72" i="88"/>
  <c r="Q72" i="88"/>
  <c r="R72" i="91"/>
  <c r="Q72" i="91"/>
  <c r="AP77" i="75"/>
  <c r="AQ76" i="75"/>
  <c r="K37" i="88"/>
  <c r="M37" i="88"/>
  <c r="S37" i="88"/>
  <c r="V75" i="75"/>
  <c r="U76" i="75"/>
  <c r="AV72" i="86"/>
  <c r="BA66" i="86"/>
  <c r="AZ66" i="86"/>
  <c r="BA75" i="88"/>
  <c r="AZ75" i="88"/>
  <c r="AV81" i="88"/>
  <c r="G74" i="86"/>
  <c r="H73" i="86"/>
  <c r="BJ73" i="86"/>
  <c r="V73" i="86"/>
  <c r="U74" i="86"/>
  <c r="BA68" i="75"/>
  <c r="AZ68" i="75"/>
  <c r="AV74" i="75"/>
  <c r="U74" i="91"/>
  <c r="V73" i="91"/>
  <c r="G75" i="88"/>
  <c r="H74" i="88"/>
  <c r="BJ74" i="88"/>
  <c r="G73" i="75"/>
  <c r="H72" i="75"/>
  <c r="BJ72" i="75"/>
  <c r="AQ23" i="59"/>
  <c r="BB23" i="59"/>
  <c r="J35" i="86"/>
  <c r="BK35" i="86"/>
  <c r="X70" i="86"/>
  <c r="M40" i="75"/>
  <c r="S40" i="75"/>
  <c r="AM75" i="75"/>
  <c r="AO36" i="75"/>
  <c r="AS36" i="75"/>
  <c r="AP96" i="78"/>
  <c r="AQ95" i="78"/>
  <c r="R72" i="86"/>
  <c r="Q72" i="86"/>
  <c r="L74" i="66"/>
  <c r="N74" i="66"/>
  <c r="M74" i="66"/>
  <c r="AU35" i="86"/>
  <c r="AY35" i="86"/>
  <c r="AW35" i="86"/>
  <c r="AT35" i="86"/>
  <c r="AV35" i="86"/>
  <c r="BG35" i="86"/>
  <c r="BL80" i="86"/>
  <c r="S26" i="66"/>
  <c r="T26" i="66"/>
  <c r="BI82" i="88"/>
  <c r="BH83" i="88"/>
  <c r="O76" i="66"/>
  <c r="W77" i="66"/>
  <c r="L34" i="91"/>
  <c r="P34" i="91"/>
  <c r="N34" i="91"/>
  <c r="K34" i="91"/>
  <c r="W69" i="91"/>
  <c r="R26" i="66"/>
  <c r="P26" i="66"/>
  <c r="G82" i="59"/>
  <c r="H81" i="59"/>
  <c r="BE87" i="59"/>
  <c r="T78" i="78"/>
  <c r="U77" i="78"/>
  <c r="BI72" i="91"/>
  <c r="BH73" i="91"/>
  <c r="J38" i="78"/>
  <c r="AX42" i="78"/>
  <c r="AT42" i="78"/>
  <c r="BE42" i="78"/>
  <c r="AY42" i="78"/>
  <c r="M23" i="59"/>
  <c r="U75" i="66"/>
  <c r="AA75" i="66"/>
  <c r="F76" i="66"/>
  <c r="G75" i="66"/>
  <c r="U74" i="88"/>
  <c r="V73" i="88"/>
  <c r="AJ62" i="59"/>
  <c r="AL23" i="59"/>
  <c r="AP76" i="91"/>
  <c r="AQ75" i="91"/>
  <c r="AM103" i="59"/>
  <c r="AN102" i="59"/>
  <c r="AS24" i="59"/>
  <c r="Q74" i="75"/>
  <c r="R74" i="75"/>
  <c r="AV35" i="91"/>
  <c r="BG35" i="91"/>
  <c r="AS37" i="75"/>
  <c r="AO37" i="75"/>
  <c r="AM76" i="75"/>
  <c r="AU36" i="86"/>
  <c r="AY36" i="86"/>
  <c r="AW36" i="86"/>
  <c r="AT36" i="86"/>
  <c r="BL81" i="86"/>
  <c r="W73" i="88"/>
  <c r="L38" i="88"/>
  <c r="P38" i="88"/>
  <c r="N38" i="88"/>
  <c r="K38" i="88"/>
  <c r="M38" i="88"/>
  <c r="S38" i="88"/>
  <c r="BK34" i="91"/>
  <c r="X69" i="91"/>
  <c r="J34" i="91"/>
  <c r="AQ76" i="91"/>
  <c r="AP77" i="91"/>
  <c r="V74" i="88"/>
  <c r="U75" i="88"/>
  <c r="BI44" i="78"/>
  <c r="X78" i="78"/>
  <c r="T79" i="78"/>
  <c r="U78" i="78"/>
  <c r="AU36" i="91"/>
  <c r="AY36" i="91"/>
  <c r="AW36" i="91"/>
  <c r="AT36" i="91"/>
  <c r="BL81" i="91"/>
  <c r="M75" i="66"/>
  <c r="L75" i="66"/>
  <c r="N75" i="66"/>
  <c r="BH74" i="91"/>
  <c r="BI73" i="91"/>
  <c r="BD30" i="59"/>
  <c r="AP24" i="59"/>
  <c r="BG69" i="59"/>
  <c r="V74" i="86"/>
  <c r="U75" i="86"/>
  <c r="AZ69" i="75"/>
  <c r="AV75" i="75"/>
  <c r="BA69" i="75"/>
  <c r="Q22" i="59"/>
  <c r="U69" i="59"/>
  <c r="BA67" i="86"/>
  <c r="AZ67" i="86"/>
  <c r="AV73" i="86"/>
  <c r="AO35" i="86"/>
  <c r="AM74" i="86"/>
  <c r="AS35" i="86"/>
  <c r="M34" i="91"/>
  <c r="S34" i="91"/>
  <c r="Q27" i="66"/>
  <c r="AP97" i="78"/>
  <c r="AQ96" i="78"/>
  <c r="L41" i="75"/>
  <c r="P41" i="75"/>
  <c r="N41" i="75"/>
  <c r="K41" i="75"/>
  <c r="W76" i="75"/>
  <c r="G76" i="88"/>
  <c r="H75" i="88"/>
  <c r="BJ75" i="88"/>
  <c r="AM104" i="59"/>
  <c r="AN103" i="59"/>
  <c r="U76" i="66"/>
  <c r="AA76" i="66"/>
  <c r="F77" i="66"/>
  <c r="G76" i="66"/>
  <c r="BA66" i="91"/>
  <c r="AZ66" i="91"/>
  <c r="AV72" i="91"/>
  <c r="G83" i="59"/>
  <c r="H82" i="59"/>
  <c r="BE88" i="59"/>
  <c r="BH84" i="88"/>
  <c r="BI83" i="88"/>
  <c r="R73" i="91"/>
  <c r="Q73" i="91"/>
  <c r="R73" i="86"/>
  <c r="Q73" i="86"/>
  <c r="BH77" i="75"/>
  <c r="BI76" i="75"/>
  <c r="L38" i="78"/>
  <c r="R38" i="78"/>
  <c r="BI74" i="86"/>
  <c r="BH75" i="86"/>
  <c r="K36" i="86"/>
  <c r="G75" i="86"/>
  <c r="H74" i="86"/>
  <c r="BJ74" i="86"/>
  <c r="Q73" i="88"/>
  <c r="R73" i="88"/>
  <c r="BG49" i="78"/>
  <c r="AS43" i="78"/>
  <c r="BJ88" i="78"/>
  <c r="P77" i="78"/>
  <c r="Q77" i="78"/>
  <c r="H26" i="66"/>
  <c r="O26" i="66"/>
  <c r="O77" i="66"/>
  <c r="W78" i="66"/>
  <c r="BA76" i="88"/>
  <c r="AZ76" i="88"/>
  <c r="AV82" i="88"/>
  <c r="H73" i="75"/>
  <c r="BJ73" i="75"/>
  <c r="G74" i="75"/>
  <c r="V74" i="91"/>
  <c r="U75" i="91"/>
  <c r="U77" i="75"/>
  <c r="V76" i="75"/>
  <c r="J37" i="88"/>
  <c r="X72" i="88"/>
  <c r="BK37" i="88"/>
  <c r="AU36" i="88"/>
  <c r="AY36" i="88"/>
  <c r="AW36" i="88"/>
  <c r="BL81" i="88"/>
  <c r="G77" i="78"/>
  <c r="H76" i="78"/>
  <c r="BH82" i="78"/>
  <c r="AV37" i="75"/>
  <c r="BG37" i="75"/>
  <c r="R75" i="75"/>
  <c r="Q75" i="75"/>
  <c r="M75" i="75"/>
  <c r="AP78" i="75"/>
  <c r="AQ77" i="75"/>
  <c r="AW42" i="78"/>
  <c r="AU42" i="78"/>
  <c r="AR42" i="78"/>
  <c r="G75" i="91"/>
  <c r="H74" i="91"/>
  <c r="BJ74" i="91"/>
  <c r="V26" i="66"/>
  <c r="Z26" i="66"/>
  <c r="AS36" i="91"/>
  <c r="AM75" i="91"/>
  <c r="AO36" i="91"/>
  <c r="AV36" i="91"/>
  <c r="BG36" i="91"/>
  <c r="L39" i="88"/>
  <c r="P39" i="88"/>
  <c r="N39" i="88"/>
  <c r="W74" i="88"/>
  <c r="AM75" i="86"/>
  <c r="AO36" i="86"/>
  <c r="AS36" i="86"/>
  <c r="AV36" i="86"/>
  <c r="BG36" i="86"/>
  <c r="J41" i="75"/>
  <c r="BK41" i="75"/>
  <c r="X76" i="75"/>
  <c r="G78" i="78"/>
  <c r="H77" i="78"/>
  <c r="BH83" i="78"/>
  <c r="AT36" i="88"/>
  <c r="U76" i="91"/>
  <c r="V75" i="91"/>
  <c r="BI75" i="86"/>
  <c r="BH76" i="86"/>
  <c r="BH78" i="75"/>
  <c r="BI77" i="75"/>
  <c r="BI84" i="88"/>
  <c r="BH85" i="88"/>
  <c r="M41" i="75"/>
  <c r="S41" i="75"/>
  <c r="W70" i="91"/>
  <c r="L35" i="91"/>
  <c r="P35" i="91"/>
  <c r="N35" i="91"/>
  <c r="K35" i="91"/>
  <c r="R74" i="86"/>
  <c r="Q74" i="86"/>
  <c r="BA67" i="91"/>
  <c r="AZ67" i="91"/>
  <c r="AV73" i="91"/>
  <c r="U79" i="78"/>
  <c r="T80" i="78"/>
  <c r="Q74" i="88"/>
  <c r="R74" i="88"/>
  <c r="X73" i="88"/>
  <c r="BK38" i="88"/>
  <c r="J38" i="88"/>
  <c r="R74" i="91"/>
  <c r="Q74" i="91"/>
  <c r="W79" i="66"/>
  <c r="O78" i="66"/>
  <c r="AT43" i="78"/>
  <c r="BE43" i="78"/>
  <c r="AY43" i="78"/>
  <c r="AX43" i="78"/>
  <c r="BA68" i="86"/>
  <c r="AZ68" i="86"/>
  <c r="AV74" i="86"/>
  <c r="M76" i="66"/>
  <c r="L76" i="66"/>
  <c r="N76" i="66"/>
  <c r="S23" i="59"/>
  <c r="J23" i="59"/>
  <c r="T70" i="59"/>
  <c r="BH75" i="91"/>
  <c r="BI74" i="91"/>
  <c r="AQ77" i="91"/>
  <c r="AP78" i="91"/>
  <c r="G76" i="86"/>
  <c r="H75" i="86"/>
  <c r="BJ75" i="86"/>
  <c r="K39" i="78"/>
  <c r="O39" i="78"/>
  <c r="M39" i="78"/>
  <c r="N40" i="78"/>
  <c r="W79" i="78"/>
  <c r="G84" i="59"/>
  <c r="H83" i="59"/>
  <c r="BE89" i="59"/>
  <c r="AP98" i="78"/>
  <c r="AQ97" i="78"/>
  <c r="AV43" i="78"/>
  <c r="AM81" i="78"/>
  <c r="AO42" i="78"/>
  <c r="Q76" i="75"/>
  <c r="M76" i="75"/>
  <c r="R76" i="75"/>
  <c r="G75" i="75"/>
  <c r="H74" i="75"/>
  <c r="BJ74" i="75"/>
  <c r="G76" i="91"/>
  <c r="H75" i="91"/>
  <c r="BJ75" i="91"/>
  <c r="AQ78" i="75"/>
  <c r="AP79" i="75"/>
  <c r="AU38" i="75"/>
  <c r="AY38" i="75"/>
  <c r="AW38" i="75"/>
  <c r="AT38" i="75"/>
  <c r="BL83" i="75"/>
  <c r="V77" i="75"/>
  <c r="U78" i="75"/>
  <c r="BK36" i="86"/>
  <c r="X71" i="86"/>
  <c r="J36" i="86"/>
  <c r="AV76" i="75"/>
  <c r="BA70" i="75"/>
  <c r="AZ70" i="75"/>
  <c r="AZ77" i="88"/>
  <c r="BA77" i="88"/>
  <c r="AV83" i="88"/>
  <c r="G77" i="66"/>
  <c r="F78" i="66"/>
  <c r="U77" i="66"/>
  <c r="AA77" i="66"/>
  <c r="AM105" i="59"/>
  <c r="AN104" i="59"/>
  <c r="G77" i="88"/>
  <c r="H76" i="88"/>
  <c r="BJ76" i="88"/>
  <c r="U76" i="86"/>
  <c r="V75" i="86"/>
  <c r="AV24" i="59"/>
  <c r="AU24" i="59"/>
  <c r="Q78" i="78"/>
  <c r="P78" i="78"/>
  <c r="V75" i="88"/>
  <c r="U76" i="88"/>
  <c r="M36" i="86"/>
  <c r="S36" i="86"/>
  <c r="AM77" i="75"/>
  <c r="AS38" i="75"/>
  <c r="AO38" i="75"/>
  <c r="AV38" i="75"/>
  <c r="BG38" i="75"/>
  <c r="W72" i="86"/>
  <c r="L37" i="86"/>
  <c r="P37" i="86"/>
  <c r="N37" i="86"/>
  <c r="K37" i="86"/>
  <c r="G78" i="88"/>
  <c r="H77" i="88"/>
  <c r="BJ77" i="88"/>
  <c r="G76" i="75"/>
  <c r="H75" i="75"/>
  <c r="BJ75" i="75"/>
  <c r="AT24" i="59"/>
  <c r="AR24" i="59"/>
  <c r="AS25" i="59"/>
  <c r="BI75" i="91"/>
  <c r="BH76" i="91"/>
  <c r="W80" i="66"/>
  <c r="O79" i="66"/>
  <c r="Q79" i="78"/>
  <c r="P79" i="78"/>
  <c r="BA78" i="88"/>
  <c r="AZ78" i="88"/>
  <c r="AV84" i="88"/>
  <c r="BA69" i="86"/>
  <c r="AZ69" i="86"/>
  <c r="AV75" i="86"/>
  <c r="R75" i="91"/>
  <c r="Q75" i="91"/>
  <c r="M75" i="91"/>
  <c r="AU37" i="86"/>
  <c r="AY37" i="86"/>
  <c r="AW37" i="86"/>
  <c r="BL82" i="86"/>
  <c r="K39" i="88"/>
  <c r="G78" i="66"/>
  <c r="F79" i="66"/>
  <c r="AA78" i="66"/>
  <c r="U78" i="66"/>
  <c r="AP99" i="78"/>
  <c r="AQ98" i="78"/>
  <c r="AP79" i="91"/>
  <c r="AQ78" i="91"/>
  <c r="J35" i="91"/>
  <c r="X70" i="91"/>
  <c r="BK35" i="91"/>
  <c r="M35" i="91"/>
  <c r="S35" i="91"/>
  <c r="AZ71" i="75"/>
  <c r="BA71" i="75"/>
  <c r="AV77" i="75"/>
  <c r="V76" i="91"/>
  <c r="U77" i="91"/>
  <c r="AU37" i="91"/>
  <c r="AY37" i="91"/>
  <c r="AW37" i="91"/>
  <c r="AT37" i="91"/>
  <c r="BL82" i="91"/>
  <c r="V76" i="88"/>
  <c r="U77" i="88"/>
  <c r="R75" i="86"/>
  <c r="M75" i="86"/>
  <c r="Q75" i="86"/>
  <c r="AM106" i="59"/>
  <c r="AN105" i="59"/>
  <c r="U79" i="75"/>
  <c r="V78" i="75"/>
  <c r="H76" i="91"/>
  <c r="BJ76" i="91"/>
  <c r="G77" i="91"/>
  <c r="J39" i="78"/>
  <c r="P23" i="59"/>
  <c r="O23" i="59"/>
  <c r="W77" i="75"/>
  <c r="L42" i="75"/>
  <c r="P42" i="75"/>
  <c r="N42" i="75"/>
  <c r="K42" i="75"/>
  <c r="BH79" i="75"/>
  <c r="BI78" i="75"/>
  <c r="G79" i="78"/>
  <c r="H78" i="78"/>
  <c r="BH84" i="78"/>
  <c r="J27" i="66"/>
  <c r="K27" i="66"/>
  <c r="I27" i="66"/>
  <c r="X27" i="66"/>
  <c r="AP80" i="75"/>
  <c r="AQ79" i="75"/>
  <c r="Q75" i="88"/>
  <c r="R75" i="88"/>
  <c r="M75" i="88"/>
  <c r="V76" i="86"/>
  <c r="U77" i="86"/>
  <c r="N77" i="66"/>
  <c r="M77" i="66"/>
  <c r="L77" i="66"/>
  <c r="R77" i="75"/>
  <c r="Q77" i="75"/>
  <c r="M77" i="75"/>
  <c r="G85" i="59"/>
  <c r="H84" i="59"/>
  <c r="BE90" i="59"/>
  <c r="G77" i="86"/>
  <c r="H76" i="86"/>
  <c r="BJ76" i="86"/>
  <c r="BA68" i="91"/>
  <c r="AV74" i="91"/>
  <c r="AZ68" i="91"/>
  <c r="BG50" i="78"/>
  <c r="AS44" i="78"/>
  <c r="BJ89" i="78"/>
  <c r="T81" i="78"/>
  <c r="U80" i="78"/>
  <c r="BI85" i="88"/>
  <c r="BH86" i="88"/>
  <c r="BH77" i="86"/>
  <c r="BI76" i="86"/>
  <c r="AW43" i="78"/>
  <c r="AU43" i="78"/>
  <c r="AR43" i="78"/>
  <c r="AM75" i="88"/>
  <c r="AO36" i="88"/>
  <c r="AS36" i="88"/>
  <c r="AV36" i="88"/>
  <c r="BG36" i="88"/>
  <c r="X77" i="75"/>
  <c r="BK42" i="75"/>
  <c r="J42" i="75"/>
  <c r="AS37" i="91"/>
  <c r="AM76" i="91"/>
  <c r="AO37" i="91"/>
  <c r="J37" i="86"/>
  <c r="BK37" i="86"/>
  <c r="X72" i="86"/>
  <c r="AV76" i="86"/>
  <c r="BA70" i="86"/>
  <c r="AZ70" i="86"/>
  <c r="R76" i="86"/>
  <c r="M76" i="86"/>
  <c r="Q76" i="86"/>
  <c r="AP80" i="91"/>
  <c r="AQ79" i="91"/>
  <c r="L78" i="66"/>
  <c r="N78" i="66"/>
  <c r="M78" i="66"/>
  <c r="G79" i="88"/>
  <c r="H78" i="88"/>
  <c r="BJ78" i="88"/>
  <c r="AU39" i="75"/>
  <c r="AY39" i="75"/>
  <c r="AW39" i="75"/>
  <c r="BL84" i="75"/>
  <c r="U81" i="78"/>
  <c r="T82" i="78"/>
  <c r="G86" i="59"/>
  <c r="H85" i="59"/>
  <c r="BE91" i="59"/>
  <c r="AV78" i="75"/>
  <c r="AZ72" i="75"/>
  <c r="BA72" i="75"/>
  <c r="M78" i="75"/>
  <c r="R78" i="75"/>
  <c r="Q78" i="75"/>
  <c r="AV37" i="91"/>
  <c r="BG37" i="91"/>
  <c r="V77" i="91"/>
  <c r="U78" i="91"/>
  <c r="AP100" i="78"/>
  <c r="AQ99" i="78"/>
  <c r="J39" i="88"/>
  <c r="X74" i="88"/>
  <c r="BK39" i="88"/>
  <c r="AT37" i="86"/>
  <c r="BI76" i="91"/>
  <c r="BH77" i="91"/>
  <c r="AU37" i="88"/>
  <c r="AY37" i="88"/>
  <c r="AW37" i="88"/>
  <c r="AT37" i="88"/>
  <c r="BL82" i="88"/>
  <c r="P80" i="78"/>
  <c r="Q80" i="78"/>
  <c r="G78" i="86"/>
  <c r="H77" i="86"/>
  <c r="BJ77" i="86"/>
  <c r="BH87" i="88"/>
  <c r="BI86" i="88"/>
  <c r="AP81" i="75"/>
  <c r="AQ80" i="75"/>
  <c r="S27" i="66"/>
  <c r="T27" i="66"/>
  <c r="BH80" i="75"/>
  <c r="BI79" i="75"/>
  <c r="M42" i="75"/>
  <c r="S42" i="75"/>
  <c r="X79" i="78"/>
  <c r="BI45" i="78"/>
  <c r="G78" i="91"/>
  <c r="H77" i="91"/>
  <c r="BJ77" i="91"/>
  <c r="U80" i="75"/>
  <c r="V79" i="75"/>
  <c r="AM107" i="59"/>
  <c r="AN106" i="59"/>
  <c r="U78" i="88"/>
  <c r="V77" i="88"/>
  <c r="Q76" i="91"/>
  <c r="R76" i="91"/>
  <c r="M76" i="91"/>
  <c r="W81" i="66"/>
  <c r="O80" i="66"/>
  <c r="AZ69" i="91"/>
  <c r="AV75" i="91"/>
  <c r="BA69" i="91"/>
  <c r="AO24" i="59"/>
  <c r="AQ24" i="59"/>
  <c r="BB24" i="59"/>
  <c r="G77" i="75"/>
  <c r="H76" i="75"/>
  <c r="BJ76" i="75"/>
  <c r="M37" i="86"/>
  <c r="S37" i="86"/>
  <c r="BH78" i="86"/>
  <c r="BI77" i="86"/>
  <c r="BE44" i="78"/>
  <c r="AY44" i="78"/>
  <c r="AX44" i="78"/>
  <c r="AT44" i="78"/>
  <c r="AM82" i="78"/>
  <c r="AO43" i="78"/>
  <c r="BA79" i="88"/>
  <c r="AZ79" i="88"/>
  <c r="AV85" i="88"/>
  <c r="U78" i="86"/>
  <c r="V77" i="86"/>
  <c r="R27" i="66"/>
  <c r="P27" i="66"/>
  <c r="G80" i="78"/>
  <c r="H79" i="78"/>
  <c r="BH85" i="78"/>
  <c r="R76" i="88"/>
  <c r="Q76" i="88"/>
  <c r="M76" i="88"/>
  <c r="W71" i="91"/>
  <c r="L36" i="91"/>
  <c r="P36" i="91"/>
  <c r="N36" i="91"/>
  <c r="K36" i="91"/>
  <c r="M36" i="91"/>
  <c r="S36" i="91"/>
  <c r="AV44" i="78"/>
  <c r="N23" i="59"/>
  <c r="L23" i="59"/>
  <c r="M24" i="59"/>
  <c r="AA79" i="66"/>
  <c r="F80" i="66"/>
  <c r="U79" i="66"/>
  <c r="G79" i="66"/>
  <c r="L39" i="78"/>
  <c r="R39" i="78"/>
  <c r="M39" i="88"/>
  <c r="S39" i="88"/>
  <c r="AM76" i="88"/>
  <c r="AS37" i="88"/>
  <c r="AO37" i="88"/>
  <c r="W72" i="91"/>
  <c r="L37" i="91"/>
  <c r="P37" i="91"/>
  <c r="N37" i="91"/>
  <c r="BD31" i="59"/>
  <c r="BG70" i="59"/>
  <c r="AP25" i="59"/>
  <c r="K40" i="78"/>
  <c r="O40" i="78"/>
  <c r="M40" i="78"/>
  <c r="N41" i="78"/>
  <c r="J40" i="78"/>
  <c r="W80" i="78"/>
  <c r="U79" i="86"/>
  <c r="V78" i="86"/>
  <c r="BG51" i="78"/>
  <c r="BJ90" i="78"/>
  <c r="AS45" i="78"/>
  <c r="L38" i="86"/>
  <c r="P38" i="86"/>
  <c r="N38" i="86"/>
  <c r="W73" i="86"/>
  <c r="G78" i="75"/>
  <c r="H77" i="75"/>
  <c r="BJ77" i="75"/>
  <c r="R77" i="88"/>
  <c r="Q77" i="88"/>
  <c r="M77" i="88"/>
  <c r="R79" i="75"/>
  <c r="M79" i="75"/>
  <c r="Q79" i="75"/>
  <c r="AV79" i="75"/>
  <c r="AZ73" i="75"/>
  <c r="BA73" i="75"/>
  <c r="BA80" i="88"/>
  <c r="AZ80" i="88"/>
  <c r="AV86" i="88"/>
  <c r="AV37" i="88"/>
  <c r="BG37" i="88"/>
  <c r="AS37" i="86"/>
  <c r="AM76" i="86"/>
  <c r="AO37" i="86"/>
  <c r="P81" i="78"/>
  <c r="Q81" i="78"/>
  <c r="AT39" i="75"/>
  <c r="U80" i="66"/>
  <c r="AA80" i="66"/>
  <c r="F81" i="66"/>
  <c r="G80" i="66"/>
  <c r="W75" i="88"/>
  <c r="L40" i="88"/>
  <c r="P40" i="88"/>
  <c r="N40" i="88"/>
  <c r="K40" i="88"/>
  <c r="I23" i="59"/>
  <c r="BF29" i="59"/>
  <c r="K23" i="59"/>
  <c r="AZ71" i="86"/>
  <c r="BA71" i="86"/>
  <c r="AV77" i="86"/>
  <c r="O81" i="66"/>
  <c r="W82" i="66"/>
  <c r="U79" i="88"/>
  <c r="V78" i="88"/>
  <c r="V80" i="75"/>
  <c r="U81" i="75"/>
  <c r="G79" i="91"/>
  <c r="H78" i="91"/>
  <c r="BJ78" i="91"/>
  <c r="BH81" i="75"/>
  <c r="BI80" i="75"/>
  <c r="AP82" i="75"/>
  <c r="AQ81" i="75"/>
  <c r="BH88" i="88"/>
  <c r="BI87" i="88"/>
  <c r="G79" i="86"/>
  <c r="H78" i="86"/>
  <c r="BJ78" i="86"/>
  <c r="AP101" i="78"/>
  <c r="AQ100" i="78"/>
  <c r="V78" i="91"/>
  <c r="U79" i="91"/>
  <c r="G80" i="88"/>
  <c r="H79" i="88"/>
  <c r="BJ79" i="88"/>
  <c r="BK36" i="91"/>
  <c r="X71" i="91"/>
  <c r="J36" i="91"/>
  <c r="H27" i="66"/>
  <c r="O27" i="66"/>
  <c r="AW44" i="78"/>
  <c r="AU44" i="78"/>
  <c r="AV45" i="78"/>
  <c r="BI78" i="86"/>
  <c r="BH79" i="86"/>
  <c r="AJ63" i="59"/>
  <c r="AL24" i="59"/>
  <c r="BI77" i="91"/>
  <c r="BH78" i="91"/>
  <c r="R77" i="91"/>
  <c r="Q77" i="91"/>
  <c r="M77" i="91"/>
  <c r="AQ80" i="91"/>
  <c r="AP81" i="91"/>
  <c r="N79" i="66"/>
  <c r="M79" i="66"/>
  <c r="L79" i="66"/>
  <c r="G81" i="78"/>
  <c r="H80" i="78"/>
  <c r="BH86" i="78"/>
  <c r="M77" i="86"/>
  <c r="Q77" i="86"/>
  <c r="R77" i="86"/>
  <c r="AR44" i="78"/>
  <c r="AM108" i="59"/>
  <c r="AN108" i="59"/>
  <c r="AN107" i="59"/>
  <c r="L43" i="75"/>
  <c r="P43" i="75"/>
  <c r="N43" i="75"/>
  <c r="K43" i="75"/>
  <c r="W78" i="75"/>
  <c r="M43" i="75"/>
  <c r="S43" i="75"/>
  <c r="Q28" i="66"/>
  <c r="BA70" i="91"/>
  <c r="AZ70" i="91"/>
  <c r="AV76" i="91"/>
  <c r="AU38" i="91"/>
  <c r="AY38" i="91"/>
  <c r="AW38" i="91"/>
  <c r="AT38" i="91"/>
  <c r="BL83" i="91"/>
  <c r="G87" i="59"/>
  <c r="H86" i="59"/>
  <c r="BE92" i="59"/>
  <c r="T83" i="78"/>
  <c r="U82" i="78"/>
  <c r="AV37" i="86"/>
  <c r="BG37" i="86"/>
  <c r="W79" i="75"/>
  <c r="L44" i="75"/>
  <c r="P44" i="75"/>
  <c r="N44" i="75"/>
  <c r="J40" i="88"/>
  <c r="X75" i="88"/>
  <c r="BK40" i="88"/>
  <c r="AM77" i="91"/>
  <c r="AS38" i="91"/>
  <c r="AO38" i="91"/>
  <c r="AU38" i="86"/>
  <c r="AY38" i="86"/>
  <c r="AW38" i="86"/>
  <c r="AT38" i="86"/>
  <c r="BL83" i="86"/>
  <c r="BA71" i="91"/>
  <c r="AZ71" i="91"/>
  <c r="AV77" i="91"/>
  <c r="Q78" i="91"/>
  <c r="M78" i="91"/>
  <c r="R78" i="91"/>
  <c r="G80" i="86"/>
  <c r="H79" i="86"/>
  <c r="BJ79" i="86"/>
  <c r="AQ82" i="75"/>
  <c r="AP83" i="75"/>
  <c r="R78" i="88"/>
  <c r="Q78" i="88"/>
  <c r="M78" i="88"/>
  <c r="N80" i="66"/>
  <c r="M80" i="66"/>
  <c r="L80" i="66"/>
  <c r="V79" i="86"/>
  <c r="U80" i="86"/>
  <c r="L40" i="78"/>
  <c r="R40" i="78"/>
  <c r="K37" i="91"/>
  <c r="G88" i="59"/>
  <c r="H87" i="59"/>
  <c r="BE93" i="59"/>
  <c r="V27" i="66"/>
  <c r="Z27" i="66"/>
  <c r="AZ81" i="88"/>
  <c r="BA81" i="88"/>
  <c r="AV87" i="88"/>
  <c r="AV80" i="75"/>
  <c r="AZ74" i="75"/>
  <c r="BA74" i="75"/>
  <c r="G80" i="91"/>
  <c r="H79" i="91"/>
  <c r="BJ79" i="91"/>
  <c r="V79" i="88"/>
  <c r="U80" i="88"/>
  <c r="Q23" i="59"/>
  <c r="U70" i="59"/>
  <c r="K38" i="86"/>
  <c r="X80" i="78"/>
  <c r="BI46" i="78"/>
  <c r="BK43" i="75"/>
  <c r="X78" i="75"/>
  <c r="J43" i="75"/>
  <c r="Q82" i="78"/>
  <c r="P82" i="78"/>
  <c r="AV38" i="91"/>
  <c r="BG38" i="91"/>
  <c r="G82" i="78"/>
  <c r="H81" i="78"/>
  <c r="BH87" i="78"/>
  <c r="AP82" i="91"/>
  <c r="AQ81" i="91"/>
  <c r="BI79" i="86"/>
  <c r="BH80" i="86"/>
  <c r="G81" i="88"/>
  <c r="H80" i="88"/>
  <c r="BJ80" i="88"/>
  <c r="AP102" i="78"/>
  <c r="AQ101" i="78"/>
  <c r="BI88" i="88"/>
  <c r="BH89" i="88"/>
  <c r="BH82" i="75"/>
  <c r="BI81" i="75"/>
  <c r="V81" i="75"/>
  <c r="U82" i="75"/>
  <c r="M40" i="88"/>
  <c r="S40" i="88"/>
  <c r="U81" i="66"/>
  <c r="F82" i="66"/>
  <c r="G81" i="66"/>
  <c r="AA81" i="66"/>
  <c r="AM78" i="75"/>
  <c r="AS39" i="75"/>
  <c r="AO39" i="75"/>
  <c r="H78" i="75"/>
  <c r="BJ78" i="75"/>
  <c r="G79" i="75"/>
  <c r="AU25" i="59"/>
  <c r="AV25" i="59"/>
  <c r="U83" i="78"/>
  <c r="T84" i="78"/>
  <c r="AO44" i="78"/>
  <c r="AM83" i="78"/>
  <c r="BH79" i="91"/>
  <c r="BI78" i="91"/>
  <c r="AZ72" i="86"/>
  <c r="BA72" i="86"/>
  <c r="AV78" i="86"/>
  <c r="U80" i="91"/>
  <c r="V79" i="91"/>
  <c r="Q80" i="75"/>
  <c r="M80" i="75"/>
  <c r="R80" i="75"/>
  <c r="O82" i="66"/>
  <c r="W83" i="66"/>
  <c r="AU38" i="88"/>
  <c r="AY38" i="88"/>
  <c r="AW38" i="88"/>
  <c r="AT38" i="88"/>
  <c r="AV38" i="88"/>
  <c r="BG38" i="88"/>
  <c r="BL83" i="88"/>
  <c r="AX45" i="78"/>
  <c r="AT45" i="78"/>
  <c r="BE45" i="78"/>
  <c r="AY45" i="78"/>
  <c r="M78" i="86"/>
  <c r="R78" i="86"/>
  <c r="Q78" i="86"/>
  <c r="AT25" i="59"/>
  <c r="AR25" i="59"/>
  <c r="AO25" i="59"/>
  <c r="AV39" i="75"/>
  <c r="BG39" i="75"/>
  <c r="AM77" i="86"/>
  <c r="AS38" i="86"/>
  <c r="AO38" i="86"/>
  <c r="AU39" i="88"/>
  <c r="AY39" i="88"/>
  <c r="AW39" i="88"/>
  <c r="AT39" i="88"/>
  <c r="BL84" i="88"/>
  <c r="BG52" i="78"/>
  <c r="BJ91" i="78"/>
  <c r="AS46" i="78"/>
  <c r="O83" i="66"/>
  <c r="W84" i="66"/>
  <c r="BH80" i="91"/>
  <c r="BI79" i="91"/>
  <c r="Q83" i="78"/>
  <c r="P83" i="78"/>
  <c r="M81" i="66"/>
  <c r="L81" i="66"/>
  <c r="N81" i="66"/>
  <c r="Q81" i="75"/>
  <c r="R81" i="75"/>
  <c r="M81" i="75"/>
  <c r="BA82" i="88"/>
  <c r="AZ82" i="88"/>
  <c r="AV88" i="88"/>
  <c r="G83" i="78"/>
  <c r="H82" i="78"/>
  <c r="BH88" i="78"/>
  <c r="AU39" i="91"/>
  <c r="AY39" i="91"/>
  <c r="AW39" i="91"/>
  <c r="AT39" i="91"/>
  <c r="BL84" i="91"/>
  <c r="AV39" i="91"/>
  <c r="BG39" i="91"/>
  <c r="BK38" i="86"/>
  <c r="X73" i="86"/>
  <c r="J38" i="86"/>
  <c r="S24" i="59"/>
  <c r="T71" i="59"/>
  <c r="J24" i="59"/>
  <c r="R79" i="88"/>
  <c r="Q79" i="88"/>
  <c r="M79" i="88"/>
  <c r="G81" i="91"/>
  <c r="H80" i="91"/>
  <c r="BJ80" i="91"/>
  <c r="K41" i="78"/>
  <c r="O41" i="78"/>
  <c r="M41" i="78"/>
  <c r="N42" i="78"/>
  <c r="W81" i="78"/>
  <c r="K44" i="75"/>
  <c r="R79" i="91"/>
  <c r="Q79" i="91"/>
  <c r="M79" i="91"/>
  <c r="U82" i="66"/>
  <c r="AA82" i="66"/>
  <c r="F83" i="66"/>
  <c r="G82" i="66"/>
  <c r="AV81" i="75"/>
  <c r="BA75" i="75"/>
  <c r="AZ75" i="75"/>
  <c r="AP83" i="91"/>
  <c r="AQ82" i="91"/>
  <c r="G89" i="59"/>
  <c r="H88" i="59"/>
  <c r="BE94" i="59"/>
  <c r="V80" i="86"/>
  <c r="U81" i="86"/>
  <c r="AU40" i="75"/>
  <c r="AY40" i="75"/>
  <c r="AW40" i="75"/>
  <c r="BL85" i="75"/>
  <c r="AJ64" i="59"/>
  <c r="AL25" i="59"/>
  <c r="V80" i="91"/>
  <c r="U81" i="91"/>
  <c r="AQ25" i="59"/>
  <c r="BB25" i="59"/>
  <c r="G80" i="75"/>
  <c r="H79" i="75"/>
  <c r="BJ79" i="75"/>
  <c r="BH83" i="75"/>
  <c r="BI82" i="75"/>
  <c r="AP103" i="78"/>
  <c r="AQ102" i="78"/>
  <c r="G82" i="88"/>
  <c r="H81" i="88"/>
  <c r="BJ81" i="88"/>
  <c r="BH81" i="86"/>
  <c r="BI80" i="86"/>
  <c r="R79" i="86"/>
  <c r="Q79" i="86"/>
  <c r="M79" i="86"/>
  <c r="AQ83" i="75"/>
  <c r="AP84" i="75"/>
  <c r="AV38" i="86"/>
  <c r="BG38" i="86"/>
  <c r="M38" i="86"/>
  <c r="S38" i="86"/>
  <c r="AO38" i="88"/>
  <c r="AM77" i="88"/>
  <c r="AS38" i="88"/>
  <c r="AZ72" i="91"/>
  <c r="AV78" i="91"/>
  <c r="BA72" i="91"/>
  <c r="U84" i="78"/>
  <c r="T85" i="78"/>
  <c r="AS26" i="59"/>
  <c r="W76" i="88"/>
  <c r="L41" i="88"/>
  <c r="P41" i="88"/>
  <c r="N41" i="88"/>
  <c r="K41" i="88"/>
  <c r="V82" i="75"/>
  <c r="U83" i="75"/>
  <c r="BH90" i="88"/>
  <c r="BI89" i="88"/>
  <c r="BA73" i="86"/>
  <c r="AV79" i="86"/>
  <c r="AZ73" i="86"/>
  <c r="V80" i="88"/>
  <c r="U81" i="88"/>
  <c r="K28" i="66"/>
  <c r="J28" i="66"/>
  <c r="I28" i="66"/>
  <c r="X28" i="66"/>
  <c r="BK37" i="91"/>
  <c r="X72" i="91"/>
  <c r="J37" i="91"/>
  <c r="AW45" i="78"/>
  <c r="AU45" i="78"/>
  <c r="AR45" i="78"/>
  <c r="G81" i="86"/>
  <c r="H80" i="86"/>
  <c r="BJ80" i="86"/>
  <c r="M37" i="91"/>
  <c r="S37" i="91"/>
  <c r="X76" i="88"/>
  <c r="J41" i="88"/>
  <c r="BK41" i="88"/>
  <c r="AU40" i="91"/>
  <c r="AY40" i="91"/>
  <c r="AW40" i="91"/>
  <c r="AT40" i="91"/>
  <c r="BL85" i="91"/>
  <c r="AS39" i="88"/>
  <c r="AM78" i="88"/>
  <c r="AO39" i="88"/>
  <c r="U84" i="75"/>
  <c r="V83" i="75"/>
  <c r="U85" i="78"/>
  <c r="T86" i="78"/>
  <c r="AP85" i="75"/>
  <c r="AQ84" i="75"/>
  <c r="BH82" i="86"/>
  <c r="BI81" i="86"/>
  <c r="G83" i="88"/>
  <c r="H82" i="88"/>
  <c r="BJ82" i="88"/>
  <c r="BI83" i="75"/>
  <c r="BH84" i="75"/>
  <c r="V81" i="91"/>
  <c r="U82" i="91"/>
  <c r="AV46" i="78"/>
  <c r="R80" i="86"/>
  <c r="M80" i="86"/>
  <c r="Q80" i="86"/>
  <c r="G90" i="59"/>
  <c r="H89" i="59"/>
  <c r="BE95" i="59"/>
  <c r="J41" i="78"/>
  <c r="L38" i="91"/>
  <c r="P38" i="91"/>
  <c r="N38" i="91"/>
  <c r="K38" i="91"/>
  <c r="W73" i="91"/>
  <c r="Q80" i="91"/>
  <c r="R80" i="91"/>
  <c r="M80" i="91"/>
  <c r="L82" i="66"/>
  <c r="N82" i="66"/>
  <c r="M82" i="66"/>
  <c r="AO39" i="91"/>
  <c r="AM78" i="91"/>
  <c r="AS39" i="91"/>
  <c r="AZ73" i="91"/>
  <c r="BA73" i="91"/>
  <c r="AV79" i="91"/>
  <c r="W85" i="66"/>
  <c r="O84" i="66"/>
  <c r="AM84" i="78"/>
  <c r="AO45" i="78"/>
  <c r="Q82" i="75"/>
  <c r="R82" i="75"/>
  <c r="M82" i="75"/>
  <c r="M41" i="88"/>
  <c r="S41" i="88"/>
  <c r="P84" i="78"/>
  <c r="Q84" i="78"/>
  <c r="AP84" i="91"/>
  <c r="AQ83" i="91"/>
  <c r="V81" i="88"/>
  <c r="U82" i="88"/>
  <c r="BA83" i="88"/>
  <c r="AZ83" i="88"/>
  <c r="AV89" i="88"/>
  <c r="W74" i="86"/>
  <c r="L39" i="86"/>
  <c r="P39" i="86"/>
  <c r="N39" i="86"/>
  <c r="AP104" i="78"/>
  <c r="AQ103" i="78"/>
  <c r="AT40" i="75"/>
  <c r="U83" i="66"/>
  <c r="G83" i="66"/>
  <c r="F84" i="66"/>
  <c r="AA83" i="66"/>
  <c r="J44" i="75"/>
  <c r="BK44" i="75"/>
  <c r="X79" i="75"/>
  <c r="L41" i="78"/>
  <c r="R41" i="78"/>
  <c r="H81" i="91"/>
  <c r="BJ81" i="91"/>
  <c r="G82" i="91"/>
  <c r="BH81" i="91"/>
  <c r="BI80" i="91"/>
  <c r="BE46" i="78"/>
  <c r="AY46" i="78"/>
  <c r="AX46" i="78"/>
  <c r="AT46" i="78"/>
  <c r="AV39" i="88"/>
  <c r="BG39" i="88"/>
  <c r="G82" i="86"/>
  <c r="H81" i="86"/>
  <c r="BJ81" i="86"/>
  <c r="T28" i="66"/>
  <c r="S28" i="66"/>
  <c r="Q80" i="88"/>
  <c r="R80" i="88"/>
  <c r="M80" i="88"/>
  <c r="BH91" i="88"/>
  <c r="BI90" i="88"/>
  <c r="AU39" i="86"/>
  <c r="AY39" i="86"/>
  <c r="AW39" i="86"/>
  <c r="AT39" i="86"/>
  <c r="AV39" i="86"/>
  <c r="BG39" i="86"/>
  <c r="BL84" i="86"/>
  <c r="AV80" i="86"/>
  <c r="BA74" i="86"/>
  <c r="AZ74" i="86"/>
  <c r="BA76" i="75"/>
  <c r="AZ76" i="75"/>
  <c r="AV82" i="75"/>
  <c r="G81" i="75"/>
  <c r="H80" i="75"/>
  <c r="BJ80" i="75"/>
  <c r="BD32" i="59"/>
  <c r="BG71" i="59"/>
  <c r="AP26" i="59"/>
  <c r="V81" i="86"/>
  <c r="U82" i="86"/>
  <c r="P24" i="59"/>
  <c r="O24" i="59"/>
  <c r="G84" i="78"/>
  <c r="H83" i="78"/>
  <c r="BH89" i="78"/>
  <c r="AW46" i="78"/>
  <c r="AU46" i="78"/>
  <c r="AR46" i="78"/>
  <c r="M44" i="75"/>
  <c r="S44" i="75"/>
  <c r="AO40" i="91"/>
  <c r="AM79" i="91"/>
  <c r="AS40" i="91"/>
  <c r="AU40" i="86"/>
  <c r="AY40" i="86"/>
  <c r="AW40" i="86"/>
  <c r="AT40" i="86"/>
  <c r="BL85" i="86"/>
  <c r="BK38" i="91"/>
  <c r="J38" i="91"/>
  <c r="X73" i="91"/>
  <c r="AM85" i="78"/>
  <c r="AO46" i="78"/>
  <c r="U83" i="86"/>
  <c r="V82" i="86"/>
  <c r="G85" i="78"/>
  <c r="H84" i="78"/>
  <c r="BH90" i="78"/>
  <c r="BI91" i="88"/>
  <c r="BH92" i="88"/>
  <c r="AV47" i="78"/>
  <c r="BH82" i="91"/>
  <c r="BI81" i="91"/>
  <c r="M83" i="66"/>
  <c r="L83" i="66"/>
  <c r="N83" i="66"/>
  <c r="AS40" i="75"/>
  <c r="AM79" i="75"/>
  <c r="AO40" i="75"/>
  <c r="AP105" i="78"/>
  <c r="AQ104" i="78"/>
  <c r="K39" i="86"/>
  <c r="W77" i="88"/>
  <c r="L42" i="88"/>
  <c r="P42" i="88"/>
  <c r="N42" i="88"/>
  <c r="N24" i="59"/>
  <c r="L24" i="59"/>
  <c r="G91" i="59"/>
  <c r="H90" i="59"/>
  <c r="BE96" i="59"/>
  <c r="BA77" i="75"/>
  <c r="AZ77" i="75"/>
  <c r="AV83" i="75"/>
  <c r="G84" i="88"/>
  <c r="H83" i="88"/>
  <c r="BJ83" i="88"/>
  <c r="AP86" i="75"/>
  <c r="AQ85" i="75"/>
  <c r="U86" i="78"/>
  <c r="T87" i="78"/>
  <c r="AV40" i="91"/>
  <c r="BG40" i="91"/>
  <c r="AV40" i="75"/>
  <c r="BG40" i="75"/>
  <c r="W80" i="75"/>
  <c r="L45" i="75"/>
  <c r="P45" i="75"/>
  <c r="N45" i="75"/>
  <c r="AU26" i="59"/>
  <c r="AV26" i="59"/>
  <c r="H81" i="75"/>
  <c r="BJ81" i="75"/>
  <c r="G82" i="75"/>
  <c r="AM78" i="86"/>
  <c r="AO39" i="86"/>
  <c r="AS39" i="86"/>
  <c r="W82" i="78"/>
  <c r="K42" i="78"/>
  <c r="O42" i="78"/>
  <c r="M42" i="78"/>
  <c r="N43" i="78"/>
  <c r="V82" i="88"/>
  <c r="U83" i="88"/>
  <c r="O85" i="66"/>
  <c r="W86" i="66"/>
  <c r="M38" i="91"/>
  <c r="S38" i="91"/>
  <c r="U83" i="91"/>
  <c r="V82" i="91"/>
  <c r="AZ75" i="86"/>
  <c r="AV81" i="86"/>
  <c r="BA75" i="86"/>
  <c r="Q85" i="78"/>
  <c r="P85" i="78"/>
  <c r="AT26" i="59"/>
  <c r="AR26" i="59"/>
  <c r="AO26" i="59"/>
  <c r="G83" i="86"/>
  <c r="H82" i="86"/>
  <c r="BJ82" i="86"/>
  <c r="AU40" i="88"/>
  <c r="AY40" i="88"/>
  <c r="AW40" i="88"/>
  <c r="AT40" i="88"/>
  <c r="BL85" i="88"/>
  <c r="BG53" i="78"/>
  <c r="BJ92" i="78"/>
  <c r="AS47" i="78"/>
  <c r="G83" i="91"/>
  <c r="H82" i="91"/>
  <c r="BJ82" i="91"/>
  <c r="U84" i="66"/>
  <c r="G84" i="66"/>
  <c r="F85" i="66"/>
  <c r="AA84" i="66"/>
  <c r="Q81" i="88"/>
  <c r="R81" i="88"/>
  <c r="M81" i="88"/>
  <c r="X81" i="78"/>
  <c r="BI47" i="78"/>
  <c r="Q81" i="91"/>
  <c r="M81" i="91"/>
  <c r="R81" i="91"/>
  <c r="BH83" i="86"/>
  <c r="BI82" i="86"/>
  <c r="M83" i="75"/>
  <c r="Q83" i="75"/>
  <c r="R83" i="75"/>
  <c r="Q81" i="86"/>
  <c r="R81" i="86"/>
  <c r="M81" i="86"/>
  <c r="BA84" i="88"/>
  <c r="AZ84" i="88"/>
  <c r="AV90" i="88"/>
  <c r="BA74" i="91"/>
  <c r="AZ74" i="91"/>
  <c r="AV80" i="91"/>
  <c r="AP85" i="91"/>
  <c r="AQ84" i="91"/>
  <c r="R28" i="66"/>
  <c r="P28" i="66"/>
  <c r="BH85" i="75"/>
  <c r="BI84" i="75"/>
  <c r="U85" i="75"/>
  <c r="V84" i="75"/>
  <c r="AS40" i="88"/>
  <c r="AM79" i="88"/>
  <c r="AO40" i="88"/>
  <c r="K42" i="88"/>
  <c r="M42" i="88"/>
  <c r="S42" i="88"/>
  <c r="AS40" i="86"/>
  <c r="AM79" i="86"/>
  <c r="AO40" i="86"/>
  <c r="AQ85" i="91"/>
  <c r="AP86" i="91"/>
  <c r="BH84" i="86"/>
  <c r="BI83" i="86"/>
  <c r="AL26" i="59"/>
  <c r="AJ65" i="59"/>
  <c r="L39" i="91"/>
  <c r="P39" i="91"/>
  <c r="N39" i="91"/>
  <c r="K39" i="91"/>
  <c r="W74" i="91"/>
  <c r="R82" i="88"/>
  <c r="Q82" i="88"/>
  <c r="M82" i="88"/>
  <c r="AU41" i="75"/>
  <c r="AY41" i="75"/>
  <c r="AW41" i="75"/>
  <c r="BL86" i="75"/>
  <c r="I24" i="59"/>
  <c r="BF30" i="59"/>
  <c r="K24" i="59"/>
  <c r="X74" i="86"/>
  <c r="BK39" i="86"/>
  <c r="J39" i="86"/>
  <c r="M25" i="59"/>
  <c r="Q82" i="86"/>
  <c r="R82" i="86"/>
  <c r="M82" i="86"/>
  <c r="AV40" i="86"/>
  <c r="BG40" i="86"/>
  <c r="U86" i="75"/>
  <c r="V85" i="75"/>
  <c r="AV84" i="75"/>
  <c r="BA78" i="75"/>
  <c r="AZ78" i="75"/>
  <c r="BI85" i="75"/>
  <c r="BH86" i="75"/>
  <c r="AA85" i="66"/>
  <c r="U85" i="66"/>
  <c r="F86" i="66"/>
  <c r="G85" i="66"/>
  <c r="AV40" i="88"/>
  <c r="BG40" i="88"/>
  <c r="J42" i="78"/>
  <c r="G83" i="75"/>
  <c r="H82" i="75"/>
  <c r="BJ82" i="75"/>
  <c r="AQ26" i="59"/>
  <c r="BB26" i="59"/>
  <c r="K45" i="75"/>
  <c r="M45" i="75"/>
  <c r="S45" i="75"/>
  <c r="AU41" i="91"/>
  <c r="AY41" i="91"/>
  <c r="AW41" i="91"/>
  <c r="AT41" i="91"/>
  <c r="BL86" i="91"/>
  <c r="AP87" i="75"/>
  <c r="AQ86" i="75"/>
  <c r="G85" i="88"/>
  <c r="H84" i="88"/>
  <c r="BJ84" i="88"/>
  <c r="BA75" i="91"/>
  <c r="AZ75" i="91"/>
  <c r="AV81" i="91"/>
  <c r="U84" i="86"/>
  <c r="V83" i="86"/>
  <c r="H28" i="66"/>
  <c r="O28" i="66"/>
  <c r="M84" i="75"/>
  <c r="R84" i="75"/>
  <c r="Q84" i="75"/>
  <c r="M84" i="66"/>
  <c r="N84" i="66"/>
  <c r="L84" i="66"/>
  <c r="AY47" i="78"/>
  <c r="AX47" i="78"/>
  <c r="AT47" i="78"/>
  <c r="BE47" i="78"/>
  <c r="R82" i="91"/>
  <c r="Q82" i="91"/>
  <c r="M82" i="91"/>
  <c r="O86" i="66"/>
  <c r="W87" i="66"/>
  <c r="AS27" i="59"/>
  <c r="U87" i="78"/>
  <c r="T88" i="78"/>
  <c r="AP106" i="78"/>
  <c r="AQ105" i="78"/>
  <c r="BI82" i="91"/>
  <c r="BH83" i="91"/>
  <c r="BH93" i="88"/>
  <c r="BI92" i="88"/>
  <c r="G86" i="78"/>
  <c r="H85" i="78"/>
  <c r="BH91" i="78"/>
  <c r="BA76" i="86"/>
  <c r="AV82" i="86"/>
  <c r="AZ76" i="86"/>
  <c r="G84" i="91"/>
  <c r="H83" i="91"/>
  <c r="BJ83" i="91"/>
  <c r="G84" i="86"/>
  <c r="H83" i="86"/>
  <c r="BJ83" i="86"/>
  <c r="V83" i="91"/>
  <c r="U84" i="91"/>
  <c r="V83" i="88"/>
  <c r="U84" i="88"/>
  <c r="L42" i="78"/>
  <c r="R42" i="78"/>
  <c r="Q29" i="66"/>
  <c r="Q86" i="78"/>
  <c r="P86" i="78"/>
  <c r="G92" i="59"/>
  <c r="H91" i="59"/>
  <c r="BE97" i="59"/>
  <c r="AZ85" i="88"/>
  <c r="BA85" i="88"/>
  <c r="AV91" i="88"/>
  <c r="M39" i="86"/>
  <c r="S39" i="86"/>
  <c r="BK39" i="91"/>
  <c r="J39" i="91"/>
  <c r="X74" i="91"/>
  <c r="L46" i="75"/>
  <c r="P46" i="75"/>
  <c r="N46" i="75"/>
  <c r="W81" i="75"/>
  <c r="AZ86" i="88"/>
  <c r="BA86" i="88"/>
  <c r="AV92" i="88"/>
  <c r="BD33" i="59"/>
  <c r="BG72" i="59"/>
  <c r="AP27" i="59"/>
  <c r="G84" i="75"/>
  <c r="H83" i="75"/>
  <c r="BJ83" i="75"/>
  <c r="BI48" i="78"/>
  <c r="X82" i="78"/>
  <c r="U86" i="66"/>
  <c r="G86" i="66"/>
  <c r="F87" i="66"/>
  <c r="AA86" i="66"/>
  <c r="V86" i="75"/>
  <c r="U87" i="75"/>
  <c r="AT41" i="75"/>
  <c r="M39" i="91"/>
  <c r="S39" i="91"/>
  <c r="BA77" i="86"/>
  <c r="AV83" i="86"/>
  <c r="AZ77" i="86"/>
  <c r="W83" i="78"/>
  <c r="K43" i="78"/>
  <c r="O43" i="78"/>
  <c r="M43" i="78"/>
  <c r="N44" i="78"/>
  <c r="BH94" i="88"/>
  <c r="BI93" i="88"/>
  <c r="AP107" i="78"/>
  <c r="AQ106" i="78"/>
  <c r="T89" i="78"/>
  <c r="U88" i="78"/>
  <c r="W88" i="66"/>
  <c r="O87" i="66"/>
  <c r="V28" i="66"/>
  <c r="Z28" i="66"/>
  <c r="AQ87" i="75"/>
  <c r="AP88" i="75"/>
  <c r="AM80" i="91"/>
  <c r="AS41" i="91"/>
  <c r="AO41" i="91"/>
  <c r="BH87" i="75"/>
  <c r="BI86" i="75"/>
  <c r="AU41" i="86"/>
  <c r="AY41" i="86"/>
  <c r="AW41" i="86"/>
  <c r="AT41" i="86"/>
  <c r="BL86" i="86"/>
  <c r="BI84" i="86"/>
  <c r="BH85" i="86"/>
  <c r="U85" i="91"/>
  <c r="V84" i="91"/>
  <c r="R83" i="91"/>
  <c r="M83" i="91"/>
  <c r="Q83" i="91"/>
  <c r="W75" i="86"/>
  <c r="L40" i="86"/>
  <c r="P40" i="86"/>
  <c r="N40" i="86"/>
  <c r="K40" i="86"/>
  <c r="U85" i="88"/>
  <c r="V84" i="88"/>
  <c r="BH84" i="91"/>
  <c r="BI83" i="91"/>
  <c r="Q87" i="78"/>
  <c r="P87" i="78"/>
  <c r="Q83" i="86"/>
  <c r="R83" i="86"/>
  <c r="M83" i="86"/>
  <c r="AU41" i="88"/>
  <c r="AY41" i="88"/>
  <c r="AW41" i="88"/>
  <c r="AT41" i="88"/>
  <c r="BL86" i="88"/>
  <c r="BA79" i="75"/>
  <c r="AV85" i="75"/>
  <c r="AZ79" i="75"/>
  <c r="X77" i="88"/>
  <c r="BK42" i="88"/>
  <c r="J42" i="88"/>
  <c r="AP87" i="91"/>
  <c r="AQ86" i="91"/>
  <c r="G93" i="59"/>
  <c r="H92" i="59"/>
  <c r="BE98" i="59"/>
  <c r="Q83" i="88"/>
  <c r="R83" i="88"/>
  <c r="M83" i="88"/>
  <c r="G85" i="86"/>
  <c r="H84" i="86"/>
  <c r="BJ84" i="86"/>
  <c r="G85" i="91"/>
  <c r="H84" i="91"/>
  <c r="BJ84" i="91"/>
  <c r="G87" i="78"/>
  <c r="H86" i="78"/>
  <c r="BH92" i="78"/>
  <c r="BA76" i="91"/>
  <c r="AZ76" i="91"/>
  <c r="AV82" i="91"/>
  <c r="BG54" i="78"/>
  <c r="BJ93" i="78"/>
  <c r="AS48" i="78"/>
  <c r="U85" i="86"/>
  <c r="V84" i="86"/>
  <c r="G86" i="88"/>
  <c r="H85" i="88"/>
  <c r="BJ85" i="88"/>
  <c r="AV41" i="91"/>
  <c r="BG41" i="91"/>
  <c r="J45" i="75"/>
  <c r="X80" i="75"/>
  <c r="BK45" i="75"/>
  <c r="N85" i="66"/>
  <c r="M85" i="66"/>
  <c r="L85" i="66"/>
  <c r="R85" i="75"/>
  <c r="M85" i="75"/>
  <c r="Q85" i="75"/>
  <c r="U71" i="59"/>
  <c r="Q24" i="59"/>
  <c r="AW47" i="78"/>
  <c r="AU47" i="78"/>
  <c r="AR47" i="78"/>
  <c r="L43" i="88"/>
  <c r="P43" i="88"/>
  <c r="N43" i="88"/>
  <c r="K43" i="88"/>
  <c r="W78" i="88"/>
  <c r="J40" i="86"/>
  <c r="X75" i="86"/>
  <c r="BK40" i="86"/>
  <c r="J43" i="88"/>
  <c r="BK43" i="88"/>
  <c r="X78" i="88"/>
  <c r="M43" i="88"/>
  <c r="S43" i="88"/>
  <c r="R84" i="86"/>
  <c r="M84" i="86"/>
  <c r="Q84" i="86"/>
  <c r="G94" i="59"/>
  <c r="H93" i="59"/>
  <c r="BE99" i="59"/>
  <c r="BH85" i="91"/>
  <c r="BI84" i="91"/>
  <c r="V85" i="88"/>
  <c r="U86" i="88"/>
  <c r="BH86" i="86"/>
  <c r="BI85" i="86"/>
  <c r="BH88" i="75"/>
  <c r="BI87" i="75"/>
  <c r="J29" i="66"/>
  <c r="I29" i="66"/>
  <c r="K29" i="66"/>
  <c r="X29" i="66"/>
  <c r="U89" i="78"/>
  <c r="T90" i="78"/>
  <c r="BH95" i="88"/>
  <c r="BI94" i="88"/>
  <c r="U88" i="75"/>
  <c r="V87" i="75"/>
  <c r="M86" i="66"/>
  <c r="L86" i="66"/>
  <c r="N86" i="66"/>
  <c r="AM86" i="78"/>
  <c r="AO47" i="78"/>
  <c r="AS41" i="88"/>
  <c r="AO41" i="88"/>
  <c r="AM80" i="88"/>
  <c r="M40" i="86"/>
  <c r="S40" i="86"/>
  <c r="BA78" i="86"/>
  <c r="AV84" i="86"/>
  <c r="AZ78" i="86"/>
  <c r="AM80" i="86"/>
  <c r="AO41" i="86"/>
  <c r="AS41" i="86"/>
  <c r="AP89" i="75"/>
  <c r="AQ88" i="75"/>
  <c r="W89" i="66"/>
  <c r="O88" i="66"/>
  <c r="M86" i="75"/>
  <c r="R86" i="75"/>
  <c r="Q86" i="75"/>
  <c r="K46" i="75"/>
  <c r="M46" i="75"/>
  <c r="S46" i="75"/>
  <c r="U86" i="86"/>
  <c r="V85" i="86"/>
  <c r="S25" i="59"/>
  <c r="T72" i="59"/>
  <c r="J25" i="59"/>
  <c r="AT48" i="78"/>
  <c r="BE48" i="78"/>
  <c r="AY48" i="78"/>
  <c r="AX48" i="78"/>
  <c r="G86" i="91"/>
  <c r="H85" i="91"/>
  <c r="BJ85" i="91"/>
  <c r="G86" i="86"/>
  <c r="H85" i="86"/>
  <c r="BJ85" i="86"/>
  <c r="AP88" i="91"/>
  <c r="AQ87" i="91"/>
  <c r="R84" i="91"/>
  <c r="Q84" i="91"/>
  <c r="M84" i="91"/>
  <c r="AP108" i="78"/>
  <c r="AQ108" i="78"/>
  <c r="AQ107" i="78"/>
  <c r="J43" i="78"/>
  <c r="L43" i="78"/>
  <c r="R43" i="78"/>
  <c r="L40" i="91"/>
  <c r="P40" i="91"/>
  <c r="N40" i="91"/>
  <c r="W75" i="91"/>
  <c r="AU42" i="91"/>
  <c r="AY42" i="91"/>
  <c r="AW42" i="91"/>
  <c r="AT42" i="91"/>
  <c r="AV42" i="91"/>
  <c r="BG42" i="91"/>
  <c r="BL87" i="91"/>
  <c r="G87" i="88"/>
  <c r="H86" i="88"/>
  <c r="BJ86" i="88"/>
  <c r="AW48" i="78"/>
  <c r="AU48" i="78"/>
  <c r="AR48" i="78"/>
  <c r="G88" i="78"/>
  <c r="H87" i="78"/>
  <c r="BH93" i="78"/>
  <c r="AV41" i="88"/>
  <c r="BG41" i="88"/>
  <c r="BA77" i="91"/>
  <c r="AV83" i="91"/>
  <c r="AZ77" i="91"/>
  <c r="R84" i="88"/>
  <c r="Q84" i="88"/>
  <c r="M84" i="88"/>
  <c r="U86" i="91"/>
  <c r="V85" i="91"/>
  <c r="AV41" i="86"/>
  <c r="BG41" i="86"/>
  <c r="AV86" i="75"/>
  <c r="BA80" i="75"/>
  <c r="AZ80" i="75"/>
  <c r="AV48" i="78"/>
  <c r="Q88" i="78"/>
  <c r="P88" i="78"/>
  <c r="AV93" i="88"/>
  <c r="BA87" i="88"/>
  <c r="AZ87" i="88"/>
  <c r="AO41" i="75"/>
  <c r="AM80" i="75"/>
  <c r="AS41" i="75"/>
  <c r="U87" i="66"/>
  <c r="AA87" i="66"/>
  <c r="F88" i="66"/>
  <c r="G87" i="66"/>
  <c r="H84" i="75"/>
  <c r="BJ84" i="75"/>
  <c r="G85" i="75"/>
  <c r="AU27" i="59"/>
  <c r="AV27" i="59"/>
  <c r="AV41" i="75"/>
  <c r="BG41" i="75"/>
  <c r="AU43" i="91"/>
  <c r="AY43" i="91"/>
  <c r="AW43" i="91"/>
  <c r="AT43" i="91"/>
  <c r="BL88" i="91"/>
  <c r="K44" i="78"/>
  <c r="O44" i="78"/>
  <c r="M44" i="78"/>
  <c r="N45" i="78"/>
  <c r="W84" i="78"/>
  <c r="L47" i="75"/>
  <c r="P47" i="75"/>
  <c r="N47" i="75"/>
  <c r="W82" i="75"/>
  <c r="H85" i="75"/>
  <c r="BJ85" i="75"/>
  <c r="G86" i="75"/>
  <c r="AQ88" i="91"/>
  <c r="AP89" i="91"/>
  <c r="G87" i="86"/>
  <c r="H86" i="86"/>
  <c r="BJ86" i="86"/>
  <c r="O25" i="59"/>
  <c r="P25" i="59"/>
  <c r="N25" i="59"/>
  <c r="L25" i="59"/>
  <c r="I25" i="59"/>
  <c r="K25" i="59"/>
  <c r="Q25" i="59"/>
  <c r="AV94" i="88"/>
  <c r="BA88" i="88"/>
  <c r="AZ88" i="88"/>
  <c r="BA81" i="75"/>
  <c r="AZ81" i="75"/>
  <c r="AV87" i="75"/>
  <c r="V86" i="88"/>
  <c r="U87" i="88"/>
  <c r="L44" i="88"/>
  <c r="P44" i="88"/>
  <c r="N44" i="88"/>
  <c r="W79" i="88"/>
  <c r="AU42" i="75"/>
  <c r="AY42" i="75"/>
  <c r="AW42" i="75"/>
  <c r="AT42" i="75"/>
  <c r="AV42" i="75"/>
  <c r="BG42" i="75"/>
  <c r="BL87" i="75"/>
  <c r="BG55" i="78"/>
  <c r="BJ94" i="78"/>
  <c r="AS49" i="78"/>
  <c r="U72" i="59"/>
  <c r="BF31" i="59"/>
  <c r="R85" i="86"/>
  <c r="M85" i="86"/>
  <c r="Q85" i="86"/>
  <c r="AP90" i="75"/>
  <c r="AQ89" i="75"/>
  <c r="BI95" i="88"/>
  <c r="BH96" i="88"/>
  <c r="BH89" i="75"/>
  <c r="BI88" i="75"/>
  <c r="R85" i="88"/>
  <c r="Q85" i="88"/>
  <c r="M85" i="88"/>
  <c r="AZ78" i="91"/>
  <c r="BA78" i="91"/>
  <c r="AV84" i="91"/>
  <c r="G95" i="59"/>
  <c r="H94" i="59"/>
  <c r="BE100" i="59"/>
  <c r="AU42" i="86"/>
  <c r="AY42" i="86"/>
  <c r="AW42" i="86"/>
  <c r="AT42" i="86"/>
  <c r="BL87" i="86"/>
  <c r="AV42" i="86"/>
  <c r="BG42" i="86"/>
  <c r="N87" i="66"/>
  <c r="M87" i="66"/>
  <c r="L87" i="66"/>
  <c r="Q85" i="91"/>
  <c r="M85" i="91"/>
  <c r="R85" i="91"/>
  <c r="G89" i="78"/>
  <c r="H88" i="78"/>
  <c r="BH94" i="78"/>
  <c r="G88" i="88"/>
  <c r="H87" i="88"/>
  <c r="BJ87" i="88"/>
  <c r="K40" i="91"/>
  <c r="M40" i="91"/>
  <c r="S40" i="91"/>
  <c r="H86" i="91"/>
  <c r="BJ86" i="91"/>
  <c r="G87" i="91"/>
  <c r="U87" i="86"/>
  <c r="V86" i="86"/>
  <c r="O89" i="66"/>
  <c r="W90" i="66"/>
  <c r="W76" i="86"/>
  <c r="L41" i="86"/>
  <c r="P41" i="86"/>
  <c r="N41" i="86"/>
  <c r="AT27" i="59"/>
  <c r="AR27" i="59"/>
  <c r="M87" i="75"/>
  <c r="Q87" i="75"/>
  <c r="R87" i="75"/>
  <c r="U90" i="78"/>
  <c r="T91" i="78"/>
  <c r="BA79" i="86"/>
  <c r="AZ79" i="86"/>
  <c r="AV85" i="86"/>
  <c r="BI85" i="91"/>
  <c r="BH86" i="91"/>
  <c r="U88" i="66"/>
  <c r="G88" i="66"/>
  <c r="F89" i="66"/>
  <c r="AA88" i="66"/>
  <c r="U87" i="91"/>
  <c r="V86" i="91"/>
  <c r="AU42" i="88"/>
  <c r="AY42" i="88"/>
  <c r="AW42" i="88"/>
  <c r="AT42" i="88"/>
  <c r="AV42" i="88"/>
  <c r="BG42" i="88"/>
  <c r="BL87" i="88"/>
  <c r="AO48" i="78"/>
  <c r="AM87" i="78"/>
  <c r="AM81" i="91"/>
  <c r="AS42" i="91"/>
  <c r="AO42" i="91"/>
  <c r="BI49" i="78"/>
  <c r="X83" i="78"/>
  <c r="AV49" i="78"/>
  <c r="BK46" i="75"/>
  <c r="J46" i="75"/>
  <c r="X81" i="75"/>
  <c r="U89" i="75"/>
  <c r="V88" i="75"/>
  <c r="Q89" i="78"/>
  <c r="P89" i="78"/>
  <c r="S29" i="66"/>
  <c r="T29" i="66"/>
  <c r="BH87" i="86"/>
  <c r="BI86" i="86"/>
  <c r="AM82" i="91"/>
  <c r="AS43" i="91"/>
  <c r="AO43" i="91"/>
  <c r="AU43" i="88"/>
  <c r="AY43" i="88"/>
  <c r="AW43" i="88"/>
  <c r="BL88" i="88"/>
  <c r="W76" i="91"/>
  <c r="L41" i="91"/>
  <c r="P41" i="91"/>
  <c r="N41" i="91"/>
  <c r="K41" i="91"/>
  <c r="AU43" i="75"/>
  <c r="AY43" i="75"/>
  <c r="AW43" i="75"/>
  <c r="AT43" i="75"/>
  <c r="AV43" i="75"/>
  <c r="BG43" i="75"/>
  <c r="BL88" i="75"/>
  <c r="S26" i="59"/>
  <c r="T73" i="59"/>
  <c r="J26" i="59"/>
  <c r="AU43" i="86"/>
  <c r="AY43" i="86"/>
  <c r="AW43" i="86"/>
  <c r="AT43" i="86"/>
  <c r="BL88" i="86"/>
  <c r="AO27" i="59"/>
  <c r="AQ27" i="59"/>
  <c r="BB27" i="59"/>
  <c r="BA80" i="86"/>
  <c r="AV86" i="86"/>
  <c r="AZ80" i="86"/>
  <c r="R88" i="75"/>
  <c r="Q88" i="75"/>
  <c r="M88" i="75"/>
  <c r="M86" i="91"/>
  <c r="R86" i="91"/>
  <c r="Q86" i="91"/>
  <c r="U89" i="66"/>
  <c r="G89" i="66"/>
  <c r="F90" i="66"/>
  <c r="AA89" i="66"/>
  <c r="W91" i="66"/>
  <c r="O90" i="66"/>
  <c r="AV88" i="75"/>
  <c r="BA82" i="75"/>
  <c r="AZ82" i="75"/>
  <c r="BH97" i="88"/>
  <c r="BI96" i="88"/>
  <c r="K44" i="88"/>
  <c r="V87" i="88"/>
  <c r="U88" i="88"/>
  <c r="AV43" i="91"/>
  <c r="BG43" i="91"/>
  <c r="BI87" i="86"/>
  <c r="BH88" i="86"/>
  <c r="V89" i="75"/>
  <c r="U90" i="75"/>
  <c r="AO42" i="88"/>
  <c r="AS42" i="88"/>
  <c r="AM81" i="88"/>
  <c r="V87" i="91"/>
  <c r="U88" i="91"/>
  <c r="M88" i="66"/>
  <c r="N88" i="66"/>
  <c r="L88" i="66"/>
  <c r="U91" i="78"/>
  <c r="T92" i="78"/>
  <c r="G88" i="91"/>
  <c r="H87" i="91"/>
  <c r="BJ87" i="91"/>
  <c r="AM81" i="86"/>
  <c r="AS42" i="86"/>
  <c r="AO42" i="86"/>
  <c r="BI89" i="75"/>
  <c r="BH90" i="75"/>
  <c r="AZ89" i="88"/>
  <c r="AV95" i="88"/>
  <c r="BA89" i="88"/>
  <c r="BE49" i="78"/>
  <c r="AY49" i="78"/>
  <c r="AX49" i="78"/>
  <c r="AT49" i="78"/>
  <c r="AS28" i="59"/>
  <c r="AS42" i="75"/>
  <c r="AO42" i="75"/>
  <c r="AM81" i="75"/>
  <c r="R86" i="88"/>
  <c r="Q86" i="88"/>
  <c r="M86" i="88"/>
  <c r="K47" i="75"/>
  <c r="BI86" i="91"/>
  <c r="BH87" i="91"/>
  <c r="Q90" i="78"/>
  <c r="P90" i="78"/>
  <c r="K41" i="86"/>
  <c r="M86" i="86"/>
  <c r="R86" i="86"/>
  <c r="Q86" i="86"/>
  <c r="G90" i="78"/>
  <c r="H89" i="78"/>
  <c r="BH95" i="78"/>
  <c r="M26" i="59"/>
  <c r="G88" i="86"/>
  <c r="H87" i="86"/>
  <c r="BJ87" i="86"/>
  <c r="H86" i="75"/>
  <c r="BJ86" i="75"/>
  <c r="G87" i="75"/>
  <c r="J44" i="78"/>
  <c r="AZ79" i="91"/>
  <c r="AV85" i="91"/>
  <c r="BA79" i="91"/>
  <c r="V87" i="86"/>
  <c r="U88" i="86"/>
  <c r="X75" i="91"/>
  <c r="BK40" i="91"/>
  <c r="J40" i="91"/>
  <c r="G89" i="88"/>
  <c r="H88" i="88"/>
  <c r="BJ88" i="88"/>
  <c r="G96" i="59"/>
  <c r="H95" i="59"/>
  <c r="BE101" i="59"/>
  <c r="R29" i="66"/>
  <c r="P29" i="66"/>
  <c r="AQ90" i="75"/>
  <c r="AP91" i="75"/>
  <c r="AW49" i="78"/>
  <c r="AU49" i="78"/>
  <c r="AR49" i="78"/>
  <c r="AQ89" i="91"/>
  <c r="AP90" i="91"/>
  <c r="BK41" i="91"/>
  <c r="X76" i="91"/>
  <c r="J41" i="91"/>
  <c r="AU44" i="75"/>
  <c r="AY44" i="75"/>
  <c r="AW44" i="75"/>
  <c r="AT44" i="75"/>
  <c r="BL89" i="75"/>
  <c r="BD34" i="59"/>
  <c r="BG73" i="59"/>
  <c r="AP28" i="59"/>
  <c r="AP91" i="91"/>
  <c r="AQ90" i="91"/>
  <c r="H29" i="66"/>
  <c r="O29" i="66"/>
  <c r="AM88" i="78"/>
  <c r="AO49" i="78"/>
  <c r="AP92" i="75"/>
  <c r="AQ91" i="75"/>
  <c r="G97" i="59"/>
  <c r="H96" i="59"/>
  <c r="BE102" i="59"/>
  <c r="G90" i="88"/>
  <c r="H89" i="88"/>
  <c r="BJ89" i="88"/>
  <c r="U89" i="86"/>
  <c r="V88" i="86"/>
  <c r="BH88" i="91"/>
  <c r="BI87" i="91"/>
  <c r="BH91" i="75"/>
  <c r="BI90" i="75"/>
  <c r="G89" i="91"/>
  <c r="H88" i="91"/>
  <c r="BJ88" i="91"/>
  <c r="Q91" i="78"/>
  <c r="P91" i="78"/>
  <c r="U89" i="91"/>
  <c r="V88" i="91"/>
  <c r="AV87" i="86"/>
  <c r="AZ81" i="86"/>
  <c r="BA81" i="86"/>
  <c r="BI97" i="88"/>
  <c r="BH98" i="88"/>
  <c r="R87" i="86"/>
  <c r="Q87" i="86"/>
  <c r="M87" i="86"/>
  <c r="Q30" i="66"/>
  <c r="G88" i="75"/>
  <c r="H87" i="75"/>
  <c r="BJ87" i="75"/>
  <c r="X76" i="86"/>
  <c r="BK41" i="86"/>
  <c r="J41" i="86"/>
  <c r="AZ80" i="91"/>
  <c r="AV86" i="91"/>
  <c r="BA80" i="91"/>
  <c r="AV50" i="78"/>
  <c r="AZ83" i="75"/>
  <c r="AV89" i="75"/>
  <c r="BA83" i="75"/>
  <c r="Q87" i="91"/>
  <c r="R87" i="91"/>
  <c r="M87" i="91"/>
  <c r="V90" i="75"/>
  <c r="U91" i="75"/>
  <c r="AU44" i="91"/>
  <c r="AY44" i="91"/>
  <c r="AW44" i="91"/>
  <c r="AT44" i="91"/>
  <c r="BL89" i="91"/>
  <c r="BG44" i="91"/>
  <c r="AV44" i="91"/>
  <c r="V88" i="88"/>
  <c r="U89" i="88"/>
  <c r="U90" i="66"/>
  <c r="G90" i="66"/>
  <c r="F91" i="66"/>
  <c r="AA90" i="66"/>
  <c r="AL27" i="59"/>
  <c r="AJ66" i="59"/>
  <c r="AS43" i="86"/>
  <c r="AO43" i="86"/>
  <c r="AM82" i="86"/>
  <c r="M41" i="91"/>
  <c r="S41" i="91"/>
  <c r="BI50" i="78"/>
  <c r="X84" i="78"/>
  <c r="L44" i="78"/>
  <c r="R44" i="78"/>
  <c r="G89" i="86"/>
  <c r="H88" i="86"/>
  <c r="BJ88" i="86"/>
  <c r="BK47" i="75"/>
  <c r="X82" i="75"/>
  <c r="J47" i="75"/>
  <c r="R89" i="75"/>
  <c r="M89" i="75"/>
  <c r="Q89" i="75"/>
  <c r="Q87" i="88"/>
  <c r="R87" i="88"/>
  <c r="M87" i="88"/>
  <c r="W92" i="66"/>
  <c r="O91" i="66"/>
  <c r="N89" i="66"/>
  <c r="M89" i="66"/>
  <c r="L89" i="66"/>
  <c r="O26" i="59"/>
  <c r="P26" i="59"/>
  <c r="AT43" i="88"/>
  <c r="M47" i="75"/>
  <c r="S47" i="75"/>
  <c r="G91" i="78"/>
  <c r="H90" i="78"/>
  <c r="BH96" i="78"/>
  <c r="BG56" i="78"/>
  <c r="AS50" i="78"/>
  <c r="BJ95" i="78"/>
  <c r="T93" i="78"/>
  <c r="U92" i="78"/>
  <c r="BH89" i="86"/>
  <c r="BI88" i="86"/>
  <c r="X79" i="88"/>
  <c r="J44" i="88"/>
  <c r="BK44" i="88"/>
  <c r="AV96" i="88"/>
  <c r="BA90" i="88"/>
  <c r="AZ90" i="88"/>
  <c r="AV43" i="86"/>
  <c r="BG43" i="86"/>
  <c r="N26" i="59"/>
  <c r="L26" i="59"/>
  <c r="I26" i="59"/>
  <c r="BF32" i="59"/>
  <c r="M44" i="88"/>
  <c r="S44" i="88"/>
  <c r="AS43" i="75"/>
  <c r="AM82" i="75"/>
  <c r="AO43" i="75"/>
  <c r="M41" i="86"/>
  <c r="S41" i="86"/>
  <c r="V29" i="66"/>
  <c r="Z29" i="66"/>
  <c r="AS44" i="91"/>
  <c r="AO44" i="91"/>
  <c r="AM83" i="91"/>
  <c r="AS44" i="75"/>
  <c r="AM83" i="75"/>
  <c r="AO44" i="75"/>
  <c r="BI89" i="86"/>
  <c r="BH90" i="86"/>
  <c r="AU44" i="86"/>
  <c r="AY44" i="86"/>
  <c r="AW44" i="86"/>
  <c r="BL89" i="86"/>
  <c r="Q92" i="78"/>
  <c r="P92" i="78"/>
  <c r="K26" i="59"/>
  <c r="L42" i="91"/>
  <c r="P42" i="91"/>
  <c r="N42" i="91"/>
  <c r="K42" i="91"/>
  <c r="W77" i="91"/>
  <c r="AU45" i="91"/>
  <c r="AY45" i="91"/>
  <c r="AW45" i="91"/>
  <c r="AT45" i="91"/>
  <c r="BL90" i="91"/>
  <c r="BG45" i="91"/>
  <c r="U92" i="75"/>
  <c r="V91" i="75"/>
  <c r="AZ91" i="88"/>
  <c r="AV97" i="88"/>
  <c r="BA91" i="88"/>
  <c r="Q88" i="91"/>
  <c r="R88" i="91"/>
  <c r="M88" i="91"/>
  <c r="AV90" i="75"/>
  <c r="BA84" i="75"/>
  <c r="AZ84" i="75"/>
  <c r="BA81" i="91"/>
  <c r="AV87" i="91"/>
  <c r="AZ81" i="91"/>
  <c r="U90" i="86"/>
  <c r="V89" i="86"/>
  <c r="G91" i="88"/>
  <c r="H90" i="88"/>
  <c r="BJ90" i="88"/>
  <c r="AP93" i="75"/>
  <c r="AQ92" i="75"/>
  <c r="AZ82" i="86"/>
  <c r="AV88" i="86"/>
  <c r="BA82" i="86"/>
  <c r="L42" i="86"/>
  <c r="P42" i="86"/>
  <c r="N42" i="86"/>
  <c r="K42" i="86"/>
  <c r="M42" i="86"/>
  <c r="S42" i="86"/>
  <c r="W77" i="86"/>
  <c r="L45" i="88"/>
  <c r="P45" i="88"/>
  <c r="N45" i="88"/>
  <c r="K45" i="88"/>
  <c r="M45" i="88"/>
  <c r="S45" i="88"/>
  <c r="W80" i="88"/>
  <c r="U93" i="78"/>
  <c r="T94" i="78"/>
  <c r="AY50" i="78"/>
  <c r="AX50" i="78"/>
  <c r="AT50" i="78"/>
  <c r="BE50" i="78"/>
  <c r="G92" i="78"/>
  <c r="H91" i="78"/>
  <c r="BH97" i="78"/>
  <c r="W83" i="75"/>
  <c r="L48" i="75"/>
  <c r="P48" i="75"/>
  <c r="N48" i="75"/>
  <c r="K48" i="75"/>
  <c r="G90" i="86"/>
  <c r="H89" i="86"/>
  <c r="BJ89" i="86"/>
  <c r="M90" i="66"/>
  <c r="L90" i="66"/>
  <c r="N90" i="66"/>
  <c r="V89" i="88"/>
  <c r="U90" i="88"/>
  <c r="M90" i="75"/>
  <c r="R90" i="75"/>
  <c r="Q90" i="75"/>
  <c r="G89" i="75"/>
  <c r="H88" i="75"/>
  <c r="BJ88" i="75"/>
  <c r="V89" i="91"/>
  <c r="U90" i="91"/>
  <c r="BI91" i="75"/>
  <c r="BH92" i="75"/>
  <c r="BH89" i="91"/>
  <c r="BI88" i="91"/>
  <c r="AV44" i="75"/>
  <c r="BG44" i="75"/>
  <c r="AS43" i="88"/>
  <c r="AO43" i="88"/>
  <c r="AM82" i="88"/>
  <c r="M27" i="59"/>
  <c r="W93" i="66"/>
  <c r="O92" i="66"/>
  <c r="K45" i="78"/>
  <c r="O45" i="78"/>
  <c r="M45" i="78"/>
  <c r="J45" i="78"/>
  <c r="N46" i="78"/>
  <c r="W85" i="78"/>
  <c r="Q88" i="88"/>
  <c r="R88" i="88"/>
  <c r="M88" i="88"/>
  <c r="G98" i="59"/>
  <c r="H97" i="59"/>
  <c r="BE103" i="59"/>
  <c r="AQ91" i="91"/>
  <c r="AP92" i="91"/>
  <c r="AV28" i="59"/>
  <c r="AU28" i="59"/>
  <c r="AW50" i="78"/>
  <c r="AU50" i="78"/>
  <c r="AR50" i="78"/>
  <c r="AA91" i="66"/>
  <c r="U91" i="66"/>
  <c r="F92" i="66"/>
  <c r="G91" i="66"/>
  <c r="BH99" i="88"/>
  <c r="BI98" i="88"/>
  <c r="G90" i="91"/>
  <c r="H89" i="91"/>
  <c r="BJ89" i="91"/>
  <c r="R88" i="86"/>
  <c r="M88" i="86"/>
  <c r="Q88" i="86"/>
  <c r="AT28" i="59"/>
  <c r="AR28" i="59"/>
  <c r="AO28" i="59"/>
  <c r="AV43" i="88"/>
  <c r="BG43" i="88"/>
  <c r="L43" i="86"/>
  <c r="P43" i="86"/>
  <c r="N43" i="86"/>
  <c r="W78" i="86"/>
  <c r="J42" i="91"/>
  <c r="BK42" i="91"/>
  <c r="X77" i="91"/>
  <c r="M42" i="91"/>
  <c r="S42" i="91"/>
  <c r="X83" i="75"/>
  <c r="BK48" i="75"/>
  <c r="J48" i="75"/>
  <c r="M48" i="75"/>
  <c r="S48" i="75"/>
  <c r="W81" i="88"/>
  <c r="L46" i="88"/>
  <c r="P46" i="88"/>
  <c r="N46" i="88"/>
  <c r="AM84" i="91"/>
  <c r="AS45" i="91"/>
  <c r="AO45" i="91"/>
  <c r="AJ67" i="59"/>
  <c r="AL28" i="59"/>
  <c r="M91" i="66"/>
  <c r="L91" i="66"/>
  <c r="N91" i="66"/>
  <c r="AM89" i="78"/>
  <c r="AO50" i="78"/>
  <c r="G99" i="59"/>
  <c r="H98" i="59"/>
  <c r="BE104" i="59"/>
  <c r="AU45" i="75"/>
  <c r="AY45" i="75"/>
  <c r="AW45" i="75"/>
  <c r="BL90" i="75"/>
  <c r="BI89" i="91"/>
  <c r="BH90" i="91"/>
  <c r="Q89" i="91"/>
  <c r="R89" i="91"/>
  <c r="M89" i="91"/>
  <c r="Q89" i="88"/>
  <c r="R89" i="88"/>
  <c r="M89" i="88"/>
  <c r="G93" i="78"/>
  <c r="H92" i="78"/>
  <c r="BH98" i="78"/>
  <c r="AV51" i="78"/>
  <c r="AU46" i="91"/>
  <c r="AY46" i="91"/>
  <c r="AW46" i="91"/>
  <c r="AT46" i="91"/>
  <c r="BL91" i="91"/>
  <c r="BG46" i="91"/>
  <c r="AT44" i="86"/>
  <c r="U92" i="66"/>
  <c r="G92" i="66"/>
  <c r="F93" i="66"/>
  <c r="AA92" i="66"/>
  <c r="AP93" i="91"/>
  <c r="AQ92" i="91"/>
  <c r="X85" i="78"/>
  <c r="BI51" i="78"/>
  <c r="O93" i="66"/>
  <c r="W94" i="66"/>
  <c r="BI92" i="75"/>
  <c r="BH93" i="75"/>
  <c r="BK45" i="88"/>
  <c r="X80" i="88"/>
  <c r="J45" i="88"/>
  <c r="AP94" i="75"/>
  <c r="AQ93" i="75"/>
  <c r="G92" i="88"/>
  <c r="H91" i="88"/>
  <c r="BJ91" i="88"/>
  <c r="AU44" i="88"/>
  <c r="AY44" i="88"/>
  <c r="AW44" i="88"/>
  <c r="BL89" i="88"/>
  <c r="H90" i="91"/>
  <c r="BJ90" i="91"/>
  <c r="G91" i="91"/>
  <c r="BA92" i="88"/>
  <c r="AZ92" i="88"/>
  <c r="AV98" i="88"/>
  <c r="AS29" i="59"/>
  <c r="L45" i="78"/>
  <c r="R45" i="78"/>
  <c r="AV91" i="75"/>
  <c r="AZ85" i="75"/>
  <c r="BA85" i="75"/>
  <c r="G90" i="75"/>
  <c r="H89" i="75"/>
  <c r="BJ89" i="75"/>
  <c r="BG57" i="78"/>
  <c r="AS51" i="78"/>
  <c r="BJ96" i="78"/>
  <c r="T95" i="78"/>
  <c r="U94" i="78"/>
  <c r="Q89" i="86"/>
  <c r="R89" i="86"/>
  <c r="M89" i="86"/>
  <c r="M91" i="75"/>
  <c r="Q91" i="75"/>
  <c r="R91" i="75"/>
  <c r="Q26" i="59"/>
  <c r="U73" i="59"/>
  <c r="BI90" i="86"/>
  <c r="BH91" i="86"/>
  <c r="BI99" i="88"/>
  <c r="BH100" i="88"/>
  <c r="AQ28" i="59"/>
  <c r="BB28" i="59"/>
  <c r="AZ82" i="91"/>
  <c r="BA82" i="91"/>
  <c r="AV88" i="91"/>
  <c r="U91" i="91"/>
  <c r="V90" i="91"/>
  <c r="U91" i="88"/>
  <c r="V90" i="88"/>
  <c r="G91" i="86"/>
  <c r="H90" i="86"/>
  <c r="BJ90" i="86"/>
  <c r="P93" i="78"/>
  <c r="Q93" i="78"/>
  <c r="X77" i="86"/>
  <c r="BK42" i="86"/>
  <c r="J42" i="86"/>
  <c r="U91" i="86"/>
  <c r="V90" i="86"/>
  <c r="V92" i="75"/>
  <c r="U93" i="75"/>
  <c r="AZ83" i="86"/>
  <c r="BA83" i="86"/>
  <c r="AV89" i="86"/>
  <c r="K30" i="66"/>
  <c r="J30" i="66"/>
  <c r="I30" i="66"/>
  <c r="X30" i="66"/>
  <c r="AM85" i="91"/>
  <c r="AO46" i="91"/>
  <c r="AS46" i="91"/>
  <c r="U94" i="75"/>
  <c r="V93" i="75"/>
  <c r="U92" i="88"/>
  <c r="V91" i="88"/>
  <c r="V91" i="86"/>
  <c r="U92" i="86"/>
  <c r="R90" i="88"/>
  <c r="Q90" i="88"/>
  <c r="M90" i="88"/>
  <c r="BD35" i="59"/>
  <c r="AP29" i="59"/>
  <c r="BG74" i="59"/>
  <c r="AV90" i="86"/>
  <c r="BA84" i="86"/>
  <c r="AZ84" i="86"/>
  <c r="G91" i="75"/>
  <c r="H90" i="75"/>
  <c r="BJ90" i="75"/>
  <c r="AT44" i="88"/>
  <c r="AV92" i="75"/>
  <c r="BA86" i="75"/>
  <c r="AZ86" i="75"/>
  <c r="O94" i="66"/>
  <c r="W95" i="66"/>
  <c r="AU47" i="91"/>
  <c r="AY47" i="91"/>
  <c r="AW47" i="91"/>
  <c r="AT47" i="91"/>
  <c r="BL92" i="91"/>
  <c r="BG47" i="91"/>
  <c r="AT45" i="75"/>
  <c r="K46" i="88"/>
  <c r="K43" i="86"/>
  <c r="AP95" i="75"/>
  <c r="AQ94" i="75"/>
  <c r="AS44" i="86"/>
  <c r="AM83" i="86"/>
  <c r="AO44" i="86"/>
  <c r="G94" i="78"/>
  <c r="H93" i="78"/>
  <c r="BH99" i="78"/>
  <c r="BI90" i="91"/>
  <c r="BH91" i="91"/>
  <c r="G100" i="59"/>
  <c r="H99" i="59"/>
  <c r="BE105" i="59"/>
  <c r="AV44" i="86"/>
  <c r="BG44" i="86"/>
  <c r="BH101" i="88"/>
  <c r="BI100" i="88"/>
  <c r="Q90" i="91"/>
  <c r="R90" i="91"/>
  <c r="M90" i="91"/>
  <c r="AV99" i="88"/>
  <c r="AZ93" i="88"/>
  <c r="BA93" i="88"/>
  <c r="S27" i="59"/>
  <c r="T74" i="59"/>
  <c r="J27" i="59"/>
  <c r="Q94" i="78"/>
  <c r="P94" i="78"/>
  <c r="G92" i="91"/>
  <c r="H91" i="91"/>
  <c r="BJ91" i="91"/>
  <c r="U93" i="66"/>
  <c r="AA93" i="66"/>
  <c r="F94" i="66"/>
  <c r="G93" i="66"/>
  <c r="AZ83" i="91"/>
  <c r="BA83" i="91"/>
  <c r="AV89" i="91"/>
  <c r="S30" i="66"/>
  <c r="T30" i="66"/>
  <c r="R30" i="66"/>
  <c r="P30" i="66"/>
  <c r="Q92" i="75"/>
  <c r="M92" i="75"/>
  <c r="R92" i="75"/>
  <c r="AX51" i="78"/>
  <c r="AW51" i="78"/>
  <c r="AU51" i="78"/>
  <c r="AR51" i="78"/>
  <c r="Q90" i="86"/>
  <c r="M90" i="86"/>
  <c r="R90" i="86"/>
  <c r="G92" i="86"/>
  <c r="H91" i="86"/>
  <c r="BJ91" i="86"/>
  <c r="V91" i="91"/>
  <c r="U92" i="91"/>
  <c r="BH92" i="86"/>
  <c r="BI91" i="86"/>
  <c r="U95" i="78"/>
  <c r="T96" i="78"/>
  <c r="AT51" i="78"/>
  <c r="BE51" i="78"/>
  <c r="AY51" i="78"/>
  <c r="W86" i="78"/>
  <c r="K46" i="78"/>
  <c r="O46" i="78"/>
  <c r="M46" i="78"/>
  <c r="N47" i="78"/>
  <c r="J46" i="78"/>
  <c r="G93" i="88"/>
  <c r="H92" i="88"/>
  <c r="BJ92" i="88"/>
  <c r="BH94" i="75"/>
  <c r="BI93" i="75"/>
  <c r="AQ93" i="91"/>
  <c r="AP94" i="91"/>
  <c r="N92" i="66"/>
  <c r="L92" i="66"/>
  <c r="M92" i="66"/>
  <c r="W84" i="75"/>
  <c r="L49" i="75"/>
  <c r="P49" i="75"/>
  <c r="N49" i="75"/>
  <c r="K49" i="75"/>
  <c r="L43" i="91"/>
  <c r="P43" i="91"/>
  <c r="N43" i="91"/>
  <c r="K43" i="91"/>
  <c r="W78" i="91"/>
  <c r="AS47" i="91"/>
  <c r="AM86" i="91"/>
  <c r="AO47" i="91"/>
  <c r="J43" i="91"/>
  <c r="X78" i="91"/>
  <c r="BK43" i="91"/>
  <c r="J49" i="75"/>
  <c r="X84" i="75"/>
  <c r="BK49" i="75"/>
  <c r="M49" i="75"/>
  <c r="S49" i="75"/>
  <c r="BI94" i="75"/>
  <c r="BH95" i="75"/>
  <c r="G94" i="88"/>
  <c r="H93" i="88"/>
  <c r="BJ93" i="88"/>
  <c r="AV52" i="78"/>
  <c r="U96" i="78"/>
  <c r="T97" i="78"/>
  <c r="Q91" i="91"/>
  <c r="M91" i="91"/>
  <c r="R91" i="91"/>
  <c r="G93" i="86"/>
  <c r="H92" i="86"/>
  <c r="BJ92" i="86"/>
  <c r="G93" i="91"/>
  <c r="H92" i="91"/>
  <c r="BJ92" i="91"/>
  <c r="P27" i="59"/>
  <c r="O27" i="59"/>
  <c r="AQ95" i="75"/>
  <c r="AP96" i="75"/>
  <c r="AO44" i="88"/>
  <c r="AS44" i="88"/>
  <c r="AM83" i="88"/>
  <c r="G92" i="75"/>
  <c r="H91" i="75"/>
  <c r="BJ91" i="75"/>
  <c r="V92" i="86"/>
  <c r="U93" i="86"/>
  <c r="U95" i="75"/>
  <c r="V94" i="75"/>
  <c r="AP95" i="91"/>
  <c r="AQ94" i="91"/>
  <c r="Q95" i="78"/>
  <c r="P95" i="78"/>
  <c r="AZ85" i="86"/>
  <c r="AV91" i="86"/>
  <c r="BA85" i="86"/>
  <c r="Q31" i="66"/>
  <c r="N93" i="66"/>
  <c r="M93" i="66"/>
  <c r="L93" i="66"/>
  <c r="AV100" i="88"/>
  <c r="BA94" i="88"/>
  <c r="AZ94" i="88"/>
  <c r="G101" i="59"/>
  <c r="H100" i="59"/>
  <c r="BE106" i="59"/>
  <c r="G95" i="78"/>
  <c r="H94" i="78"/>
  <c r="BH100" i="78"/>
  <c r="BK43" i="86"/>
  <c r="J43" i="86"/>
  <c r="X78" i="86"/>
  <c r="AU48" i="91"/>
  <c r="AY48" i="91"/>
  <c r="AW48" i="91"/>
  <c r="AT48" i="91"/>
  <c r="BL93" i="91"/>
  <c r="BG48" i="91"/>
  <c r="W96" i="66"/>
  <c r="O95" i="66"/>
  <c r="R91" i="86"/>
  <c r="Q91" i="86"/>
  <c r="M91" i="86"/>
  <c r="M43" i="86"/>
  <c r="S43" i="86"/>
  <c r="AV44" i="88"/>
  <c r="BG44" i="88"/>
  <c r="M43" i="91"/>
  <c r="S43" i="91"/>
  <c r="L46" i="78"/>
  <c r="R46" i="78"/>
  <c r="BG58" i="78"/>
  <c r="BJ97" i="78"/>
  <c r="AS52" i="78"/>
  <c r="BI92" i="86"/>
  <c r="BH93" i="86"/>
  <c r="AM90" i="78"/>
  <c r="AO51" i="78"/>
  <c r="U94" i="66"/>
  <c r="AA94" i="66"/>
  <c r="F95" i="66"/>
  <c r="G94" i="66"/>
  <c r="N27" i="59"/>
  <c r="L27" i="59"/>
  <c r="I27" i="59"/>
  <c r="BF33" i="59"/>
  <c r="BH102" i="88"/>
  <c r="BI101" i="88"/>
  <c r="BI91" i="91"/>
  <c r="BH92" i="91"/>
  <c r="J46" i="88"/>
  <c r="X81" i="88"/>
  <c r="BK46" i="88"/>
  <c r="AM84" i="75"/>
  <c r="AS45" i="75"/>
  <c r="AO45" i="75"/>
  <c r="R91" i="88"/>
  <c r="Q91" i="88"/>
  <c r="M91" i="88"/>
  <c r="AV45" i="75"/>
  <c r="BG45" i="75"/>
  <c r="AZ87" i="75"/>
  <c r="BA87" i="75"/>
  <c r="AV93" i="75"/>
  <c r="X86" i="78"/>
  <c r="BI52" i="78"/>
  <c r="U93" i="91"/>
  <c r="V92" i="91"/>
  <c r="H30" i="66"/>
  <c r="O30" i="66"/>
  <c r="AU45" i="86"/>
  <c r="AY45" i="86"/>
  <c r="AW45" i="86"/>
  <c r="AT45" i="86"/>
  <c r="BL90" i="86"/>
  <c r="BA84" i="91"/>
  <c r="AZ84" i="91"/>
  <c r="AV90" i="91"/>
  <c r="AV29" i="59"/>
  <c r="AU29" i="59"/>
  <c r="U93" i="88"/>
  <c r="V92" i="88"/>
  <c r="R93" i="75"/>
  <c r="M93" i="75"/>
  <c r="Q93" i="75"/>
  <c r="M46" i="88"/>
  <c r="S46" i="88"/>
  <c r="AO45" i="86"/>
  <c r="AS45" i="86"/>
  <c r="AM84" i="86"/>
  <c r="AV45" i="86"/>
  <c r="BG45" i="86"/>
  <c r="AO48" i="91"/>
  <c r="AS48" i="91"/>
  <c r="AM87" i="91"/>
  <c r="U94" i="91"/>
  <c r="V93" i="91"/>
  <c r="AU46" i="75"/>
  <c r="AY46" i="75"/>
  <c r="AW46" i="75"/>
  <c r="BL91" i="75"/>
  <c r="BA85" i="91"/>
  <c r="AZ85" i="91"/>
  <c r="AV91" i="91"/>
  <c r="K47" i="78"/>
  <c r="O47" i="78"/>
  <c r="M47" i="78"/>
  <c r="N48" i="78"/>
  <c r="W87" i="78"/>
  <c r="AU45" i="88"/>
  <c r="AY45" i="88"/>
  <c r="AW45" i="88"/>
  <c r="AT45" i="88"/>
  <c r="BL90" i="88"/>
  <c r="O96" i="66"/>
  <c r="W97" i="66"/>
  <c r="Q94" i="75"/>
  <c r="M94" i="75"/>
  <c r="R94" i="75"/>
  <c r="K27" i="59"/>
  <c r="G95" i="88"/>
  <c r="H94" i="88"/>
  <c r="BJ94" i="88"/>
  <c r="V30" i="66"/>
  <c r="Z30" i="66"/>
  <c r="AV101" i="88"/>
  <c r="BA95" i="88"/>
  <c r="AZ95" i="88"/>
  <c r="U95" i="66"/>
  <c r="AA95" i="66"/>
  <c r="F96" i="66"/>
  <c r="G95" i="66"/>
  <c r="L44" i="86"/>
  <c r="P44" i="86"/>
  <c r="N44" i="86"/>
  <c r="K44" i="86"/>
  <c r="W79" i="86"/>
  <c r="G96" i="78"/>
  <c r="H95" i="78"/>
  <c r="BH101" i="78"/>
  <c r="AQ95" i="91"/>
  <c r="AP96" i="91"/>
  <c r="U96" i="75"/>
  <c r="V95" i="75"/>
  <c r="AP97" i="75"/>
  <c r="AQ96" i="75"/>
  <c r="G94" i="91"/>
  <c r="H93" i="91"/>
  <c r="BJ93" i="91"/>
  <c r="G94" i="86"/>
  <c r="H93" i="86"/>
  <c r="BJ93" i="86"/>
  <c r="BI95" i="75"/>
  <c r="BH96" i="75"/>
  <c r="L47" i="88"/>
  <c r="P47" i="88"/>
  <c r="N47" i="88"/>
  <c r="W82" i="88"/>
  <c r="R92" i="88"/>
  <c r="Q92" i="88"/>
  <c r="M92" i="88"/>
  <c r="BI102" i="88"/>
  <c r="BH103" i="88"/>
  <c r="BI93" i="86"/>
  <c r="BH94" i="86"/>
  <c r="AU49" i="91"/>
  <c r="AY49" i="91"/>
  <c r="AW49" i="91"/>
  <c r="AT49" i="91"/>
  <c r="BL94" i="91"/>
  <c r="BG49" i="91"/>
  <c r="U94" i="86"/>
  <c r="V93" i="86"/>
  <c r="M28" i="59"/>
  <c r="T98" i="78"/>
  <c r="U97" i="78"/>
  <c r="AZ88" i="75"/>
  <c r="AV94" i="75"/>
  <c r="BA88" i="75"/>
  <c r="W85" i="75"/>
  <c r="L50" i="75"/>
  <c r="P50" i="75"/>
  <c r="N50" i="75"/>
  <c r="K50" i="75"/>
  <c r="M50" i="75"/>
  <c r="S50" i="75"/>
  <c r="V93" i="88"/>
  <c r="U94" i="88"/>
  <c r="R92" i="91"/>
  <c r="Q92" i="91"/>
  <c r="M92" i="91"/>
  <c r="AT29" i="59"/>
  <c r="AR29" i="59"/>
  <c r="BH93" i="91"/>
  <c r="BI92" i="91"/>
  <c r="L94" i="66"/>
  <c r="N94" i="66"/>
  <c r="M94" i="66"/>
  <c r="AZ86" i="86"/>
  <c r="AV92" i="86"/>
  <c r="BA86" i="86"/>
  <c r="BE52" i="78"/>
  <c r="AY52" i="78"/>
  <c r="AX52" i="78"/>
  <c r="AW52" i="78"/>
  <c r="AU52" i="78"/>
  <c r="AR52" i="78"/>
  <c r="AT52" i="78"/>
  <c r="L44" i="91"/>
  <c r="P44" i="91"/>
  <c r="N44" i="91"/>
  <c r="K44" i="91"/>
  <c r="W79" i="91"/>
  <c r="M44" i="91"/>
  <c r="S44" i="91"/>
  <c r="G102" i="59"/>
  <c r="H101" i="59"/>
  <c r="BE107" i="59"/>
  <c r="R92" i="86"/>
  <c r="M92" i="86"/>
  <c r="Q92" i="86"/>
  <c r="G93" i="75"/>
  <c r="H92" i="75"/>
  <c r="BJ92" i="75"/>
  <c r="P96" i="78"/>
  <c r="Q96" i="78"/>
  <c r="W80" i="91"/>
  <c r="L45" i="91"/>
  <c r="P45" i="91"/>
  <c r="N45" i="91"/>
  <c r="L51" i="75"/>
  <c r="P51" i="75"/>
  <c r="N51" i="75"/>
  <c r="K51" i="75"/>
  <c r="W86" i="75"/>
  <c r="BK44" i="86"/>
  <c r="X79" i="86"/>
  <c r="J44" i="86"/>
  <c r="AO52" i="78"/>
  <c r="AM91" i="78"/>
  <c r="K47" i="88"/>
  <c r="M47" i="88"/>
  <c r="S47" i="88"/>
  <c r="AO45" i="88"/>
  <c r="AS45" i="88"/>
  <c r="AM84" i="88"/>
  <c r="AV45" i="88"/>
  <c r="BG45" i="88"/>
  <c r="BH59" i="78"/>
  <c r="AS53" i="78"/>
  <c r="BJ98" i="78"/>
  <c r="AZ86" i="91"/>
  <c r="AV92" i="91"/>
  <c r="BA86" i="91"/>
  <c r="Q93" i="88"/>
  <c r="R93" i="88"/>
  <c r="M93" i="88"/>
  <c r="BH95" i="86"/>
  <c r="BI94" i="86"/>
  <c r="BI103" i="88"/>
  <c r="BH104" i="88"/>
  <c r="BI96" i="75"/>
  <c r="BH97" i="75"/>
  <c r="R95" i="75"/>
  <c r="M95" i="75"/>
  <c r="Q95" i="75"/>
  <c r="G97" i="78"/>
  <c r="H96" i="78"/>
  <c r="BH102" i="78"/>
  <c r="M44" i="86"/>
  <c r="S44" i="86"/>
  <c r="N95" i="66"/>
  <c r="L95" i="66"/>
  <c r="M95" i="66"/>
  <c r="Q27" i="59"/>
  <c r="U74" i="59"/>
  <c r="O97" i="66"/>
  <c r="W98" i="66"/>
  <c r="U95" i="91"/>
  <c r="V94" i="91"/>
  <c r="AU46" i="86"/>
  <c r="AY46" i="86"/>
  <c r="AW46" i="86"/>
  <c r="AT46" i="86"/>
  <c r="BL91" i="86"/>
  <c r="BI93" i="91"/>
  <c r="BH94" i="91"/>
  <c r="BK50" i="75"/>
  <c r="X85" i="75"/>
  <c r="J50" i="75"/>
  <c r="Q93" i="86"/>
  <c r="R93" i="86"/>
  <c r="M93" i="86"/>
  <c r="AM88" i="91"/>
  <c r="AS49" i="91"/>
  <c r="AO49" i="91"/>
  <c r="AV93" i="86"/>
  <c r="BA87" i="86"/>
  <c r="AZ87" i="86"/>
  <c r="AV102" i="88"/>
  <c r="BA96" i="88"/>
  <c r="AZ96" i="88"/>
  <c r="AZ89" i="75"/>
  <c r="AV95" i="75"/>
  <c r="BA89" i="75"/>
  <c r="G95" i="86"/>
  <c r="H94" i="86"/>
  <c r="BJ94" i="86"/>
  <c r="G95" i="91"/>
  <c r="H94" i="91"/>
  <c r="BJ94" i="91"/>
  <c r="V96" i="75"/>
  <c r="U97" i="75"/>
  <c r="U96" i="66"/>
  <c r="AA96" i="66"/>
  <c r="F97" i="66"/>
  <c r="G96" i="66"/>
  <c r="K31" i="66"/>
  <c r="J31" i="66"/>
  <c r="I31" i="66"/>
  <c r="X31" i="66"/>
  <c r="BK44" i="91"/>
  <c r="X79" i="91"/>
  <c r="J44" i="91"/>
  <c r="AV53" i="78"/>
  <c r="AO29" i="59"/>
  <c r="AQ29" i="59"/>
  <c r="BB29" i="59"/>
  <c r="Q97" i="78"/>
  <c r="P97" i="78"/>
  <c r="U95" i="86"/>
  <c r="V94" i="86"/>
  <c r="AU50" i="91"/>
  <c r="AY50" i="91"/>
  <c r="AW50" i="91"/>
  <c r="AT50" i="91"/>
  <c r="BL95" i="91"/>
  <c r="BG50" i="91"/>
  <c r="AS30" i="59"/>
  <c r="AQ96" i="91"/>
  <c r="AP97" i="91"/>
  <c r="J47" i="78"/>
  <c r="AT46" i="75"/>
  <c r="G94" i="75"/>
  <c r="H93" i="75"/>
  <c r="BJ93" i="75"/>
  <c r="G103" i="59"/>
  <c r="H102" i="59"/>
  <c r="BE108" i="59"/>
  <c r="U95" i="88"/>
  <c r="V94" i="88"/>
  <c r="T99" i="78"/>
  <c r="U98" i="78"/>
  <c r="AQ97" i="75"/>
  <c r="AP98" i="75"/>
  <c r="G96" i="88"/>
  <c r="H95" i="88"/>
  <c r="BJ95" i="88"/>
  <c r="L47" i="78"/>
  <c r="R47" i="78"/>
  <c r="R93" i="91"/>
  <c r="Q93" i="91"/>
  <c r="M93" i="91"/>
  <c r="AM85" i="86"/>
  <c r="AS46" i="86"/>
  <c r="AO46" i="86"/>
  <c r="AM89" i="91"/>
  <c r="AS50" i="91"/>
  <c r="AO50" i="91"/>
  <c r="J51" i="75"/>
  <c r="X86" i="75"/>
  <c r="BK51" i="75"/>
  <c r="BD36" i="59"/>
  <c r="BG75" i="59"/>
  <c r="AP30" i="59"/>
  <c r="V95" i="88"/>
  <c r="U96" i="88"/>
  <c r="T31" i="66"/>
  <c r="S31" i="66"/>
  <c r="U98" i="75"/>
  <c r="V97" i="75"/>
  <c r="S28" i="59"/>
  <c r="J28" i="59"/>
  <c r="T75" i="59"/>
  <c r="L45" i="86"/>
  <c r="P45" i="86"/>
  <c r="N45" i="86"/>
  <c r="K45" i="86"/>
  <c r="M45" i="86"/>
  <c r="S45" i="86"/>
  <c r="W80" i="86"/>
  <c r="BH98" i="75"/>
  <c r="BI97" i="75"/>
  <c r="BA97" i="88"/>
  <c r="AZ97" i="88"/>
  <c r="AV103" i="88"/>
  <c r="P98" i="78"/>
  <c r="Q98" i="78"/>
  <c r="BI53" i="78"/>
  <c r="X87" i="78"/>
  <c r="AU51" i="91"/>
  <c r="AY51" i="91"/>
  <c r="AW51" i="91"/>
  <c r="AT51" i="91"/>
  <c r="BL96" i="91"/>
  <c r="BG51" i="91"/>
  <c r="Q94" i="86"/>
  <c r="M94" i="86"/>
  <c r="R94" i="86"/>
  <c r="R31" i="66"/>
  <c r="P31" i="66"/>
  <c r="U97" i="66"/>
  <c r="G97" i="66"/>
  <c r="F98" i="66"/>
  <c r="AA97" i="66"/>
  <c r="R96" i="75"/>
  <c r="Q96" i="75"/>
  <c r="M96" i="75"/>
  <c r="G96" i="91"/>
  <c r="H95" i="91"/>
  <c r="BJ95" i="91"/>
  <c r="G96" i="86"/>
  <c r="H95" i="86"/>
  <c r="BJ95" i="86"/>
  <c r="AV46" i="86"/>
  <c r="BG46" i="86"/>
  <c r="O98" i="66"/>
  <c r="W99" i="66"/>
  <c r="AV96" i="75"/>
  <c r="BA90" i="75"/>
  <c r="AZ90" i="75"/>
  <c r="AZ88" i="86"/>
  <c r="AV94" i="86"/>
  <c r="BA88" i="86"/>
  <c r="M51" i="75"/>
  <c r="S51" i="75"/>
  <c r="W88" i="78"/>
  <c r="K48" i="78"/>
  <c r="O48" i="78"/>
  <c r="M48" i="78"/>
  <c r="N49" i="78"/>
  <c r="G97" i="88"/>
  <c r="H96" i="88"/>
  <c r="BJ96" i="88"/>
  <c r="AM85" i="75"/>
  <c r="AO46" i="75"/>
  <c r="AS46" i="75"/>
  <c r="AQ97" i="91"/>
  <c r="AP98" i="91"/>
  <c r="T100" i="78"/>
  <c r="U99" i="78"/>
  <c r="U96" i="86"/>
  <c r="V95" i="86"/>
  <c r="AL29" i="59"/>
  <c r="AJ68" i="59"/>
  <c r="BI94" i="91"/>
  <c r="BH95" i="91"/>
  <c r="M94" i="91"/>
  <c r="Q94" i="91"/>
  <c r="R94" i="91"/>
  <c r="G98" i="78"/>
  <c r="H97" i="78"/>
  <c r="BH103" i="78"/>
  <c r="J47" i="88"/>
  <c r="BK47" i="88"/>
  <c r="X82" i="88"/>
  <c r="BI95" i="86"/>
  <c r="BH96" i="86"/>
  <c r="BE53" i="78"/>
  <c r="AY53" i="78"/>
  <c r="AX53" i="78"/>
  <c r="AW53" i="78"/>
  <c r="AU53" i="78"/>
  <c r="AR53" i="78"/>
  <c r="AT53" i="78"/>
  <c r="AV46" i="75"/>
  <c r="BG46" i="75"/>
  <c r="AP99" i="75"/>
  <c r="AQ98" i="75"/>
  <c r="M94" i="88"/>
  <c r="R94" i="88"/>
  <c r="Q94" i="88"/>
  <c r="G104" i="59"/>
  <c r="H103" i="59"/>
  <c r="BE109" i="59"/>
  <c r="H94" i="75"/>
  <c r="BJ94" i="75"/>
  <c r="G95" i="75"/>
  <c r="L96" i="66"/>
  <c r="N96" i="66"/>
  <c r="M96" i="66"/>
  <c r="AZ87" i="91"/>
  <c r="AV93" i="91"/>
  <c r="BA87" i="91"/>
  <c r="V95" i="91"/>
  <c r="U96" i="91"/>
  <c r="BH105" i="88"/>
  <c r="BI104" i="88"/>
  <c r="AU46" i="88"/>
  <c r="AY46" i="88"/>
  <c r="AW46" i="88"/>
  <c r="AT46" i="88"/>
  <c r="AV46" i="88"/>
  <c r="BG46" i="88"/>
  <c r="BL91" i="88"/>
  <c r="W83" i="88"/>
  <c r="L48" i="88"/>
  <c r="P48" i="88"/>
  <c r="N48" i="88"/>
  <c r="K48" i="88"/>
  <c r="M48" i="88"/>
  <c r="S48" i="88"/>
  <c r="K45" i="91"/>
  <c r="AO53" i="78"/>
  <c r="AM92" i="78"/>
  <c r="AO51" i="91"/>
  <c r="AM90" i="91"/>
  <c r="AS51" i="91"/>
  <c r="AU47" i="88"/>
  <c r="AY47" i="88"/>
  <c r="AW47" i="88"/>
  <c r="AT47" i="88"/>
  <c r="BL92" i="88"/>
  <c r="W81" i="86"/>
  <c r="L46" i="86"/>
  <c r="P46" i="86"/>
  <c r="N46" i="86"/>
  <c r="K46" i="86"/>
  <c r="L49" i="88"/>
  <c r="P49" i="88"/>
  <c r="N49" i="88"/>
  <c r="W84" i="88"/>
  <c r="M95" i="91"/>
  <c r="R95" i="91"/>
  <c r="Q95" i="91"/>
  <c r="G105" i="59"/>
  <c r="H104" i="59"/>
  <c r="BE110" i="59"/>
  <c r="BH97" i="86"/>
  <c r="BI96" i="86"/>
  <c r="AV94" i="91"/>
  <c r="BA88" i="91"/>
  <c r="AZ88" i="91"/>
  <c r="M95" i="86"/>
  <c r="Q95" i="86"/>
  <c r="R95" i="86"/>
  <c r="U100" i="78"/>
  <c r="T101" i="78"/>
  <c r="AP99" i="91"/>
  <c r="AQ98" i="91"/>
  <c r="G98" i="88"/>
  <c r="H97" i="88"/>
  <c r="BJ97" i="88"/>
  <c r="AU47" i="86"/>
  <c r="AY47" i="86"/>
  <c r="AW47" i="86"/>
  <c r="AT47" i="86"/>
  <c r="BL92" i="86"/>
  <c r="G97" i="86"/>
  <c r="H96" i="86"/>
  <c r="BJ96" i="86"/>
  <c r="G97" i="91"/>
  <c r="H96" i="91"/>
  <c r="BJ96" i="91"/>
  <c r="L97" i="66"/>
  <c r="M97" i="66"/>
  <c r="N97" i="66"/>
  <c r="AU52" i="91"/>
  <c r="AY52" i="91"/>
  <c r="AW52" i="91"/>
  <c r="AT52" i="91"/>
  <c r="BL97" i="91"/>
  <c r="BG52" i="91"/>
  <c r="J45" i="86"/>
  <c r="BK45" i="86"/>
  <c r="X80" i="86"/>
  <c r="R97" i="75"/>
  <c r="M97" i="75"/>
  <c r="Q97" i="75"/>
  <c r="V96" i="88"/>
  <c r="U97" i="88"/>
  <c r="BA98" i="88"/>
  <c r="AZ98" i="88"/>
  <c r="AV104" i="88"/>
  <c r="AZ89" i="86"/>
  <c r="AV95" i="86"/>
  <c r="BA89" i="86"/>
  <c r="U97" i="86"/>
  <c r="V96" i="86"/>
  <c r="O99" i="66"/>
  <c r="W100" i="66"/>
  <c r="BA91" i="75"/>
  <c r="AZ91" i="75"/>
  <c r="AV97" i="75"/>
  <c r="V98" i="75"/>
  <c r="U99" i="75"/>
  <c r="Q95" i="88"/>
  <c r="R95" i="88"/>
  <c r="M95" i="88"/>
  <c r="G96" i="75"/>
  <c r="H95" i="75"/>
  <c r="BJ95" i="75"/>
  <c r="AV54" i="78"/>
  <c r="G99" i="78"/>
  <c r="H98" i="78"/>
  <c r="BH104" i="78"/>
  <c r="X80" i="91"/>
  <c r="J45" i="91"/>
  <c r="BK45" i="91"/>
  <c r="BH106" i="88"/>
  <c r="BI105" i="88"/>
  <c r="AP100" i="75"/>
  <c r="AQ99" i="75"/>
  <c r="J48" i="78"/>
  <c r="L48" i="78"/>
  <c r="R48" i="78"/>
  <c r="W87" i="75"/>
  <c r="L52" i="75"/>
  <c r="P52" i="75"/>
  <c r="N52" i="75"/>
  <c r="K52" i="75"/>
  <c r="H31" i="66"/>
  <c r="O31" i="66"/>
  <c r="BH99" i="75"/>
  <c r="BI98" i="75"/>
  <c r="Q32" i="66"/>
  <c r="M45" i="91"/>
  <c r="S45" i="91"/>
  <c r="AV30" i="59"/>
  <c r="AU30" i="59"/>
  <c r="J48" i="88"/>
  <c r="X83" i="88"/>
  <c r="BK48" i="88"/>
  <c r="AS46" i="88"/>
  <c r="AO46" i="88"/>
  <c r="AM85" i="88"/>
  <c r="U97" i="91"/>
  <c r="V96" i="91"/>
  <c r="AU47" i="75"/>
  <c r="AY47" i="75"/>
  <c r="AW47" i="75"/>
  <c r="AT47" i="75"/>
  <c r="BL92" i="75"/>
  <c r="BH60" i="78"/>
  <c r="AS54" i="78"/>
  <c r="BJ99" i="78"/>
  <c r="BH96" i="91"/>
  <c r="BI95" i="91"/>
  <c r="Q99" i="78"/>
  <c r="P99" i="78"/>
  <c r="AA98" i="66"/>
  <c r="F99" i="66"/>
  <c r="U98" i="66"/>
  <c r="G98" i="66"/>
  <c r="P28" i="59"/>
  <c r="O28" i="59"/>
  <c r="N28" i="59"/>
  <c r="L28" i="59"/>
  <c r="AT30" i="59"/>
  <c r="AR30" i="59"/>
  <c r="AO30" i="59"/>
  <c r="AS47" i="86"/>
  <c r="AM86" i="86"/>
  <c r="AO47" i="86"/>
  <c r="X81" i="86"/>
  <c r="J46" i="86"/>
  <c r="BK46" i="86"/>
  <c r="W89" i="78"/>
  <c r="K49" i="78"/>
  <c r="O49" i="78"/>
  <c r="M49" i="78"/>
  <c r="N50" i="78"/>
  <c r="J52" i="75"/>
  <c r="BK52" i="75"/>
  <c r="X87" i="75"/>
  <c r="AS47" i="88"/>
  <c r="AO47" i="88"/>
  <c r="AM86" i="88"/>
  <c r="AM86" i="75"/>
  <c r="AS47" i="75"/>
  <c r="AO47" i="75"/>
  <c r="I28" i="59"/>
  <c r="BF34" i="59"/>
  <c r="K28" i="59"/>
  <c r="AV47" i="75"/>
  <c r="BG47" i="75"/>
  <c r="V31" i="66"/>
  <c r="Z31" i="66"/>
  <c r="BI106" i="88"/>
  <c r="BH107" i="88"/>
  <c r="U98" i="86"/>
  <c r="V97" i="86"/>
  <c r="AS52" i="91"/>
  <c r="AO52" i="91"/>
  <c r="AM91" i="91"/>
  <c r="T102" i="78"/>
  <c r="U101" i="78"/>
  <c r="K49" i="88"/>
  <c r="M49" i="88"/>
  <c r="S49" i="88"/>
  <c r="M46" i="86"/>
  <c r="S46" i="86"/>
  <c r="AV47" i="88"/>
  <c r="BG47" i="88"/>
  <c r="AX54" i="78"/>
  <c r="AT54" i="78"/>
  <c r="BE54" i="78"/>
  <c r="AY54" i="78"/>
  <c r="V97" i="91"/>
  <c r="U98" i="91"/>
  <c r="AS31" i="59"/>
  <c r="BI99" i="75"/>
  <c r="BH100" i="75"/>
  <c r="L98" i="66"/>
  <c r="N98" i="66"/>
  <c r="M98" i="66"/>
  <c r="AV95" i="91"/>
  <c r="BA89" i="91"/>
  <c r="AZ89" i="91"/>
  <c r="R96" i="91"/>
  <c r="M96" i="91"/>
  <c r="Q96" i="91"/>
  <c r="AQ30" i="59"/>
  <c r="BB30" i="59"/>
  <c r="W81" i="91"/>
  <c r="L46" i="91"/>
  <c r="P46" i="91"/>
  <c r="N46" i="91"/>
  <c r="K46" i="91"/>
  <c r="AZ92" i="75"/>
  <c r="AV98" i="75"/>
  <c r="BA92" i="75"/>
  <c r="M52" i="75"/>
  <c r="S52" i="75"/>
  <c r="G100" i="78"/>
  <c r="H99" i="78"/>
  <c r="BH105" i="78"/>
  <c r="H96" i="75"/>
  <c r="BJ96" i="75"/>
  <c r="G97" i="75"/>
  <c r="U100" i="75"/>
  <c r="V99" i="75"/>
  <c r="AU53" i="91"/>
  <c r="AY53" i="91"/>
  <c r="AW53" i="91"/>
  <c r="AT53" i="91"/>
  <c r="BL98" i="91"/>
  <c r="BG53" i="91"/>
  <c r="AV47" i="86"/>
  <c r="BG47" i="86"/>
  <c r="AP100" i="91"/>
  <c r="AQ99" i="91"/>
  <c r="P100" i="78"/>
  <c r="Q100" i="78"/>
  <c r="G106" i="59"/>
  <c r="H105" i="59"/>
  <c r="BE111" i="59"/>
  <c r="BI96" i="91"/>
  <c r="BH97" i="91"/>
  <c r="BI54" i="78"/>
  <c r="X88" i="78"/>
  <c r="AP101" i="75"/>
  <c r="AQ100" i="75"/>
  <c r="Q98" i="75"/>
  <c r="M98" i="75"/>
  <c r="R98" i="75"/>
  <c r="W101" i="66"/>
  <c r="O100" i="66"/>
  <c r="U98" i="88"/>
  <c r="V97" i="88"/>
  <c r="BA90" i="86"/>
  <c r="AV96" i="86"/>
  <c r="AZ90" i="86"/>
  <c r="AJ69" i="59"/>
  <c r="AL30" i="59"/>
  <c r="U99" i="66"/>
  <c r="G99" i="66"/>
  <c r="F100" i="66"/>
  <c r="AA99" i="66"/>
  <c r="M29" i="59"/>
  <c r="AV105" i="88"/>
  <c r="BA99" i="88"/>
  <c r="AZ99" i="88"/>
  <c r="R96" i="86"/>
  <c r="M96" i="86"/>
  <c r="Q96" i="86"/>
  <c r="R96" i="88"/>
  <c r="M96" i="88"/>
  <c r="Q96" i="88"/>
  <c r="G98" i="91"/>
  <c r="H97" i="91"/>
  <c r="BJ97" i="91"/>
  <c r="G98" i="86"/>
  <c r="H97" i="86"/>
  <c r="BJ97" i="86"/>
  <c r="G99" i="88"/>
  <c r="H98" i="88"/>
  <c r="BJ98" i="88"/>
  <c r="BI97" i="86"/>
  <c r="BH98" i="86"/>
  <c r="X81" i="91"/>
  <c r="BK46" i="91"/>
  <c r="J46" i="91"/>
  <c r="AS53" i="91"/>
  <c r="AO53" i="91"/>
  <c r="AM92" i="91"/>
  <c r="L50" i="88"/>
  <c r="P50" i="88"/>
  <c r="N50" i="88"/>
  <c r="K50" i="88"/>
  <c r="W85" i="88"/>
  <c r="BI97" i="91"/>
  <c r="BH98" i="91"/>
  <c r="AU48" i="86"/>
  <c r="AY48" i="86"/>
  <c r="AW48" i="86"/>
  <c r="BL93" i="86"/>
  <c r="G101" i="78"/>
  <c r="H100" i="78"/>
  <c r="BH106" i="78"/>
  <c r="W88" i="75"/>
  <c r="L53" i="75"/>
  <c r="P53" i="75"/>
  <c r="N53" i="75"/>
  <c r="K53" i="75"/>
  <c r="V98" i="91"/>
  <c r="U99" i="91"/>
  <c r="Q101" i="78"/>
  <c r="P101" i="78"/>
  <c r="BH108" i="88"/>
  <c r="BI107" i="88"/>
  <c r="AU48" i="75"/>
  <c r="AY48" i="75"/>
  <c r="AW48" i="75"/>
  <c r="AT48" i="75"/>
  <c r="BL93" i="75"/>
  <c r="BH99" i="86"/>
  <c r="BI98" i="86"/>
  <c r="BA91" i="86"/>
  <c r="AZ91" i="86"/>
  <c r="AV97" i="86"/>
  <c r="R97" i="88"/>
  <c r="Q97" i="88"/>
  <c r="M97" i="88"/>
  <c r="O101" i="66"/>
  <c r="W102" i="66"/>
  <c r="AP102" i="75"/>
  <c r="AQ101" i="75"/>
  <c r="AV96" i="91"/>
  <c r="BA90" i="91"/>
  <c r="AZ90" i="91"/>
  <c r="AU54" i="91"/>
  <c r="AY54" i="91"/>
  <c r="AW54" i="91"/>
  <c r="AT54" i="91"/>
  <c r="BL99" i="91"/>
  <c r="BG54" i="91"/>
  <c r="R99" i="75"/>
  <c r="M99" i="75"/>
  <c r="Q99" i="75"/>
  <c r="G98" i="75"/>
  <c r="H97" i="75"/>
  <c r="BJ97" i="75"/>
  <c r="M46" i="91"/>
  <c r="S46" i="91"/>
  <c r="BH101" i="75"/>
  <c r="BI100" i="75"/>
  <c r="Q97" i="91"/>
  <c r="R97" i="91"/>
  <c r="M97" i="91"/>
  <c r="AU48" i="88"/>
  <c r="AY48" i="88"/>
  <c r="AW48" i="88"/>
  <c r="BL93" i="88"/>
  <c r="T103" i="78"/>
  <c r="U102" i="78"/>
  <c r="BA100" i="88"/>
  <c r="AZ100" i="88"/>
  <c r="AV106" i="88"/>
  <c r="K32" i="66"/>
  <c r="J32" i="66"/>
  <c r="I32" i="66"/>
  <c r="X32" i="66"/>
  <c r="L49" i="78"/>
  <c r="R49" i="78"/>
  <c r="G100" i="88"/>
  <c r="H99" i="88"/>
  <c r="BJ99" i="88"/>
  <c r="G99" i="86"/>
  <c r="H98" i="86"/>
  <c r="BJ98" i="86"/>
  <c r="G99" i="91"/>
  <c r="H98" i="91"/>
  <c r="BJ98" i="91"/>
  <c r="U100" i="66"/>
  <c r="AA100" i="66"/>
  <c r="F101" i="66"/>
  <c r="G100" i="66"/>
  <c r="V98" i="88"/>
  <c r="U99" i="88"/>
  <c r="U101" i="75"/>
  <c r="V100" i="75"/>
  <c r="BD37" i="59"/>
  <c r="BG76" i="59"/>
  <c r="AP31" i="59"/>
  <c r="BA93" i="75"/>
  <c r="AZ93" i="75"/>
  <c r="AV99" i="75"/>
  <c r="L47" i="86"/>
  <c r="P47" i="86"/>
  <c r="N47" i="86"/>
  <c r="K47" i="86"/>
  <c r="W82" i="86"/>
  <c r="R97" i="86"/>
  <c r="M97" i="86"/>
  <c r="Q97" i="86"/>
  <c r="U75" i="59"/>
  <c r="Q28" i="59"/>
  <c r="N99" i="66"/>
  <c r="M99" i="66"/>
  <c r="L99" i="66"/>
  <c r="G107" i="59"/>
  <c r="H106" i="59"/>
  <c r="BE112" i="59"/>
  <c r="AP101" i="91"/>
  <c r="AQ100" i="91"/>
  <c r="AW54" i="78"/>
  <c r="AU54" i="78"/>
  <c r="AR54" i="78"/>
  <c r="BH61" i="78"/>
  <c r="AS55" i="78"/>
  <c r="BJ100" i="78"/>
  <c r="BK49" i="88"/>
  <c r="J49" i="88"/>
  <c r="X84" i="88"/>
  <c r="U99" i="86"/>
  <c r="V98" i="86"/>
  <c r="AM93" i="91"/>
  <c r="AS54" i="91"/>
  <c r="AO54" i="91"/>
  <c r="AO48" i="75"/>
  <c r="AS48" i="75"/>
  <c r="AM87" i="75"/>
  <c r="AV48" i="75"/>
  <c r="BG48" i="75"/>
  <c r="J53" i="75"/>
  <c r="X88" i="75"/>
  <c r="BK53" i="75"/>
  <c r="J50" i="88"/>
  <c r="X85" i="88"/>
  <c r="BK50" i="88"/>
  <c r="R98" i="86"/>
  <c r="Q98" i="86"/>
  <c r="M98" i="86"/>
  <c r="AX55" i="78"/>
  <c r="AT55" i="78"/>
  <c r="AY55" i="78"/>
  <c r="BE55" i="78"/>
  <c r="V99" i="86"/>
  <c r="U100" i="86"/>
  <c r="AQ101" i="91"/>
  <c r="AP102" i="91"/>
  <c r="S29" i="59"/>
  <c r="T76" i="59"/>
  <c r="J29" i="59"/>
  <c r="U100" i="88"/>
  <c r="V99" i="88"/>
  <c r="Q100" i="75"/>
  <c r="M100" i="75"/>
  <c r="R100" i="75"/>
  <c r="Q98" i="88"/>
  <c r="M98" i="88"/>
  <c r="R98" i="88"/>
  <c r="T104" i="78"/>
  <c r="U103" i="78"/>
  <c r="AT48" i="88"/>
  <c r="BI101" i="75"/>
  <c r="BH102" i="75"/>
  <c r="W82" i="91"/>
  <c r="L47" i="91"/>
  <c r="P47" i="91"/>
  <c r="N47" i="91"/>
  <c r="K47" i="91"/>
  <c r="M47" i="91"/>
  <c r="S47" i="91"/>
  <c r="AU55" i="91"/>
  <c r="AY55" i="91"/>
  <c r="AW55" i="91"/>
  <c r="AT55" i="91"/>
  <c r="BL100" i="91"/>
  <c r="BG55" i="91"/>
  <c r="O102" i="66"/>
  <c r="W103" i="66"/>
  <c r="U100" i="91"/>
  <c r="V99" i="91"/>
  <c r="M53" i="75"/>
  <c r="S53" i="75"/>
  <c r="G102" i="78"/>
  <c r="H101" i="78"/>
  <c r="BH107" i="78"/>
  <c r="AT48" i="86"/>
  <c r="AV48" i="86"/>
  <c r="BG48" i="86"/>
  <c r="U102" i="75"/>
  <c r="V101" i="75"/>
  <c r="N100" i="66"/>
  <c r="L100" i="66"/>
  <c r="M100" i="66"/>
  <c r="G100" i="91"/>
  <c r="H99" i="91"/>
  <c r="BJ99" i="91"/>
  <c r="G100" i="86"/>
  <c r="H99" i="86"/>
  <c r="BJ99" i="86"/>
  <c r="G101" i="88"/>
  <c r="H100" i="88"/>
  <c r="BJ100" i="88"/>
  <c r="AV107" i="88"/>
  <c r="BA101" i="88"/>
  <c r="AZ101" i="88"/>
  <c r="R98" i="91"/>
  <c r="M98" i="91"/>
  <c r="Q98" i="91"/>
  <c r="M50" i="88"/>
  <c r="S50" i="88"/>
  <c r="G108" i="59"/>
  <c r="H107" i="59"/>
  <c r="BE113" i="59"/>
  <c r="BK47" i="86"/>
  <c r="X82" i="86"/>
  <c r="J47" i="86"/>
  <c r="U101" i="66"/>
  <c r="AA101" i="66"/>
  <c r="F102" i="66"/>
  <c r="G101" i="66"/>
  <c r="W90" i="78"/>
  <c r="K50" i="78"/>
  <c r="T32" i="66"/>
  <c r="S32" i="66"/>
  <c r="AV55" i="78"/>
  <c r="AQ102" i="75"/>
  <c r="AP103" i="75"/>
  <c r="AZ92" i="86"/>
  <c r="AV98" i="86"/>
  <c r="BA92" i="86"/>
  <c r="BI108" i="88"/>
  <c r="BH109" i="88"/>
  <c r="BH99" i="91"/>
  <c r="BI98" i="91"/>
  <c r="AW55" i="78"/>
  <c r="AU55" i="78"/>
  <c r="AR55" i="78"/>
  <c r="AM93" i="78"/>
  <c r="AO54" i="78"/>
  <c r="M47" i="86"/>
  <c r="S47" i="86"/>
  <c r="AU31" i="59"/>
  <c r="AT31" i="59"/>
  <c r="AV31" i="59"/>
  <c r="AR31" i="59"/>
  <c r="R32" i="66"/>
  <c r="P32" i="66"/>
  <c r="Q102" i="78"/>
  <c r="P102" i="78"/>
  <c r="AZ94" i="75"/>
  <c r="AV100" i="75"/>
  <c r="BA94" i="75"/>
  <c r="G99" i="75"/>
  <c r="H98" i="75"/>
  <c r="BJ98" i="75"/>
  <c r="BH100" i="86"/>
  <c r="BI99" i="86"/>
  <c r="AV97" i="91"/>
  <c r="BA91" i="91"/>
  <c r="AZ91" i="91"/>
  <c r="AO31" i="59"/>
  <c r="AQ31" i="59"/>
  <c r="BB31" i="59"/>
  <c r="AM94" i="91"/>
  <c r="AS55" i="91"/>
  <c r="AO55" i="91"/>
  <c r="W83" i="91"/>
  <c r="L48" i="91"/>
  <c r="P48" i="91"/>
  <c r="N48" i="91"/>
  <c r="AU49" i="86"/>
  <c r="AY49" i="86"/>
  <c r="AW49" i="86"/>
  <c r="BL94" i="86"/>
  <c r="AZ93" i="86"/>
  <c r="AV99" i="86"/>
  <c r="BA93" i="86"/>
  <c r="W83" i="86"/>
  <c r="L48" i="86"/>
  <c r="P48" i="86"/>
  <c r="N48" i="86"/>
  <c r="AV98" i="91"/>
  <c r="AZ92" i="91"/>
  <c r="BA92" i="91"/>
  <c r="AV108" i="88"/>
  <c r="BA102" i="88"/>
  <c r="AZ102" i="88"/>
  <c r="G102" i="88"/>
  <c r="H101" i="88"/>
  <c r="BJ101" i="88"/>
  <c r="G101" i="86"/>
  <c r="H100" i="86"/>
  <c r="BJ100" i="86"/>
  <c r="H100" i="91"/>
  <c r="BJ100" i="91"/>
  <c r="G101" i="91"/>
  <c r="Q99" i="91"/>
  <c r="R99" i="91"/>
  <c r="M99" i="91"/>
  <c r="BA95" i="75"/>
  <c r="AZ95" i="75"/>
  <c r="AV101" i="75"/>
  <c r="R99" i="88"/>
  <c r="Q99" i="88"/>
  <c r="M99" i="88"/>
  <c r="Q99" i="86"/>
  <c r="R99" i="86"/>
  <c r="M99" i="86"/>
  <c r="AV56" i="78"/>
  <c r="BH100" i="91"/>
  <c r="BI99" i="91"/>
  <c r="O50" i="78"/>
  <c r="M50" i="78"/>
  <c r="J49" i="78"/>
  <c r="L51" i="88"/>
  <c r="P51" i="88"/>
  <c r="N51" i="88"/>
  <c r="W86" i="88"/>
  <c r="AS48" i="86"/>
  <c r="AM87" i="86"/>
  <c r="AO48" i="86"/>
  <c r="W89" i="75"/>
  <c r="L54" i="75"/>
  <c r="P54" i="75"/>
  <c r="N54" i="75"/>
  <c r="K54" i="75"/>
  <c r="M54" i="75"/>
  <c r="S54" i="75"/>
  <c r="U101" i="91"/>
  <c r="V100" i="91"/>
  <c r="AS48" i="88"/>
  <c r="AM87" i="88"/>
  <c r="AO48" i="88"/>
  <c r="V100" i="88"/>
  <c r="U101" i="88"/>
  <c r="P29" i="59"/>
  <c r="O29" i="59"/>
  <c r="AP103" i="91"/>
  <c r="AQ102" i="91"/>
  <c r="BH62" i="78"/>
  <c r="BJ101" i="78"/>
  <c r="AS56" i="78"/>
  <c r="AV48" i="88"/>
  <c r="BG48" i="88"/>
  <c r="AU49" i="75"/>
  <c r="AY49" i="75"/>
  <c r="AW49" i="75"/>
  <c r="BL94" i="75"/>
  <c r="AQ103" i="75"/>
  <c r="AP104" i="75"/>
  <c r="AS32" i="59"/>
  <c r="L101" i="66"/>
  <c r="N101" i="66"/>
  <c r="M101" i="66"/>
  <c r="H108" i="59"/>
  <c r="BE114" i="59"/>
  <c r="R101" i="75"/>
  <c r="M101" i="75"/>
  <c r="Q101" i="75"/>
  <c r="AU56" i="91"/>
  <c r="AY56" i="91"/>
  <c r="AW56" i="91"/>
  <c r="AT56" i="91"/>
  <c r="BL101" i="91"/>
  <c r="BG56" i="91"/>
  <c r="P103" i="78"/>
  <c r="Q103" i="78"/>
  <c r="BI100" i="86"/>
  <c r="BH101" i="86"/>
  <c r="G100" i="75"/>
  <c r="H99" i="75"/>
  <c r="BJ99" i="75"/>
  <c r="H32" i="66"/>
  <c r="O32" i="66"/>
  <c r="AO55" i="78"/>
  <c r="AM94" i="78"/>
  <c r="BI109" i="88"/>
  <c r="BH110" i="88"/>
  <c r="Q33" i="66"/>
  <c r="AA102" i="66"/>
  <c r="F103" i="66"/>
  <c r="U102" i="66"/>
  <c r="G102" i="66"/>
  <c r="U103" i="75"/>
  <c r="V102" i="75"/>
  <c r="G103" i="78"/>
  <c r="H102" i="78"/>
  <c r="BH108" i="78"/>
  <c r="O103" i="66"/>
  <c r="W104" i="66"/>
  <c r="J47" i="91"/>
  <c r="X82" i="91"/>
  <c r="BK47" i="91"/>
  <c r="BH103" i="75"/>
  <c r="BI102" i="75"/>
  <c r="U104" i="78"/>
  <c r="T105" i="78"/>
  <c r="N29" i="59"/>
  <c r="L29" i="59"/>
  <c r="I29" i="59"/>
  <c r="BF35" i="59"/>
  <c r="U101" i="86"/>
  <c r="V100" i="86"/>
  <c r="V32" i="66"/>
  <c r="Z32" i="66"/>
  <c r="L55" i="75"/>
  <c r="P55" i="75"/>
  <c r="N55" i="75"/>
  <c r="W90" i="75"/>
  <c r="AO56" i="91"/>
  <c r="AS56" i="91"/>
  <c r="AM95" i="91"/>
  <c r="BD38" i="59"/>
  <c r="AP32" i="59"/>
  <c r="BG77" i="59"/>
  <c r="AV100" i="86"/>
  <c r="BA94" i="86"/>
  <c r="AZ94" i="86"/>
  <c r="BI103" i="75"/>
  <c r="BH104" i="75"/>
  <c r="Q102" i="75"/>
  <c r="M102" i="75"/>
  <c r="R102" i="75"/>
  <c r="AT49" i="75"/>
  <c r="M30" i="59"/>
  <c r="U102" i="88"/>
  <c r="V101" i="88"/>
  <c r="G102" i="86"/>
  <c r="H101" i="86"/>
  <c r="BJ101" i="86"/>
  <c r="G103" i="88"/>
  <c r="H102" i="88"/>
  <c r="BJ102" i="88"/>
  <c r="K48" i="86"/>
  <c r="AT49" i="86"/>
  <c r="BA96" i="75"/>
  <c r="AZ96" i="75"/>
  <c r="AV102" i="75"/>
  <c r="U103" i="66"/>
  <c r="G103" i="66"/>
  <c r="F104" i="66"/>
  <c r="AA103" i="66"/>
  <c r="T106" i="78"/>
  <c r="U105" i="78"/>
  <c r="U104" i="75"/>
  <c r="V103" i="75"/>
  <c r="N102" i="66"/>
  <c r="M102" i="66"/>
  <c r="L102" i="66"/>
  <c r="AU57" i="91"/>
  <c r="AY57" i="91"/>
  <c r="AW57" i="91"/>
  <c r="AT57" i="91"/>
  <c r="BL102" i="91"/>
  <c r="BG57" i="91"/>
  <c r="AU49" i="88"/>
  <c r="AY49" i="88"/>
  <c r="AW49" i="88"/>
  <c r="AT49" i="88"/>
  <c r="BL94" i="88"/>
  <c r="AX56" i="78"/>
  <c r="AW56" i="78"/>
  <c r="AU56" i="78"/>
  <c r="AR56" i="78"/>
  <c r="AT56" i="78"/>
  <c r="BE56" i="78"/>
  <c r="AY56" i="78"/>
  <c r="M100" i="88"/>
  <c r="R100" i="88"/>
  <c r="Q100" i="88"/>
  <c r="M100" i="91"/>
  <c r="Q100" i="91"/>
  <c r="R100" i="91"/>
  <c r="K51" i="88"/>
  <c r="BI55" i="78"/>
  <c r="X89" i="78"/>
  <c r="Q100" i="86"/>
  <c r="M100" i="86"/>
  <c r="R100" i="86"/>
  <c r="W105" i="66"/>
  <c r="O104" i="66"/>
  <c r="G104" i="78"/>
  <c r="H103" i="78"/>
  <c r="BH109" i="78"/>
  <c r="U102" i="86"/>
  <c r="V101" i="86"/>
  <c r="Q104" i="78"/>
  <c r="P104" i="78"/>
  <c r="BI110" i="88"/>
  <c r="BH111" i="88"/>
  <c r="BI101" i="86"/>
  <c r="BH102" i="86"/>
  <c r="AP105" i="75"/>
  <c r="AQ104" i="75"/>
  <c r="K29" i="59"/>
  <c r="V101" i="91"/>
  <c r="U102" i="91"/>
  <c r="N51" i="78"/>
  <c r="J50" i="78"/>
  <c r="L50" i="78"/>
  <c r="R50" i="78"/>
  <c r="AV99" i="91"/>
  <c r="BA93" i="91"/>
  <c r="AZ93" i="91"/>
  <c r="K48" i="91"/>
  <c r="M48" i="91"/>
  <c r="S48" i="91"/>
  <c r="BA103" i="88"/>
  <c r="AZ103" i="88"/>
  <c r="G101" i="75"/>
  <c r="H100" i="75"/>
  <c r="BJ100" i="75"/>
  <c r="AQ103" i="91"/>
  <c r="AP104" i="91"/>
  <c r="J54" i="75"/>
  <c r="BK54" i="75"/>
  <c r="X89" i="75"/>
  <c r="BH101" i="91"/>
  <c r="BI100" i="91"/>
  <c r="G102" i="91"/>
  <c r="H101" i="91"/>
  <c r="BJ101" i="91"/>
  <c r="AL31" i="59"/>
  <c r="AJ70" i="59"/>
  <c r="W84" i="91"/>
  <c r="L49" i="91"/>
  <c r="P49" i="91"/>
  <c r="N49" i="91"/>
  <c r="M49" i="91"/>
  <c r="S49" i="91"/>
  <c r="AS49" i="88"/>
  <c r="AM88" i="88"/>
  <c r="AO49" i="88"/>
  <c r="AM95" i="78"/>
  <c r="AO56" i="78"/>
  <c r="AS57" i="91"/>
  <c r="AO57" i="91"/>
  <c r="AM96" i="91"/>
  <c r="BH102" i="91"/>
  <c r="BI101" i="91"/>
  <c r="W91" i="78"/>
  <c r="K51" i="78"/>
  <c r="O51" i="78"/>
  <c r="M51" i="78"/>
  <c r="N52" i="78"/>
  <c r="M101" i="91"/>
  <c r="Q101" i="91"/>
  <c r="R101" i="91"/>
  <c r="AZ95" i="86"/>
  <c r="AV101" i="86"/>
  <c r="BA95" i="86"/>
  <c r="X90" i="78"/>
  <c r="BI56" i="78"/>
  <c r="U76" i="59"/>
  <c r="Q29" i="59"/>
  <c r="BI111" i="88"/>
  <c r="BH112" i="88"/>
  <c r="R101" i="86"/>
  <c r="M101" i="86"/>
  <c r="Q101" i="86"/>
  <c r="BH63" i="78"/>
  <c r="BJ102" i="78"/>
  <c r="AS57" i="78"/>
  <c r="AV49" i="88"/>
  <c r="AU58" i="91"/>
  <c r="AY58" i="91"/>
  <c r="AW58" i="91"/>
  <c r="AT58" i="91"/>
  <c r="BL103" i="91"/>
  <c r="BG58" i="91"/>
  <c r="R103" i="75"/>
  <c r="M103" i="75"/>
  <c r="Q103" i="75"/>
  <c r="G104" i="88"/>
  <c r="H103" i="88"/>
  <c r="BJ103" i="88"/>
  <c r="G103" i="86"/>
  <c r="H102" i="86"/>
  <c r="BJ102" i="86"/>
  <c r="U103" i="88"/>
  <c r="V102" i="88"/>
  <c r="BH105" i="75"/>
  <c r="BI104" i="75"/>
  <c r="AV32" i="59"/>
  <c r="AU32" i="59"/>
  <c r="AZ94" i="91"/>
  <c r="AV100" i="91"/>
  <c r="BA94" i="91"/>
  <c r="AQ104" i="91"/>
  <c r="AP105" i="91"/>
  <c r="G102" i="75"/>
  <c r="H101" i="75"/>
  <c r="BJ101" i="75"/>
  <c r="G105" i="78"/>
  <c r="H104" i="78"/>
  <c r="BH110" i="78"/>
  <c r="H102" i="91"/>
  <c r="BJ102" i="91"/>
  <c r="G103" i="91"/>
  <c r="BA104" i="88"/>
  <c r="AZ104" i="88"/>
  <c r="U103" i="86"/>
  <c r="V102" i="86"/>
  <c r="U105" i="75"/>
  <c r="V104" i="75"/>
  <c r="U104" i="66"/>
  <c r="F105" i="66"/>
  <c r="AA104" i="66"/>
  <c r="G104" i="66"/>
  <c r="AO49" i="86"/>
  <c r="AS49" i="86"/>
  <c r="AM88" i="86"/>
  <c r="AZ97" i="75"/>
  <c r="BA97" i="75"/>
  <c r="AV103" i="75"/>
  <c r="AV49" i="86"/>
  <c r="BG49" i="86"/>
  <c r="K55" i="75"/>
  <c r="J33" i="66"/>
  <c r="I33" i="66"/>
  <c r="K33" i="66"/>
  <c r="X33" i="66"/>
  <c r="BI102" i="86"/>
  <c r="BH103" i="86"/>
  <c r="O105" i="66"/>
  <c r="W106" i="66"/>
  <c r="X86" i="88"/>
  <c r="BK51" i="88"/>
  <c r="J51" i="88"/>
  <c r="AV57" i="78"/>
  <c r="Q105" i="78"/>
  <c r="P105" i="78"/>
  <c r="N103" i="66"/>
  <c r="M103" i="66"/>
  <c r="L103" i="66"/>
  <c r="BK48" i="86"/>
  <c r="J48" i="86"/>
  <c r="X83" i="86"/>
  <c r="AM88" i="75"/>
  <c r="AS49" i="75"/>
  <c r="AO49" i="75"/>
  <c r="M51" i="88"/>
  <c r="S51" i="88"/>
  <c r="M48" i="86"/>
  <c r="S48" i="86"/>
  <c r="X83" i="91"/>
  <c r="BK48" i="91"/>
  <c r="J48" i="91"/>
  <c r="U103" i="91"/>
  <c r="V102" i="91"/>
  <c r="AQ105" i="75"/>
  <c r="AP106" i="75"/>
  <c r="U106" i="78"/>
  <c r="T107" i="78"/>
  <c r="R101" i="88"/>
  <c r="M101" i="88"/>
  <c r="Q101" i="88"/>
  <c r="AT32" i="59"/>
  <c r="AR32" i="59"/>
  <c r="AO32" i="59"/>
  <c r="AV49" i="75"/>
  <c r="BG49" i="75"/>
  <c r="M50" i="91"/>
  <c r="S50" i="91"/>
  <c r="W85" i="91"/>
  <c r="L50" i="91"/>
  <c r="P50" i="91"/>
  <c r="N50" i="91"/>
  <c r="K49" i="91"/>
  <c r="K50" i="91"/>
  <c r="AM97" i="91"/>
  <c r="AS58" i="91"/>
  <c r="AO58" i="91"/>
  <c r="AJ71" i="59"/>
  <c r="AL32" i="59"/>
  <c r="R102" i="91"/>
  <c r="M102" i="91"/>
  <c r="Q102" i="91"/>
  <c r="N104" i="66"/>
  <c r="L104" i="66"/>
  <c r="M104" i="66"/>
  <c r="M104" i="75"/>
  <c r="R104" i="75"/>
  <c r="Q104" i="75"/>
  <c r="G106" i="78"/>
  <c r="H105" i="78"/>
  <c r="BH111" i="78"/>
  <c r="G103" i="75"/>
  <c r="H102" i="75"/>
  <c r="BJ102" i="75"/>
  <c r="AQ32" i="59"/>
  <c r="BB32" i="59"/>
  <c r="R102" i="88"/>
  <c r="M102" i="88"/>
  <c r="Q102" i="88"/>
  <c r="AU59" i="91"/>
  <c r="AY59" i="91"/>
  <c r="AW59" i="91"/>
  <c r="AT59" i="91"/>
  <c r="BL104" i="91"/>
  <c r="BG59" i="91"/>
  <c r="BG49" i="88"/>
  <c r="BE57" i="78"/>
  <c r="AY57" i="78"/>
  <c r="AX57" i="78"/>
  <c r="AT57" i="78"/>
  <c r="AZ95" i="91"/>
  <c r="BA95" i="91"/>
  <c r="AV101" i="91"/>
  <c r="U104" i="91"/>
  <c r="V103" i="91"/>
  <c r="L49" i="86"/>
  <c r="P49" i="86"/>
  <c r="N49" i="86"/>
  <c r="K49" i="86"/>
  <c r="W84" i="86"/>
  <c r="BH104" i="86"/>
  <c r="BI103" i="86"/>
  <c r="X90" i="75"/>
  <c r="BK55" i="75"/>
  <c r="J55" i="75"/>
  <c r="U106" i="75"/>
  <c r="V105" i="75"/>
  <c r="M102" i="86"/>
  <c r="R102" i="86"/>
  <c r="Q102" i="86"/>
  <c r="AP106" i="91"/>
  <c r="AQ105" i="91"/>
  <c r="V103" i="88"/>
  <c r="U104" i="88"/>
  <c r="G104" i="86"/>
  <c r="H103" i="86"/>
  <c r="BJ103" i="86"/>
  <c r="G105" i="88"/>
  <c r="H104" i="88"/>
  <c r="BJ104" i="88"/>
  <c r="BH113" i="88"/>
  <c r="BI112" i="88"/>
  <c r="J51" i="78"/>
  <c r="BH103" i="91"/>
  <c r="BI102" i="91"/>
  <c r="U107" i="78"/>
  <c r="T108" i="78"/>
  <c r="AP107" i="75"/>
  <c r="AQ106" i="75"/>
  <c r="W87" i="88"/>
  <c r="L52" i="88"/>
  <c r="P52" i="88"/>
  <c r="N52" i="88"/>
  <c r="K52" i="88"/>
  <c r="M52" i="88"/>
  <c r="S52" i="88"/>
  <c r="O106" i="66"/>
  <c r="W107" i="66"/>
  <c r="AZ96" i="86"/>
  <c r="BA96" i="86"/>
  <c r="AV102" i="86"/>
  <c r="T33" i="66"/>
  <c r="S33" i="66"/>
  <c r="R33" i="66"/>
  <c r="P33" i="66"/>
  <c r="AU50" i="86"/>
  <c r="AY50" i="86"/>
  <c r="AW50" i="86"/>
  <c r="AT50" i="86"/>
  <c r="BL95" i="86"/>
  <c r="G105" i="66"/>
  <c r="U105" i="66"/>
  <c r="F106" i="66"/>
  <c r="AA105" i="66"/>
  <c r="U104" i="86"/>
  <c r="V103" i="86"/>
  <c r="AV104" i="75"/>
  <c r="BA98" i="75"/>
  <c r="AZ98" i="75"/>
  <c r="BA105" i="88"/>
  <c r="AZ105" i="88"/>
  <c r="AU50" i="75"/>
  <c r="AY50" i="75"/>
  <c r="AW50" i="75"/>
  <c r="BL95" i="75"/>
  <c r="Q106" i="78"/>
  <c r="P106" i="78"/>
  <c r="H103" i="91"/>
  <c r="BJ103" i="91"/>
  <c r="G104" i="91"/>
  <c r="AS33" i="59"/>
  <c r="BI105" i="75"/>
  <c r="BH106" i="75"/>
  <c r="S30" i="59"/>
  <c r="J30" i="59"/>
  <c r="T77" i="59"/>
  <c r="L51" i="78"/>
  <c r="R51" i="78"/>
  <c r="M55" i="75"/>
  <c r="S55" i="75"/>
  <c r="AM98" i="91"/>
  <c r="AS59" i="91"/>
  <c r="AO59" i="91"/>
  <c r="BK50" i="91"/>
  <c r="X85" i="91"/>
  <c r="J50" i="91"/>
  <c r="J49" i="86"/>
  <c r="BK49" i="86"/>
  <c r="X84" i="86"/>
  <c r="L53" i="88"/>
  <c r="P53" i="88"/>
  <c r="N53" i="88"/>
  <c r="K53" i="88"/>
  <c r="W88" i="88"/>
  <c r="H33" i="66"/>
  <c r="O33" i="66"/>
  <c r="AV105" i="75"/>
  <c r="AZ99" i="75"/>
  <c r="BA99" i="75"/>
  <c r="AT50" i="75"/>
  <c r="L105" i="66"/>
  <c r="N105" i="66"/>
  <c r="M105" i="66"/>
  <c r="AM89" i="86"/>
  <c r="AO50" i="86"/>
  <c r="AS50" i="86"/>
  <c r="J52" i="88"/>
  <c r="BK52" i="88"/>
  <c r="X87" i="88"/>
  <c r="AV102" i="91"/>
  <c r="BA96" i="91"/>
  <c r="AZ96" i="91"/>
  <c r="BI113" i="88"/>
  <c r="BH114" i="88"/>
  <c r="BI114" i="88"/>
  <c r="V104" i="88"/>
  <c r="U105" i="88"/>
  <c r="BH105" i="86"/>
  <c r="BI104" i="86"/>
  <c r="BK49" i="91"/>
  <c r="J49" i="91"/>
  <c r="X84" i="91"/>
  <c r="G107" i="78"/>
  <c r="H106" i="78"/>
  <c r="BH112" i="78"/>
  <c r="AV50" i="86"/>
  <c r="BG50" i="86"/>
  <c r="O107" i="66"/>
  <c r="W108" i="66"/>
  <c r="AQ107" i="75"/>
  <c r="AP108" i="75"/>
  <c r="AQ108" i="75"/>
  <c r="BH104" i="91"/>
  <c r="BI103" i="91"/>
  <c r="Q103" i="88"/>
  <c r="M103" i="88"/>
  <c r="R103" i="88"/>
  <c r="M49" i="86"/>
  <c r="S49" i="86"/>
  <c r="AU60" i="91"/>
  <c r="AY60" i="91"/>
  <c r="AW60" i="91"/>
  <c r="AT60" i="91"/>
  <c r="BL105" i="91"/>
  <c r="BG60" i="91"/>
  <c r="BD39" i="59"/>
  <c r="BG78" i="59"/>
  <c r="AP33" i="59"/>
  <c r="G104" i="75"/>
  <c r="H103" i="75"/>
  <c r="BJ103" i="75"/>
  <c r="L56" i="75"/>
  <c r="P56" i="75"/>
  <c r="N56" i="75"/>
  <c r="K56" i="75"/>
  <c r="W91" i="75"/>
  <c r="K52" i="78"/>
  <c r="O52" i="78"/>
  <c r="M52" i="78"/>
  <c r="L52" i="78"/>
  <c r="R52" i="78"/>
  <c r="N53" i="78"/>
  <c r="W92" i="78"/>
  <c r="J52" i="78"/>
  <c r="P30" i="59"/>
  <c r="O30" i="59"/>
  <c r="N30" i="59"/>
  <c r="L30" i="59"/>
  <c r="I30" i="59"/>
  <c r="K30" i="59"/>
  <c r="Q30" i="59"/>
  <c r="G105" i="91"/>
  <c r="H104" i="91"/>
  <c r="BJ104" i="91"/>
  <c r="Q103" i="86"/>
  <c r="R103" i="86"/>
  <c r="M103" i="86"/>
  <c r="F107" i="66"/>
  <c r="G106" i="66"/>
  <c r="AA106" i="66"/>
  <c r="U106" i="66"/>
  <c r="Q34" i="66"/>
  <c r="X91" i="78"/>
  <c r="BI57" i="78"/>
  <c r="Q105" i="75"/>
  <c r="R105" i="75"/>
  <c r="M105" i="75"/>
  <c r="R103" i="91"/>
  <c r="M103" i="91"/>
  <c r="Q103" i="91"/>
  <c r="BH64" i="78"/>
  <c r="AS58" i="78"/>
  <c r="BJ103" i="78"/>
  <c r="M51" i="91"/>
  <c r="S51" i="91"/>
  <c r="W86" i="91"/>
  <c r="L51" i="91"/>
  <c r="P51" i="91"/>
  <c r="N51" i="91"/>
  <c r="K51" i="91"/>
  <c r="BF36" i="59"/>
  <c r="BI106" i="75"/>
  <c r="BH107" i="75"/>
  <c r="U105" i="86"/>
  <c r="V104" i="86"/>
  <c r="Q107" i="78"/>
  <c r="P107" i="78"/>
  <c r="BA106" i="88"/>
  <c r="AZ106" i="88"/>
  <c r="AW57" i="78"/>
  <c r="AU57" i="78"/>
  <c r="AR57" i="78"/>
  <c r="G106" i="88"/>
  <c r="H105" i="88"/>
  <c r="BJ105" i="88"/>
  <c r="G105" i="86"/>
  <c r="H104" i="86"/>
  <c r="BJ104" i="86"/>
  <c r="AP107" i="91"/>
  <c r="AQ106" i="91"/>
  <c r="V106" i="75"/>
  <c r="U107" i="75"/>
  <c r="AZ97" i="86"/>
  <c r="AV103" i="86"/>
  <c r="BA97" i="86"/>
  <c r="U105" i="91"/>
  <c r="V104" i="91"/>
  <c r="AU50" i="88"/>
  <c r="AY50" i="88"/>
  <c r="AW50" i="88"/>
  <c r="AT50" i="88"/>
  <c r="BL95" i="88"/>
  <c r="K53" i="78"/>
  <c r="O53" i="78"/>
  <c r="M53" i="78"/>
  <c r="J53" i="78"/>
  <c r="W93" i="78"/>
  <c r="N54" i="78"/>
  <c r="M52" i="91"/>
  <c r="S52" i="91"/>
  <c r="W87" i="91"/>
  <c r="L52" i="91"/>
  <c r="P52" i="91"/>
  <c r="N52" i="91"/>
  <c r="K52" i="91"/>
  <c r="J56" i="75"/>
  <c r="X91" i="75"/>
  <c r="BK56" i="75"/>
  <c r="M56" i="75"/>
  <c r="S56" i="75"/>
  <c r="X88" i="88"/>
  <c r="J53" i="88"/>
  <c r="BK53" i="88"/>
  <c r="M53" i="88"/>
  <c r="S53" i="88"/>
  <c r="V33" i="66"/>
  <c r="Z33" i="66"/>
  <c r="AM89" i="88"/>
  <c r="AO50" i="88"/>
  <c r="AS50" i="88"/>
  <c r="S31" i="59"/>
  <c r="T78" i="59"/>
  <c r="J31" i="59"/>
  <c r="X86" i="91"/>
  <c r="BK51" i="91"/>
  <c r="J51" i="91"/>
  <c r="AX58" i="78"/>
  <c r="AW58" i="78"/>
  <c r="AU58" i="78"/>
  <c r="AR58" i="78"/>
  <c r="BI58" i="78"/>
  <c r="X92" i="78"/>
  <c r="G105" i="75"/>
  <c r="H104" i="75"/>
  <c r="BJ104" i="75"/>
  <c r="AU33" i="59"/>
  <c r="AV33" i="59"/>
  <c r="AO60" i="91"/>
  <c r="AM99" i="91"/>
  <c r="AS60" i="91"/>
  <c r="AV103" i="91"/>
  <c r="BA97" i="91"/>
  <c r="AZ97" i="91"/>
  <c r="W109" i="66"/>
  <c r="O108" i="66"/>
  <c r="BH106" i="86"/>
  <c r="BI105" i="86"/>
  <c r="AZ107" i="88"/>
  <c r="BA107" i="88"/>
  <c r="R104" i="91"/>
  <c r="Q104" i="91"/>
  <c r="M104" i="91"/>
  <c r="V105" i="86"/>
  <c r="U106" i="86"/>
  <c r="U77" i="59"/>
  <c r="G106" i="91"/>
  <c r="H105" i="91"/>
  <c r="BJ105" i="91"/>
  <c r="AU61" i="91"/>
  <c r="AY61" i="91"/>
  <c r="AW61" i="91"/>
  <c r="AT61" i="91"/>
  <c r="BL106" i="91"/>
  <c r="BG61" i="91"/>
  <c r="BH105" i="91"/>
  <c r="BI104" i="91"/>
  <c r="G108" i="78"/>
  <c r="H107" i="78"/>
  <c r="BH113" i="78"/>
  <c r="V105" i="88"/>
  <c r="U106" i="88"/>
  <c r="AV50" i="88"/>
  <c r="U106" i="91"/>
  <c r="V105" i="91"/>
  <c r="AP108" i="91"/>
  <c r="AQ108" i="91"/>
  <c r="AQ107" i="91"/>
  <c r="G106" i="86"/>
  <c r="H105" i="86"/>
  <c r="BJ105" i="86"/>
  <c r="G107" i="88"/>
  <c r="H106" i="88"/>
  <c r="BJ106" i="88"/>
  <c r="BI107" i="75"/>
  <c r="BH108" i="75"/>
  <c r="AT58" i="78"/>
  <c r="BE58" i="78"/>
  <c r="AY58" i="78"/>
  <c r="M106" i="66"/>
  <c r="L106" i="66"/>
  <c r="N106" i="66"/>
  <c r="M31" i="59"/>
  <c r="AT33" i="59"/>
  <c r="Q104" i="88"/>
  <c r="R104" i="88"/>
  <c r="M104" i="88"/>
  <c r="AM89" i="75"/>
  <c r="AS50" i="75"/>
  <c r="AO50" i="75"/>
  <c r="AV50" i="75"/>
  <c r="BG50" i="75"/>
  <c r="Q106" i="75"/>
  <c r="M106" i="75"/>
  <c r="R106" i="75"/>
  <c r="Q104" i="86"/>
  <c r="R104" i="86"/>
  <c r="M104" i="86"/>
  <c r="V107" i="75"/>
  <c r="U108" i="75"/>
  <c r="AM96" i="78"/>
  <c r="AO57" i="78"/>
  <c r="AV106" i="75"/>
  <c r="BA100" i="75"/>
  <c r="AZ100" i="75"/>
  <c r="U107" i="66"/>
  <c r="AA107" i="66"/>
  <c r="F108" i="66"/>
  <c r="G107" i="66"/>
  <c r="W85" i="86"/>
  <c r="L50" i="86"/>
  <c r="P50" i="86"/>
  <c r="N50" i="86"/>
  <c r="K50" i="86"/>
  <c r="AU51" i="86"/>
  <c r="AY51" i="86"/>
  <c r="AW51" i="86"/>
  <c r="BL96" i="86"/>
  <c r="AV58" i="78"/>
  <c r="AV104" i="86"/>
  <c r="BA98" i="86"/>
  <c r="AZ98" i="86"/>
  <c r="BA108" i="88"/>
  <c r="AZ108" i="88"/>
  <c r="AZ109" i="88"/>
  <c r="M53" i="91"/>
  <c r="S53" i="91"/>
  <c r="W88" i="91"/>
  <c r="L53" i="91"/>
  <c r="P53" i="91"/>
  <c r="N53" i="91"/>
  <c r="K53" i="91"/>
  <c r="X85" i="86"/>
  <c r="BK50" i="86"/>
  <c r="J50" i="86"/>
  <c r="M50" i="86"/>
  <c r="S50" i="86"/>
  <c r="X87" i="91"/>
  <c r="BK52" i="91"/>
  <c r="J52" i="91"/>
  <c r="AO61" i="91"/>
  <c r="AM100" i="91"/>
  <c r="AS61" i="91"/>
  <c r="M107" i="66"/>
  <c r="L107" i="66"/>
  <c r="N107" i="66"/>
  <c r="G108" i="88"/>
  <c r="H107" i="88"/>
  <c r="BJ107" i="88"/>
  <c r="G107" i="86"/>
  <c r="H106" i="86"/>
  <c r="BJ106" i="86"/>
  <c r="BH106" i="91"/>
  <c r="BI105" i="91"/>
  <c r="Q105" i="86"/>
  <c r="R105" i="86"/>
  <c r="M105" i="86"/>
  <c r="BI106" i="86"/>
  <c r="BH107" i="86"/>
  <c r="O31" i="59"/>
  <c r="P31" i="59"/>
  <c r="AU51" i="75"/>
  <c r="AY51" i="75"/>
  <c r="AW51" i="75"/>
  <c r="AT51" i="75"/>
  <c r="AV51" i="75"/>
  <c r="BG51" i="75"/>
  <c r="BL96" i="75"/>
  <c r="AR33" i="59"/>
  <c r="BG50" i="88"/>
  <c r="H108" i="78"/>
  <c r="BH114" i="78"/>
  <c r="AU62" i="91"/>
  <c r="AY62" i="91"/>
  <c r="AW62" i="91"/>
  <c r="AT62" i="91"/>
  <c r="BL107" i="91"/>
  <c r="BG62" i="91"/>
  <c r="J34" i="66"/>
  <c r="I34" i="66"/>
  <c r="K34" i="66"/>
  <c r="X34" i="66"/>
  <c r="U108" i="66"/>
  <c r="G108" i="66"/>
  <c r="F109" i="66"/>
  <c r="AA108" i="66"/>
  <c r="AW59" i="78"/>
  <c r="BI108" i="75"/>
  <c r="BH109" i="75"/>
  <c r="V106" i="88"/>
  <c r="U107" i="88"/>
  <c r="G107" i="91"/>
  <c r="H106" i="91"/>
  <c r="BJ106" i="91"/>
  <c r="O109" i="66"/>
  <c r="W110" i="66"/>
  <c r="AS34" i="59"/>
  <c r="H105" i="75"/>
  <c r="BJ105" i="75"/>
  <c r="G106" i="75"/>
  <c r="W89" i="88"/>
  <c r="L54" i="88"/>
  <c r="P54" i="88"/>
  <c r="N54" i="88"/>
  <c r="K54" i="88"/>
  <c r="W92" i="75"/>
  <c r="L57" i="75"/>
  <c r="P57" i="75"/>
  <c r="N57" i="75"/>
  <c r="K57" i="75"/>
  <c r="R107" i="75"/>
  <c r="M107" i="75"/>
  <c r="Q107" i="75"/>
  <c r="BH65" i="78"/>
  <c r="AT59" i="78"/>
  <c r="BJ104" i="78"/>
  <c r="V106" i="91"/>
  <c r="U107" i="91"/>
  <c r="AO58" i="78"/>
  <c r="AM97" i="78"/>
  <c r="X93" i="78"/>
  <c r="BJ59" i="78"/>
  <c r="AT51" i="86"/>
  <c r="AV107" i="75"/>
  <c r="AZ101" i="75"/>
  <c r="BA101" i="75"/>
  <c r="Q105" i="91"/>
  <c r="R105" i="91"/>
  <c r="M105" i="91"/>
  <c r="Q105" i="88"/>
  <c r="R105" i="88"/>
  <c r="M105" i="88"/>
  <c r="AV104" i="91"/>
  <c r="BA98" i="91"/>
  <c r="AZ98" i="91"/>
  <c r="U107" i="86"/>
  <c r="V106" i="86"/>
  <c r="AZ99" i="86"/>
  <c r="AV105" i="86"/>
  <c r="BA99" i="86"/>
  <c r="L53" i="78"/>
  <c r="R53" i="78"/>
  <c r="AU52" i="75"/>
  <c r="AY52" i="75"/>
  <c r="AW52" i="75"/>
  <c r="AT52" i="75"/>
  <c r="BL97" i="75"/>
  <c r="J54" i="88"/>
  <c r="X89" i="88"/>
  <c r="BK54" i="88"/>
  <c r="Q106" i="86"/>
  <c r="R106" i="86"/>
  <c r="M106" i="86"/>
  <c r="AS51" i="86"/>
  <c r="AM90" i="86"/>
  <c r="AO51" i="86"/>
  <c r="X92" i="75"/>
  <c r="J57" i="75"/>
  <c r="BK57" i="75"/>
  <c r="BH110" i="75"/>
  <c r="BI109" i="75"/>
  <c r="U109" i="66"/>
  <c r="G109" i="66"/>
  <c r="F110" i="66"/>
  <c r="AA109" i="66"/>
  <c r="AY59" i="78"/>
  <c r="AX59" i="78"/>
  <c r="AV59" i="78"/>
  <c r="AS59" i="78"/>
  <c r="Q106" i="88"/>
  <c r="M106" i="88"/>
  <c r="R106" i="88"/>
  <c r="BA102" i="75"/>
  <c r="AZ102" i="75"/>
  <c r="AV108" i="75"/>
  <c r="AS62" i="91"/>
  <c r="AO62" i="91"/>
  <c r="AM101" i="91"/>
  <c r="AU51" i="88"/>
  <c r="AY51" i="88"/>
  <c r="AW51" i="88"/>
  <c r="AT51" i="88"/>
  <c r="BL96" i="88"/>
  <c r="BI107" i="86"/>
  <c r="BH108" i="86"/>
  <c r="BA99" i="91"/>
  <c r="AZ99" i="91"/>
  <c r="AV105" i="91"/>
  <c r="M54" i="91"/>
  <c r="S54" i="91"/>
  <c r="W89" i="91"/>
  <c r="L54" i="91"/>
  <c r="P54" i="91"/>
  <c r="N54" i="91"/>
  <c r="K54" i="91"/>
  <c r="M57" i="75"/>
  <c r="S57" i="75"/>
  <c r="G108" i="91"/>
  <c r="H107" i="91"/>
  <c r="BJ107" i="91"/>
  <c r="AU63" i="91"/>
  <c r="AY63" i="91"/>
  <c r="AW63" i="91"/>
  <c r="AT63" i="91"/>
  <c r="BL108" i="91"/>
  <c r="BG63" i="91"/>
  <c r="AO51" i="75"/>
  <c r="AS51" i="75"/>
  <c r="AM90" i="75"/>
  <c r="BK53" i="91"/>
  <c r="J53" i="91"/>
  <c r="X88" i="91"/>
  <c r="U108" i="86"/>
  <c r="V107" i="86"/>
  <c r="M54" i="88"/>
  <c r="S54" i="88"/>
  <c r="V107" i="88"/>
  <c r="U108" i="88"/>
  <c r="N31" i="59"/>
  <c r="L31" i="59"/>
  <c r="M32" i="59"/>
  <c r="V107" i="91"/>
  <c r="U108" i="91"/>
  <c r="N108" i="66"/>
  <c r="L108" i="66"/>
  <c r="M108" i="66"/>
  <c r="AO33" i="59"/>
  <c r="K54" i="78"/>
  <c r="O54" i="78"/>
  <c r="M54" i="78"/>
  <c r="J54" i="78"/>
  <c r="W94" i="78"/>
  <c r="N55" i="78"/>
  <c r="Q106" i="91"/>
  <c r="R106" i="91"/>
  <c r="M106" i="91"/>
  <c r="BF59" i="78"/>
  <c r="AZ59" i="78"/>
  <c r="AU59" i="78"/>
  <c r="G107" i="75"/>
  <c r="H106" i="75"/>
  <c r="BJ106" i="75"/>
  <c r="O110" i="66"/>
  <c r="W111" i="66"/>
  <c r="S34" i="66"/>
  <c r="R34" i="66"/>
  <c r="P34" i="66"/>
  <c r="T34" i="66"/>
  <c r="AV106" i="86"/>
  <c r="BA100" i="86"/>
  <c r="AZ100" i="86"/>
  <c r="BH107" i="91"/>
  <c r="BI106" i="91"/>
  <c r="G108" i="86"/>
  <c r="H107" i="86"/>
  <c r="BJ107" i="86"/>
  <c r="H108" i="88"/>
  <c r="BJ108" i="88"/>
  <c r="AV51" i="86"/>
  <c r="BG51" i="86"/>
  <c r="W86" i="86"/>
  <c r="L51" i="86"/>
  <c r="P51" i="86"/>
  <c r="N51" i="86"/>
  <c r="K51" i="86"/>
  <c r="J54" i="91"/>
  <c r="X89" i="91"/>
  <c r="BK54" i="91"/>
  <c r="AS51" i="88"/>
  <c r="AO51" i="88"/>
  <c r="AM90" i="88"/>
  <c r="AS63" i="91"/>
  <c r="AM102" i="91"/>
  <c r="AO63" i="91"/>
  <c r="H34" i="66"/>
  <c r="O34" i="66"/>
  <c r="M55" i="91"/>
  <c r="S55" i="91"/>
  <c r="W90" i="91"/>
  <c r="L55" i="91"/>
  <c r="P55" i="91"/>
  <c r="N55" i="91"/>
  <c r="K55" i="91"/>
  <c r="AS52" i="75"/>
  <c r="AM91" i="75"/>
  <c r="AO52" i="75"/>
  <c r="AV52" i="75"/>
  <c r="BG52" i="75"/>
  <c r="AL33" i="59"/>
  <c r="AJ72" i="59"/>
  <c r="Q107" i="88"/>
  <c r="M107" i="88"/>
  <c r="R107" i="88"/>
  <c r="AP59" i="78"/>
  <c r="AM98" i="78"/>
  <c r="AZ103" i="75"/>
  <c r="BA103" i="75"/>
  <c r="BK51" i="86"/>
  <c r="X86" i="86"/>
  <c r="J51" i="86"/>
  <c r="M51" i="86"/>
  <c r="S51" i="86"/>
  <c r="H108" i="86"/>
  <c r="BJ108" i="86"/>
  <c r="G108" i="75"/>
  <c r="H107" i="75"/>
  <c r="BJ107" i="75"/>
  <c r="BH66" i="78"/>
  <c r="AT60" i="78"/>
  <c r="BJ105" i="78"/>
  <c r="I31" i="59"/>
  <c r="BF37" i="59"/>
  <c r="K31" i="59"/>
  <c r="L55" i="88"/>
  <c r="P55" i="88"/>
  <c r="N55" i="88"/>
  <c r="K55" i="88"/>
  <c r="W90" i="88"/>
  <c r="G110" i="66"/>
  <c r="F111" i="66"/>
  <c r="U110" i="66"/>
  <c r="AA110" i="66"/>
  <c r="BI110" i="75"/>
  <c r="BH111" i="75"/>
  <c r="AU52" i="86"/>
  <c r="AY52" i="86"/>
  <c r="AW52" i="86"/>
  <c r="AT52" i="86"/>
  <c r="BL97" i="86"/>
  <c r="AV106" i="91"/>
  <c r="BA100" i="91"/>
  <c r="AZ100" i="91"/>
  <c r="L54" i="78"/>
  <c r="R54" i="78"/>
  <c r="M107" i="91"/>
  <c r="Q107" i="91"/>
  <c r="R107" i="91"/>
  <c r="H108" i="91"/>
  <c r="BJ108" i="91"/>
  <c r="BH109" i="86"/>
  <c r="BI108" i="86"/>
  <c r="AV51" i="88"/>
  <c r="N109" i="66"/>
  <c r="M109" i="66"/>
  <c r="L109" i="66"/>
  <c r="X94" i="78"/>
  <c r="BJ60" i="78"/>
  <c r="BI107" i="91"/>
  <c r="BH108" i="91"/>
  <c r="Q35" i="66"/>
  <c r="W112" i="66"/>
  <c r="O111" i="66"/>
  <c r="AW60" i="78"/>
  <c r="AQ33" i="59"/>
  <c r="BB33" i="59"/>
  <c r="Q107" i="86"/>
  <c r="M107" i="86"/>
  <c r="R107" i="86"/>
  <c r="AU64" i="91"/>
  <c r="AY64" i="91"/>
  <c r="AW64" i="91"/>
  <c r="AT64" i="91"/>
  <c r="BL109" i="91"/>
  <c r="BG64" i="91"/>
  <c r="L58" i="75"/>
  <c r="P58" i="75"/>
  <c r="N58" i="75"/>
  <c r="K58" i="75"/>
  <c r="W93" i="75"/>
  <c r="AZ101" i="86"/>
  <c r="AV107" i="86"/>
  <c r="BA101" i="86"/>
  <c r="AS64" i="91"/>
  <c r="AO64" i="91"/>
  <c r="AM103" i="91"/>
  <c r="AM91" i="86"/>
  <c r="AS52" i="86"/>
  <c r="AO52" i="86"/>
  <c r="X90" i="88"/>
  <c r="J55" i="88"/>
  <c r="BK55" i="88"/>
  <c r="X90" i="91"/>
  <c r="BK55" i="91"/>
  <c r="J55" i="91"/>
  <c r="J58" i="75"/>
  <c r="X93" i="75"/>
  <c r="BK58" i="75"/>
  <c r="M58" i="75"/>
  <c r="S58" i="75"/>
  <c r="BA104" i="75"/>
  <c r="AZ104" i="75"/>
  <c r="U111" i="66"/>
  <c r="G111" i="66"/>
  <c r="F112" i="66"/>
  <c r="AA111" i="66"/>
  <c r="M55" i="88"/>
  <c r="S55" i="88"/>
  <c r="U78" i="59"/>
  <c r="Q31" i="59"/>
  <c r="AU53" i="75"/>
  <c r="AY53" i="75"/>
  <c r="AW53" i="75"/>
  <c r="BL98" i="75"/>
  <c r="W113" i="66"/>
  <c r="O112" i="66"/>
  <c r="AV107" i="91"/>
  <c r="BA101" i="91"/>
  <c r="AZ101" i="91"/>
  <c r="BH110" i="86"/>
  <c r="BI109" i="86"/>
  <c r="L52" i="86"/>
  <c r="P52" i="86"/>
  <c r="N52" i="86"/>
  <c r="K52" i="86"/>
  <c r="M52" i="86"/>
  <c r="S52" i="86"/>
  <c r="W87" i="86"/>
  <c r="M56" i="91"/>
  <c r="S56" i="91"/>
  <c r="L56" i="91"/>
  <c r="P56" i="91"/>
  <c r="N56" i="91"/>
  <c r="W91" i="91"/>
  <c r="K56" i="91"/>
  <c r="BD40" i="59"/>
  <c r="AP34" i="59"/>
  <c r="BG79" i="59"/>
  <c r="BG51" i="88"/>
  <c r="K55" i="78"/>
  <c r="O55" i="78"/>
  <c r="M55" i="78"/>
  <c r="N56" i="78"/>
  <c r="W95" i="78"/>
  <c r="N110" i="66"/>
  <c r="M110" i="66"/>
  <c r="L110" i="66"/>
  <c r="AZ60" i="78"/>
  <c r="AY60" i="78"/>
  <c r="AU60" i="78"/>
  <c r="BF60" i="78"/>
  <c r="H108" i="75"/>
  <c r="BJ108" i="75"/>
  <c r="V34" i="66"/>
  <c r="Z34" i="66"/>
  <c r="AU65" i="91"/>
  <c r="AY65" i="91"/>
  <c r="AW65" i="91"/>
  <c r="AT65" i="91"/>
  <c r="BL110" i="91"/>
  <c r="BG65" i="91"/>
  <c r="BI111" i="75"/>
  <c r="BH112" i="75"/>
  <c r="AX60" i="78"/>
  <c r="AV60" i="78"/>
  <c r="AS60" i="78"/>
  <c r="BH109" i="91"/>
  <c r="BI108" i="91"/>
  <c r="BA102" i="86"/>
  <c r="AV108" i="86"/>
  <c r="AZ102" i="86"/>
  <c r="AV52" i="86"/>
  <c r="BG52" i="86"/>
  <c r="AS65" i="91"/>
  <c r="AO65" i="91"/>
  <c r="AM104" i="91"/>
  <c r="M57" i="91"/>
  <c r="S57" i="91"/>
  <c r="W92" i="91"/>
  <c r="L57" i="91"/>
  <c r="P57" i="91"/>
  <c r="N57" i="91"/>
  <c r="K57" i="91"/>
  <c r="L53" i="86"/>
  <c r="P53" i="86"/>
  <c r="N53" i="86"/>
  <c r="K53" i="86"/>
  <c r="W88" i="86"/>
  <c r="AW61" i="78"/>
  <c r="BH113" i="75"/>
  <c r="BI112" i="75"/>
  <c r="L55" i="78"/>
  <c r="R55" i="78"/>
  <c r="AU34" i="59"/>
  <c r="AV34" i="59"/>
  <c r="AT53" i="75"/>
  <c r="W91" i="88"/>
  <c r="L56" i="88"/>
  <c r="P56" i="88"/>
  <c r="N56" i="88"/>
  <c r="K56" i="88"/>
  <c r="L111" i="66"/>
  <c r="M111" i="66"/>
  <c r="N111" i="66"/>
  <c r="L59" i="75"/>
  <c r="P59" i="75"/>
  <c r="N59" i="75"/>
  <c r="W94" i="75"/>
  <c r="BA102" i="91"/>
  <c r="AZ102" i="91"/>
  <c r="AV108" i="91"/>
  <c r="AV109" i="91"/>
  <c r="K35" i="66"/>
  <c r="J35" i="66"/>
  <c r="I35" i="66"/>
  <c r="X35" i="66"/>
  <c r="BG67" i="78"/>
  <c r="AT61" i="78"/>
  <c r="BJ106" i="78"/>
  <c r="J52" i="86"/>
  <c r="BK52" i="86"/>
  <c r="X87" i="86"/>
  <c r="BA103" i="86"/>
  <c r="AZ103" i="86"/>
  <c r="O113" i="66"/>
  <c r="W114" i="66"/>
  <c r="X91" i="91"/>
  <c r="BK56" i="91"/>
  <c r="J56" i="91"/>
  <c r="BI109" i="91"/>
  <c r="BH110" i="91"/>
  <c r="AU66" i="91"/>
  <c r="AY66" i="91"/>
  <c r="AW66" i="91"/>
  <c r="AT66" i="91"/>
  <c r="BL111" i="91"/>
  <c r="BG66" i="91"/>
  <c r="J55" i="78"/>
  <c r="BI110" i="86"/>
  <c r="BH111" i="86"/>
  <c r="S32" i="59"/>
  <c r="J32" i="59"/>
  <c r="T79" i="59"/>
  <c r="AU53" i="86"/>
  <c r="AY53" i="86"/>
  <c r="AW53" i="86"/>
  <c r="AT53" i="86"/>
  <c r="AV53" i="86"/>
  <c r="BL98" i="86"/>
  <c r="AZ105" i="75"/>
  <c r="BA105" i="75"/>
  <c r="AM99" i="78"/>
  <c r="AP60" i="78"/>
  <c r="AU52" i="88"/>
  <c r="AY52" i="88"/>
  <c r="AW52" i="88"/>
  <c r="AT52" i="88"/>
  <c r="AV52" i="88"/>
  <c r="BG52" i="88"/>
  <c r="BL97" i="88"/>
  <c r="AA112" i="66"/>
  <c r="F113" i="66"/>
  <c r="U112" i="66"/>
  <c r="G112" i="66"/>
  <c r="X88" i="86"/>
  <c r="BK53" i="86"/>
  <c r="J53" i="86"/>
  <c r="AU53" i="88"/>
  <c r="AY53" i="88"/>
  <c r="AW53" i="88"/>
  <c r="AT53" i="88"/>
  <c r="BL98" i="88"/>
  <c r="M58" i="91"/>
  <c r="S58" i="91"/>
  <c r="L58" i="91"/>
  <c r="P58" i="91"/>
  <c r="N58" i="91"/>
  <c r="K58" i="91"/>
  <c r="W93" i="91"/>
  <c r="BG53" i="86"/>
  <c r="AM105" i="91"/>
  <c r="AS66" i="91"/>
  <c r="AO66" i="91"/>
  <c r="BK56" i="88"/>
  <c r="J56" i="88"/>
  <c r="X91" i="88"/>
  <c r="X92" i="91"/>
  <c r="BK57" i="91"/>
  <c r="J57" i="91"/>
  <c r="P32" i="59"/>
  <c r="O32" i="59"/>
  <c r="N32" i="59"/>
  <c r="L32" i="59"/>
  <c r="I32" i="59"/>
  <c r="K32" i="59"/>
  <c r="Q32" i="59"/>
  <c r="BA103" i="91"/>
  <c r="AZ103" i="91"/>
  <c r="AY61" i="78"/>
  <c r="AX61" i="78"/>
  <c r="AV61" i="78"/>
  <c r="AS61" i="78"/>
  <c r="BA106" i="75"/>
  <c r="AZ106" i="75"/>
  <c r="AA113" i="66"/>
  <c r="U113" i="66"/>
  <c r="F114" i="66"/>
  <c r="G113" i="66"/>
  <c r="AS52" i="88"/>
  <c r="AM91" i="88"/>
  <c r="AO52" i="88"/>
  <c r="N112" i="66"/>
  <c r="L112" i="66"/>
  <c r="M112" i="66"/>
  <c r="AM92" i="86"/>
  <c r="AO53" i="86"/>
  <c r="AS53" i="86"/>
  <c r="X95" i="78"/>
  <c r="BJ61" i="78"/>
  <c r="BI111" i="86"/>
  <c r="BH112" i="86"/>
  <c r="K59" i="75"/>
  <c r="M59" i="75"/>
  <c r="S59" i="75"/>
  <c r="M56" i="88"/>
  <c r="S56" i="88"/>
  <c r="BI113" i="75"/>
  <c r="BH114" i="75"/>
  <c r="BI114" i="75"/>
  <c r="BF38" i="59"/>
  <c r="U79" i="59"/>
  <c r="AZ104" i="86"/>
  <c r="BA104" i="86"/>
  <c r="BF61" i="78"/>
  <c r="AZ61" i="78"/>
  <c r="AU61" i="78"/>
  <c r="T35" i="66"/>
  <c r="S35" i="66"/>
  <c r="AO53" i="75"/>
  <c r="AM92" i="75"/>
  <c r="AS53" i="75"/>
  <c r="AT34" i="59"/>
  <c r="AR34" i="59"/>
  <c r="AS35" i="59"/>
  <c r="M53" i="86"/>
  <c r="S53" i="86"/>
  <c r="AU67" i="91"/>
  <c r="AY67" i="91"/>
  <c r="AW67" i="91"/>
  <c r="AT67" i="91"/>
  <c r="BL112" i="91"/>
  <c r="BG67" i="91"/>
  <c r="BI110" i="91"/>
  <c r="BH111" i="91"/>
  <c r="O114" i="66"/>
  <c r="W115" i="66"/>
  <c r="R35" i="66"/>
  <c r="P35" i="66"/>
  <c r="W96" i="78"/>
  <c r="K56" i="78"/>
  <c r="O56" i="78"/>
  <c r="M56" i="78"/>
  <c r="N57" i="78"/>
  <c r="AV53" i="75"/>
  <c r="AO53" i="88"/>
  <c r="AM92" i="88"/>
  <c r="AS53" i="88"/>
  <c r="S33" i="59"/>
  <c r="J33" i="59"/>
  <c r="T80" i="59"/>
  <c r="L60" i="75"/>
  <c r="P60" i="75"/>
  <c r="N60" i="75"/>
  <c r="K60" i="75"/>
  <c r="M60" i="75"/>
  <c r="S60" i="75"/>
  <c r="W95" i="75"/>
  <c r="X93" i="91"/>
  <c r="BK58" i="91"/>
  <c r="J58" i="91"/>
  <c r="M59" i="91"/>
  <c r="S59" i="91"/>
  <c r="W94" i="91"/>
  <c r="L59" i="91"/>
  <c r="P59" i="91"/>
  <c r="N59" i="91"/>
  <c r="K59" i="91"/>
  <c r="BG68" i="78"/>
  <c r="BJ107" i="78"/>
  <c r="AT62" i="78"/>
  <c r="AZ107" i="75"/>
  <c r="BA107" i="75"/>
  <c r="L113" i="66"/>
  <c r="N113" i="66"/>
  <c r="M113" i="66"/>
  <c r="AP61" i="78"/>
  <c r="AM100" i="78"/>
  <c r="BG53" i="75"/>
  <c r="U114" i="66"/>
  <c r="G114" i="66"/>
  <c r="F115" i="66"/>
  <c r="AA114" i="66"/>
  <c r="M33" i="59"/>
  <c r="BI111" i="91"/>
  <c r="BH112" i="91"/>
  <c r="AS67" i="91"/>
  <c r="AO67" i="91"/>
  <c r="AM106" i="91"/>
  <c r="O115" i="66"/>
  <c r="W116" i="66"/>
  <c r="BA104" i="91"/>
  <c r="AZ104" i="91"/>
  <c r="J56" i="78"/>
  <c r="L56" i="78"/>
  <c r="R56" i="78"/>
  <c r="AU68" i="91"/>
  <c r="AY68" i="91"/>
  <c r="AW68" i="91"/>
  <c r="AT68" i="91"/>
  <c r="BL113" i="91"/>
  <c r="BG68" i="91"/>
  <c r="L54" i="86"/>
  <c r="P54" i="86"/>
  <c r="N54" i="86"/>
  <c r="K54" i="86"/>
  <c r="M54" i="86"/>
  <c r="S54" i="86"/>
  <c r="W89" i="86"/>
  <c r="AW62" i="78"/>
  <c r="L57" i="88"/>
  <c r="P57" i="88"/>
  <c r="N57" i="88"/>
  <c r="W92" i="88"/>
  <c r="K57" i="88"/>
  <c r="M57" i="88"/>
  <c r="S57" i="88"/>
  <c r="BH113" i="86"/>
  <c r="BI112" i="86"/>
  <c r="AU54" i="86"/>
  <c r="AY54" i="86"/>
  <c r="AW54" i="86"/>
  <c r="AT54" i="86"/>
  <c r="BL99" i="86"/>
  <c r="AV53" i="88"/>
  <c r="BG53" i="88"/>
  <c r="H35" i="66"/>
  <c r="O35" i="66"/>
  <c r="AO34" i="59"/>
  <c r="AQ34" i="59"/>
  <c r="BB34" i="59"/>
  <c r="Q36" i="66"/>
  <c r="BA108" i="75"/>
  <c r="AZ108" i="75"/>
  <c r="AZ109" i="75"/>
  <c r="J59" i="75"/>
  <c r="BK59" i="75"/>
  <c r="X94" i="75"/>
  <c r="AZ105" i="86"/>
  <c r="BA105" i="86"/>
  <c r="L55" i="86"/>
  <c r="P55" i="86"/>
  <c r="N55" i="86"/>
  <c r="W90" i="86"/>
  <c r="AO68" i="91"/>
  <c r="AM107" i="91"/>
  <c r="AS68" i="91"/>
  <c r="X94" i="91"/>
  <c r="J59" i="91"/>
  <c r="BK59" i="91"/>
  <c r="W96" i="75"/>
  <c r="L61" i="75"/>
  <c r="P61" i="75"/>
  <c r="N61" i="75"/>
  <c r="BD41" i="59"/>
  <c r="BG80" i="59"/>
  <c r="AP35" i="59"/>
  <c r="W93" i="88"/>
  <c r="L58" i="88"/>
  <c r="P58" i="88"/>
  <c r="N58" i="88"/>
  <c r="V35" i="66"/>
  <c r="Z35" i="66"/>
  <c r="M60" i="91"/>
  <c r="S60" i="91"/>
  <c r="L60" i="91"/>
  <c r="P60" i="91"/>
  <c r="N60" i="91"/>
  <c r="K60" i="91"/>
  <c r="W95" i="91"/>
  <c r="BH113" i="91"/>
  <c r="BI112" i="91"/>
  <c r="P33" i="59"/>
  <c r="O33" i="59"/>
  <c r="AS54" i="86"/>
  <c r="AO54" i="86"/>
  <c r="AM93" i="86"/>
  <c r="AV54" i="86"/>
  <c r="AZ106" i="86"/>
  <c r="BA106" i="86"/>
  <c r="AZ105" i="91"/>
  <c r="BA105" i="91"/>
  <c r="U115" i="66"/>
  <c r="G115" i="66"/>
  <c r="F116" i="66"/>
  <c r="AA115" i="66"/>
  <c r="J60" i="75"/>
  <c r="BK60" i="75"/>
  <c r="X95" i="75"/>
  <c r="AU54" i="88"/>
  <c r="AY54" i="88"/>
  <c r="AW54" i="88"/>
  <c r="AT54" i="88"/>
  <c r="BL99" i="88"/>
  <c r="BI113" i="86"/>
  <c r="BH114" i="86"/>
  <c r="BI114" i="86"/>
  <c r="BK54" i="86"/>
  <c r="X89" i="86"/>
  <c r="J54" i="86"/>
  <c r="AU69" i="91"/>
  <c r="AY69" i="91"/>
  <c r="AW69" i="91"/>
  <c r="AT69" i="91"/>
  <c r="BL114" i="91"/>
  <c r="BG69" i="91"/>
  <c r="K57" i="78"/>
  <c r="O57" i="78"/>
  <c r="M57" i="78"/>
  <c r="L57" i="78"/>
  <c r="R57" i="78"/>
  <c r="N58" i="78"/>
  <c r="W97" i="78"/>
  <c r="J57" i="78"/>
  <c r="W117" i="66"/>
  <c r="O116" i="66"/>
  <c r="L114" i="66"/>
  <c r="N114" i="66"/>
  <c r="M114" i="66"/>
  <c r="AU54" i="75"/>
  <c r="AY54" i="75"/>
  <c r="AW54" i="75"/>
  <c r="AT54" i="75"/>
  <c r="AV54" i="75"/>
  <c r="BL99" i="75"/>
  <c r="AJ73" i="59"/>
  <c r="AL34" i="59"/>
  <c r="J57" i="88"/>
  <c r="BK57" i="88"/>
  <c r="X92" i="88"/>
  <c r="X96" i="78"/>
  <c r="BJ62" i="78"/>
  <c r="AZ62" i="78"/>
  <c r="AY62" i="78"/>
  <c r="AX62" i="78"/>
  <c r="AV62" i="78"/>
  <c r="AS62" i="78"/>
  <c r="AU62" i="78"/>
  <c r="BF62" i="78"/>
  <c r="N33" i="59"/>
  <c r="L33" i="59"/>
  <c r="I33" i="59"/>
  <c r="BF39" i="59"/>
  <c r="AM101" i="78"/>
  <c r="AP62" i="78"/>
  <c r="W98" i="78"/>
  <c r="K58" i="78"/>
  <c r="O58" i="78"/>
  <c r="M58" i="78"/>
  <c r="N59" i="78"/>
  <c r="BG54" i="75"/>
  <c r="AS69" i="91"/>
  <c r="AO69" i="91"/>
  <c r="AM108" i="91"/>
  <c r="M61" i="91"/>
  <c r="S61" i="91"/>
  <c r="L61" i="91"/>
  <c r="P61" i="91"/>
  <c r="N61" i="91"/>
  <c r="K61" i="91"/>
  <c r="W96" i="91"/>
  <c r="BG69" i="78"/>
  <c r="BJ108" i="78"/>
  <c r="AT63" i="78"/>
  <c r="O117" i="66"/>
  <c r="W118" i="66"/>
  <c r="K58" i="88"/>
  <c r="M58" i="88"/>
  <c r="S58" i="88"/>
  <c r="K61" i="75"/>
  <c r="K55" i="86"/>
  <c r="M55" i="86"/>
  <c r="S55" i="86"/>
  <c r="BA108" i="86"/>
  <c r="AZ108" i="86"/>
  <c r="AZ107" i="86"/>
  <c r="AZ109" i="86"/>
  <c r="AM93" i="88"/>
  <c r="AO54" i="88"/>
  <c r="AS54" i="88"/>
  <c r="U116" i="66"/>
  <c r="AA116" i="66"/>
  <c r="F117" i="66"/>
  <c r="G116" i="66"/>
  <c r="BG54" i="86"/>
  <c r="K33" i="59"/>
  <c r="X95" i="91"/>
  <c r="BK60" i="91"/>
  <c r="J60" i="91"/>
  <c r="AW63" i="78"/>
  <c r="AS54" i="75"/>
  <c r="AM93" i="75"/>
  <c r="AO54" i="75"/>
  <c r="AU70" i="91"/>
  <c r="AY70" i="91"/>
  <c r="AW70" i="91"/>
  <c r="AT70" i="91"/>
  <c r="BL115" i="91"/>
  <c r="BG70" i="91"/>
  <c r="BA107" i="86"/>
  <c r="L115" i="66"/>
  <c r="M115" i="66"/>
  <c r="N115" i="66"/>
  <c r="BA106" i="91"/>
  <c r="AZ106" i="91"/>
  <c r="K36" i="66"/>
  <c r="J36" i="66"/>
  <c r="I36" i="66"/>
  <c r="X36" i="66"/>
  <c r="X97" i="78"/>
  <c r="BJ63" i="78"/>
  <c r="AV54" i="88"/>
  <c r="BG54" i="88"/>
  <c r="M34" i="59"/>
  <c r="BH114" i="91"/>
  <c r="BI114" i="91"/>
  <c r="BI113" i="91"/>
  <c r="AU35" i="59"/>
  <c r="AT35" i="59"/>
  <c r="AV35" i="59"/>
  <c r="AR35" i="59"/>
  <c r="M62" i="91"/>
  <c r="S62" i="91"/>
  <c r="L62" i="91"/>
  <c r="P62" i="91"/>
  <c r="N62" i="91"/>
  <c r="K62" i="91"/>
  <c r="W97" i="91"/>
  <c r="L59" i="88"/>
  <c r="P59" i="88"/>
  <c r="N59" i="88"/>
  <c r="K59" i="88"/>
  <c r="W94" i="88"/>
  <c r="AO35" i="59"/>
  <c r="AQ35" i="59"/>
  <c r="BB35" i="59"/>
  <c r="AM109" i="91"/>
  <c r="AO70" i="91"/>
  <c r="AS70" i="91"/>
  <c r="W91" i="86"/>
  <c r="L56" i="86"/>
  <c r="P56" i="86"/>
  <c r="N56" i="86"/>
  <c r="K56" i="86"/>
  <c r="M56" i="86"/>
  <c r="S56" i="86"/>
  <c r="J61" i="91"/>
  <c r="BK61" i="91"/>
  <c r="X96" i="91"/>
  <c r="AZ107" i="91"/>
  <c r="BA107" i="91"/>
  <c r="T36" i="66"/>
  <c r="S36" i="66"/>
  <c r="AU71" i="91"/>
  <c r="AY71" i="91"/>
  <c r="AW71" i="91"/>
  <c r="AT71" i="91"/>
  <c r="BL116" i="91"/>
  <c r="BG71" i="91"/>
  <c r="BK61" i="75"/>
  <c r="J61" i="75"/>
  <c r="X96" i="75"/>
  <c r="O118" i="66"/>
  <c r="W119" i="66"/>
  <c r="M116" i="66"/>
  <c r="L116" i="66"/>
  <c r="N116" i="66"/>
  <c r="AU63" i="78"/>
  <c r="BF63" i="78"/>
  <c r="AZ63" i="78"/>
  <c r="AY63" i="78"/>
  <c r="AX63" i="78"/>
  <c r="AV63" i="78"/>
  <c r="AS63" i="78"/>
  <c r="L58" i="78"/>
  <c r="R58" i="78"/>
  <c r="AU55" i="88"/>
  <c r="AY55" i="88"/>
  <c r="AW55" i="88"/>
  <c r="AT55" i="88"/>
  <c r="AV55" i="88"/>
  <c r="BG55" i="88"/>
  <c r="BL100" i="88"/>
  <c r="Q33" i="59"/>
  <c r="U80" i="59"/>
  <c r="F118" i="66"/>
  <c r="G117" i="66"/>
  <c r="U117" i="66"/>
  <c r="AA117" i="66"/>
  <c r="BK58" i="88"/>
  <c r="X93" i="88"/>
  <c r="J58" i="88"/>
  <c r="M61" i="75"/>
  <c r="S61" i="75"/>
  <c r="J58" i="78"/>
  <c r="BA108" i="91"/>
  <c r="AZ108" i="91"/>
  <c r="AZ109" i="91"/>
  <c r="AS36" i="59"/>
  <c r="AU55" i="86"/>
  <c r="AY55" i="86"/>
  <c r="AW55" i="86"/>
  <c r="AT55" i="86"/>
  <c r="BL100" i="86"/>
  <c r="BK55" i="86"/>
  <c r="X90" i="86"/>
  <c r="J55" i="86"/>
  <c r="AU55" i="75"/>
  <c r="AY55" i="75"/>
  <c r="AW55" i="75"/>
  <c r="AT55" i="75"/>
  <c r="BL100" i="75"/>
  <c r="AS71" i="91"/>
  <c r="AO71" i="91"/>
  <c r="AM110" i="91"/>
  <c r="L57" i="86"/>
  <c r="P57" i="86"/>
  <c r="N57" i="86"/>
  <c r="K57" i="86"/>
  <c r="W92" i="86"/>
  <c r="J59" i="88"/>
  <c r="BK59" i="88"/>
  <c r="X94" i="88"/>
  <c r="AO55" i="75"/>
  <c r="AS55" i="75"/>
  <c r="AM94" i="75"/>
  <c r="AU56" i="88"/>
  <c r="AY56" i="88"/>
  <c r="AW56" i="88"/>
  <c r="BL101" i="88"/>
  <c r="AP63" i="78"/>
  <c r="AM102" i="78"/>
  <c r="AV55" i="75"/>
  <c r="W97" i="75"/>
  <c r="L62" i="75"/>
  <c r="P62" i="75"/>
  <c r="N62" i="75"/>
  <c r="K62" i="75"/>
  <c r="L117" i="66"/>
  <c r="M117" i="66"/>
  <c r="N117" i="66"/>
  <c r="AS55" i="88"/>
  <c r="AO55" i="88"/>
  <c r="AM94" i="88"/>
  <c r="BG70" i="78"/>
  <c r="AT64" i="78"/>
  <c r="BJ109" i="78"/>
  <c r="F119" i="66"/>
  <c r="U118" i="66"/>
  <c r="AA118" i="66"/>
  <c r="G118" i="66"/>
  <c r="K59" i="78"/>
  <c r="O59" i="78"/>
  <c r="M59" i="78"/>
  <c r="L59" i="78"/>
  <c r="R59" i="78"/>
  <c r="N60" i="78"/>
  <c r="W99" i="78"/>
  <c r="O119" i="66"/>
  <c r="W120" i="66"/>
  <c r="AW64" i="78"/>
  <c r="R36" i="66"/>
  <c r="P36" i="66"/>
  <c r="Q37" i="66"/>
  <c r="J56" i="86"/>
  <c r="X91" i="86"/>
  <c r="BK56" i="86"/>
  <c r="BD42" i="59"/>
  <c r="BG81" i="59"/>
  <c r="AP36" i="59"/>
  <c r="X97" i="91"/>
  <c r="J62" i="91"/>
  <c r="BK62" i="91"/>
  <c r="AM94" i="86"/>
  <c r="AO55" i="86"/>
  <c r="AS55" i="86"/>
  <c r="AU72" i="91"/>
  <c r="AY72" i="91"/>
  <c r="AW72" i="91"/>
  <c r="AT72" i="91"/>
  <c r="BL117" i="91"/>
  <c r="BG72" i="91"/>
  <c r="AV55" i="86"/>
  <c r="BJ64" i="78"/>
  <c r="X98" i="78"/>
  <c r="S34" i="59"/>
  <c r="J34" i="59"/>
  <c r="T81" i="59"/>
  <c r="AJ74" i="59"/>
  <c r="AL35" i="59"/>
  <c r="M59" i="88"/>
  <c r="S59" i="88"/>
  <c r="M63" i="91"/>
  <c r="S63" i="91"/>
  <c r="W98" i="91"/>
  <c r="L63" i="91"/>
  <c r="P63" i="91"/>
  <c r="N63" i="91"/>
  <c r="K63" i="91"/>
  <c r="J57" i="86"/>
  <c r="X92" i="86"/>
  <c r="BK57" i="86"/>
  <c r="W100" i="78"/>
  <c r="K60" i="78"/>
  <c r="O60" i="78"/>
  <c r="M60" i="78"/>
  <c r="N61" i="78"/>
  <c r="M64" i="91"/>
  <c r="S64" i="91"/>
  <c r="L64" i="91"/>
  <c r="P64" i="91"/>
  <c r="N64" i="91"/>
  <c r="K64" i="91"/>
  <c r="W99" i="91"/>
  <c r="BG55" i="86"/>
  <c r="AS72" i="91"/>
  <c r="AO72" i="91"/>
  <c r="AM111" i="91"/>
  <c r="W121" i="66"/>
  <c r="O120" i="66"/>
  <c r="M57" i="86"/>
  <c r="S57" i="86"/>
  <c r="O34" i="59"/>
  <c r="P34" i="59"/>
  <c r="H36" i="66"/>
  <c r="O36" i="66"/>
  <c r="AT56" i="88"/>
  <c r="AV56" i="88"/>
  <c r="BG56" i="88"/>
  <c r="BK63" i="91"/>
  <c r="X98" i="91"/>
  <c r="J63" i="91"/>
  <c r="L60" i="88"/>
  <c r="P60" i="88"/>
  <c r="N60" i="88"/>
  <c r="K60" i="88"/>
  <c r="W95" i="88"/>
  <c r="AU73" i="91"/>
  <c r="AY73" i="91"/>
  <c r="AW73" i="91"/>
  <c r="AT73" i="91"/>
  <c r="BL118" i="91"/>
  <c r="BG73" i="91"/>
  <c r="AU36" i="59"/>
  <c r="AT36" i="59"/>
  <c r="AV36" i="59"/>
  <c r="AR36" i="59"/>
  <c r="AO36" i="59"/>
  <c r="AQ36" i="59"/>
  <c r="BB36" i="59"/>
  <c r="J62" i="75"/>
  <c r="BK62" i="75"/>
  <c r="X97" i="75"/>
  <c r="M62" i="75"/>
  <c r="S62" i="75"/>
  <c r="J59" i="78"/>
  <c r="L118" i="66"/>
  <c r="N118" i="66"/>
  <c r="M118" i="66"/>
  <c r="G119" i="66"/>
  <c r="U119" i="66"/>
  <c r="F120" i="66"/>
  <c r="AA119" i="66"/>
  <c r="AZ64" i="78"/>
  <c r="AY64" i="78"/>
  <c r="AX64" i="78"/>
  <c r="AV64" i="78"/>
  <c r="AS64" i="78"/>
  <c r="AU64" i="78"/>
  <c r="BF64" i="78"/>
  <c r="BG55" i="75"/>
  <c r="AM103" i="78"/>
  <c r="AP64" i="78"/>
  <c r="AM112" i="91"/>
  <c r="AS73" i="91"/>
  <c r="AO73" i="91"/>
  <c r="BD43" i="59"/>
  <c r="BG82" i="59"/>
  <c r="AP37" i="59"/>
  <c r="J60" i="88"/>
  <c r="X95" i="88"/>
  <c r="BK60" i="88"/>
  <c r="AU57" i="88"/>
  <c r="AY57" i="88"/>
  <c r="AW57" i="88"/>
  <c r="BL102" i="88"/>
  <c r="V36" i="66"/>
  <c r="Z36" i="66"/>
  <c r="F121" i="66"/>
  <c r="G120" i="66"/>
  <c r="AA120" i="66"/>
  <c r="U120" i="66"/>
  <c r="AJ75" i="59"/>
  <c r="AL36" i="59"/>
  <c r="AU56" i="86"/>
  <c r="AY56" i="86"/>
  <c r="AW56" i="86"/>
  <c r="BL101" i="86"/>
  <c r="BG56" i="86"/>
  <c r="AV56" i="86"/>
  <c r="AV109" i="86"/>
  <c r="W98" i="75"/>
  <c r="L63" i="75"/>
  <c r="P63" i="75"/>
  <c r="N63" i="75"/>
  <c r="K63" i="75"/>
  <c r="L58" i="86"/>
  <c r="P58" i="86"/>
  <c r="N58" i="86"/>
  <c r="K58" i="86"/>
  <c r="M58" i="86"/>
  <c r="S58" i="86"/>
  <c r="W93" i="86"/>
  <c r="L60" i="78"/>
  <c r="R60" i="78"/>
  <c r="AS37" i="59"/>
  <c r="AU74" i="91"/>
  <c r="AY74" i="91"/>
  <c r="AW74" i="91"/>
  <c r="AT74" i="91"/>
  <c r="BL119" i="91"/>
  <c r="BG74" i="91"/>
  <c r="M60" i="88"/>
  <c r="S60" i="88"/>
  <c r="AS56" i="88"/>
  <c r="AM95" i="88"/>
  <c r="AO56" i="88"/>
  <c r="J64" i="91"/>
  <c r="BK64" i="91"/>
  <c r="X99" i="91"/>
  <c r="AU56" i="75"/>
  <c r="AY56" i="75"/>
  <c r="AW56" i="75"/>
  <c r="AT56" i="75"/>
  <c r="AV56" i="75"/>
  <c r="BG56" i="75"/>
  <c r="BL101" i="75"/>
  <c r="AW65" i="78"/>
  <c r="BG71" i="78"/>
  <c r="AT65" i="78"/>
  <c r="BJ110" i="78"/>
  <c r="N119" i="66"/>
  <c r="M119" i="66"/>
  <c r="L119" i="66"/>
  <c r="BJ65" i="78"/>
  <c r="X99" i="78"/>
  <c r="O121" i="66"/>
  <c r="W122" i="66"/>
  <c r="N34" i="59"/>
  <c r="L34" i="59"/>
  <c r="M65" i="91"/>
  <c r="S65" i="91"/>
  <c r="W100" i="91"/>
  <c r="L65" i="91"/>
  <c r="P65" i="91"/>
  <c r="N65" i="91"/>
  <c r="K65" i="91"/>
  <c r="J60" i="78"/>
  <c r="AM113" i="91"/>
  <c r="AS74" i="91"/>
  <c r="AO74" i="91"/>
  <c r="BK65" i="91"/>
  <c r="J65" i="91"/>
  <c r="X100" i="91"/>
  <c r="X98" i="75"/>
  <c r="BK63" i="75"/>
  <c r="J63" i="75"/>
  <c r="AU57" i="75"/>
  <c r="AY57" i="75"/>
  <c r="AW57" i="75"/>
  <c r="AT57" i="75"/>
  <c r="BL102" i="75"/>
  <c r="L59" i="86"/>
  <c r="P59" i="86"/>
  <c r="N59" i="86"/>
  <c r="K59" i="86"/>
  <c r="W94" i="86"/>
  <c r="BJ66" i="78"/>
  <c r="X100" i="78"/>
  <c r="M66" i="91"/>
  <c r="S66" i="91"/>
  <c r="W101" i="91"/>
  <c r="L66" i="91"/>
  <c r="P66" i="91"/>
  <c r="N66" i="91"/>
  <c r="K66" i="91"/>
  <c r="I34" i="59"/>
  <c r="BF40" i="59"/>
  <c r="AU65" i="78"/>
  <c r="AY65" i="78"/>
  <c r="BF65" i="78"/>
  <c r="AZ65" i="78"/>
  <c r="W101" i="78"/>
  <c r="K61" i="78"/>
  <c r="O61" i="78"/>
  <c r="M61" i="78"/>
  <c r="N62" i="78"/>
  <c r="AU57" i="86"/>
  <c r="AY57" i="86"/>
  <c r="AW57" i="86"/>
  <c r="BL102" i="86"/>
  <c r="BG57" i="86"/>
  <c r="J37" i="66"/>
  <c r="I37" i="66"/>
  <c r="K37" i="66"/>
  <c r="X37" i="66"/>
  <c r="N120" i="66"/>
  <c r="L120" i="66"/>
  <c r="M120" i="66"/>
  <c r="AT57" i="88"/>
  <c r="AS56" i="75"/>
  <c r="AM95" i="75"/>
  <c r="AO56" i="75"/>
  <c r="M35" i="59"/>
  <c r="W96" i="88"/>
  <c r="L61" i="88"/>
  <c r="P61" i="88"/>
  <c r="N61" i="88"/>
  <c r="K61" i="88"/>
  <c r="M61" i="88"/>
  <c r="S61" i="88"/>
  <c r="BK58" i="86"/>
  <c r="J58" i="86"/>
  <c r="X93" i="86"/>
  <c r="M63" i="75"/>
  <c r="S63" i="75"/>
  <c r="U121" i="66"/>
  <c r="G121" i="66"/>
  <c r="F122" i="66"/>
  <c r="AA121" i="66"/>
  <c r="O122" i="66"/>
  <c r="W123" i="66"/>
  <c r="AX65" i="78"/>
  <c r="AV65" i="78"/>
  <c r="AS65" i="78"/>
  <c r="AU75" i="91"/>
  <c r="AY75" i="91"/>
  <c r="AW75" i="91"/>
  <c r="AT75" i="91"/>
  <c r="BL120" i="91"/>
  <c r="BG75" i="91"/>
  <c r="AU37" i="59"/>
  <c r="AT37" i="59"/>
  <c r="AV37" i="59"/>
  <c r="AR37" i="59"/>
  <c r="L62" i="88"/>
  <c r="P62" i="88"/>
  <c r="N62" i="88"/>
  <c r="W97" i="88"/>
  <c r="AS75" i="91"/>
  <c r="AM114" i="91"/>
  <c r="AO75" i="91"/>
  <c r="BK59" i="86"/>
  <c r="X94" i="86"/>
  <c r="J59" i="86"/>
  <c r="M67" i="91"/>
  <c r="S67" i="91"/>
  <c r="L67" i="91"/>
  <c r="P67" i="91"/>
  <c r="N67" i="91"/>
  <c r="W102" i="91"/>
  <c r="K67" i="91"/>
  <c r="AO37" i="59"/>
  <c r="AQ37" i="59"/>
  <c r="BB37" i="59"/>
  <c r="AS57" i="75"/>
  <c r="AM96" i="75"/>
  <c r="AO57" i="75"/>
  <c r="W124" i="66"/>
  <c r="O123" i="66"/>
  <c r="L64" i="75"/>
  <c r="P64" i="75"/>
  <c r="N64" i="75"/>
  <c r="K64" i="75"/>
  <c r="W99" i="75"/>
  <c r="T37" i="66"/>
  <c r="S37" i="66"/>
  <c r="K34" i="59"/>
  <c r="AV57" i="75"/>
  <c r="BG57" i="75"/>
  <c r="AS38" i="59"/>
  <c r="U122" i="66"/>
  <c r="G122" i="66"/>
  <c r="F123" i="66"/>
  <c r="AA122" i="66"/>
  <c r="AO57" i="88"/>
  <c r="AM96" i="88"/>
  <c r="AS57" i="88"/>
  <c r="J61" i="78"/>
  <c r="BG72" i="78"/>
  <c r="BJ111" i="78"/>
  <c r="AT66" i="78"/>
  <c r="AV57" i="88"/>
  <c r="BG57" i="88"/>
  <c r="M59" i="86"/>
  <c r="S59" i="86"/>
  <c r="AU76" i="91"/>
  <c r="AY76" i="91"/>
  <c r="AW76" i="91"/>
  <c r="AT76" i="91"/>
  <c r="BL121" i="91"/>
  <c r="BG76" i="91"/>
  <c r="AM104" i="78"/>
  <c r="AP65" i="78"/>
  <c r="N121" i="66"/>
  <c r="M121" i="66"/>
  <c r="L121" i="66"/>
  <c r="R37" i="66"/>
  <c r="P37" i="66"/>
  <c r="AW66" i="78"/>
  <c r="AT56" i="86"/>
  <c r="BK61" i="88"/>
  <c r="J61" i="88"/>
  <c r="X96" i="88"/>
  <c r="AU58" i="86"/>
  <c r="AY58" i="86"/>
  <c r="AW58" i="86"/>
  <c r="BL103" i="86"/>
  <c r="BG58" i="86"/>
  <c r="L61" i="78"/>
  <c r="R61" i="78"/>
  <c r="J66" i="91"/>
  <c r="X101" i="91"/>
  <c r="BK66" i="91"/>
  <c r="J64" i="75"/>
  <c r="X99" i="75"/>
  <c r="BK64" i="75"/>
  <c r="BD44" i="59"/>
  <c r="AP38" i="59"/>
  <c r="BG83" i="59"/>
  <c r="AM115" i="91"/>
  <c r="AS76" i="91"/>
  <c r="AO76" i="91"/>
  <c r="W102" i="78"/>
  <c r="K62" i="78"/>
  <c r="O62" i="78"/>
  <c r="M62" i="78"/>
  <c r="N63" i="78"/>
  <c r="X101" i="78"/>
  <c r="BI67" i="78"/>
  <c r="M64" i="75"/>
  <c r="S64" i="75"/>
  <c r="K62" i="88"/>
  <c r="M62" i="88"/>
  <c r="S62" i="88"/>
  <c r="H37" i="66"/>
  <c r="O37" i="66"/>
  <c r="AU59" i="86"/>
  <c r="AY59" i="86"/>
  <c r="AW59" i="86"/>
  <c r="BL104" i="86"/>
  <c r="BG59" i="86"/>
  <c r="AS56" i="86"/>
  <c r="AO56" i="86"/>
  <c r="AM95" i="86"/>
  <c r="AT57" i="86"/>
  <c r="G123" i="66"/>
  <c r="U123" i="66"/>
  <c r="F124" i="66"/>
  <c r="AA123" i="66"/>
  <c r="AU58" i="75"/>
  <c r="AY58" i="75"/>
  <c r="AW58" i="75"/>
  <c r="AT58" i="75"/>
  <c r="BL103" i="75"/>
  <c r="AL37" i="59"/>
  <c r="AJ76" i="59"/>
  <c r="M68" i="91"/>
  <c r="S68" i="91"/>
  <c r="L68" i="91"/>
  <c r="P68" i="91"/>
  <c r="N68" i="91"/>
  <c r="K68" i="91"/>
  <c r="W103" i="91"/>
  <c r="N122" i="66"/>
  <c r="M122" i="66"/>
  <c r="L122" i="66"/>
  <c r="Q34" i="59"/>
  <c r="U81" i="59"/>
  <c r="J67" i="91"/>
  <c r="X102" i="91"/>
  <c r="BK67" i="91"/>
  <c r="BL122" i="91"/>
  <c r="AU77" i="91"/>
  <c r="AY77" i="91"/>
  <c r="AW77" i="91"/>
  <c r="AT77" i="91"/>
  <c r="BG77" i="91"/>
  <c r="W95" i="86"/>
  <c r="L60" i="86"/>
  <c r="P60" i="86"/>
  <c r="N60" i="86"/>
  <c r="AU58" i="88"/>
  <c r="AY58" i="88"/>
  <c r="AW58" i="88"/>
  <c r="AT58" i="88"/>
  <c r="AV58" i="88"/>
  <c r="BG58" i="88"/>
  <c r="BL103" i="88"/>
  <c r="AY66" i="78"/>
  <c r="AU66" i="78"/>
  <c r="BF66" i="78"/>
  <c r="AZ66" i="78"/>
  <c r="Q38" i="66"/>
  <c r="O124" i="66"/>
  <c r="W125" i="66"/>
  <c r="AS58" i="75"/>
  <c r="AO58" i="75"/>
  <c r="AM97" i="75"/>
  <c r="AV58" i="75"/>
  <c r="BG58" i="75"/>
  <c r="L63" i="88"/>
  <c r="P63" i="88"/>
  <c r="N63" i="88"/>
  <c r="K63" i="88"/>
  <c r="W98" i="88"/>
  <c r="M63" i="88"/>
  <c r="S63" i="88"/>
  <c r="AU59" i="88"/>
  <c r="AY59" i="88"/>
  <c r="AW59" i="88"/>
  <c r="AT59" i="88"/>
  <c r="BL104" i="88"/>
  <c r="AM116" i="91"/>
  <c r="AS77" i="91"/>
  <c r="AO77" i="91"/>
  <c r="J68" i="91"/>
  <c r="X103" i="91"/>
  <c r="BK68" i="91"/>
  <c r="V37" i="66"/>
  <c r="Z37" i="66"/>
  <c r="AX66" i="78"/>
  <c r="AV66" i="78"/>
  <c r="AV67" i="78"/>
  <c r="M69" i="91"/>
  <c r="S69" i="91"/>
  <c r="W104" i="91"/>
  <c r="L69" i="91"/>
  <c r="P69" i="91"/>
  <c r="N69" i="91"/>
  <c r="K69" i="91"/>
  <c r="N123" i="66"/>
  <c r="M123" i="66"/>
  <c r="L123" i="66"/>
  <c r="L62" i="78"/>
  <c r="R62" i="78"/>
  <c r="AU38" i="59"/>
  <c r="AV38" i="59"/>
  <c r="O125" i="66"/>
  <c r="W126" i="66"/>
  <c r="BG73" i="78"/>
  <c r="BJ112" i="78"/>
  <c r="AS67" i="78"/>
  <c r="K60" i="86"/>
  <c r="AU78" i="91"/>
  <c r="AY78" i="91"/>
  <c r="AW78" i="91"/>
  <c r="BL123" i="91"/>
  <c r="AT78" i="91"/>
  <c r="BG78" i="91"/>
  <c r="S35" i="59"/>
  <c r="T82" i="59"/>
  <c r="J35" i="59"/>
  <c r="AS66" i="78"/>
  <c r="BK62" i="88"/>
  <c r="J62" i="88"/>
  <c r="X97" i="88"/>
  <c r="U124" i="66"/>
  <c r="G124" i="66"/>
  <c r="F125" i="66"/>
  <c r="AA124" i="66"/>
  <c r="L65" i="75"/>
  <c r="P65" i="75"/>
  <c r="N65" i="75"/>
  <c r="W100" i="75"/>
  <c r="AM97" i="88"/>
  <c r="AO58" i="88"/>
  <c r="AS58" i="88"/>
  <c r="AS57" i="86"/>
  <c r="AO57" i="86"/>
  <c r="AM96" i="86"/>
  <c r="AU60" i="86"/>
  <c r="AY60" i="86"/>
  <c r="AW60" i="86"/>
  <c r="BL105" i="86"/>
  <c r="BG60" i="86"/>
  <c r="J62" i="78"/>
  <c r="AT58" i="86"/>
  <c r="AT38" i="59"/>
  <c r="AR38" i="59"/>
  <c r="AO38" i="59"/>
  <c r="AS59" i="88"/>
  <c r="AO59" i="88"/>
  <c r="AM98" i="88"/>
  <c r="L64" i="88"/>
  <c r="P64" i="88"/>
  <c r="N64" i="88"/>
  <c r="K64" i="88"/>
  <c r="W99" i="88"/>
  <c r="AL38" i="59"/>
  <c r="AJ77" i="59"/>
  <c r="K65" i="75"/>
  <c r="N124" i="66"/>
  <c r="L124" i="66"/>
  <c r="M124" i="66"/>
  <c r="AM105" i="78"/>
  <c r="AP66" i="78"/>
  <c r="O35" i="59"/>
  <c r="P35" i="59"/>
  <c r="W103" i="78"/>
  <c r="K63" i="78"/>
  <c r="O63" i="78"/>
  <c r="M63" i="78"/>
  <c r="N64" i="78"/>
  <c r="M70" i="91"/>
  <c r="S70" i="91"/>
  <c r="W105" i="91"/>
  <c r="L70" i="91"/>
  <c r="P70" i="91"/>
  <c r="N70" i="91"/>
  <c r="K70" i="91"/>
  <c r="AV59" i="88"/>
  <c r="BG59" i="88"/>
  <c r="N35" i="59"/>
  <c r="L35" i="59"/>
  <c r="I35" i="59"/>
  <c r="BF41" i="59"/>
  <c r="BL124" i="91"/>
  <c r="AU79" i="91"/>
  <c r="AY79" i="91"/>
  <c r="AW79" i="91"/>
  <c r="AT79" i="91"/>
  <c r="BG79" i="91"/>
  <c r="X95" i="86"/>
  <c r="J60" i="86"/>
  <c r="BK60" i="86"/>
  <c r="AY67" i="78"/>
  <c r="AT67" i="78"/>
  <c r="BE67" i="78"/>
  <c r="AX67" i="78"/>
  <c r="AQ38" i="59"/>
  <c r="BB38" i="59"/>
  <c r="X104" i="91"/>
  <c r="J69" i="91"/>
  <c r="BK69" i="91"/>
  <c r="AU59" i="75"/>
  <c r="AY59" i="75"/>
  <c r="AW59" i="75"/>
  <c r="AT59" i="75"/>
  <c r="BL104" i="75"/>
  <c r="AM97" i="86"/>
  <c r="AO58" i="86"/>
  <c r="AS58" i="86"/>
  <c r="AT59" i="86"/>
  <c r="AO78" i="91"/>
  <c r="AM117" i="91"/>
  <c r="AS78" i="91"/>
  <c r="J63" i="88"/>
  <c r="BK63" i="88"/>
  <c r="X98" i="88"/>
  <c r="BI68" i="78"/>
  <c r="X102" i="78"/>
  <c r="O126" i="66"/>
  <c r="W127" i="66"/>
  <c r="AU61" i="86"/>
  <c r="AY61" i="86"/>
  <c r="AW61" i="86"/>
  <c r="BL106" i="86"/>
  <c r="BG61" i="86"/>
  <c r="U125" i="66"/>
  <c r="G125" i="66"/>
  <c r="F126" i="66"/>
  <c r="AA125" i="66"/>
  <c r="AW67" i="78"/>
  <c r="AU67" i="78"/>
  <c r="AR67" i="78"/>
  <c r="AS39" i="59"/>
  <c r="J38" i="66"/>
  <c r="I38" i="66"/>
  <c r="K38" i="66"/>
  <c r="X38" i="66"/>
  <c r="M60" i="86"/>
  <c r="S60" i="86"/>
  <c r="J64" i="88"/>
  <c r="X99" i="88"/>
  <c r="BK64" i="88"/>
  <c r="AM118" i="91"/>
  <c r="AO79" i="91"/>
  <c r="AS79" i="91"/>
  <c r="AS59" i="75"/>
  <c r="AO59" i="75"/>
  <c r="AM98" i="75"/>
  <c r="AV59" i="75"/>
  <c r="BG59" i="75"/>
  <c r="X105" i="91"/>
  <c r="BK70" i="91"/>
  <c r="J70" i="91"/>
  <c r="M71" i="91"/>
  <c r="S71" i="91"/>
  <c r="L71" i="91"/>
  <c r="P71" i="91"/>
  <c r="N71" i="91"/>
  <c r="K71" i="91"/>
  <c r="W106" i="91"/>
  <c r="S38" i="66"/>
  <c r="T38" i="66"/>
  <c r="N125" i="66"/>
  <c r="M125" i="66"/>
  <c r="L125" i="66"/>
  <c r="BG74" i="78"/>
  <c r="AS68" i="78"/>
  <c r="BJ113" i="78"/>
  <c r="AU60" i="88"/>
  <c r="AY60" i="88"/>
  <c r="AW60" i="88"/>
  <c r="AT60" i="88"/>
  <c r="BL105" i="88"/>
  <c r="J63" i="78"/>
  <c r="X100" i="75"/>
  <c r="J65" i="75"/>
  <c r="BK65" i="75"/>
  <c r="M64" i="88"/>
  <c r="S64" i="88"/>
  <c r="AU62" i="86"/>
  <c r="AY62" i="86"/>
  <c r="AW62" i="86"/>
  <c r="BL107" i="86"/>
  <c r="BG62" i="86"/>
  <c r="AM98" i="86"/>
  <c r="AO59" i="86"/>
  <c r="AS59" i="86"/>
  <c r="M36" i="59"/>
  <c r="W128" i="66"/>
  <c r="O127" i="66"/>
  <c r="BD45" i="59"/>
  <c r="AP39" i="59"/>
  <c r="BG84" i="59"/>
  <c r="BL125" i="91"/>
  <c r="AU80" i="91"/>
  <c r="AY80" i="91"/>
  <c r="AW80" i="91"/>
  <c r="AT80" i="91"/>
  <c r="BG80" i="91"/>
  <c r="L63" i="78"/>
  <c r="R63" i="78"/>
  <c r="L61" i="86"/>
  <c r="P61" i="86"/>
  <c r="N61" i="86"/>
  <c r="M61" i="86"/>
  <c r="S61" i="86"/>
  <c r="W96" i="86"/>
  <c r="AO67" i="78"/>
  <c r="AM106" i="78"/>
  <c r="U126" i="66"/>
  <c r="G126" i="66"/>
  <c r="F127" i="66"/>
  <c r="AA126" i="66"/>
  <c r="AV68" i="78"/>
  <c r="K35" i="59"/>
  <c r="AT60" i="86"/>
  <c r="M65" i="75"/>
  <c r="S65" i="75"/>
  <c r="AS60" i="88"/>
  <c r="AM99" i="88"/>
  <c r="AO60" i="88"/>
  <c r="AV60" i="88"/>
  <c r="BG60" i="88"/>
  <c r="X106" i="91"/>
  <c r="BK71" i="91"/>
  <c r="J71" i="91"/>
  <c r="AO80" i="91"/>
  <c r="AS80" i="91"/>
  <c r="AM119" i="91"/>
  <c r="M62" i="86"/>
  <c r="S62" i="86"/>
  <c r="L62" i="86"/>
  <c r="W97" i="86"/>
  <c r="N126" i="66"/>
  <c r="M126" i="66"/>
  <c r="L126" i="66"/>
  <c r="O128" i="66"/>
  <c r="W129" i="66"/>
  <c r="M72" i="91"/>
  <c r="S72" i="91"/>
  <c r="W107" i="91"/>
  <c r="L72" i="91"/>
  <c r="P72" i="91"/>
  <c r="N72" i="91"/>
  <c r="K72" i="91"/>
  <c r="AS60" i="86"/>
  <c r="AM99" i="86"/>
  <c r="AO60" i="86"/>
  <c r="G127" i="66"/>
  <c r="AA127" i="66"/>
  <c r="U127" i="66"/>
  <c r="F128" i="66"/>
  <c r="Q35" i="59"/>
  <c r="U82" i="59"/>
  <c r="L66" i="75"/>
  <c r="P66" i="75"/>
  <c r="N66" i="75"/>
  <c r="K66" i="75"/>
  <c r="W101" i="75"/>
  <c r="W104" i="78"/>
  <c r="K64" i="78"/>
  <c r="O64" i="78"/>
  <c r="M64" i="78"/>
  <c r="N65" i="78"/>
  <c r="AU39" i="59"/>
  <c r="AV39" i="59"/>
  <c r="AU63" i="86"/>
  <c r="AY63" i="86"/>
  <c r="AW63" i="86"/>
  <c r="BL108" i="86"/>
  <c r="BG63" i="86"/>
  <c r="W100" i="88"/>
  <c r="L65" i="88"/>
  <c r="P65" i="88"/>
  <c r="N65" i="88"/>
  <c r="K65" i="88"/>
  <c r="M65" i="88"/>
  <c r="S65" i="88"/>
  <c r="BI69" i="78"/>
  <c r="X103" i="78"/>
  <c r="R38" i="66"/>
  <c r="P38" i="66"/>
  <c r="AU60" i="75"/>
  <c r="AY60" i="75"/>
  <c r="AW60" i="75"/>
  <c r="AT60" i="75"/>
  <c r="BL105" i="75"/>
  <c r="AU81" i="91"/>
  <c r="AY81" i="91"/>
  <c r="AW81" i="91"/>
  <c r="AT81" i="91"/>
  <c r="BL126" i="91"/>
  <c r="BG81" i="91"/>
  <c r="AX68" i="78"/>
  <c r="AT68" i="78"/>
  <c r="BE68" i="78"/>
  <c r="AY68" i="78"/>
  <c r="AT61" i="86"/>
  <c r="AM99" i="75"/>
  <c r="AS60" i="75"/>
  <c r="AO60" i="75"/>
  <c r="AV60" i="75"/>
  <c r="BG60" i="75"/>
  <c r="L66" i="88"/>
  <c r="P66" i="88"/>
  <c r="N66" i="88"/>
  <c r="W101" i="88"/>
  <c r="J72" i="91"/>
  <c r="X107" i="91"/>
  <c r="BK72" i="91"/>
  <c r="AM120" i="91"/>
  <c r="AO81" i="91"/>
  <c r="AS81" i="91"/>
  <c r="M63" i="86"/>
  <c r="S63" i="86"/>
  <c r="W98" i="86"/>
  <c r="L63" i="86"/>
  <c r="P63" i="86"/>
  <c r="N63" i="86"/>
  <c r="J66" i="75"/>
  <c r="X101" i="75"/>
  <c r="BK66" i="75"/>
  <c r="M66" i="75"/>
  <c r="S66" i="75"/>
  <c r="M73" i="91"/>
  <c r="S73" i="91"/>
  <c r="W108" i="91"/>
  <c r="L73" i="91"/>
  <c r="P73" i="91"/>
  <c r="N73" i="91"/>
  <c r="K73" i="91"/>
  <c r="H38" i="66"/>
  <c r="O38" i="66"/>
  <c r="BK65" i="88"/>
  <c r="J65" i="88"/>
  <c r="X100" i="88"/>
  <c r="AU64" i="86"/>
  <c r="AY64" i="86"/>
  <c r="AW64" i="86"/>
  <c r="BL109" i="86"/>
  <c r="BG64" i="86"/>
  <c r="O129" i="66"/>
  <c r="W130" i="66"/>
  <c r="AO61" i="86"/>
  <c r="AM100" i="86"/>
  <c r="AS61" i="86"/>
  <c r="J64" i="78"/>
  <c r="Q39" i="66"/>
  <c r="AU61" i="88"/>
  <c r="AY61" i="88"/>
  <c r="AW61" i="88"/>
  <c r="AT61" i="88"/>
  <c r="AV61" i="88"/>
  <c r="BG61" i="88"/>
  <c r="BL106" i="88"/>
  <c r="BG75" i="78"/>
  <c r="AS69" i="78"/>
  <c r="BJ114" i="78"/>
  <c r="U128" i="66"/>
  <c r="G128" i="66"/>
  <c r="AA128" i="66"/>
  <c r="F129" i="66"/>
  <c r="AW68" i="78"/>
  <c r="AU68" i="78"/>
  <c r="AV69" i="78"/>
  <c r="AR68" i="78"/>
  <c r="AT39" i="59"/>
  <c r="AR39" i="59"/>
  <c r="AT62" i="86"/>
  <c r="AU82" i="91"/>
  <c r="AY82" i="91"/>
  <c r="AW82" i="91"/>
  <c r="AT82" i="91"/>
  <c r="BL127" i="91"/>
  <c r="BG82" i="91"/>
  <c r="L64" i="78"/>
  <c r="R64" i="78"/>
  <c r="S36" i="59"/>
  <c r="T83" i="59"/>
  <c r="J36" i="59"/>
  <c r="N127" i="66"/>
  <c r="M127" i="66"/>
  <c r="L127" i="66"/>
  <c r="P62" i="86"/>
  <c r="N62" i="86"/>
  <c r="K61" i="86"/>
  <c r="J73" i="91"/>
  <c r="X108" i="91"/>
  <c r="BK73" i="91"/>
  <c r="AU62" i="88"/>
  <c r="AY62" i="88"/>
  <c r="AW62" i="88"/>
  <c r="AT62" i="88"/>
  <c r="BL107" i="88"/>
  <c r="M64" i="86"/>
  <c r="S64" i="86"/>
  <c r="W99" i="86"/>
  <c r="L64" i="86"/>
  <c r="P64" i="86"/>
  <c r="N64" i="86"/>
  <c r="AU83" i="91"/>
  <c r="AY83" i="91"/>
  <c r="AW83" i="91"/>
  <c r="AT83" i="91"/>
  <c r="BL128" i="91"/>
  <c r="BG83" i="91"/>
  <c r="AO62" i="86"/>
  <c r="AM101" i="86"/>
  <c r="AS62" i="86"/>
  <c r="AT63" i="86"/>
  <c r="U129" i="66"/>
  <c r="F130" i="66"/>
  <c r="AA129" i="66"/>
  <c r="G129" i="66"/>
  <c r="AX69" i="78"/>
  <c r="AT69" i="78"/>
  <c r="BE69" i="78"/>
  <c r="AY69" i="78"/>
  <c r="AO61" i="88"/>
  <c r="AM100" i="88"/>
  <c r="AS61" i="88"/>
  <c r="O130" i="66"/>
  <c r="W131" i="66"/>
  <c r="L67" i="75"/>
  <c r="P67" i="75"/>
  <c r="N67" i="75"/>
  <c r="W102" i="75"/>
  <c r="AU61" i="75"/>
  <c r="AY61" i="75"/>
  <c r="AW61" i="75"/>
  <c r="AT61" i="75"/>
  <c r="BL106" i="75"/>
  <c r="AO39" i="59"/>
  <c r="AQ39" i="59"/>
  <c r="BB39" i="59"/>
  <c r="V38" i="66"/>
  <c r="Z38" i="66"/>
  <c r="P36" i="59"/>
  <c r="O36" i="59"/>
  <c r="AO68" i="78"/>
  <c r="AM107" i="78"/>
  <c r="BI70" i="78"/>
  <c r="X104" i="78"/>
  <c r="AU65" i="86"/>
  <c r="AY65" i="86"/>
  <c r="AW65" i="86"/>
  <c r="BL110" i="86"/>
  <c r="BG65" i="86"/>
  <c r="M74" i="91"/>
  <c r="S74" i="91"/>
  <c r="L74" i="91"/>
  <c r="P74" i="91"/>
  <c r="N74" i="91"/>
  <c r="K74" i="91"/>
  <c r="W109" i="91"/>
  <c r="BK61" i="86"/>
  <c r="X96" i="86"/>
  <c r="J61" i="86"/>
  <c r="K62" i="86"/>
  <c r="W105" i="78"/>
  <c r="K65" i="78"/>
  <c r="O65" i="78"/>
  <c r="M65" i="78"/>
  <c r="N66" i="78"/>
  <c r="AO82" i="91"/>
  <c r="AS82" i="91"/>
  <c r="AM121" i="91"/>
  <c r="M128" i="66"/>
  <c r="N128" i="66"/>
  <c r="L128" i="66"/>
  <c r="AW69" i="78"/>
  <c r="AU69" i="78"/>
  <c r="AR69" i="78"/>
  <c r="AS40" i="59"/>
  <c r="K66" i="88"/>
  <c r="AM101" i="88"/>
  <c r="AO62" i="88"/>
  <c r="AS62" i="88"/>
  <c r="M65" i="86"/>
  <c r="S65" i="86"/>
  <c r="L65" i="86"/>
  <c r="P65" i="86"/>
  <c r="N65" i="86"/>
  <c r="W100" i="86"/>
  <c r="X109" i="91"/>
  <c r="J74" i="91"/>
  <c r="BK74" i="91"/>
  <c r="AO61" i="75"/>
  <c r="AS61" i="75"/>
  <c r="AM100" i="75"/>
  <c r="AV61" i="75"/>
  <c r="BG61" i="75"/>
  <c r="AO83" i="91"/>
  <c r="AM122" i="91"/>
  <c r="AS83" i="91"/>
  <c r="BK66" i="88"/>
  <c r="J66" i="88"/>
  <c r="X101" i="88"/>
  <c r="BD46" i="59"/>
  <c r="BG85" i="59"/>
  <c r="AP40" i="59"/>
  <c r="L129" i="66"/>
  <c r="N129" i="66"/>
  <c r="M129" i="66"/>
  <c r="N36" i="59"/>
  <c r="L36" i="59"/>
  <c r="J62" i="86"/>
  <c r="X97" i="86"/>
  <c r="BK62" i="86"/>
  <c r="AJ78" i="59"/>
  <c r="AL39" i="59"/>
  <c r="K67" i="75"/>
  <c r="BG76" i="78"/>
  <c r="BJ115" i="78"/>
  <c r="AS70" i="78"/>
  <c r="AM102" i="86"/>
  <c r="AO63" i="86"/>
  <c r="AS63" i="86"/>
  <c r="BL129" i="91"/>
  <c r="AU84" i="91"/>
  <c r="AY84" i="91"/>
  <c r="AW84" i="91"/>
  <c r="AT84" i="91"/>
  <c r="BG84" i="91"/>
  <c r="M66" i="88"/>
  <c r="S66" i="88"/>
  <c r="K63" i="86"/>
  <c r="K64" i="86"/>
  <c r="AU66" i="86"/>
  <c r="AY66" i="86"/>
  <c r="AW66" i="86"/>
  <c r="BL111" i="86"/>
  <c r="BG66" i="86"/>
  <c r="AV62" i="88"/>
  <c r="BG62" i="88"/>
  <c r="L65" i="78"/>
  <c r="R65" i="78"/>
  <c r="J39" i="66"/>
  <c r="K39" i="66"/>
  <c r="I39" i="66"/>
  <c r="X39" i="66"/>
  <c r="AV70" i="78"/>
  <c r="F131" i="66"/>
  <c r="U130" i="66"/>
  <c r="AA130" i="66"/>
  <c r="G130" i="66"/>
  <c r="AT64" i="86"/>
  <c r="AM108" i="78"/>
  <c r="AO69" i="78"/>
  <c r="J65" i="78"/>
  <c r="W110" i="91"/>
  <c r="L75" i="91"/>
  <c r="P75" i="91"/>
  <c r="N75" i="91"/>
  <c r="K75" i="91"/>
  <c r="S75" i="91"/>
  <c r="O131" i="66"/>
  <c r="W132" i="66"/>
  <c r="X99" i="86"/>
  <c r="BK64" i="86"/>
  <c r="J64" i="86"/>
  <c r="K65" i="86"/>
  <c r="X110" i="91"/>
  <c r="BK75" i="91"/>
  <c r="J75" i="91"/>
  <c r="AS84" i="91"/>
  <c r="AO84" i="91"/>
  <c r="AM123" i="91"/>
  <c r="N130" i="66"/>
  <c r="M130" i="66"/>
  <c r="L130" i="66"/>
  <c r="T39" i="66"/>
  <c r="S39" i="66"/>
  <c r="L67" i="88"/>
  <c r="P67" i="88"/>
  <c r="N67" i="88"/>
  <c r="K67" i="88"/>
  <c r="W102" i="88"/>
  <c r="J67" i="75"/>
  <c r="BK67" i="75"/>
  <c r="X102" i="75"/>
  <c r="M66" i="86"/>
  <c r="S66" i="86"/>
  <c r="L66" i="86"/>
  <c r="P66" i="86"/>
  <c r="N66" i="86"/>
  <c r="K66" i="86"/>
  <c r="W101" i="86"/>
  <c r="R39" i="66"/>
  <c r="P39" i="66"/>
  <c r="BL130" i="91"/>
  <c r="AU85" i="91"/>
  <c r="AY85" i="91"/>
  <c r="AW85" i="91"/>
  <c r="AT85" i="91"/>
  <c r="BG85" i="91"/>
  <c r="AM103" i="86"/>
  <c r="AO64" i="86"/>
  <c r="AS64" i="86"/>
  <c r="W106" i="78"/>
  <c r="K66" i="78"/>
  <c r="O66" i="78"/>
  <c r="M66" i="78"/>
  <c r="N67" i="78"/>
  <c r="I36" i="59"/>
  <c r="BF42" i="59"/>
  <c r="K36" i="59"/>
  <c r="AV40" i="59"/>
  <c r="AU40" i="59"/>
  <c r="AU62" i="75"/>
  <c r="AY62" i="75"/>
  <c r="AW62" i="75"/>
  <c r="AT62" i="75"/>
  <c r="AV62" i="75"/>
  <c r="BG62" i="75"/>
  <c r="BL107" i="75"/>
  <c r="AT65" i="86"/>
  <c r="AT66" i="86"/>
  <c r="W133" i="66"/>
  <c r="O132" i="66"/>
  <c r="W111" i="91"/>
  <c r="L76" i="91"/>
  <c r="P76" i="91"/>
  <c r="N76" i="91"/>
  <c r="K76" i="91"/>
  <c r="S76" i="91"/>
  <c r="BI71" i="78"/>
  <c r="X105" i="78"/>
  <c r="AA131" i="66"/>
  <c r="U131" i="66"/>
  <c r="G131" i="66"/>
  <c r="F132" i="66"/>
  <c r="AU63" i="88"/>
  <c r="AY63" i="88"/>
  <c r="AW63" i="88"/>
  <c r="AT63" i="88"/>
  <c r="BL108" i="88"/>
  <c r="AU67" i="86"/>
  <c r="AY67" i="86"/>
  <c r="AW67" i="86"/>
  <c r="AT67" i="86"/>
  <c r="BL112" i="86"/>
  <c r="BG67" i="86"/>
  <c r="BK63" i="86"/>
  <c r="X98" i="86"/>
  <c r="J63" i="86"/>
  <c r="AT70" i="78"/>
  <c r="AX70" i="78"/>
  <c r="AW70" i="78"/>
  <c r="AU70" i="78"/>
  <c r="AR70" i="78"/>
  <c r="AY70" i="78"/>
  <c r="BE70" i="78"/>
  <c r="AT40" i="59"/>
  <c r="AR40" i="59"/>
  <c r="AO40" i="59"/>
  <c r="M37" i="59"/>
  <c r="M67" i="75"/>
  <c r="S67" i="75"/>
  <c r="BK67" i="88"/>
  <c r="X102" i="88"/>
  <c r="J67" i="88"/>
  <c r="AO67" i="86"/>
  <c r="AM106" i="86"/>
  <c r="AS67" i="86"/>
  <c r="AU63" i="75"/>
  <c r="AY63" i="75"/>
  <c r="AW63" i="75"/>
  <c r="BL108" i="75"/>
  <c r="AO85" i="91"/>
  <c r="AM124" i="91"/>
  <c r="AS85" i="91"/>
  <c r="AO70" i="78"/>
  <c r="AM109" i="78"/>
  <c r="AS63" i="88"/>
  <c r="AO63" i="88"/>
  <c r="AM102" i="88"/>
  <c r="X111" i="91"/>
  <c r="BK76" i="91"/>
  <c r="J76" i="91"/>
  <c r="AM105" i="86"/>
  <c r="AO66" i="86"/>
  <c r="AS66" i="86"/>
  <c r="M67" i="86"/>
  <c r="S67" i="86"/>
  <c r="L67" i="86"/>
  <c r="P67" i="86"/>
  <c r="N67" i="86"/>
  <c r="K67" i="86"/>
  <c r="W102" i="86"/>
  <c r="X100" i="86"/>
  <c r="BK65" i="86"/>
  <c r="J65" i="86"/>
  <c r="O133" i="66"/>
  <c r="W134" i="66"/>
  <c r="AQ40" i="59"/>
  <c r="BB40" i="59"/>
  <c r="J66" i="78"/>
  <c r="L77" i="91"/>
  <c r="P77" i="91"/>
  <c r="N77" i="91"/>
  <c r="K77" i="91"/>
  <c r="W112" i="91"/>
  <c r="S77" i="91"/>
  <c r="AS62" i="75"/>
  <c r="AM101" i="75"/>
  <c r="AO62" i="75"/>
  <c r="AU86" i="91"/>
  <c r="AY86" i="91"/>
  <c r="AW86" i="91"/>
  <c r="BL131" i="91"/>
  <c r="AT86" i="91"/>
  <c r="BG86" i="91"/>
  <c r="H39" i="66"/>
  <c r="O39" i="66"/>
  <c r="X101" i="86"/>
  <c r="J66" i="86"/>
  <c r="BK66" i="86"/>
  <c r="BG77" i="78"/>
  <c r="BJ116" i="78"/>
  <c r="AS71" i="78"/>
  <c r="AV63" i="88"/>
  <c r="BG63" i="88"/>
  <c r="AA132" i="66"/>
  <c r="G132" i="66"/>
  <c r="F133" i="66"/>
  <c r="U132" i="66"/>
  <c r="AS41" i="59"/>
  <c r="U83" i="59"/>
  <c r="Q36" i="59"/>
  <c r="M67" i="88"/>
  <c r="S67" i="88"/>
  <c r="Q40" i="66"/>
  <c r="AL40" i="59"/>
  <c r="AJ79" i="59"/>
  <c r="AU68" i="86"/>
  <c r="AY68" i="86"/>
  <c r="AW68" i="86"/>
  <c r="AT68" i="86"/>
  <c r="BL113" i="86"/>
  <c r="BG68" i="86"/>
  <c r="W103" i="75"/>
  <c r="L68" i="75"/>
  <c r="P68" i="75"/>
  <c r="N68" i="75"/>
  <c r="K68" i="75"/>
  <c r="AV71" i="78"/>
  <c r="L131" i="66"/>
  <c r="M131" i="66"/>
  <c r="N131" i="66"/>
  <c r="AO65" i="86"/>
  <c r="AM104" i="86"/>
  <c r="AS65" i="86"/>
  <c r="L66" i="78"/>
  <c r="R66" i="78"/>
  <c r="X103" i="75"/>
  <c r="BK68" i="75"/>
  <c r="J68" i="75"/>
  <c r="M68" i="75"/>
  <c r="S68" i="75"/>
  <c r="X102" i="86"/>
  <c r="BK67" i="86"/>
  <c r="J67" i="86"/>
  <c r="X112" i="91"/>
  <c r="BK77" i="91"/>
  <c r="J77" i="91"/>
  <c r="K67" i="78"/>
  <c r="O67" i="78"/>
  <c r="M67" i="78"/>
  <c r="N68" i="78"/>
  <c r="W107" i="78"/>
  <c r="AU69" i="86"/>
  <c r="AY69" i="86"/>
  <c r="AW69" i="86"/>
  <c r="AT69" i="86"/>
  <c r="BL114" i="86"/>
  <c r="BG69" i="86"/>
  <c r="W103" i="88"/>
  <c r="L68" i="88"/>
  <c r="P68" i="88"/>
  <c r="N68" i="88"/>
  <c r="M68" i="86"/>
  <c r="S68" i="86"/>
  <c r="L68" i="86"/>
  <c r="P68" i="86"/>
  <c r="N68" i="86"/>
  <c r="K68" i="86"/>
  <c r="W103" i="86"/>
  <c r="AT63" i="75"/>
  <c r="AV63" i="75"/>
  <c r="BG63" i="75"/>
  <c r="AM107" i="86"/>
  <c r="AO68" i="86"/>
  <c r="AS68" i="86"/>
  <c r="S37" i="59"/>
  <c r="T84" i="59"/>
  <c r="J37" i="59"/>
  <c r="AA133" i="66"/>
  <c r="G133" i="66"/>
  <c r="U133" i="66"/>
  <c r="F134" i="66"/>
  <c r="AU64" i="88"/>
  <c r="AY64" i="88"/>
  <c r="AW64" i="88"/>
  <c r="AT64" i="88"/>
  <c r="BL109" i="88"/>
  <c r="AX71" i="78"/>
  <c r="AT71" i="78"/>
  <c r="BE71" i="78"/>
  <c r="AY71" i="78"/>
  <c r="V39" i="66"/>
  <c r="Z39" i="66"/>
  <c r="L78" i="91"/>
  <c r="P78" i="91"/>
  <c r="N78" i="91"/>
  <c r="K78" i="91"/>
  <c r="W113" i="91"/>
  <c r="S78" i="91"/>
  <c r="BI72" i="78"/>
  <c r="X106" i="78"/>
  <c r="L132" i="66"/>
  <c r="N132" i="66"/>
  <c r="M132" i="66"/>
  <c r="AS86" i="91"/>
  <c r="AM125" i="91"/>
  <c r="AO86" i="91"/>
  <c r="O134" i="66"/>
  <c r="W135" i="66"/>
  <c r="AW71" i="78"/>
  <c r="AU71" i="78"/>
  <c r="AR71" i="78"/>
  <c r="AU87" i="91"/>
  <c r="AY87" i="91"/>
  <c r="AW87" i="91"/>
  <c r="BL132" i="91"/>
  <c r="AT87" i="91"/>
  <c r="BG87" i="91"/>
  <c r="BD47" i="59"/>
  <c r="BG86" i="59"/>
  <c r="AP41" i="59"/>
  <c r="X113" i="91"/>
  <c r="BK78" i="91"/>
  <c r="J78" i="91"/>
  <c r="AS69" i="86"/>
  <c r="AM108" i="86"/>
  <c r="AO69" i="86"/>
  <c r="BK68" i="86"/>
  <c r="X103" i="86"/>
  <c r="J68" i="86"/>
  <c r="AS64" i="88"/>
  <c r="AM103" i="88"/>
  <c r="AO64" i="88"/>
  <c r="AU64" i="75"/>
  <c r="AY64" i="75"/>
  <c r="AW64" i="75"/>
  <c r="AT64" i="75"/>
  <c r="BL109" i="75"/>
  <c r="M133" i="66"/>
  <c r="N133" i="66"/>
  <c r="L133" i="66"/>
  <c r="AU70" i="86"/>
  <c r="AY70" i="86"/>
  <c r="AW70" i="86"/>
  <c r="AT70" i="86"/>
  <c r="BL115" i="86"/>
  <c r="BG70" i="86"/>
  <c r="J67" i="78"/>
  <c r="L67" i="78"/>
  <c r="R67" i="78"/>
  <c r="W104" i="75"/>
  <c r="L69" i="75"/>
  <c r="P69" i="75"/>
  <c r="N69" i="75"/>
  <c r="BG78" i="78"/>
  <c r="BJ117" i="78"/>
  <c r="AS72" i="78"/>
  <c r="AV64" i="88"/>
  <c r="BG64" i="88"/>
  <c r="U134" i="66"/>
  <c r="AA134" i="66"/>
  <c r="G134" i="66"/>
  <c r="F135" i="66"/>
  <c r="P37" i="59"/>
  <c r="O37" i="59"/>
  <c r="AO63" i="75"/>
  <c r="AM102" i="75"/>
  <c r="AS63" i="75"/>
  <c r="M69" i="86"/>
  <c r="S69" i="86"/>
  <c r="L69" i="86"/>
  <c r="P69" i="86"/>
  <c r="N69" i="86"/>
  <c r="K69" i="86"/>
  <c r="W104" i="86"/>
  <c r="AU88" i="91"/>
  <c r="AY88" i="91"/>
  <c r="AW88" i="91"/>
  <c r="AT88" i="91"/>
  <c r="BL133" i="91"/>
  <c r="BG88" i="91"/>
  <c r="W136" i="66"/>
  <c r="O135" i="66"/>
  <c r="W114" i="91"/>
  <c r="L79" i="91"/>
  <c r="P79" i="91"/>
  <c r="N79" i="91"/>
  <c r="K79" i="91"/>
  <c r="S79" i="91"/>
  <c r="AS87" i="91"/>
  <c r="AO87" i="91"/>
  <c r="AM126" i="91"/>
  <c r="AV41" i="59"/>
  <c r="AU41" i="59"/>
  <c r="AT41" i="59"/>
  <c r="AR41" i="59"/>
  <c r="AM110" i="78"/>
  <c r="AO71" i="78"/>
  <c r="K40" i="66"/>
  <c r="J40" i="66"/>
  <c r="I40" i="66"/>
  <c r="X40" i="66"/>
  <c r="AV72" i="78"/>
  <c r="N37" i="59"/>
  <c r="L37" i="59"/>
  <c r="I37" i="59"/>
  <c r="BF43" i="59"/>
  <c r="K68" i="88"/>
  <c r="BK79" i="91"/>
  <c r="J79" i="91"/>
  <c r="X114" i="91"/>
  <c r="X104" i="86"/>
  <c r="J69" i="86"/>
  <c r="BK69" i="86"/>
  <c r="AO41" i="59"/>
  <c r="AQ41" i="59"/>
  <c r="BB41" i="59"/>
  <c r="M70" i="86"/>
  <c r="S70" i="86"/>
  <c r="L70" i="86"/>
  <c r="P70" i="86"/>
  <c r="N70" i="86"/>
  <c r="K70" i="86"/>
  <c r="W105" i="86"/>
  <c r="AS70" i="86"/>
  <c r="AM109" i="86"/>
  <c r="AO70" i="86"/>
  <c r="AM127" i="91"/>
  <c r="AS88" i="91"/>
  <c r="AO88" i="91"/>
  <c r="AM103" i="75"/>
  <c r="AS64" i="75"/>
  <c r="AO64" i="75"/>
  <c r="J68" i="88"/>
  <c r="BK68" i="88"/>
  <c r="X103" i="88"/>
  <c r="S40" i="66"/>
  <c r="R40" i="66"/>
  <c r="P40" i="66"/>
  <c r="L80" i="91"/>
  <c r="P80" i="91"/>
  <c r="N80" i="91"/>
  <c r="K80" i="91"/>
  <c r="W115" i="91"/>
  <c r="S80" i="91"/>
  <c r="K69" i="75"/>
  <c r="AU89" i="91"/>
  <c r="AY89" i="91"/>
  <c r="AW89" i="91"/>
  <c r="AT89" i="91"/>
  <c r="BL134" i="91"/>
  <c r="BG89" i="91"/>
  <c r="M38" i="59"/>
  <c r="W108" i="78"/>
  <c r="K68" i="78"/>
  <c r="O68" i="78"/>
  <c r="M68" i="78"/>
  <c r="N69" i="78"/>
  <c r="AV64" i="75"/>
  <c r="BG64" i="75"/>
  <c r="AS42" i="59"/>
  <c r="U135" i="66"/>
  <c r="AA135" i="66"/>
  <c r="G135" i="66"/>
  <c r="F136" i="66"/>
  <c r="AU65" i="88"/>
  <c r="AY65" i="88"/>
  <c r="AW65" i="88"/>
  <c r="AT65" i="88"/>
  <c r="BL110" i="88"/>
  <c r="BE72" i="78"/>
  <c r="AX72" i="78"/>
  <c r="AY72" i="78"/>
  <c r="AT72" i="78"/>
  <c r="X107" i="78"/>
  <c r="BI73" i="78"/>
  <c r="M68" i="88"/>
  <c r="S68" i="88"/>
  <c r="T40" i="66"/>
  <c r="W137" i="66"/>
  <c r="O136" i="66"/>
  <c r="K37" i="59"/>
  <c r="M134" i="66"/>
  <c r="L134" i="66"/>
  <c r="N134" i="66"/>
  <c r="AU71" i="86"/>
  <c r="AY71" i="86"/>
  <c r="AW71" i="86"/>
  <c r="AT71" i="86"/>
  <c r="BL116" i="86"/>
  <c r="BG71" i="86"/>
  <c r="BK80" i="91"/>
  <c r="J80" i="91"/>
  <c r="X115" i="91"/>
  <c r="AO65" i="88"/>
  <c r="AM104" i="88"/>
  <c r="AS65" i="88"/>
  <c r="M71" i="86"/>
  <c r="S71" i="86"/>
  <c r="W106" i="86"/>
  <c r="L71" i="86"/>
  <c r="P71" i="86"/>
  <c r="N71" i="86"/>
  <c r="K71" i="86"/>
  <c r="W104" i="88"/>
  <c r="L69" i="88"/>
  <c r="P69" i="88"/>
  <c r="N69" i="88"/>
  <c r="K69" i="88"/>
  <c r="U136" i="66"/>
  <c r="AA136" i="66"/>
  <c r="G136" i="66"/>
  <c r="F137" i="66"/>
  <c r="X104" i="75"/>
  <c r="BK69" i="75"/>
  <c r="J69" i="75"/>
  <c r="L81" i="91"/>
  <c r="P81" i="91"/>
  <c r="N81" i="91"/>
  <c r="K81" i="91"/>
  <c r="W116" i="91"/>
  <c r="S81" i="91"/>
  <c r="AL41" i="59"/>
  <c r="AJ80" i="59"/>
  <c r="M69" i="75"/>
  <c r="S69" i="75"/>
  <c r="AM128" i="91"/>
  <c r="AS89" i="91"/>
  <c r="AO89" i="91"/>
  <c r="AO71" i="86"/>
  <c r="AS71" i="86"/>
  <c r="AM110" i="86"/>
  <c r="O137" i="66"/>
  <c r="W138" i="66"/>
  <c r="AV65" i="88"/>
  <c r="BG65" i="88"/>
  <c r="J68" i="78"/>
  <c r="BL135" i="91"/>
  <c r="AU90" i="91"/>
  <c r="AY90" i="91"/>
  <c r="AW90" i="91"/>
  <c r="AT90" i="91"/>
  <c r="BG90" i="91"/>
  <c r="H40" i="66"/>
  <c r="O40" i="66"/>
  <c r="AU72" i="86"/>
  <c r="AY72" i="86"/>
  <c r="AW72" i="86"/>
  <c r="AT72" i="86"/>
  <c r="BL117" i="86"/>
  <c r="BG72" i="86"/>
  <c r="AW72" i="78"/>
  <c r="AU72" i="78"/>
  <c r="AR72" i="78"/>
  <c r="Q37" i="59"/>
  <c r="U84" i="59"/>
  <c r="Q41" i="66"/>
  <c r="BG79" i="78"/>
  <c r="BJ118" i="78"/>
  <c r="AS73" i="78"/>
  <c r="M135" i="66"/>
  <c r="L135" i="66"/>
  <c r="N135" i="66"/>
  <c r="AU65" i="75"/>
  <c r="AY65" i="75"/>
  <c r="AW65" i="75"/>
  <c r="AV65" i="75"/>
  <c r="BG65" i="75"/>
  <c r="BL110" i="75"/>
  <c r="L68" i="78"/>
  <c r="R68" i="78"/>
  <c r="J70" i="86"/>
  <c r="X105" i="86"/>
  <c r="BK70" i="86"/>
  <c r="BD48" i="59"/>
  <c r="AP42" i="59"/>
  <c r="BG87" i="59"/>
  <c r="AS90" i="91"/>
  <c r="AM129" i="91"/>
  <c r="AO90" i="91"/>
  <c r="AO72" i="86"/>
  <c r="AS72" i="86"/>
  <c r="AM111" i="86"/>
  <c r="AU66" i="75"/>
  <c r="AY66" i="75"/>
  <c r="AW66" i="75"/>
  <c r="AT65" i="75"/>
  <c r="AV66" i="75"/>
  <c r="BG66" i="75"/>
  <c r="BL111" i="75"/>
  <c r="J71" i="86"/>
  <c r="X106" i="86"/>
  <c r="BK71" i="86"/>
  <c r="BK69" i="88"/>
  <c r="J69" i="88"/>
  <c r="X104" i="88"/>
  <c r="AT73" i="78"/>
  <c r="BE73" i="78"/>
  <c r="AY73" i="78"/>
  <c r="AX73" i="78"/>
  <c r="M69" i="88"/>
  <c r="S69" i="88"/>
  <c r="M72" i="86"/>
  <c r="S72" i="86"/>
  <c r="W107" i="86"/>
  <c r="L72" i="86"/>
  <c r="P72" i="86"/>
  <c r="N72" i="86"/>
  <c r="K72" i="86"/>
  <c r="AV42" i="59"/>
  <c r="AU42" i="59"/>
  <c r="K69" i="78"/>
  <c r="O69" i="78"/>
  <c r="M69" i="78"/>
  <c r="L69" i="78"/>
  <c r="R69" i="78"/>
  <c r="N70" i="78"/>
  <c r="J69" i="78"/>
  <c r="W109" i="78"/>
  <c r="AM111" i="78"/>
  <c r="AO72" i="78"/>
  <c r="AW73" i="78"/>
  <c r="AU73" i="78"/>
  <c r="AR73" i="78"/>
  <c r="AU73" i="86"/>
  <c r="AY73" i="86"/>
  <c r="AW73" i="86"/>
  <c r="AT73" i="86"/>
  <c r="BL118" i="86"/>
  <c r="BG73" i="86"/>
  <c r="O138" i="66"/>
  <c r="W139" i="66"/>
  <c r="AV73" i="78"/>
  <c r="L82" i="91"/>
  <c r="P82" i="91"/>
  <c r="N82" i="91"/>
  <c r="K82" i="91"/>
  <c r="W117" i="91"/>
  <c r="S82" i="91"/>
  <c r="U137" i="66"/>
  <c r="F138" i="66"/>
  <c r="G137" i="66"/>
  <c r="AA137" i="66"/>
  <c r="V40" i="66"/>
  <c r="Z40" i="66"/>
  <c r="AU91" i="91"/>
  <c r="AY91" i="91"/>
  <c r="AW91" i="91"/>
  <c r="AT91" i="91"/>
  <c r="BL136" i="91"/>
  <c r="BG91" i="91"/>
  <c r="BI74" i="78"/>
  <c r="X108" i="78"/>
  <c r="L70" i="75"/>
  <c r="P70" i="75"/>
  <c r="N70" i="75"/>
  <c r="K70" i="75"/>
  <c r="M70" i="75"/>
  <c r="S70" i="75"/>
  <c r="W105" i="75"/>
  <c r="M136" i="66"/>
  <c r="N136" i="66"/>
  <c r="L136" i="66"/>
  <c r="AT42" i="59"/>
  <c r="AR42" i="59"/>
  <c r="AO42" i="59"/>
  <c r="S38" i="59"/>
  <c r="T85" i="59"/>
  <c r="J38" i="59"/>
  <c r="AU66" i="88"/>
  <c r="AY66" i="88"/>
  <c r="AW66" i="88"/>
  <c r="BL111" i="88"/>
  <c r="BK81" i="91"/>
  <c r="J81" i="91"/>
  <c r="X116" i="91"/>
  <c r="W106" i="75"/>
  <c r="L71" i="75"/>
  <c r="P71" i="75"/>
  <c r="N71" i="75"/>
  <c r="M71" i="75"/>
  <c r="S71" i="75"/>
  <c r="J82" i="91"/>
  <c r="BK82" i="91"/>
  <c r="X117" i="91"/>
  <c r="BK72" i="86"/>
  <c r="J72" i="86"/>
  <c r="X107" i="86"/>
  <c r="AS73" i="86"/>
  <c r="AM112" i="86"/>
  <c r="AO73" i="86"/>
  <c r="W110" i="78"/>
  <c r="K70" i="78"/>
  <c r="O70" i="78"/>
  <c r="M70" i="78"/>
  <c r="N71" i="78"/>
  <c r="AS91" i="91"/>
  <c r="AO91" i="91"/>
  <c r="AM130" i="91"/>
  <c r="J70" i="75"/>
  <c r="BK70" i="75"/>
  <c r="X105" i="75"/>
  <c r="AT66" i="88"/>
  <c r="O38" i="59"/>
  <c r="P38" i="59"/>
  <c r="W118" i="91"/>
  <c r="L83" i="91"/>
  <c r="P83" i="91"/>
  <c r="N83" i="91"/>
  <c r="K83" i="91"/>
  <c r="S83" i="91"/>
  <c r="AU74" i="86"/>
  <c r="AY74" i="86"/>
  <c r="AW74" i="86"/>
  <c r="AT74" i="86"/>
  <c r="BL119" i="86"/>
  <c r="BG74" i="86"/>
  <c r="AO73" i="78"/>
  <c r="AM112" i="78"/>
  <c r="AT66" i="75"/>
  <c r="L137" i="66"/>
  <c r="N137" i="66"/>
  <c r="M137" i="66"/>
  <c r="W140" i="66"/>
  <c r="O139" i="66"/>
  <c r="AO65" i="75"/>
  <c r="AS65" i="75"/>
  <c r="AM104" i="75"/>
  <c r="BI75" i="78"/>
  <c r="X109" i="78"/>
  <c r="AQ42" i="59"/>
  <c r="BB42" i="59"/>
  <c r="M73" i="86"/>
  <c r="S73" i="86"/>
  <c r="W108" i="86"/>
  <c r="L73" i="86"/>
  <c r="P73" i="86"/>
  <c r="N73" i="86"/>
  <c r="K73" i="86"/>
  <c r="BG80" i="78"/>
  <c r="AS74" i="78"/>
  <c r="BJ119" i="78"/>
  <c r="AU92" i="91"/>
  <c r="AY92" i="91"/>
  <c r="AW92" i="91"/>
  <c r="AT92" i="91"/>
  <c r="BL137" i="91"/>
  <c r="BG92" i="91"/>
  <c r="N38" i="59"/>
  <c r="L38" i="59"/>
  <c r="I38" i="59"/>
  <c r="BF44" i="59"/>
  <c r="AJ81" i="59"/>
  <c r="AL42" i="59"/>
  <c r="J41" i="66"/>
  <c r="I41" i="66"/>
  <c r="K41" i="66"/>
  <c r="X41" i="66"/>
  <c r="U138" i="66"/>
  <c r="G138" i="66"/>
  <c r="AA138" i="66"/>
  <c r="F139" i="66"/>
  <c r="AS43" i="59"/>
  <c r="L70" i="88"/>
  <c r="P70" i="88"/>
  <c r="N70" i="88"/>
  <c r="W105" i="88"/>
  <c r="AU67" i="75"/>
  <c r="AY67" i="75"/>
  <c r="AW67" i="75"/>
  <c r="AT67" i="75"/>
  <c r="AV67" i="75"/>
  <c r="BG67" i="75"/>
  <c r="BL112" i="75"/>
  <c r="AV74" i="78"/>
  <c r="X108" i="86"/>
  <c r="J73" i="86"/>
  <c r="BK73" i="86"/>
  <c r="AO74" i="86"/>
  <c r="AM113" i="86"/>
  <c r="AS74" i="86"/>
  <c r="M72" i="75"/>
  <c r="S72" i="75"/>
  <c r="L72" i="75"/>
  <c r="P72" i="75"/>
  <c r="N72" i="75"/>
  <c r="K71" i="75"/>
  <c r="K72" i="75"/>
  <c r="W107" i="75"/>
  <c r="AM106" i="75"/>
  <c r="AO67" i="75"/>
  <c r="AS67" i="75"/>
  <c r="U139" i="66"/>
  <c r="AA139" i="66"/>
  <c r="G139" i="66"/>
  <c r="F140" i="66"/>
  <c r="AU68" i="75"/>
  <c r="AY68" i="75"/>
  <c r="AW68" i="75"/>
  <c r="AT68" i="75"/>
  <c r="AV68" i="75"/>
  <c r="AV109" i="75"/>
  <c r="BG68" i="75"/>
  <c r="BL113" i="75"/>
  <c r="K70" i="88"/>
  <c r="AU93" i="91"/>
  <c r="AY93" i="91"/>
  <c r="AW93" i="91"/>
  <c r="AT93" i="91"/>
  <c r="BL138" i="91"/>
  <c r="BG93" i="91"/>
  <c r="W141" i="66"/>
  <c r="O140" i="66"/>
  <c r="BL120" i="86"/>
  <c r="AU75" i="86"/>
  <c r="AY75" i="86"/>
  <c r="AW75" i="86"/>
  <c r="AT75" i="86"/>
  <c r="BG75" i="86"/>
  <c r="W119" i="91"/>
  <c r="L84" i="91"/>
  <c r="P84" i="91"/>
  <c r="N84" i="91"/>
  <c r="K84" i="91"/>
  <c r="S84" i="91"/>
  <c r="AM105" i="88"/>
  <c r="AO66" i="88"/>
  <c r="AS66" i="88"/>
  <c r="J70" i="78"/>
  <c r="BD49" i="59"/>
  <c r="AP43" i="59"/>
  <c r="BG88" i="59"/>
  <c r="AO66" i="75"/>
  <c r="AS66" i="75"/>
  <c r="AM105" i="75"/>
  <c r="J83" i="91"/>
  <c r="X118" i="91"/>
  <c r="BK83" i="91"/>
  <c r="K38" i="59"/>
  <c r="T41" i="66"/>
  <c r="S41" i="66"/>
  <c r="AM131" i="91"/>
  <c r="AS92" i="91"/>
  <c r="AO92" i="91"/>
  <c r="AX74" i="78"/>
  <c r="AW74" i="78"/>
  <c r="AU74" i="78"/>
  <c r="AR74" i="78"/>
  <c r="AV66" i="88"/>
  <c r="BG66" i="88"/>
  <c r="N138" i="66"/>
  <c r="M138" i="66"/>
  <c r="L138" i="66"/>
  <c r="BE74" i="78"/>
  <c r="AY74" i="78"/>
  <c r="AT74" i="78"/>
  <c r="M74" i="86"/>
  <c r="S74" i="86"/>
  <c r="W109" i="86"/>
  <c r="L74" i="86"/>
  <c r="P74" i="86"/>
  <c r="N74" i="86"/>
  <c r="K74" i="86"/>
  <c r="M39" i="59"/>
  <c r="L70" i="78"/>
  <c r="R70" i="78"/>
  <c r="J72" i="75"/>
  <c r="BK72" i="75"/>
  <c r="X107" i="75"/>
  <c r="AM132" i="91"/>
  <c r="AS93" i="91"/>
  <c r="AO93" i="91"/>
  <c r="M73" i="75"/>
  <c r="S73" i="75"/>
  <c r="W108" i="75"/>
  <c r="L73" i="75"/>
  <c r="P73" i="75"/>
  <c r="N73" i="75"/>
  <c r="K73" i="75"/>
  <c r="AS68" i="75"/>
  <c r="AO68" i="75"/>
  <c r="AM107" i="75"/>
  <c r="AO75" i="86"/>
  <c r="AM114" i="86"/>
  <c r="AS75" i="86"/>
  <c r="BK71" i="75"/>
  <c r="J71" i="75"/>
  <c r="X106" i="75"/>
  <c r="BG81" i="78"/>
  <c r="BE75" i="78"/>
  <c r="AS75" i="78"/>
  <c r="BJ120" i="78"/>
  <c r="AU67" i="88"/>
  <c r="AY67" i="88"/>
  <c r="AW67" i="88"/>
  <c r="BL112" i="88"/>
  <c r="AU43" i="59"/>
  <c r="AT43" i="59"/>
  <c r="X105" i="88"/>
  <c r="J70" i="88"/>
  <c r="BK70" i="88"/>
  <c r="M70" i="88"/>
  <c r="S70" i="88"/>
  <c r="BK74" i="86"/>
  <c r="J74" i="86"/>
  <c r="X109" i="86"/>
  <c r="AO74" i="78"/>
  <c r="AM113" i="78"/>
  <c r="AV43" i="59"/>
  <c r="O141" i="66"/>
  <c r="W142" i="66"/>
  <c r="U140" i="66"/>
  <c r="AA140" i="66"/>
  <c r="G140" i="66"/>
  <c r="F141" i="66"/>
  <c r="W111" i="78"/>
  <c r="K71" i="78"/>
  <c r="O71" i="78"/>
  <c r="M71" i="78"/>
  <c r="N72" i="78"/>
  <c r="X110" i="78"/>
  <c r="BI76" i="78"/>
  <c r="L85" i="91"/>
  <c r="P85" i="91"/>
  <c r="N85" i="91"/>
  <c r="K85" i="91"/>
  <c r="W120" i="91"/>
  <c r="S85" i="91"/>
  <c r="AU76" i="86"/>
  <c r="AY76" i="86"/>
  <c r="AW76" i="86"/>
  <c r="AT76" i="86"/>
  <c r="BL121" i="86"/>
  <c r="BG76" i="86"/>
  <c r="AU94" i="91"/>
  <c r="AY94" i="91"/>
  <c r="AW94" i="91"/>
  <c r="AT94" i="91"/>
  <c r="BL139" i="91"/>
  <c r="BG94" i="91"/>
  <c r="AU69" i="75"/>
  <c r="AY69" i="75"/>
  <c r="AW69" i="75"/>
  <c r="AT69" i="75"/>
  <c r="BG69" i="75"/>
  <c r="BL114" i="75"/>
  <c r="N139" i="66"/>
  <c r="M139" i="66"/>
  <c r="L139" i="66"/>
  <c r="AV75" i="78"/>
  <c r="W110" i="86"/>
  <c r="L75" i="86"/>
  <c r="P75" i="86"/>
  <c r="N75" i="86"/>
  <c r="K75" i="86"/>
  <c r="S75" i="86"/>
  <c r="Q38" i="59"/>
  <c r="U85" i="59"/>
  <c r="X119" i="91"/>
  <c r="J84" i="91"/>
  <c r="BK84" i="91"/>
  <c r="R41" i="66"/>
  <c r="P41" i="66"/>
  <c r="J75" i="86"/>
  <c r="BK75" i="86"/>
  <c r="X110" i="86"/>
  <c r="AO76" i="86"/>
  <c r="AM115" i="86"/>
  <c r="AS76" i="86"/>
  <c r="AS94" i="91"/>
  <c r="AM133" i="91"/>
  <c r="AO94" i="91"/>
  <c r="AS69" i="75"/>
  <c r="AO69" i="75"/>
  <c r="AM108" i="75"/>
  <c r="X108" i="75"/>
  <c r="J73" i="75"/>
  <c r="BK73" i="75"/>
  <c r="S39" i="59"/>
  <c r="T86" i="59"/>
  <c r="J39" i="59"/>
  <c r="AU70" i="75"/>
  <c r="AY70" i="75"/>
  <c r="AW70" i="75"/>
  <c r="AT70" i="75"/>
  <c r="BG70" i="75"/>
  <c r="BL115" i="75"/>
  <c r="U141" i="66"/>
  <c r="G141" i="66"/>
  <c r="AA141" i="66"/>
  <c r="F142" i="66"/>
  <c r="O142" i="66"/>
  <c r="W143" i="66"/>
  <c r="L76" i="86"/>
  <c r="P76" i="86"/>
  <c r="N76" i="86"/>
  <c r="K76" i="86"/>
  <c r="W111" i="86"/>
  <c r="S76" i="86"/>
  <c r="J71" i="78"/>
  <c r="L71" i="78"/>
  <c r="R71" i="78"/>
  <c r="N140" i="66"/>
  <c r="M140" i="66"/>
  <c r="L140" i="66"/>
  <c r="W106" i="88"/>
  <c r="L71" i="88"/>
  <c r="P71" i="88"/>
  <c r="N71" i="88"/>
  <c r="AR43" i="59"/>
  <c r="AT67" i="88"/>
  <c r="AV67" i="88"/>
  <c r="BG67" i="88"/>
  <c r="M74" i="75"/>
  <c r="S74" i="75"/>
  <c r="L74" i="75"/>
  <c r="P74" i="75"/>
  <c r="N74" i="75"/>
  <c r="K74" i="75"/>
  <c r="W109" i="75"/>
  <c r="J85" i="91"/>
  <c r="X120" i="91"/>
  <c r="BK85" i="91"/>
  <c r="BG82" i="78"/>
  <c r="BE76" i="78"/>
  <c r="AS76" i="78"/>
  <c r="BJ121" i="78"/>
  <c r="H41" i="66"/>
  <c r="O41" i="66"/>
  <c r="BL140" i="91"/>
  <c r="AU95" i="91"/>
  <c r="AY95" i="91"/>
  <c r="AW95" i="91"/>
  <c r="AT95" i="91"/>
  <c r="BG95" i="91"/>
  <c r="AU77" i="86"/>
  <c r="AY77" i="86"/>
  <c r="AW77" i="86"/>
  <c r="AT77" i="86"/>
  <c r="BL122" i="86"/>
  <c r="BG77" i="86"/>
  <c r="L86" i="91"/>
  <c r="P86" i="91"/>
  <c r="N86" i="91"/>
  <c r="W121" i="91"/>
  <c r="K86" i="91"/>
  <c r="S86" i="91"/>
  <c r="Q42" i="66"/>
  <c r="AX75" i="78"/>
  <c r="AW75" i="78"/>
  <c r="AU75" i="78"/>
  <c r="AR75" i="78"/>
  <c r="AY75" i="78"/>
  <c r="J76" i="86"/>
  <c r="BK76" i="86"/>
  <c r="X111" i="86"/>
  <c r="AM116" i="86"/>
  <c r="AO77" i="86"/>
  <c r="AS77" i="86"/>
  <c r="AM109" i="75"/>
  <c r="AO70" i="75"/>
  <c r="AS70" i="75"/>
  <c r="AM114" i="78"/>
  <c r="AO75" i="78"/>
  <c r="AO95" i="91"/>
  <c r="AM134" i="91"/>
  <c r="AS95" i="91"/>
  <c r="AU68" i="88"/>
  <c r="AY68" i="88"/>
  <c r="AW68" i="88"/>
  <c r="BG68" i="88"/>
  <c r="AV68" i="88"/>
  <c r="AV109" i="88"/>
  <c r="BL113" i="88"/>
  <c r="BK86" i="91"/>
  <c r="X121" i="91"/>
  <c r="J86" i="91"/>
  <c r="V41" i="66"/>
  <c r="Z41" i="66"/>
  <c r="K71" i="88"/>
  <c r="M71" i="88"/>
  <c r="S71" i="88"/>
  <c r="K72" i="78"/>
  <c r="O72" i="78"/>
  <c r="M72" i="78"/>
  <c r="N73" i="78"/>
  <c r="W112" i="78"/>
  <c r="AY76" i="78"/>
  <c r="AX76" i="78"/>
  <c r="BI77" i="78"/>
  <c r="X111" i="78"/>
  <c r="O143" i="66"/>
  <c r="W144" i="66"/>
  <c r="M141" i="66"/>
  <c r="L141" i="66"/>
  <c r="N141" i="66"/>
  <c r="AU71" i="75"/>
  <c r="AY71" i="75"/>
  <c r="AW71" i="75"/>
  <c r="AT71" i="75"/>
  <c r="BG71" i="75"/>
  <c r="BL116" i="75"/>
  <c r="S75" i="75"/>
  <c r="L75" i="75"/>
  <c r="P75" i="75"/>
  <c r="N75" i="75"/>
  <c r="K75" i="75"/>
  <c r="W110" i="75"/>
  <c r="AW76" i="78"/>
  <c r="AU76" i="78"/>
  <c r="AR76" i="78"/>
  <c r="AS67" i="88"/>
  <c r="AO67" i="88"/>
  <c r="AM106" i="88"/>
  <c r="L77" i="86"/>
  <c r="P77" i="86"/>
  <c r="N77" i="86"/>
  <c r="K77" i="86"/>
  <c r="W112" i="86"/>
  <c r="S77" i="86"/>
  <c r="AV76" i="78"/>
  <c r="L87" i="91"/>
  <c r="P87" i="91"/>
  <c r="N87" i="91"/>
  <c r="K87" i="91"/>
  <c r="W122" i="91"/>
  <c r="S87" i="91"/>
  <c r="AU78" i="86"/>
  <c r="AY78" i="86"/>
  <c r="AW78" i="86"/>
  <c r="AT78" i="86"/>
  <c r="BL123" i="86"/>
  <c r="BG78" i="86"/>
  <c r="AU96" i="91"/>
  <c r="AY96" i="91"/>
  <c r="AW96" i="91"/>
  <c r="BL141" i="91"/>
  <c r="AT96" i="91"/>
  <c r="BG96" i="91"/>
  <c r="BG83" i="78"/>
  <c r="BE77" i="78"/>
  <c r="BJ122" i="78"/>
  <c r="AS77" i="78"/>
  <c r="J74" i="75"/>
  <c r="BK74" i="75"/>
  <c r="X109" i="75"/>
  <c r="AO43" i="59"/>
  <c r="AS44" i="59"/>
  <c r="U142" i="66"/>
  <c r="AA142" i="66"/>
  <c r="G142" i="66"/>
  <c r="F143" i="66"/>
  <c r="P39" i="59"/>
  <c r="O39" i="59"/>
  <c r="N39" i="59"/>
  <c r="L39" i="59"/>
  <c r="X110" i="75"/>
  <c r="BK75" i="75"/>
  <c r="J75" i="75"/>
  <c r="AO71" i="75"/>
  <c r="AM110" i="75"/>
  <c r="AS71" i="75"/>
  <c r="L72" i="88"/>
  <c r="P72" i="88"/>
  <c r="N72" i="88"/>
  <c r="M72" i="88"/>
  <c r="S72" i="88"/>
  <c r="W107" i="88"/>
  <c r="X112" i="86"/>
  <c r="J77" i="86"/>
  <c r="BK77" i="86"/>
  <c r="I39" i="59"/>
  <c r="BF45" i="59"/>
  <c r="K39" i="59"/>
  <c r="AL43" i="59"/>
  <c r="AJ82" i="59"/>
  <c r="AX77" i="78"/>
  <c r="AW77" i="78"/>
  <c r="AU77" i="78"/>
  <c r="AR77" i="78"/>
  <c r="AY77" i="78"/>
  <c r="AM117" i="86"/>
  <c r="AO78" i="86"/>
  <c r="AS78" i="86"/>
  <c r="BK87" i="91"/>
  <c r="J87" i="91"/>
  <c r="X122" i="91"/>
  <c r="AH50" i="91"/>
  <c r="L72" i="78"/>
  <c r="R72" i="78"/>
  <c r="J42" i="66"/>
  <c r="I42" i="66"/>
  <c r="K42" i="66"/>
  <c r="X42" i="66"/>
  <c r="BL142" i="91"/>
  <c r="AU97" i="91"/>
  <c r="AY97" i="91"/>
  <c r="AW97" i="91"/>
  <c r="AT97" i="91"/>
  <c r="BG97" i="91"/>
  <c r="AU79" i="86"/>
  <c r="AY79" i="86"/>
  <c r="AW79" i="86"/>
  <c r="AT79" i="86"/>
  <c r="BL124" i="86"/>
  <c r="BG79" i="86"/>
  <c r="L88" i="91"/>
  <c r="P88" i="91"/>
  <c r="N88" i="91"/>
  <c r="K88" i="91"/>
  <c r="W123" i="91"/>
  <c r="S88" i="91"/>
  <c r="AM115" i="78"/>
  <c r="AO76" i="78"/>
  <c r="AU72" i="75"/>
  <c r="AY72" i="75"/>
  <c r="AW72" i="75"/>
  <c r="AT72" i="75"/>
  <c r="BG72" i="75"/>
  <c r="BL117" i="75"/>
  <c r="AV77" i="78"/>
  <c r="M40" i="59"/>
  <c r="U143" i="66"/>
  <c r="G143" i="66"/>
  <c r="AA143" i="66"/>
  <c r="F144" i="66"/>
  <c r="AM135" i="91"/>
  <c r="AS96" i="91"/>
  <c r="AO96" i="91"/>
  <c r="J71" i="88"/>
  <c r="X106" i="88"/>
  <c r="BK71" i="88"/>
  <c r="L78" i="86"/>
  <c r="P78" i="86"/>
  <c r="N78" i="86"/>
  <c r="K78" i="86"/>
  <c r="W113" i="86"/>
  <c r="S78" i="86"/>
  <c r="N142" i="66"/>
  <c r="M142" i="66"/>
  <c r="L142" i="66"/>
  <c r="AQ43" i="59"/>
  <c r="BB43" i="59"/>
  <c r="BG84" i="78"/>
  <c r="BE78" i="78"/>
  <c r="AS78" i="78"/>
  <c r="BJ123" i="78"/>
  <c r="S76" i="75"/>
  <c r="W111" i="75"/>
  <c r="L76" i="75"/>
  <c r="P76" i="75"/>
  <c r="N76" i="75"/>
  <c r="K76" i="75"/>
  <c r="W145" i="66"/>
  <c r="O144" i="66"/>
  <c r="J72" i="78"/>
  <c r="AU69" i="88"/>
  <c r="AY69" i="88"/>
  <c r="AW69" i="88"/>
  <c r="BG69" i="88"/>
  <c r="BL114" i="88"/>
  <c r="AS72" i="75"/>
  <c r="AO72" i="75"/>
  <c r="AM111" i="75"/>
  <c r="AS97" i="91"/>
  <c r="AM136" i="91"/>
  <c r="AO97" i="91"/>
  <c r="AM116" i="78"/>
  <c r="AO77" i="78"/>
  <c r="J76" i="75"/>
  <c r="X111" i="75"/>
  <c r="BK76" i="75"/>
  <c r="AS79" i="86"/>
  <c r="AM118" i="86"/>
  <c r="AO79" i="86"/>
  <c r="M73" i="88"/>
  <c r="S73" i="88"/>
  <c r="L73" i="88"/>
  <c r="P73" i="88"/>
  <c r="N73" i="88"/>
  <c r="K72" i="88"/>
  <c r="K73" i="88"/>
  <c r="W108" i="88"/>
  <c r="J78" i="86"/>
  <c r="X113" i="86"/>
  <c r="BK78" i="86"/>
  <c r="BK88" i="91"/>
  <c r="X123" i="91"/>
  <c r="J88" i="91"/>
  <c r="S42" i="66"/>
  <c r="T42" i="66"/>
  <c r="X112" i="78"/>
  <c r="BI78" i="78"/>
  <c r="AU73" i="75"/>
  <c r="AY73" i="75"/>
  <c r="AW73" i="75"/>
  <c r="AT73" i="75"/>
  <c r="BG73" i="75"/>
  <c r="BL118" i="75"/>
  <c r="AU70" i="88"/>
  <c r="AY70" i="88"/>
  <c r="AW70" i="88"/>
  <c r="BG70" i="88"/>
  <c r="BL115" i="88"/>
  <c r="BD50" i="59"/>
  <c r="AP44" i="59"/>
  <c r="BG89" i="59"/>
  <c r="L79" i="86"/>
  <c r="P79" i="86"/>
  <c r="N79" i="86"/>
  <c r="K79" i="86"/>
  <c r="W114" i="86"/>
  <c r="S79" i="86"/>
  <c r="W124" i="91"/>
  <c r="L89" i="91"/>
  <c r="P89" i="91"/>
  <c r="N89" i="91"/>
  <c r="K89" i="91"/>
  <c r="S89" i="91"/>
  <c r="AU80" i="86"/>
  <c r="AY80" i="86"/>
  <c r="AW80" i="86"/>
  <c r="AT80" i="86"/>
  <c r="BL125" i="86"/>
  <c r="BG80" i="86"/>
  <c r="AU98" i="91"/>
  <c r="AY98" i="91"/>
  <c r="AW98" i="91"/>
  <c r="AT98" i="91"/>
  <c r="BL143" i="91"/>
  <c r="BG98" i="91"/>
  <c r="AT68" i="88"/>
  <c r="O145" i="66"/>
  <c r="W146" i="66"/>
  <c r="BG85" i="78"/>
  <c r="BE79" i="78"/>
  <c r="BJ124" i="78"/>
  <c r="AS79" i="78"/>
  <c r="N143" i="66"/>
  <c r="M143" i="66"/>
  <c r="L143" i="66"/>
  <c r="R42" i="66"/>
  <c r="P42" i="66"/>
  <c r="AX78" i="78"/>
  <c r="AY78" i="78"/>
  <c r="S77" i="75"/>
  <c r="L77" i="75"/>
  <c r="P77" i="75"/>
  <c r="N77" i="75"/>
  <c r="K77" i="75"/>
  <c r="W112" i="75"/>
  <c r="U144" i="66"/>
  <c r="F145" i="66"/>
  <c r="G144" i="66"/>
  <c r="AA144" i="66"/>
  <c r="W113" i="78"/>
  <c r="K73" i="78"/>
  <c r="O73" i="78"/>
  <c r="M73" i="78"/>
  <c r="N74" i="78"/>
  <c r="AV78" i="78"/>
  <c r="U86" i="59"/>
  <c r="Q39" i="59"/>
  <c r="BK77" i="75"/>
  <c r="X112" i="75"/>
  <c r="J77" i="75"/>
  <c r="AM119" i="86"/>
  <c r="AO80" i="86"/>
  <c r="AS80" i="86"/>
  <c r="AS98" i="91"/>
  <c r="AM137" i="91"/>
  <c r="AO98" i="91"/>
  <c r="AO73" i="75"/>
  <c r="AS73" i="75"/>
  <c r="AM112" i="75"/>
  <c r="X108" i="88"/>
  <c r="J73" i="88"/>
  <c r="BK73" i="88"/>
  <c r="O146" i="66"/>
  <c r="W147" i="66"/>
  <c r="AO68" i="88"/>
  <c r="AM107" i="88"/>
  <c r="AS68" i="88"/>
  <c r="J79" i="86"/>
  <c r="BK79" i="86"/>
  <c r="X114" i="86"/>
  <c r="AU44" i="59"/>
  <c r="AV44" i="59"/>
  <c r="L73" i="78"/>
  <c r="R73" i="78"/>
  <c r="U145" i="66"/>
  <c r="G145" i="66"/>
  <c r="AA145" i="66"/>
  <c r="F146" i="66"/>
  <c r="H42" i="66"/>
  <c r="O42" i="66"/>
  <c r="AU99" i="91"/>
  <c r="AY99" i="91"/>
  <c r="AW99" i="91"/>
  <c r="AT99" i="91"/>
  <c r="BL144" i="91"/>
  <c r="BG99" i="91"/>
  <c r="AU81" i="86"/>
  <c r="AY81" i="86"/>
  <c r="AW81" i="86"/>
  <c r="AT81" i="86"/>
  <c r="BL126" i="86"/>
  <c r="BG81" i="86"/>
  <c r="W125" i="91"/>
  <c r="L90" i="91"/>
  <c r="P90" i="91"/>
  <c r="N90" i="91"/>
  <c r="K90" i="91"/>
  <c r="S90" i="91"/>
  <c r="L80" i="86"/>
  <c r="P80" i="86"/>
  <c r="N80" i="86"/>
  <c r="K80" i="86"/>
  <c r="W115" i="86"/>
  <c r="S80" i="86"/>
  <c r="AW78" i="78"/>
  <c r="AU78" i="78"/>
  <c r="AR78" i="78"/>
  <c r="Q43" i="66"/>
  <c r="S40" i="59"/>
  <c r="T87" i="59"/>
  <c r="J40" i="59"/>
  <c r="J73" i="78"/>
  <c r="S78" i="75"/>
  <c r="L78" i="75"/>
  <c r="P78" i="75"/>
  <c r="N78" i="75"/>
  <c r="K78" i="75"/>
  <c r="W113" i="75"/>
  <c r="BG86" i="78"/>
  <c r="BE80" i="78"/>
  <c r="BJ125" i="78"/>
  <c r="AS80" i="78"/>
  <c r="X124" i="91"/>
  <c r="BK89" i="91"/>
  <c r="J89" i="91"/>
  <c r="AT44" i="59"/>
  <c r="AR44" i="59"/>
  <c r="AO44" i="59"/>
  <c r="M144" i="66"/>
  <c r="L144" i="66"/>
  <c r="N144" i="66"/>
  <c r="AX79" i="78"/>
  <c r="AW79" i="78"/>
  <c r="AU79" i="78"/>
  <c r="AR79" i="78"/>
  <c r="AY79" i="78"/>
  <c r="BK72" i="88"/>
  <c r="X107" i="88"/>
  <c r="J72" i="88"/>
  <c r="AU71" i="88"/>
  <c r="AY71" i="88"/>
  <c r="AW71" i="88"/>
  <c r="BG71" i="88"/>
  <c r="BL116" i="88"/>
  <c r="AU74" i="75"/>
  <c r="AY74" i="75"/>
  <c r="AW74" i="75"/>
  <c r="AT74" i="75"/>
  <c r="BG74" i="75"/>
  <c r="BL119" i="75"/>
  <c r="M74" i="88"/>
  <c r="S74" i="88"/>
  <c r="L74" i="88"/>
  <c r="P74" i="88"/>
  <c r="N74" i="88"/>
  <c r="K74" i="88"/>
  <c r="W109" i="88"/>
  <c r="AT69" i="88"/>
  <c r="BK78" i="75"/>
  <c r="X113" i="75"/>
  <c r="J78" i="75"/>
  <c r="X125" i="91"/>
  <c r="J90" i="91"/>
  <c r="BK90" i="91"/>
  <c r="AS99" i="91"/>
  <c r="AO99" i="91"/>
  <c r="AM138" i="91"/>
  <c r="BK74" i="88"/>
  <c r="X109" i="88"/>
  <c r="J74" i="88"/>
  <c r="AS74" i="75"/>
  <c r="AO74" i="75"/>
  <c r="AM113" i="75"/>
  <c r="J80" i="86"/>
  <c r="BK80" i="86"/>
  <c r="X115" i="86"/>
  <c r="W110" i="88"/>
  <c r="L75" i="88"/>
  <c r="P75" i="88"/>
  <c r="N75" i="88"/>
  <c r="K75" i="88"/>
  <c r="S75" i="88"/>
  <c r="AV80" i="78"/>
  <c r="BG87" i="78"/>
  <c r="BE81" i="78"/>
  <c r="BJ126" i="78"/>
  <c r="AS81" i="78"/>
  <c r="U146" i="66"/>
  <c r="AA146" i="66"/>
  <c r="G146" i="66"/>
  <c r="F147" i="66"/>
  <c r="AU72" i="88"/>
  <c r="AY72" i="88"/>
  <c r="AW72" i="88"/>
  <c r="BG72" i="88"/>
  <c r="BL117" i="88"/>
  <c r="AS81" i="86"/>
  <c r="AM120" i="86"/>
  <c r="AO81" i="86"/>
  <c r="K74" i="78"/>
  <c r="O74" i="78"/>
  <c r="M74" i="78"/>
  <c r="L74" i="78"/>
  <c r="R74" i="78"/>
  <c r="N75" i="78"/>
  <c r="W114" i="78"/>
  <c r="J74" i="78"/>
  <c r="AS45" i="59"/>
  <c r="W148" i="66"/>
  <c r="O147" i="66"/>
  <c r="BG75" i="75"/>
  <c r="BL120" i="75"/>
  <c r="AU75" i="75"/>
  <c r="AY75" i="75"/>
  <c r="AW75" i="75"/>
  <c r="AT75" i="75"/>
  <c r="AM118" i="78"/>
  <c r="AO79" i="78"/>
  <c r="AM117" i="78"/>
  <c r="AO78" i="78"/>
  <c r="AO69" i="88"/>
  <c r="AM108" i="88"/>
  <c r="AS69" i="88"/>
  <c r="AJ83" i="59"/>
  <c r="AL44" i="59"/>
  <c r="AY80" i="78"/>
  <c r="AX80" i="78"/>
  <c r="AW80" i="78"/>
  <c r="AU80" i="78"/>
  <c r="AR80" i="78"/>
  <c r="S79" i="75"/>
  <c r="L79" i="75"/>
  <c r="P79" i="75"/>
  <c r="N79" i="75"/>
  <c r="K79" i="75"/>
  <c r="W114" i="75"/>
  <c r="L81" i="86"/>
  <c r="P81" i="86"/>
  <c r="N81" i="86"/>
  <c r="K81" i="86"/>
  <c r="W116" i="86"/>
  <c r="S81" i="86"/>
  <c r="L91" i="91"/>
  <c r="P91" i="91"/>
  <c r="N91" i="91"/>
  <c r="W126" i="91"/>
  <c r="K91" i="91"/>
  <c r="S91" i="91"/>
  <c r="BL127" i="86"/>
  <c r="AU82" i="86"/>
  <c r="AY82" i="86"/>
  <c r="AW82" i="86"/>
  <c r="AT82" i="86"/>
  <c r="BG82" i="86"/>
  <c r="BL145" i="91"/>
  <c r="AU100" i="91"/>
  <c r="AY100" i="91"/>
  <c r="AW100" i="91"/>
  <c r="AT100" i="91"/>
  <c r="BG100" i="91"/>
  <c r="AQ44" i="59"/>
  <c r="BB44" i="59"/>
  <c r="BI79" i="78"/>
  <c r="X113" i="78"/>
  <c r="O40" i="59"/>
  <c r="N40" i="59"/>
  <c r="L40" i="59"/>
  <c r="P40" i="59"/>
  <c r="V42" i="66"/>
  <c r="Z42" i="66"/>
  <c r="L145" i="66"/>
  <c r="N145" i="66"/>
  <c r="M145" i="66"/>
  <c r="AV79" i="78"/>
  <c r="AT70" i="88"/>
  <c r="BK75" i="88"/>
  <c r="J75" i="88"/>
  <c r="X110" i="88"/>
  <c r="I40" i="59"/>
  <c r="BF46" i="59"/>
  <c r="X116" i="86"/>
  <c r="J81" i="86"/>
  <c r="BK81" i="86"/>
  <c r="AM114" i="75"/>
  <c r="AO75" i="75"/>
  <c r="AS75" i="75"/>
  <c r="AS100" i="91"/>
  <c r="AO100" i="91"/>
  <c r="AM139" i="91"/>
  <c r="AM119" i="78"/>
  <c r="AO80" i="78"/>
  <c r="W115" i="78"/>
  <c r="K75" i="78"/>
  <c r="O75" i="78"/>
  <c r="M75" i="78"/>
  <c r="N76" i="78"/>
  <c r="X126" i="91"/>
  <c r="BK91" i="91"/>
  <c r="J91" i="91"/>
  <c r="BG88" i="78"/>
  <c r="BE82" i="78"/>
  <c r="AS82" i="78"/>
  <c r="BJ127" i="78"/>
  <c r="AS82" i="86"/>
  <c r="AM121" i="86"/>
  <c r="AO82" i="86"/>
  <c r="X114" i="75"/>
  <c r="BK79" i="75"/>
  <c r="J79" i="75"/>
  <c r="W149" i="66"/>
  <c r="O148" i="66"/>
  <c r="W111" i="88"/>
  <c r="L76" i="88"/>
  <c r="P76" i="88"/>
  <c r="N76" i="88"/>
  <c r="K76" i="88"/>
  <c r="S76" i="88"/>
  <c r="AM109" i="88"/>
  <c r="AO70" i="88"/>
  <c r="AS70" i="88"/>
  <c r="BD51" i="59"/>
  <c r="AP45" i="59"/>
  <c r="BG90" i="59"/>
  <c r="S80" i="75"/>
  <c r="W115" i="75"/>
  <c r="L80" i="75"/>
  <c r="P80" i="75"/>
  <c r="N80" i="75"/>
  <c r="K80" i="75"/>
  <c r="BG76" i="75"/>
  <c r="AU76" i="75"/>
  <c r="AY76" i="75"/>
  <c r="AW76" i="75"/>
  <c r="AT76" i="75"/>
  <c r="BL121" i="75"/>
  <c r="AU73" i="88"/>
  <c r="AY73" i="88"/>
  <c r="AW73" i="88"/>
  <c r="BG73" i="88"/>
  <c r="BL118" i="88"/>
  <c r="U147" i="66"/>
  <c r="AA147" i="66"/>
  <c r="G147" i="66"/>
  <c r="F148" i="66"/>
  <c r="AX81" i="78"/>
  <c r="AY81" i="78"/>
  <c r="AT71" i="88"/>
  <c r="K43" i="66"/>
  <c r="J43" i="66"/>
  <c r="I43" i="66"/>
  <c r="X43" i="66"/>
  <c r="M41" i="59"/>
  <c r="AU101" i="91"/>
  <c r="AY101" i="91"/>
  <c r="AW101" i="91"/>
  <c r="AT101" i="91"/>
  <c r="BL146" i="91"/>
  <c r="BG101" i="91"/>
  <c r="AU83" i="86"/>
  <c r="AY83" i="86"/>
  <c r="AW83" i="86"/>
  <c r="BL128" i="86"/>
  <c r="AT83" i="86"/>
  <c r="BG83" i="86"/>
  <c r="L92" i="91"/>
  <c r="P92" i="91"/>
  <c r="N92" i="91"/>
  <c r="W127" i="91"/>
  <c r="K92" i="91"/>
  <c r="S92" i="91"/>
  <c r="L82" i="86"/>
  <c r="P82" i="86"/>
  <c r="N82" i="86"/>
  <c r="K82" i="86"/>
  <c r="W117" i="86"/>
  <c r="S82" i="86"/>
  <c r="AV81" i="78"/>
  <c r="BI80" i="78"/>
  <c r="X114" i="78"/>
  <c r="N146" i="66"/>
  <c r="M146" i="66"/>
  <c r="L146" i="66"/>
  <c r="J82" i="86"/>
  <c r="X117" i="86"/>
  <c r="BK82" i="86"/>
  <c r="J80" i="75"/>
  <c r="X115" i="75"/>
  <c r="BK80" i="75"/>
  <c r="AM110" i="88"/>
  <c r="AO71" i="88"/>
  <c r="AS71" i="88"/>
  <c r="BG77" i="75"/>
  <c r="BL122" i="75"/>
  <c r="AU77" i="75"/>
  <c r="AY77" i="75"/>
  <c r="AW77" i="75"/>
  <c r="AT77" i="75"/>
  <c r="S81" i="75"/>
  <c r="W116" i="75"/>
  <c r="L81" i="75"/>
  <c r="P81" i="75"/>
  <c r="N81" i="75"/>
  <c r="K81" i="75"/>
  <c r="AU45" i="59"/>
  <c r="AV45" i="59"/>
  <c r="W112" i="88"/>
  <c r="L77" i="88"/>
  <c r="P77" i="88"/>
  <c r="N77" i="88"/>
  <c r="K77" i="88"/>
  <c r="S77" i="88"/>
  <c r="BG89" i="78"/>
  <c r="BE83" i="78"/>
  <c r="AS83" i="78"/>
  <c r="BJ128" i="78"/>
  <c r="L83" i="86"/>
  <c r="P83" i="86"/>
  <c r="N83" i="86"/>
  <c r="W118" i="86"/>
  <c r="K83" i="86"/>
  <c r="S83" i="86"/>
  <c r="L93" i="91"/>
  <c r="P93" i="91"/>
  <c r="N93" i="91"/>
  <c r="W128" i="91"/>
  <c r="K93" i="91"/>
  <c r="S93" i="91"/>
  <c r="BL129" i="86"/>
  <c r="AU84" i="86"/>
  <c r="AY84" i="86"/>
  <c r="AW84" i="86"/>
  <c r="AT84" i="86"/>
  <c r="BG84" i="86"/>
  <c r="BL147" i="91"/>
  <c r="AU102" i="91"/>
  <c r="AY102" i="91"/>
  <c r="AW102" i="91"/>
  <c r="AT102" i="91"/>
  <c r="BG102" i="91"/>
  <c r="T43" i="66"/>
  <c r="S43" i="66"/>
  <c r="U148" i="66"/>
  <c r="AA148" i="66"/>
  <c r="G148" i="66"/>
  <c r="F149" i="66"/>
  <c r="AY82" i="78"/>
  <c r="AX82" i="78"/>
  <c r="X127" i="91"/>
  <c r="J92" i="91"/>
  <c r="BK92" i="91"/>
  <c r="AO83" i="86"/>
  <c r="AS83" i="86"/>
  <c r="AM122" i="86"/>
  <c r="R43" i="66"/>
  <c r="P43" i="66"/>
  <c r="M147" i="66"/>
  <c r="L147" i="66"/>
  <c r="N147" i="66"/>
  <c r="AU74" i="88"/>
  <c r="AY74" i="88"/>
  <c r="AW74" i="88"/>
  <c r="BG74" i="88"/>
  <c r="BL119" i="88"/>
  <c r="AS76" i="75"/>
  <c r="AO76" i="75"/>
  <c r="AM115" i="75"/>
  <c r="AT45" i="59"/>
  <c r="AR45" i="59"/>
  <c r="AO45" i="59"/>
  <c r="X111" i="88"/>
  <c r="J76" i="88"/>
  <c r="BK76" i="88"/>
  <c r="O149" i="66"/>
  <c r="W150" i="66"/>
  <c r="L75" i="78"/>
  <c r="R75" i="78"/>
  <c r="AT72" i="88"/>
  <c r="AT73" i="88"/>
  <c r="AS101" i="91"/>
  <c r="AM140" i="91"/>
  <c r="AO101" i="91"/>
  <c r="AW81" i="78"/>
  <c r="AU81" i="78"/>
  <c r="AR81" i="78"/>
  <c r="J75" i="78"/>
  <c r="K40" i="59"/>
  <c r="AM116" i="75"/>
  <c r="AO77" i="75"/>
  <c r="AS77" i="75"/>
  <c r="J77" i="88"/>
  <c r="X112" i="88"/>
  <c r="BK77" i="88"/>
  <c r="J81" i="75"/>
  <c r="X116" i="75"/>
  <c r="BK81" i="75"/>
  <c r="AS84" i="86"/>
  <c r="AM123" i="86"/>
  <c r="AO84" i="86"/>
  <c r="AO73" i="88"/>
  <c r="AM112" i="88"/>
  <c r="AS73" i="88"/>
  <c r="AT74" i="88"/>
  <c r="AM141" i="91"/>
  <c r="AS102" i="91"/>
  <c r="AO102" i="91"/>
  <c r="AM120" i="78"/>
  <c r="AO81" i="78"/>
  <c r="H43" i="66"/>
  <c r="O43" i="66"/>
  <c r="AS46" i="59"/>
  <c r="U87" i="59"/>
  <c r="Q40" i="59"/>
  <c r="K76" i="78"/>
  <c r="O76" i="78"/>
  <c r="M76" i="78"/>
  <c r="N77" i="78"/>
  <c r="W116" i="78"/>
  <c r="AL45" i="59"/>
  <c r="AJ84" i="59"/>
  <c r="M148" i="66"/>
  <c r="L148" i="66"/>
  <c r="N148" i="66"/>
  <c r="BI81" i="78"/>
  <c r="X115" i="78"/>
  <c r="AW82" i="78"/>
  <c r="AU82" i="78"/>
  <c r="AR82" i="78"/>
  <c r="BG75" i="88"/>
  <c r="AU75" i="88"/>
  <c r="AY75" i="88"/>
  <c r="AW75" i="88"/>
  <c r="AT75" i="88"/>
  <c r="BL120" i="88"/>
  <c r="AU103" i="91"/>
  <c r="AY103" i="91"/>
  <c r="AW103" i="91"/>
  <c r="AT103" i="91"/>
  <c r="BL148" i="91"/>
  <c r="BG103" i="91"/>
  <c r="BL130" i="86"/>
  <c r="AU85" i="86"/>
  <c r="AY85" i="86"/>
  <c r="AW85" i="86"/>
  <c r="AT85" i="86"/>
  <c r="BG85" i="86"/>
  <c r="W129" i="91"/>
  <c r="L94" i="91"/>
  <c r="P94" i="91"/>
  <c r="N94" i="91"/>
  <c r="K94" i="91"/>
  <c r="S94" i="91"/>
  <c r="L84" i="86"/>
  <c r="P84" i="86"/>
  <c r="N84" i="86"/>
  <c r="K84" i="86"/>
  <c r="W119" i="86"/>
  <c r="S84" i="86"/>
  <c r="AY83" i="78"/>
  <c r="AX83" i="78"/>
  <c r="AQ45" i="59"/>
  <c r="BB45" i="59"/>
  <c r="S82" i="75"/>
  <c r="W117" i="75"/>
  <c r="L82" i="75"/>
  <c r="P82" i="75"/>
  <c r="N82" i="75"/>
  <c r="K82" i="75"/>
  <c r="BG78" i="75"/>
  <c r="AU78" i="75"/>
  <c r="AY78" i="75"/>
  <c r="AW78" i="75"/>
  <c r="AT78" i="75"/>
  <c r="BL123" i="75"/>
  <c r="X128" i="91"/>
  <c r="BK93" i="91"/>
  <c r="J93" i="91"/>
  <c r="J83" i="86"/>
  <c r="BK83" i="86"/>
  <c r="X118" i="86"/>
  <c r="AW83" i="78"/>
  <c r="AU83" i="78"/>
  <c r="AR83" i="78"/>
  <c r="W113" i="88"/>
  <c r="L78" i="88"/>
  <c r="P78" i="88"/>
  <c r="N78" i="88"/>
  <c r="K78" i="88"/>
  <c r="S78" i="88"/>
  <c r="AO72" i="88"/>
  <c r="AM111" i="88"/>
  <c r="AS72" i="88"/>
  <c r="O150" i="66"/>
  <c r="W151" i="66"/>
  <c r="AV82" i="78"/>
  <c r="AA149" i="66"/>
  <c r="G149" i="66"/>
  <c r="F150" i="66"/>
  <c r="U149" i="66"/>
  <c r="Q44" i="66"/>
  <c r="BG90" i="78"/>
  <c r="BE84" i="78"/>
  <c r="AS84" i="78"/>
  <c r="BJ129" i="78"/>
  <c r="X113" i="88"/>
  <c r="BK78" i="88"/>
  <c r="J78" i="88"/>
  <c r="X129" i="91"/>
  <c r="J94" i="91"/>
  <c r="BK94" i="91"/>
  <c r="AS103" i="91"/>
  <c r="AM142" i="91"/>
  <c r="AO103" i="91"/>
  <c r="V43" i="66"/>
  <c r="Z43" i="66"/>
  <c r="J82" i="75"/>
  <c r="BK82" i="75"/>
  <c r="X117" i="75"/>
  <c r="J84" i="86"/>
  <c r="BK84" i="86"/>
  <c r="X119" i="86"/>
  <c r="AM114" i="88"/>
  <c r="AO75" i="88"/>
  <c r="AS75" i="88"/>
  <c r="BD52" i="59"/>
  <c r="AP46" i="59"/>
  <c r="BG91" i="59"/>
  <c r="AM124" i="86"/>
  <c r="AO85" i="86"/>
  <c r="AS85" i="86"/>
  <c r="AO82" i="78"/>
  <c r="AM121" i="78"/>
  <c r="L76" i="78"/>
  <c r="R76" i="78"/>
  <c r="AV83" i="78"/>
  <c r="AM113" i="88"/>
  <c r="AO74" i="88"/>
  <c r="AS74" i="88"/>
  <c r="L79" i="88"/>
  <c r="P79" i="88"/>
  <c r="N79" i="88"/>
  <c r="K79" i="88"/>
  <c r="W114" i="88"/>
  <c r="S79" i="88"/>
  <c r="AO83" i="78"/>
  <c r="AM122" i="78"/>
  <c r="AO78" i="75"/>
  <c r="AS78" i="75"/>
  <c r="AM117" i="75"/>
  <c r="J76" i="78"/>
  <c r="S41" i="59"/>
  <c r="T88" i="59"/>
  <c r="J41" i="59"/>
  <c r="M149" i="66"/>
  <c r="L149" i="66"/>
  <c r="N149" i="66"/>
  <c r="AV84" i="78"/>
  <c r="BG91" i="78"/>
  <c r="BE85" i="78"/>
  <c r="BJ130" i="78"/>
  <c r="AS85" i="78"/>
  <c r="AY84" i="78"/>
  <c r="AX84" i="78"/>
  <c r="AW84" i="78"/>
  <c r="AU84" i="78"/>
  <c r="AR84" i="78"/>
  <c r="F151" i="66"/>
  <c r="G150" i="66"/>
  <c r="AA150" i="66"/>
  <c r="U150" i="66"/>
  <c r="O151" i="66"/>
  <c r="W152" i="66"/>
  <c r="BG79" i="75"/>
  <c r="AU79" i="75"/>
  <c r="AY79" i="75"/>
  <c r="AW79" i="75"/>
  <c r="AT79" i="75"/>
  <c r="BL124" i="75"/>
  <c r="S83" i="75"/>
  <c r="L83" i="75"/>
  <c r="P83" i="75"/>
  <c r="N83" i="75"/>
  <c r="K83" i="75"/>
  <c r="W118" i="75"/>
  <c r="L85" i="86"/>
  <c r="P85" i="86"/>
  <c r="N85" i="86"/>
  <c r="K85" i="86"/>
  <c r="W120" i="86"/>
  <c r="S85" i="86"/>
  <c r="W130" i="91"/>
  <c r="L95" i="91"/>
  <c r="P95" i="91"/>
  <c r="N95" i="91"/>
  <c r="K95" i="91"/>
  <c r="S95" i="91"/>
  <c r="AU86" i="86"/>
  <c r="AY86" i="86"/>
  <c r="AW86" i="86"/>
  <c r="AT86" i="86"/>
  <c r="BL131" i="86"/>
  <c r="BG86" i="86"/>
  <c r="AU104" i="91"/>
  <c r="AY104" i="91"/>
  <c r="AW104" i="91"/>
  <c r="AT104" i="91"/>
  <c r="BL149" i="91"/>
  <c r="BG104" i="91"/>
  <c r="BG76" i="88"/>
  <c r="BL121" i="88"/>
  <c r="AU76" i="88"/>
  <c r="AY76" i="88"/>
  <c r="AW76" i="88"/>
  <c r="AT76" i="88"/>
  <c r="BK95" i="91"/>
  <c r="J95" i="91"/>
  <c r="X130" i="91"/>
  <c r="X120" i="86"/>
  <c r="J85" i="86"/>
  <c r="BK85" i="86"/>
  <c r="AM123" i="78"/>
  <c r="AO84" i="78"/>
  <c r="X118" i="75"/>
  <c r="BK83" i="75"/>
  <c r="J83" i="75"/>
  <c r="AM118" i="75"/>
  <c r="AS79" i="75"/>
  <c r="AO79" i="75"/>
  <c r="AS104" i="91"/>
  <c r="AO104" i="91"/>
  <c r="AM143" i="91"/>
  <c r="X114" i="88"/>
  <c r="J79" i="88"/>
  <c r="BK79" i="88"/>
  <c r="W153" i="66"/>
  <c r="O152" i="66"/>
  <c r="BG92" i="78"/>
  <c r="BE86" i="78"/>
  <c r="BJ131" i="78"/>
  <c r="AS86" i="78"/>
  <c r="N150" i="66"/>
  <c r="M150" i="66"/>
  <c r="L150" i="66"/>
  <c r="AX85" i="78"/>
  <c r="AY85" i="78"/>
  <c r="W115" i="88"/>
  <c r="L80" i="88"/>
  <c r="P80" i="88"/>
  <c r="N80" i="88"/>
  <c r="K80" i="88"/>
  <c r="S80" i="88"/>
  <c r="K77" i="78"/>
  <c r="O77" i="78"/>
  <c r="M77" i="78"/>
  <c r="N78" i="78"/>
  <c r="W117" i="78"/>
  <c r="AO76" i="88"/>
  <c r="AM115" i="88"/>
  <c r="AS76" i="88"/>
  <c r="AO86" i="86"/>
  <c r="AS86" i="86"/>
  <c r="AM125" i="86"/>
  <c r="BG77" i="88"/>
  <c r="AU77" i="88"/>
  <c r="AY77" i="88"/>
  <c r="AW77" i="88"/>
  <c r="AT77" i="88"/>
  <c r="BL122" i="88"/>
  <c r="S84" i="75"/>
  <c r="W119" i="75"/>
  <c r="L84" i="75"/>
  <c r="P84" i="75"/>
  <c r="N84" i="75"/>
  <c r="K84" i="75"/>
  <c r="BG80" i="75"/>
  <c r="AU80" i="75"/>
  <c r="AY80" i="75"/>
  <c r="AW80" i="75"/>
  <c r="AT80" i="75"/>
  <c r="BL125" i="75"/>
  <c r="U151" i="66"/>
  <c r="AA151" i="66"/>
  <c r="G151" i="66"/>
  <c r="F152" i="66"/>
  <c r="O41" i="59"/>
  <c r="P41" i="59"/>
  <c r="K44" i="66"/>
  <c r="J44" i="66"/>
  <c r="I44" i="66"/>
  <c r="X44" i="66"/>
  <c r="AU105" i="91"/>
  <c r="AY105" i="91"/>
  <c r="AW105" i="91"/>
  <c r="AT105" i="91"/>
  <c r="BL150" i="91"/>
  <c r="BG105" i="91"/>
  <c r="AU87" i="86"/>
  <c r="AY87" i="86"/>
  <c r="AW87" i="86"/>
  <c r="BL132" i="86"/>
  <c r="AT87" i="86"/>
  <c r="BG87" i="86"/>
  <c r="W131" i="91"/>
  <c r="L96" i="91"/>
  <c r="P96" i="91"/>
  <c r="N96" i="91"/>
  <c r="K96" i="91"/>
  <c r="S96" i="91"/>
  <c r="L86" i="86"/>
  <c r="P86" i="86"/>
  <c r="N86" i="86"/>
  <c r="K86" i="86"/>
  <c r="W121" i="86"/>
  <c r="S86" i="86"/>
  <c r="AV85" i="78"/>
  <c r="N41" i="59"/>
  <c r="L41" i="59"/>
  <c r="I41" i="59"/>
  <c r="BF47" i="59"/>
  <c r="X116" i="78"/>
  <c r="BI82" i="78"/>
  <c r="AU46" i="59"/>
  <c r="AV46" i="59"/>
  <c r="J96" i="91"/>
  <c r="BK96" i="91"/>
  <c r="X131" i="91"/>
  <c r="J86" i="86"/>
  <c r="X121" i="86"/>
  <c r="BK86" i="86"/>
  <c r="J84" i="75"/>
  <c r="X119" i="75"/>
  <c r="BK84" i="75"/>
  <c r="J80" i="88"/>
  <c r="BK80" i="88"/>
  <c r="X115" i="88"/>
  <c r="AS105" i="91"/>
  <c r="AO105" i="91"/>
  <c r="AM144" i="91"/>
  <c r="AT46" i="59"/>
  <c r="AR46" i="59"/>
  <c r="M42" i="59"/>
  <c r="AM119" i="75"/>
  <c r="AO80" i="75"/>
  <c r="AS80" i="75"/>
  <c r="AO77" i="88"/>
  <c r="AM116" i="88"/>
  <c r="AS77" i="88"/>
  <c r="L77" i="78"/>
  <c r="R77" i="78"/>
  <c r="AY86" i="78"/>
  <c r="AX86" i="78"/>
  <c r="AW86" i="78"/>
  <c r="AU86" i="78"/>
  <c r="AW85" i="78"/>
  <c r="AU85" i="78"/>
  <c r="AR85" i="78"/>
  <c r="AR86" i="78"/>
  <c r="T44" i="66"/>
  <c r="S44" i="66"/>
  <c r="K41" i="59"/>
  <c r="BG81" i="75"/>
  <c r="AU81" i="75"/>
  <c r="AY81" i="75"/>
  <c r="AW81" i="75"/>
  <c r="AT81" i="75"/>
  <c r="BL126" i="75"/>
  <c r="S85" i="75"/>
  <c r="W120" i="75"/>
  <c r="L85" i="75"/>
  <c r="P85" i="75"/>
  <c r="N85" i="75"/>
  <c r="K85" i="75"/>
  <c r="BG78" i="88"/>
  <c r="AU78" i="88"/>
  <c r="AY78" i="88"/>
  <c r="AW78" i="88"/>
  <c r="AT78" i="88"/>
  <c r="BL123" i="88"/>
  <c r="J77" i="78"/>
  <c r="L81" i="88"/>
  <c r="P81" i="88"/>
  <c r="N81" i="88"/>
  <c r="K81" i="88"/>
  <c r="W116" i="88"/>
  <c r="S81" i="88"/>
  <c r="L87" i="86"/>
  <c r="P87" i="86"/>
  <c r="N87" i="86"/>
  <c r="K87" i="86"/>
  <c r="W122" i="86"/>
  <c r="S87" i="86"/>
  <c r="L97" i="91"/>
  <c r="P97" i="91"/>
  <c r="N97" i="91"/>
  <c r="K97" i="91"/>
  <c r="W132" i="91"/>
  <c r="S97" i="91"/>
  <c r="BL133" i="86"/>
  <c r="AU88" i="86"/>
  <c r="AY88" i="86"/>
  <c r="AW88" i="86"/>
  <c r="AT88" i="86"/>
  <c r="BG88" i="86"/>
  <c r="AU106" i="91"/>
  <c r="AY106" i="91"/>
  <c r="AW106" i="91"/>
  <c r="AT106" i="91"/>
  <c r="BL151" i="91"/>
  <c r="BG106" i="91"/>
  <c r="R44" i="66"/>
  <c r="P44" i="66"/>
  <c r="U152" i="66"/>
  <c r="F153" i="66"/>
  <c r="AA152" i="66"/>
  <c r="G152" i="66"/>
  <c r="AM126" i="86"/>
  <c r="AO87" i="86"/>
  <c r="AS87" i="86"/>
  <c r="N151" i="66"/>
  <c r="M151" i="66"/>
  <c r="L151" i="66"/>
  <c r="BG93" i="78"/>
  <c r="BE87" i="78"/>
  <c r="BJ132" i="78"/>
  <c r="AS87" i="78"/>
  <c r="O153" i="66"/>
  <c r="W154" i="66"/>
  <c r="J87" i="86"/>
  <c r="BK87" i="86"/>
  <c r="X122" i="86"/>
  <c r="AH50" i="86"/>
  <c r="J81" i="88"/>
  <c r="BK81" i="88"/>
  <c r="X116" i="88"/>
  <c r="BK85" i="75"/>
  <c r="X120" i="75"/>
  <c r="J85" i="75"/>
  <c r="AS81" i="75"/>
  <c r="AM120" i="75"/>
  <c r="AO81" i="75"/>
  <c r="AO86" i="78"/>
  <c r="AM125" i="78"/>
  <c r="J97" i="91"/>
  <c r="X132" i="91"/>
  <c r="BK97" i="91"/>
  <c r="AM117" i="88"/>
  <c r="AO78" i="88"/>
  <c r="AS78" i="88"/>
  <c r="BG94" i="78"/>
  <c r="BE88" i="78"/>
  <c r="AS88" i="78"/>
  <c r="BJ133" i="78"/>
  <c r="AM124" i="78"/>
  <c r="AO85" i="78"/>
  <c r="Q41" i="59"/>
  <c r="U88" i="59"/>
  <c r="O154" i="66"/>
  <c r="W155" i="66"/>
  <c r="Q45" i="66"/>
  <c r="N152" i="66"/>
  <c r="M152" i="66"/>
  <c r="L152" i="66"/>
  <c r="AM145" i="91"/>
  <c r="AO106" i="91"/>
  <c r="AS106" i="91"/>
  <c r="H44" i="66"/>
  <c r="O44" i="66"/>
  <c r="AS88" i="86"/>
  <c r="AO88" i="86"/>
  <c r="AM127" i="86"/>
  <c r="AX87" i="78"/>
  <c r="AY87" i="78"/>
  <c r="AV86" i="78"/>
  <c r="F154" i="66"/>
  <c r="U153" i="66"/>
  <c r="G153" i="66"/>
  <c r="AA153" i="66"/>
  <c r="AU107" i="91"/>
  <c r="AY107" i="91"/>
  <c r="AW107" i="91"/>
  <c r="AT107" i="91"/>
  <c r="BL152" i="91"/>
  <c r="BG107" i="91"/>
  <c r="BL134" i="86"/>
  <c r="AU89" i="86"/>
  <c r="AY89" i="86"/>
  <c r="AW89" i="86"/>
  <c r="AT89" i="86"/>
  <c r="BG89" i="86"/>
  <c r="L98" i="91"/>
  <c r="P98" i="91"/>
  <c r="N98" i="91"/>
  <c r="K98" i="91"/>
  <c r="W133" i="91"/>
  <c r="S98" i="91"/>
  <c r="L88" i="86"/>
  <c r="P88" i="86"/>
  <c r="N88" i="86"/>
  <c r="K88" i="86"/>
  <c r="W123" i="86"/>
  <c r="S88" i="86"/>
  <c r="L82" i="88"/>
  <c r="P82" i="88"/>
  <c r="N82" i="88"/>
  <c r="K82" i="88"/>
  <c r="W117" i="88"/>
  <c r="S82" i="88"/>
  <c r="X117" i="78"/>
  <c r="BI83" i="78"/>
  <c r="BG79" i="88"/>
  <c r="AU79" i="88"/>
  <c r="AY79" i="88"/>
  <c r="AW79" i="88"/>
  <c r="AT79" i="88"/>
  <c r="BL124" i="88"/>
  <c r="S86" i="75"/>
  <c r="W121" i="75"/>
  <c r="L86" i="75"/>
  <c r="P86" i="75"/>
  <c r="N86" i="75"/>
  <c r="K86" i="75"/>
  <c r="BG82" i="75"/>
  <c r="AU82" i="75"/>
  <c r="AY82" i="75"/>
  <c r="AW82" i="75"/>
  <c r="BL127" i="75"/>
  <c r="AT82" i="75"/>
  <c r="AV87" i="78"/>
  <c r="W118" i="78"/>
  <c r="K78" i="78"/>
  <c r="O78" i="78"/>
  <c r="M78" i="78"/>
  <c r="N79" i="78"/>
  <c r="AO46" i="59"/>
  <c r="AQ46" i="59"/>
  <c r="BB46" i="59"/>
  <c r="AS47" i="59"/>
  <c r="X123" i="86"/>
  <c r="J88" i="86"/>
  <c r="BK88" i="86"/>
  <c r="AS89" i="86"/>
  <c r="AM128" i="86"/>
  <c r="AO89" i="86"/>
  <c r="J82" i="88"/>
  <c r="X117" i="88"/>
  <c r="BK82" i="88"/>
  <c r="J86" i="75"/>
  <c r="BK86" i="75"/>
  <c r="X121" i="75"/>
  <c r="AM118" i="88"/>
  <c r="AO79" i="88"/>
  <c r="AS79" i="88"/>
  <c r="X133" i="91"/>
  <c r="J98" i="91"/>
  <c r="BK98" i="91"/>
  <c r="O155" i="66"/>
  <c r="W156" i="66"/>
  <c r="S42" i="59"/>
  <c r="T89" i="59"/>
  <c r="J42" i="59"/>
  <c r="AJ85" i="59"/>
  <c r="AL46" i="59"/>
  <c r="AS107" i="91"/>
  <c r="AM146" i="91"/>
  <c r="AO107" i="91"/>
  <c r="BD53" i="59"/>
  <c r="BG92" i="59"/>
  <c r="AP47" i="59"/>
  <c r="J78" i="78"/>
  <c r="L78" i="78"/>
  <c r="R78" i="78"/>
  <c r="L83" i="88"/>
  <c r="P83" i="88"/>
  <c r="N83" i="88"/>
  <c r="K83" i="88"/>
  <c r="W118" i="88"/>
  <c r="S83" i="88"/>
  <c r="L89" i="86"/>
  <c r="P89" i="86"/>
  <c r="N89" i="86"/>
  <c r="K89" i="86"/>
  <c r="W124" i="86"/>
  <c r="S89" i="86"/>
  <c r="W134" i="91"/>
  <c r="L99" i="91"/>
  <c r="P99" i="91"/>
  <c r="N99" i="91"/>
  <c r="K99" i="91"/>
  <c r="S99" i="91"/>
  <c r="BL135" i="86"/>
  <c r="AU90" i="86"/>
  <c r="AY90" i="86"/>
  <c r="AW90" i="86"/>
  <c r="AT90" i="86"/>
  <c r="BG90" i="86"/>
  <c r="AU108" i="91"/>
  <c r="BL153" i="91"/>
  <c r="BL154" i="91"/>
  <c r="BG108" i="91"/>
  <c r="U154" i="66"/>
  <c r="AA154" i="66"/>
  <c r="G154" i="66"/>
  <c r="F155" i="66"/>
  <c r="AW87" i="78"/>
  <c r="AU87" i="78"/>
  <c r="AR87" i="78"/>
  <c r="BG95" i="78"/>
  <c r="BE89" i="78"/>
  <c r="AS89" i="78"/>
  <c r="BJ134" i="78"/>
  <c r="AS82" i="75"/>
  <c r="AM121" i="75"/>
  <c r="AO82" i="75"/>
  <c r="BG83" i="75"/>
  <c r="AU83" i="75"/>
  <c r="AY83" i="75"/>
  <c r="AW83" i="75"/>
  <c r="AT83" i="75"/>
  <c r="BL128" i="75"/>
  <c r="S87" i="75"/>
  <c r="L87" i="75"/>
  <c r="P87" i="75"/>
  <c r="N87" i="75"/>
  <c r="K87" i="75"/>
  <c r="W122" i="75"/>
  <c r="BG80" i="88"/>
  <c r="BL125" i="88"/>
  <c r="AU80" i="88"/>
  <c r="AY80" i="88"/>
  <c r="AW80" i="88"/>
  <c r="AT80" i="88"/>
  <c r="L153" i="66"/>
  <c r="N153" i="66"/>
  <c r="M153" i="66"/>
  <c r="V44" i="66"/>
  <c r="Z44" i="66"/>
  <c r="AX88" i="78"/>
  <c r="AY88" i="78"/>
  <c r="AS90" i="86"/>
  <c r="AM129" i="86"/>
  <c r="AO90" i="86"/>
  <c r="AO80" i="88"/>
  <c r="AM119" i="88"/>
  <c r="AS80" i="88"/>
  <c r="J87" i="75"/>
  <c r="X122" i="75"/>
  <c r="AH50" i="75"/>
  <c r="BK87" i="75"/>
  <c r="BK83" i="88"/>
  <c r="J83" i="88"/>
  <c r="X118" i="88"/>
  <c r="X134" i="91"/>
  <c r="BK99" i="91"/>
  <c r="J99" i="91"/>
  <c r="BK89" i="86"/>
  <c r="X124" i="86"/>
  <c r="J89" i="86"/>
  <c r="BG81" i="88"/>
  <c r="AU81" i="88"/>
  <c r="AY81" i="88"/>
  <c r="AW81" i="88"/>
  <c r="AT81" i="88"/>
  <c r="BL126" i="88"/>
  <c r="J45" i="66"/>
  <c r="I45" i="66"/>
  <c r="K45" i="66"/>
  <c r="X45" i="66"/>
  <c r="AM122" i="75"/>
  <c r="AO83" i="75"/>
  <c r="AS83" i="75"/>
  <c r="AY108" i="91"/>
  <c r="AW108" i="91"/>
  <c r="AU109" i="91"/>
  <c r="D29" i="91"/>
  <c r="D32" i="91"/>
  <c r="BG96" i="78"/>
  <c r="BE90" i="78"/>
  <c r="AS90" i="78"/>
  <c r="BJ135" i="78"/>
  <c r="U155" i="66"/>
  <c r="AA155" i="66"/>
  <c r="G155" i="66"/>
  <c r="F156" i="66"/>
  <c r="AU91" i="86"/>
  <c r="AY91" i="86"/>
  <c r="AW91" i="86"/>
  <c r="AT91" i="86"/>
  <c r="BL136" i="86"/>
  <c r="BG91" i="86"/>
  <c r="L100" i="91"/>
  <c r="P100" i="91"/>
  <c r="N100" i="91"/>
  <c r="K100" i="91"/>
  <c r="W135" i="91"/>
  <c r="S100" i="91"/>
  <c r="W125" i="86"/>
  <c r="L90" i="86"/>
  <c r="P90" i="86"/>
  <c r="N90" i="86"/>
  <c r="K90" i="86"/>
  <c r="S90" i="86"/>
  <c r="L84" i="88"/>
  <c r="P84" i="88"/>
  <c r="N84" i="88"/>
  <c r="K84" i="88"/>
  <c r="W119" i="88"/>
  <c r="S84" i="88"/>
  <c r="K79" i="78"/>
  <c r="O79" i="78"/>
  <c r="M79" i="78"/>
  <c r="N80" i="78"/>
  <c r="W119" i="78"/>
  <c r="AW88" i="78"/>
  <c r="AU88" i="78"/>
  <c r="AR88" i="78"/>
  <c r="P42" i="59"/>
  <c r="O42" i="59"/>
  <c r="S88" i="75"/>
  <c r="L88" i="75"/>
  <c r="P88" i="75"/>
  <c r="N88" i="75"/>
  <c r="K88" i="75"/>
  <c r="W123" i="75"/>
  <c r="BG84" i="75"/>
  <c r="BL129" i="75"/>
  <c r="AU84" i="75"/>
  <c r="AY84" i="75"/>
  <c r="AW84" i="75"/>
  <c r="AT84" i="75"/>
  <c r="AX89" i="78"/>
  <c r="AY89" i="78"/>
  <c r="N154" i="66"/>
  <c r="M154" i="66"/>
  <c r="L154" i="66"/>
  <c r="X118" i="78"/>
  <c r="BI84" i="78"/>
  <c r="N42" i="59"/>
  <c r="L42" i="59"/>
  <c r="I42" i="59"/>
  <c r="BF48" i="59"/>
  <c r="AO87" i="78"/>
  <c r="AM126" i="78"/>
  <c r="AV88" i="78"/>
  <c r="AU47" i="59"/>
  <c r="AV47" i="59"/>
  <c r="O156" i="66"/>
  <c r="W157" i="66"/>
  <c r="J88" i="75"/>
  <c r="X123" i="75"/>
  <c r="BK88" i="75"/>
  <c r="AM130" i="86"/>
  <c r="AO91" i="86"/>
  <c r="AS91" i="86"/>
  <c r="AS84" i="75"/>
  <c r="AO84" i="75"/>
  <c r="AM123" i="75"/>
  <c r="X119" i="88"/>
  <c r="J84" i="88"/>
  <c r="BK84" i="88"/>
  <c r="W120" i="88"/>
  <c r="L85" i="88"/>
  <c r="P85" i="88"/>
  <c r="N85" i="88"/>
  <c r="K85" i="88"/>
  <c r="S85" i="88"/>
  <c r="L91" i="86"/>
  <c r="P91" i="86"/>
  <c r="N91" i="86"/>
  <c r="K91" i="86"/>
  <c r="W126" i="86"/>
  <c r="S91" i="86"/>
  <c r="L101" i="91"/>
  <c r="P101" i="91"/>
  <c r="N101" i="91"/>
  <c r="K101" i="91"/>
  <c r="W136" i="91"/>
  <c r="S101" i="91"/>
  <c r="AU92" i="86"/>
  <c r="AY92" i="86"/>
  <c r="AW92" i="86"/>
  <c r="BL137" i="86"/>
  <c r="AT92" i="86"/>
  <c r="BG92" i="86"/>
  <c r="BG97" i="78"/>
  <c r="BE91" i="78"/>
  <c r="AS91" i="78"/>
  <c r="BJ136" i="78"/>
  <c r="AW109" i="91"/>
  <c r="AT108" i="91"/>
  <c r="AO81" i="88"/>
  <c r="AM120" i="88"/>
  <c r="AS81" i="88"/>
  <c r="O157" i="66"/>
  <c r="W158" i="66"/>
  <c r="M43" i="59"/>
  <c r="AO88" i="78"/>
  <c r="AM127" i="78"/>
  <c r="J79" i="78"/>
  <c r="F157" i="66"/>
  <c r="AA156" i="66"/>
  <c r="G156" i="66"/>
  <c r="U156" i="66"/>
  <c r="AY90" i="78"/>
  <c r="AX90" i="78"/>
  <c r="BG82" i="88"/>
  <c r="BL127" i="88"/>
  <c r="AU82" i="88"/>
  <c r="AY82" i="88"/>
  <c r="AW82" i="88"/>
  <c r="AT82" i="88"/>
  <c r="AT47" i="59"/>
  <c r="AR47" i="59"/>
  <c r="AS48" i="59"/>
  <c r="AW89" i="78"/>
  <c r="AU89" i="78"/>
  <c r="AR89" i="78"/>
  <c r="L79" i="78"/>
  <c r="R79" i="78"/>
  <c r="BK90" i="86"/>
  <c r="J90" i="86"/>
  <c r="X125" i="86"/>
  <c r="M155" i="66"/>
  <c r="N155" i="66"/>
  <c r="L155" i="66"/>
  <c r="AW90" i="78"/>
  <c r="AU90" i="78"/>
  <c r="AR90" i="78"/>
  <c r="AV89" i="78"/>
  <c r="BG85" i="75"/>
  <c r="AU85" i="75"/>
  <c r="AY85" i="75"/>
  <c r="AW85" i="75"/>
  <c r="AT85" i="75"/>
  <c r="BL130" i="75"/>
  <c r="S89" i="75"/>
  <c r="W124" i="75"/>
  <c r="L89" i="75"/>
  <c r="P89" i="75"/>
  <c r="N89" i="75"/>
  <c r="K89" i="75"/>
  <c r="K42" i="59"/>
  <c r="X135" i="91"/>
  <c r="BK100" i="91"/>
  <c r="J100" i="91"/>
  <c r="D50" i="91"/>
  <c r="T45" i="66"/>
  <c r="S45" i="66"/>
  <c r="X126" i="86"/>
  <c r="J91" i="86"/>
  <c r="BK91" i="86"/>
  <c r="AM121" i="88"/>
  <c r="AO82" i="88"/>
  <c r="AS82" i="88"/>
  <c r="AM124" i="75"/>
  <c r="AS85" i="75"/>
  <c r="AO85" i="75"/>
  <c r="J85" i="88"/>
  <c r="BK85" i="88"/>
  <c r="X120" i="88"/>
  <c r="Q42" i="59"/>
  <c r="U89" i="59"/>
  <c r="S90" i="75"/>
  <c r="L90" i="75"/>
  <c r="P90" i="75"/>
  <c r="N90" i="75"/>
  <c r="K90" i="75"/>
  <c r="W125" i="75"/>
  <c r="BG86" i="75"/>
  <c r="BL131" i="75"/>
  <c r="AU86" i="75"/>
  <c r="AY86" i="75"/>
  <c r="AW86" i="75"/>
  <c r="AT86" i="75"/>
  <c r="W120" i="78"/>
  <c r="K80" i="78"/>
  <c r="O80" i="78"/>
  <c r="M80" i="78"/>
  <c r="N81" i="78"/>
  <c r="BG83" i="88"/>
  <c r="BL128" i="88"/>
  <c r="AU83" i="88"/>
  <c r="AY83" i="88"/>
  <c r="AW83" i="88"/>
  <c r="AT83" i="88"/>
  <c r="BL138" i="86"/>
  <c r="AU93" i="86"/>
  <c r="AY93" i="86"/>
  <c r="AW93" i="86"/>
  <c r="AT93" i="86"/>
  <c r="BG93" i="86"/>
  <c r="L102" i="91"/>
  <c r="P102" i="91"/>
  <c r="N102" i="91"/>
  <c r="K102" i="91"/>
  <c r="W137" i="91"/>
  <c r="S102" i="91"/>
  <c r="L92" i="86"/>
  <c r="P92" i="86"/>
  <c r="N92" i="86"/>
  <c r="K92" i="86"/>
  <c r="W127" i="86"/>
  <c r="S92" i="86"/>
  <c r="W121" i="88"/>
  <c r="L86" i="88"/>
  <c r="P86" i="88"/>
  <c r="N86" i="88"/>
  <c r="K86" i="88"/>
  <c r="S86" i="88"/>
  <c r="BK89" i="75"/>
  <c r="J89" i="75"/>
  <c r="X124" i="75"/>
  <c r="AO90" i="78"/>
  <c r="AM129" i="78"/>
  <c r="AO47" i="59"/>
  <c r="AQ47" i="59"/>
  <c r="BB47" i="59"/>
  <c r="U157" i="66"/>
  <c r="G157" i="66"/>
  <c r="AA157" i="66"/>
  <c r="F158" i="66"/>
  <c r="AV90" i="78"/>
  <c r="AS108" i="91"/>
  <c r="AS109" i="91"/>
  <c r="AM147" i="91"/>
  <c r="AO108" i="91"/>
  <c r="AO7" i="91"/>
  <c r="AT109" i="91"/>
  <c r="D31" i="91"/>
  <c r="AC51" i="91"/>
  <c r="AB47" i="91"/>
  <c r="AS92" i="86"/>
  <c r="AM131" i="86"/>
  <c r="AO92" i="86"/>
  <c r="AM128" i="78"/>
  <c r="AO89" i="78"/>
  <c r="R45" i="66"/>
  <c r="P45" i="66"/>
  <c r="Q46" i="66"/>
  <c r="BI85" i="78"/>
  <c r="X119" i="78"/>
  <c r="BG98" i="78"/>
  <c r="BE92" i="78"/>
  <c r="AS92" i="78"/>
  <c r="BJ137" i="78"/>
  <c r="BK101" i="91"/>
  <c r="J101" i="91"/>
  <c r="X136" i="91"/>
  <c r="D52" i="91"/>
  <c r="D53" i="91"/>
  <c r="D51" i="91"/>
  <c r="AV91" i="78"/>
  <c r="N156" i="66"/>
  <c r="M156" i="66"/>
  <c r="L156" i="66"/>
  <c r="W159" i="66"/>
  <c r="O158" i="66"/>
  <c r="AY91" i="78"/>
  <c r="AX91" i="78"/>
  <c r="AS86" i="75"/>
  <c r="AO86" i="75"/>
  <c r="AM125" i="75"/>
  <c r="J90" i="75"/>
  <c r="BK90" i="75"/>
  <c r="X125" i="75"/>
  <c r="AM132" i="86"/>
  <c r="AS93" i="86"/>
  <c r="AO93" i="86"/>
  <c r="X121" i="88"/>
  <c r="BK86" i="88"/>
  <c r="J86" i="88"/>
  <c r="X127" i="86"/>
  <c r="J92" i="86"/>
  <c r="BK92" i="86"/>
  <c r="AM122" i="88"/>
  <c r="AO83" i="88"/>
  <c r="AS83" i="88"/>
  <c r="AY92" i="78"/>
  <c r="AX92" i="78"/>
  <c r="AL47" i="59"/>
  <c r="AJ86" i="59"/>
  <c r="BG87" i="75"/>
  <c r="AU87" i="75"/>
  <c r="AY87" i="75"/>
  <c r="AW87" i="75"/>
  <c r="AT87" i="75"/>
  <c r="BL132" i="75"/>
  <c r="S91" i="75"/>
  <c r="L91" i="75"/>
  <c r="P91" i="75"/>
  <c r="N91" i="75"/>
  <c r="K91" i="75"/>
  <c r="W126" i="75"/>
  <c r="X137" i="91"/>
  <c r="J102" i="91"/>
  <c r="BK102" i="91"/>
  <c r="J80" i="78"/>
  <c r="AN148" i="91"/>
  <c r="AM148" i="91"/>
  <c r="BD54" i="59"/>
  <c r="BG93" i="59"/>
  <c r="AP48" i="59"/>
  <c r="AW92" i="78"/>
  <c r="AU92" i="78"/>
  <c r="O159" i="66"/>
  <c r="W160" i="66"/>
  <c r="BG99" i="78"/>
  <c r="BE93" i="78"/>
  <c r="BJ138" i="78"/>
  <c r="AS93" i="78"/>
  <c r="L157" i="66"/>
  <c r="N157" i="66"/>
  <c r="M157" i="66"/>
  <c r="H45" i="66"/>
  <c r="O45" i="66"/>
  <c r="U158" i="66"/>
  <c r="AA158" i="66"/>
  <c r="G158" i="66"/>
  <c r="F159" i="66"/>
  <c r="W122" i="88"/>
  <c r="L87" i="88"/>
  <c r="P87" i="88"/>
  <c r="N87" i="88"/>
  <c r="K87" i="88"/>
  <c r="S87" i="88"/>
  <c r="L93" i="86"/>
  <c r="P93" i="86"/>
  <c r="N93" i="86"/>
  <c r="K93" i="86"/>
  <c r="W128" i="86"/>
  <c r="S93" i="86"/>
  <c r="W138" i="91"/>
  <c r="L103" i="91"/>
  <c r="P103" i="91"/>
  <c r="N103" i="91"/>
  <c r="K103" i="91"/>
  <c r="S103" i="91"/>
  <c r="BL139" i="86"/>
  <c r="AU94" i="86"/>
  <c r="AY94" i="86"/>
  <c r="AW94" i="86"/>
  <c r="AT94" i="86"/>
  <c r="BG94" i="86"/>
  <c r="AW91" i="78"/>
  <c r="AU91" i="78"/>
  <c r="AR91" i="78"/>
  <c r="BG84" i="88"/>
  <c r="AU84" i="88"/>
  <c r="AY84" i="88"/>
  <c r="AW84" i="88"/>
  <c r="AT84" i="88"/>
  <c r="BL129" i="88"/>
  <c r="L80" i="78"/>
  <c r="R80" i="78"/>
  <c r="S43" i="59"/>
  <c r="T90" i="59"/>
  <c r="J43" i="59"/>
  <c r="AS87" i="75"/>
  <c r="AO87" i="75"/>
  <c r="AM126" i="75"/>
  <c r="AO94" i="86"/>
  <c r="AM133" i="86"/>
  <c r="AS94" i="86"/>
  <c r="AO84" i="88"/>
  <c r="AM123" i="88"/>
  <c r="AS84" i="88"/>
  <c r="P43" i="59"/>
  <c r="O43" i="59"/>
  <c r="U159" i="66"/>
  <c r="G159" i="66"/>
  <c r="AA159" i="66"/>
  <c r="F160" i="66"/>
  <c r="BG100" i="78"/>
  <c r="BE94" i="78"/>
  <c r="BJ139" i="78"/>
  <c r="AS94" i="78"/>
  <c r="AU48" i="59"/>
  <c r="AT48" i="59"/>
  <c r="AV48" i="59"/>
  <c r="AR48" i="59"/>
  <c r="AO48" i="59"/>
  <c r="J91" i="75"/>
  <c r="X126" i="75"/>
  <c r="BK91" i="75"/>
  <c r="AV93" i="78"/>
  <c r="S92" i="75"/>
  <c r="W127" i="75"/>
  <c r="L92" i="75"/>
  <c r="P92" i="75"/>
  <c r="N92" i="75"/>
  <c r="K92" i="75"/>
  <c r="BG88" i="75"/>
  <c r="BL133" i="75"/>
  <c r="AU88" i="75"/>
  <c r="AY88" i="75"/>
  <c r="AW88" i="75"/>
  <c r="AT88" i="75"/>
  <c r="W121" i="78"/>
  <c r="K81" i="78"/>
  <c r="O81" i="78"/>
  <c r="M81" i="78"/>
  <c r="N82" i="78"/>
  <c r="BG85" i="88"/>
  <c r="BL130" i="88"/>
  <c r="AU85" i="88"/>
  <c r="AY85" i="88"/>
  <c r="AW85" i="88"/>
  <c r="AT85" i="88"/>
  <c r="J103" i="91"/>
  <c r="X138" i="91"/>
  <c r="BK103" i="91"/>
  <c r="BK93" i="86"/>
  <c r="X128" i="86"/>
  <c r="J93" i="86"/>
  <c r="X122" i="88"/>
  <c r="AH50" i="88"/>
  <c r="BK87" i="88"/>
  <c r="J87" i="88"/>
  <c r="AY93" i="78"/>
  <c r="AX93" i="78"/>
  <c r="AV92" i="78"/>
  <c r="BI86" i="78"/>
  <c r="X120" i="78"/>
  <c r="N158" i="66"/>
  <c r="L158" i="66"/>
  <c r="M158" i="66"/>
  <c r="V45" i="66"/>
  <c r="Z45" i="66"/>
  <c r="AM130" i="78"/>
  <c r="AO91" i="78"/>
  <c r="BL140" i="86"/>
  <c r="AU95" i="86"/>
  <c r="AY95" i="86"/>
  <c r="AW95" i="86"/>
  <c r="AT95" i="86"/>
  <c r="BG95" i="86"/>
  <c r="W139" i="91"/>
  <c r="L104" i="91"/>
  <c r="P104" i="91"/>
  <c r="N104" i="91"/>
  <c r="K104" i="91"/>
  <c r="S104" i="91"/>
  <c r="L94" i="86"/>
  <c r="P94" i="86"/>
  <c r="N94" i="86"/>
  <c r="K94" i="86"/>
  <c r="W129" i="86"/>
  <c r="S94" i="86"/>
  <c r="L88" i="88"/>
  <c r="P88" i="88"/>
  <c r="N88" i="88"/>
  <c r="K88" i="88"/>
  <c r="W123" i="88"/>
  <c r="S88" i="88"/>
  <c r="O160" i="66"/>
  <c r="W161" i="66"/>
  <c r="AR92" i="78"/>
  <c r="AQ48" i="59"/>
  <c r="BB48" i="59"/>
  <c r="BK94" i="86"/>
  <c r="J94" i="86"/>
  <c r="X129" i="86"/>
  <c r="AO85" i="88"/>
  <c r="AM124" i="88"/>
  <c r="AS85" i="88"/>
  <c r="AM127" i="75"/>
  <c r="AO88" i="75"/>
  <c r="AS88" i="75"/>
  <c r="AM134" i="86"/>
  <c r="AO95" i="86"/>
  <c r="AS95" i="86"/>
  <c r="BD55" i="59"/>
  <c r="AP49" i="59"/>
  <c r="BG94" i="59"/>
  <c r="X139" i="91"/>
  <c r="BK104" i="91"/>
  <c r="J104" i="91"/>
  <c r="J92" i="75"/>
  <c r="X127" i="75"/>
  <c r="BK92" i="75"/>
  <c r="L81" i="78"/>
  <c r="R81" i="78"/>
  <c r="AY94" i="78"/>
  <c r="AX94" i="78"/>
  <c r="L159" i="66"/>
  <c r="N159" i="66"/>
  <c r="M159" i="66"/>
  <c r="BG86" i="88"/>
  <c r="AU86" i="88"/>
  <c r="AY86" i="88"/>
  <c r="AW86" i="88"/>
  <c r="AT86" i="88"/>
  <c r="BL131" i="88"/>
  <c r="AJ87" i="59"/>
  <c r="AL48" i="59"/>
  <c r="X123" i="88"/>
  <c r="J88" i="88"/>
  <c r="BK88" i="88"/>
  <c r="J46" i="66"/>
  <c r="I46" i="66"/>
  <c r="K46" i="66"/>
  <c r="X46" i="66"/>
  <c r="AS49" i="59"/>
  <c r="AO92" i="78"/>
  <c r="AM131" i="78"/>
  <c r="W124" i="88"/>
  <c r="L89" i="88"/>
  <c r="P89" i="88"/>
  <c r="N89" i="88"/>
  <c r="K89" i="88"/>
  <c r="S89" i="88"/>
  <c r="L95" i="86"/>
  <c r="P95" i="86"/>
  <c r="N95" i="86"/>
  <c r="K95" i="86"/>
  <c r="W130" i="86"/>
  <c r="S95" i="86"/>
  <c r="L105" i="91"/>
  <c r="P105" i="91"/>
  <c r="N105" i="91"/>
  <c r="K105" i="91"/>
  <c r="W140" i="91"/>
  <c r="S105" i="91"/>
  <c r="AU96" i="86"/>
  <c r="AY96" i="86"/>
  <c r="AW96" i="86"/>
  <c r="AT96" i="86"/>
  <c r="BL141" i="86"/>
  <c r="BG96" i="86"/>
  <c r="AW93" i="78"/>
  <c r="AU93" i="78"/>
  <c r="AR93" i="78"/>
  <c r="O161" i="66"/>
  <c r="W162" i="66"/>
  <c r="J81" i="78"/>
  <c r="N43" i="59"/>
  <c r="L43" i="59"/>
  <c r="BG89" i="75"/>
  <c r="BL134" i="75"/>
  <c r="AU89" i="75"/>
  <c r="AY89" i="75"/>
  <c r="AW89" i="75"/>
  <c r="AT89" i="75"/>
  <c r="S93" i="75"/>
  <c r="W128" i="75"/>
  <c r="L93" i="75"/>
  <c r="P93" i="75"/>
  <c r="N93" i="75"/>
  <c r="K93" i="75"/>
  <c r="BG101" i="78"/>
  <c r="BE95" i="78"/>
  <c r="AS95" i="78"/>
  <c r="BJ140" i="78"/>
  <c r="U160" i="66"/>
  <c r="G160" i="66"/>
  <c r="AA160" i="66"/>
  <c r="F161" i="66"/>
  <c r="BK89" i="88"/>
  <c r="J89" i="88"/>
  <c r="X124" i="88"/>
  <c r="AO96" i="86"/>
  <c r="AS96" i="86"/>
  <c r="AM135" i="86"/>
  <c r="AO89" i="75"/>
  <c r="AS89" i="75"/>
  <c r="AM128" i="75"/>
  <c r="BK93" i="75"/>
  <c r="J93" i="75"/>
  <c r="X128" i="75"/>
  <c r="X130" i="86"/>
  <c r="J95" i="86"/>
  <c r="BK95" i="86"/>
  <c r="AM125" i="88"/>
  <c r="AS86" i="88"/>
  <c r="AO86" i="88"/>
  <c r="I43" i="59"/>
  <c r="BF49" i="59"/>
  <c r="K43" i="59"/>
  <c r="W163" i="66"/>
  <c r="O162" i="66"/>
  <c r="BG87" i="88"/>
  <c r="BL132" i="88"/>
  <c r="AU87" i="88"/>
  <c r="AY87" i="88"/>
  <c r="AW87" i="88"/>
  <c r="AT87" i="88"/>
  <c r="K82" i="78"/>
  <c r="O82" i="78"/>
  <c r="M82" i="78"/>
  <c r="N83" i="78"/>
  <c r="W122" i="78"/>
  <c r="M160" i="66"/>
  <c r="N160" i="66"/>
  <c r="L160" i="66"/>
  <c r="BI87" i="78"/>
  <c r="X121" i="78"/>
  <c r="S46" i="66"/>
  <c r="T46" i="66"/>
  <c r="AV94" i="78"/>
  <c r="M44" i="59"/>
  <c r="AX95" i="78"/>
  <c r="AW95" i="78"/>
  <c r="AU95" i="78"/>
  <c r="AO93" i="78"/>
  <c r="AM132" i="78"/>
  <c r="BG102" i="78"/>
  <c r="BE96" i="78"/>
  <c r="AS96" i="78"/>
  <c r="BJ141" i="78"/>
  <c r="X140" i="91"/>
  <c r="BK105" i="91"/>
  <c r="J105" i="91"/>
  <c r="U161" i="66"/>
  <c r="F162" i="66"/>
  <c r="G161" i="66"/>
  <c r="AA161" i="66"/>
  <c r="AY95" i="78"/>
  <c r="S94" i="75"/>
  <c r="L94" i="75"/>
  <c r="P94" i="75"/>
  <c r="N94" i="75"/>
  <c r="K94" i="75"/>
  <c r="W129" i="75"/>
  <c r="BG90" i="75"/>
  <c r="AU90" i="75"/>
  <c r="AY90" i="75"/>
  <c r="AW90" i="75"/>
  <c r="AT90" i="75"/>
  <c r="BL135" i="75"/>
  <c r="AU97" i="86"/>
  <c r="AY97" i="86"/>
  <c r="AW97" i="86"/>
  <c r="AT97" i="86"/>
  <c r="BL142" i="86"/>
  <c r="BG97" i="86"/>
  <c r="L106" i="91"/>
  <c r="P106" i="91"/>
  <c r="N106" i="91"/>
  <c r="K106" i="91"/>
  <c r="W141" i="91"/>
  <c r="S106" i="91"/>
  <c r="L96" i="86"/>
  <c r="P96" i="86"/>
  <c r="N96" i="86"/>
  <c r="K96" i="86"/>
  <c r="W131" i="86"/>
  <c r="S96" i="86"/>
  <c r="W125" i="88"/>
  <c r="L90" i="88"/>
  <c r="P90" i="88"/>
  <c r="N90" i="88"/>
  <c r="K90" i="88"/>
  <c r="S90" i="88"/>
  <c r="R46" i="66"/>
  <c r="P46" i="66"/>
  <c r="AW94" i="78"/>
  <c r="AU94" i="78"/>
  <c r="AR94" i="78"/>
  <c r="AU49" i="59"/>
  <c r="AV49" i="59"/>
  <c r="X125" i="88"/>
  <c r="BK90" i="88"/>
  <c r="J90" i="88"/>
  <c r="X131" i="86"/>
  <c r="J96" i="86"/>
  <c r="BK96" i="86"/>
  <c r="X141" i="91"/>
  <c r="BK106" i="91"/>
  <c r="J106" i="91"/>
  <c r="AS97" i="86"/>
  <c r="AO97" i="86"/>
  <c r="AM136" i="86"/>
  <c r="AM126" i="88"/>
  <c r="AO87" i="88"/>
  <c r="AS87" i="88"/>
  <c r="H46" i="66"/>
  <c r="O46" i="66"/>
  <c r="AS90" i="75"/>
  <c r="AM129" i="75"/>
  <c r="AO90" i="75"/>
  <c r="J94" i="75"/>
  <c r="BK94" i="75"/>
  <c r="X129" i="75"/>
  <c r="AY96" i="78"/>
  <c r="AX96" i="78"/>
  <c r="AR95" i="78"/>
  <c r="J82" i="78"/>
  <c r="BG88" i="88"/>
  <c r="AU88" i="88"/>
  <c r="AY88" i="88"/>
  <c r="AW88" i="88"/>
  <c r="AT88" i="88"/>
  <c r="BL133" i="88"/>
  <c r="Q43" i="59"/>
  <c r="U90" i="59"/>
  <c r="BG91" i="75"/>
  <c r="BL136" i="75"/>
  <c r="AU91" i="75"/>
  <c r="AY91" i="75"/>
  <c r="AW91" i="75"/>
  <c r="AT91" i="75"/>
  <c r="AW96" i="78"/>
  <c r="AU96" i="78"/>
  <c r="AR96" i="78"/>
  <c r="AT49" i="59"/>
  <c r="AR49" i="59"/>
  <c r="AS50" i="59"/>
  <c r="Q47" i="66"/>
  <c r="S95" i="75"/>
  <c r="W130" i="75"/>
  <c r="L95" i="75"/>
  <c r="P95" i="75"/>
  <c r="N95" i="75"/>
  <c r="K95" i="75"/>
  <c r="L91" i="88"/>
  <c r="P91" i="88"/>
  <c r="N91" i="88"/>
  <c r="K91" i="88"/>
  <c r="W126" i="88"/>
  <c r="S91" i="88"/>
  <c r="L97" i="86"/>
  <c r="P97" i="86"/>
  <c r="N97" i="86"/>
  <c r="K97" i="86"/>
  <c r="W132" i="86"/>
  <c r="S97" i="86"/>
  <c r="W142" i="91"/>
  <c r="L107" i="91"/>
  <c r="P107" i="91"/>
  <c r="N107" i="91"/>
  <c r="K107" i="91"/>
  <c r="S107" i="91"/>
  <c r="BL143" i="86"/>
  <c r="AU98" i="86"/>
  <c r="AY98" i="86"/>
  <c r="AW98" i="86"/>
  <c r="AT98" i="86"/>
  <c r="BG98" i="86"/>
  <c r="N161" i="66"/>
  <c r="M161" i="66"/>
  <c r="L161" i="66"/>
  <c r="BG103" i="78"/>
  <c r="BE97" i="78"/>
  <c r="BJ142" i="78"/>
  <c r="AS97" i="78"/>
  <c r="AV95" i="78"/>
  <c r="AM133" i="78"/>
  <c r="AO94" i="78"/>
  <c r="AV96" i="78"/>
  <c r="G162" i="66"/>
  <c r="U162" i="66"/>
  <c r="AA162" i="66"/>
  <c r="F163" i="66"/>
  <c r="L82" i="78"/>
  <c r="R82" i="78"/>
  <c r="W164" i="66"/>
  <c r="O163" i="66"/>
  <c r="J95" i="75"/>
  <c r="X130" i="75"/>
  <c r="BK95" i="75"/>
  <c r="AO88" i="88"/>
  <c r="AS88" i="88"/>
  <c r="AM127" i="88"/>
  <c r="X132" i="86"/>
  <c r="J97" i="86"/>
  <c r="BK97" i="86"/>
  <c r="AM130" i="75"/>
  <c r="AS91" i="75"/>
  <c r="AO91" i="75"/>
  <c r="BK107" i="91"/>
  <c r="X142" i="91"/>
  <c r="J107" i="91"/>
  <c r="V46" i="66"/>
  <c r="Z46" i="66"/>
  <c r="BK91" i="88"/>
  <c r="J91" i="88"/>
  <c r="X126" i="88"/>
  <c r="AM137" i="86"/>
  <c r="AO98" i="86"/>
  <c r="AS98" i="86"/>
  <c r="AM135" i="78"/>
  <c r="AO96" i="78"/>
  <c r="BG92" i="75"/>
  <c r="AU92" i="75"/>
  <c r="AY92" i="75"/>
  <c r="AW92" i="75"/>
  <c r="AT92" i="75"/>
  <c r="BL137" i="75"/>
  <c r="X122" i="78"/>
  <c r="BI88" i="78"/>
  <c r="K83" i="78"/>
  <c r="O83" i="78"/>
  <c r="M83" i="78"/>
  <c r="L83" i="78"/>
  <c r="R83" i="78"/>
  <c r="N84" i="78"/>
  <c r="W123" i="78"/>
  <c r="M162" i="66"/>
  <c r="L162" i="66"/>
  <c r="N162" i="66"/>
  <c r="BG104" i="78"/>
  <c r="BE98" i="78"/>
  <c r="AS98" i="78"/>
  <c r="BJ143" i="78"/>
  <c r="S96" i="75"/>
  <c r="L96" i="75"/>
  <c r="P96" i="75"/>
  <c r="N96" i="75"/>
  <c r="K96" i="75"/>
  <c r="W131" i="75"/>
  <c r="AA163" i="66"/>
  <c r="F164" i="66"/>
  <c r="U163" i="66"/>
  <c r="G163" i="66"/>
  <c r="AX97" i="78"/>
  <c r="AW97" i="78"/>
  <c r="AU97" i="78"/>
  <c r="AR97" i="78"/>
  <c r="AY97" i="78"/>
  <c r="BL144" i="86"/>
  <c r="AU99" i="86"/>
  <c r="AY99" i="86"/>
  <c r="AW99" i="86"/>
  <c r="AT99" i="86"/>
  <c r="BG99" i="86"/>
  <c r="V108" i="91"/>
  <c r="L108" i="91"/>
  <c r="W143" i="91"/>
  <c r="W144" i="91"/>
  <c r="L98" i="86"/>
  <c r="P98" i="86"/>
  <c r="N98" i="86"/>
  <c r="K98" i="86"/>
  <c r="W133" i="86"/>
  <c r="S98" i="86"/>
  <c r="L92" i="88"/>
  <c r="P92" i="88"/>
  <c r="N92" i="88"/>
  <c r="K92" i="88"/>
  <c r="W127" i="88"/>
  <c r="S92" i="88"/>
  <c r="AM134" i="78"/>
  <c r="AO95" i="78"/>
  <c r="W165" i="66"/>
  <c r="O164" i="66"/>
  <c r="AO49" i="59"/>
  <c r="AQ49" i="59"/>
  <c r="BB49" i="59"/>
  <c r="S44" i="59"/>
  <c r="J44" i="59"/>
  <c r="T91" i="59"/>
  <c r="BG89" i="88"/>
  <c r="AU89" i="88"/>
  <c r="AY89" i="88"/>
  <c r="AW89" i="88"/>
  <c r="AT89" i="88"/>
  <c r="BL134" i="88"/>
  <c r="AV97" i="78"/>
  <c r="W124" i="78"/>
  <c r="K84" i="78"/>
  <c r="O84" i="78"/>
  <c r="M84" i="78"/>
  <c r="N85" i="78"/>
  <c r="AS92" i="75"/>
  <c r="AM131" i="75"/>
  <c r="AO92" i="75"/>
  <c r="X133" i="86"/>
  <c r="BK98" i="86"/>
  <c r="J98" i="86"/>
  <c r="AO89" i="88"/>
  <c r="AM128" i="88"/>
  <c r="AS89" i="88"/>
  <c r="J96" i="75"/>
  <c r="X131" i="75"/>
  <c r="BK96" i="75"/>
  <c r="X127" i="88"/>
  <c r="J92" i="88"/>
  <c r="BK92" i="88"/>
  <c r="BL145" i="86"/>
  <c r="AU100" i="86"/>
  <c r="AY100" i="86"/>
  <c r="AW100" i="86"/>
  <c r="AT100" i="86"/>
  <c r="BG100" i="86"/>
  <c r="M163" i="66"/>
  <c r="N163" i="66"/>
  <c r="L163" i="66"/>
  <c r="AX98" i="78"/>
  <c r="AY98" i="78"/>
  <c r="K47" i="66"/>
  <c r="J47" i="66"/>
  <c r="I47" i="66"/>
  <c r="X47" i="66"/>
  <c r="AJ88" i="59"/>
  <c r="AL49" i="59"/>
  <c r="O165" i="66"/>
  <c r="W166" i="66"/>
  <c r="AV98" i="78"/>
  <c r="J83" i="78"/>
  <c r="BD56" i="59"/>
  <c r="AP50" i="59"/>
  <c r="BG95" i="59"/>
  <c r="L93" i="88"/>
  <c r="P93" i="88"/>
  <c r="N93" i="88"/>
  <c r="K93" i="88"/>
  <c r="W128" i="88"/>
  <c r="S93" i="88"/>
  <c r="L99" i="86"/>
  <c r="P99" i="86"/>
  <c r="N99" i="86"/>
  <c r="K99" i="86"/>
  <c r="W134" i="86"/>
  <c r="S99" i="86"/>
  <c r="Q108" i="91"/>
  <c r="P108" i="91"/>
  <c r="L109" i="91"/>
  <c r="C29" i="91"/>
  <c r="AS99" i="86"/>
  <c r="AM138" i="86"/>
  <c r="AO99" i="86"/>
  <c r="AO97" i="78"/>
  <c r="AM136" i="78"/>
  <c r="F165" i="66"/>
  <c r="U164" i="66"/>
  <c r="G164" i="66"/>
  <c r="AA164" i="66"/>
  <c r="BG105" i="78"/>
  <c r="BE99" i="78"/>
  <c r="AS99" i="78"/>
  <c r="BJ144" i="78"/>
  <c r="BG93" i="75"/>
  <c r="AU93" i="75"/>
  <c r="AY93" i="75"/>
  <c r="AW93" i="75"/>
  <c r="AT93" i="75"/>
  <c r="BL138" i="75"/>
  <c r="BG90" i="88"/>
  <c r="BL135" i="88"/>
  <c r="AU90" i="88"/>
  <c r="AY90" i="88"/>
  <c r="AW90" i="88"/>
  <c r="AT90" i="88"/>
  <c r="O44" i="59"/>
  <c r="P44" i="59"/>
  <c r="M108" i="91"/>
  <c r="M109" i="91"/>
  <c r="S108" i="91"/>
  <c r="Q109" i="91"/>
  <c r="R108" i="91"/>
  <c r="R109" i="91"/>
  <c r="S97" i="75"/>
  <c r="L97" i="75"/>
  <c r="P97" i="75"/>
  <c r="N97" i="75"/>
  <c r="K97" i="75"/>
  <c r="W132" i="75"/>
  <c r="AS100" i="86"/>
  <c r="AM139" i="86"/>
  <c r="AO100" i="86"/>
  <c r="J99" i="86"/>
  <c r="BK99" i="86"/>
  <c r="X134" i="86"/>
  <c r="AS93" i="75"/>
  <c r="AO93" i="75"/>
  <c r="AM132" i="75"/>
  <c r="BK97" i="75"/>
  <c r="J97" i="75"/>
  <c r="X132" i="75"/>
  <c r="S98" i="75"/>
  <c r="W133" i="75"/>
  <c r="L98" i="75"/>
  <c r="P98" i="75"/>
  <c r="N98" i="75"/>
  <c r="K98" i="75"/>
  <c r="BG91" i="88"/>
  <c r="AU91" i="88"/>
  <c r="AY91" i="88"/>
  <c r="AW91" i="88"/>
  <c r="AT91" i="88"/>
  <c r="BL136" i="88"/>
  <c r="AY99" i="78"/>
  <c r="AX99" i="78"/>
  <c r="N108" i="91"/>
  <c r="P109" i="91"/>
  <c r="J93" i="88"/>
  <c r="X128" i="88"/>
  <c r="BK93" i="88"/>
  <c r="AU50" i="59"/>
  <c r="AV50" i="59"/>
  <c r="T47" i="66"/>
  <c r="S47" i="66"/>
  <c r="AU101" i="86"/>
  <c r="AY101" i="86"/>
  <c r="AW101" i="86"/>
  <c r="AT101" i="86"/>
  <c r="BL146" i="86"/>
  <c r="BG101" i="86"/>
  <c r="AM129" i="88"/>
  <c r="AO90" i="88"/>
  <c r="AS90" i="88"/>
  <c r="AW99" i="78"/>
  <c r="AU99" i="78"/>
  <c r="U165" i="66"/>
  <c r="AA165" i="66"/>
  <c r="G165" i="66"/>
  <c r="F166" i="66"/>
  <c r="L100" i="86"/>
  <c r="P100" i="86"/>
  <c r="N100" i="86"/>
  <c r="K100" i="86"/>
  <c r="W135" i="86"/>
  <c r="S100" i="86"/>
  <c r="L94" i="88"/>
  <c r="P94" i="88"/>
  <c r="N94" i="88"/>
  <c r="K94" i="88"/>
  <c r="W129" i="88"/>
  <c r="S94" i="88"/>
  <c r="BI89" i="78"/>
  <c r="X123" i="78"/>
  <c r="O166" i="66"/>
  <c r="W167" i="66"/>
  <c r="R47" i="66"/>
  <c r="P47" i="66"/>
  <c r="N44" i="59"/>
  <c r="L44" i="59"/>
  <c r="BG94" i="75"/>
  <c r="BL139" i="75"/>
  <c r="AU94" i="75"/>
  <c r="AY94" i="75"/>
  <c r="AW94" i="75"/>
  <c r="AT94" i="75"/>
  <c r="AW98" i="78"/>
  <c r="AU98" i="78"/>
  <c r="AR98" i="78"/>
  <c r="BG106" i="78"/>
  <c r="BE100" i="78"/>
  <c r="BJ145" i="78"/>
  <c r="AS100" i="78"/>
  <c r="L164" i="66"/>
  <c r="N164" i="66"/>
  <c r="M164" i="66"/>
  <c r="C32" i="91"/>
  <c r="E29" i="91"/>
  <c r="AT50" i="59"/>
  <c r="AR50" i="59"/>
  <c r="AO50" i="59"/>
  <c r="J84" i="78"/>
  <c r="L84" i="78"/>
  <c r="R84" i="78"/>
  <c r="J98" i="75"/>
  <c r="BK98" i="75"/>
  <c r="X133" i="75"/>
  <c r="J94" i="88"/>
  <c r="X129" i="88"/>
  <c r="BK94" i="88"/>
  <c r="AM140" i="86"/>
  <c r="AS101" i="86"/>
  <c r="AO101" i="86"/>
  <c r="AM133" i="75"/>
  <c r="AO94" i="75"/>
  <c r="AS94" i="75"/>
  <c r="BG107" i="78"/>
  <c r="BE101" i="78"/>
  <c r="AS101" i="78"/>
  <c r="BJ146" i="78"/>
  <c r="W168" i="66"/>
  <c r="O167" i="66"/>
  <c r="L95" i="88"/>
  <c r="P95" i="88"/>
  <c r="N95" i="88"/>
  <c r="K95" i="88"/>
  <c r="W130" i="88"/>
  <c r="S95" i="88"/>
  <c r="W136" i="86"/>
  <c r="L101" i="86"/>
  <c r="P101" i="86"/>
  <c r="N101" i="86"/>
  <c r="K101" i="86"/>
  <c r="S101" i="86"/>
  <c r="AQ50" i="59"/>
  <c r="BB50" i="59"/>
  <c r="N109" i="91"/>
  <c r="K108" i="91"/>
  <c r="AX100" i="78"/>
  <c r="AY100" i="78"/>
  <c r="H47" i="66"/>
  <c r="O47" i="66"/>
  <c r="U166" i="66"/>
  <c r="G166" i="66"/>
  <c r="F167" i="66"/>
  <c r="AA166" i="66"/>
  <c r="AR99" i="78"/>
  <c r="AU102" i="86"/>
  <c r="AY102" i="86"/>
  <c r="AW102" i="86"/>
  <c r="AT102" i="86"/>
  <c r="BL147" i="86"/>
  <c r="BG102" i="86"/>
  <c r="AV99" i="78"/>
  <c r="AV100" i="78"/>
  <c r="AM130" i="88"/>
  <c r="AO91" i="88"/>
  <c r="AS91" i="88"/>
  <c r="W125" i="78"/>
  <c r="K85" i="78"/>
  <c r="O85" i="78"/>
  <c r="M85" i="78"/>
  <c r="N86" i="78"/>
  <c r="X124" i="78"/>
  <c r="BI90" i="78"/>
  <c r="AO98" i="78"/>
  <c r="AM137" i="78"/>
  <c r="BG95" i="75"/>
  <c r="BL140" i="75"/>
  <c r="AU95" i="75"/>
  <c r="AY95" i="75"/>
  <c r="AW95" i="75"/>
  <c r="AT95" i="75"/>
  <c r="M165" i="66"/>
  <c r="L165" i="66"/>
  <c r="N165" i="66"/>
  <c r="Q48" i="66"/>
  <c r="AS51" i="59"/>
  <c r="BG92" i="88"/>
  <c r="BL137" i="88"/>
  <c r="AU92" i="88"/>
  <c r="AY92" i="88"/>
  <c r="AW92" i="88"/>
  <c r="AT92" i="88"/>
  <c r="S99" i="75"/>
  <c r="L99" i="75"/>
  <c r="P99" i="75"/>
  <c r="N99" i="75"/>
  <c r="K99" i="75"/>
  <c r="W134" i="75"/>
  <c r="E32" i="91"/>
  <c r="C33" i="91"/>
  <c r="C50" i="91"/>
  <c r="C48" i="91"/>
  <c r="AL50" i="59"/>
  <c r="AJ89" i="59"/>
  <c r="I44" i="59"/>
  <c r="BF50" i="59"/>
  <c r="K44" i="59"/>
  <c r="X135" i="86"/>
  <c r="J100" i="86"/>
  <c r="BK100" i="86"/>
  <c r="M45" i="59"/>
  <c r="AO92" i="88"/>
  <c r="AM131" i="88"/>
  <c r="AS92" i="88"/>
  <c r="AM134" i="75"/>
  <c r="AS95" i="75"/>
  <c r="AO95" i="75"/>
  <c r="AM141" i="86"/>
  <c r="AS102" i="86"/>
  <c r="AO102" i="86"/>
  <c r="J99" i="75"/>
  <c r="X134" i="75"/>
  <c r="BK99" i="75"/>
  <c r="X136" i="86"/>
  <c r="J101" i="86"/>
  <c r="BK101" i="86"/>
  <c r="X130" i="88"/>
  <c r="J95" i="88"/>
  <c r="BK95" i="88"/>
  <c r="J85" i="78"/>
  <c r="F168" i="66"/>
  <c r="U167" i="66"/>
  <c r="G167" i="66"/>
  <c r="AA167" i="66"/>
  <c r="V47" i="66"/>
  <c r="Z47" i="66"/>
  <c r="X143" i="91"/>
  <c r="BK108" i="91"/>
  <c r="J108" i="91"/>
  <c r="J109" i="91"/>
  <c r="C31" i="91"/>
  <c r="E31" i="91"/>
  <c r="K109" i="91"/>
  <c r="BK109" i="91"/>
  <c r="BK115" i="91"/>
  <c r="U91" i="59"/>
  <c r="Q44" i="59"/>
  <c r="C52" i="91"/>
  <c r="E50" i="91"/>
  <c r="C51" i="91"/>
  <c r="S100" i="75"/>
  <c r="W135" i="75"/>
  <c r="L100" i="75"/>
  <c r="P100" i="75"/>
  <c r="N100" i="75"/>
  <c r="K100" i="75"/>
  <c r="BG93" i="88"/>
  <c r="AU93" i="88"/>
  <c r="AY93" i="88"/>
  <c r="AW93" i="88"/>
  <c r="AT93" i="88"/>
  <c r="BL138" i="88"/>
  <c r="AU103" i="86"/>
  <c r="AY103" i="86"/>
  <c r="AW103" i="86"/>
  <c r="AT103" i="86"/>
  <c r="BL148" i="86"/>
  <c r="BG103" i="86"/>
  <c r="AO99" i="78"/>
  <c r="AM138" i="78"/>
  <c r="N166" i="66"/>
  <c r="L166" i="66"/>
  <c r="M166" i="66"/>
  <c r="W169" i="66"/>
  <c r="O168" i="66"/>
  <c r="BG108" i="78"/>
  <c r="BE102" i="78"/>
  <c r="BJ147" i="78"/>
  <c r="AS102" i="78"/>
  <c r="BG96" i="75"/>
  <c r="BL141" i="75"/>
  <c r="AU96" i="75"/>
  <c r="AY96" i="75"/>
  <c r="AW96" i="75"/>
  <c r="AT96" i="75"/>
  <c r="BD57" i="59"/>
  <c r="AP51" i="59"/>
  <c r="BG96" i="59"/>
  <c r="AY101" i="78"/>
  <c r="AX101" i="78"/>
  <c r="L85" i="78"/>
  <c r="R85" i="78"/>
  <c r="AW100" i="78"/>
  <c r="AU100" i="78"/>
  <c r="AR100" i="78"/>
  <c r="W137" i="86"/>
  <c r="L102" i="86"/>
  <c r="P102" i="86"/>
  <c r="N102" i="86"/>
  <c r="K102" i="86"/>
  <c r="S102" i="86"/>
  <c r="W131" i="88"/>
  <c r="L96" i="88"/>
  <c r="P96" i="88"/>
  <c r="N96" i="88"/>
  <c r="K96" i="88"/>
  <c r="S96" i="88"/>
  <c r="AW101" i="78"/>
  <c r="AU101" i="78"/>
  <c r="AO96" i="75"/>
  <c r="AS96" i="75"/>
  <c r="AM135" i="75"/>
  <c r="AO93" i="88"/>
  <c r="AS93" i="88"/>
  <c r="AM132" i="88"/>
  <c r="BK102" i="86"/>
  <c r="X137" i="86"/>
  <c r="J102" i="86"/>
  <c r="X131" i="88"/>
  <c r="BK96" i="88"/>
  <c r="J96" i="88"/>
  <c r="AO103" i="86"/>
  <c r="AM142" i="86"/>
  <c r="AS103" i="86"/>
  <c r="J100" i="75"/>
  <c r="X135" i="75"/>
  <c r="BK100" i="75"/>
  <c r="AV101" i="78"/>
  <c r="BG97" i="75"/>
  <c r="AU97" i="75"/>
  <c r="AY97" i="75"/>
  <c r="AW97" i="75"/>
  <c r="AT97" i="75"/>
  <c r="BL142" i="75"/>
  <c r="O169" i="66"/>
  <c r="W170" i="66"/>
  <c r="AV102" i="78"/>
  <c r="BL149" i="86"/>
  <c r="AU104" i="86"/>
  <c r="AY104" i="86"/>
  <c r="AW104" i="86"/>
  <c r="AT104" i="86"/>
  <c r="BG104" i="86"/>
  <c r="BG94" i="88"/>
  <c r="BL139" i="88"/>
  <c r="AU94" i="88"/>
  <c r="AY94" i="88"/>
  <c r="AW94" i="88"/>
  <c r="AT94" i="88"/>
  <c r="S101" i="75"/>
  <c r="L101" i="75"/>
  <c r="P101" i="75"/>
  <c r="N101" i="75"/>
  <c r="K101" i="75"/>
  <c r="W136" i="75"/>
  <c r="S45" i="59"/>
  <c r="J45" i="59"/>
  <c r="T92" i="59"/>
  <c r="U168" i="66"/>
  <c r="G168" i="66"/>
  <c r="AA168" i="66"/>
  <c r="F169" i="66"/>
  <c r="L97" i="88"/>
  <c r="P97" i="88"/>
  <c r="N97" i="88"/>
  <c r="K97" i="88"/>
  <c r="W132" i="88"/>
  <c r="S97" i="88"/>
  <c r="L103" i="86"/>
  <c r="P103" i="86"/>
  <c r="N103" i="86"/>
  <c r="K103" i="86"/>
  <c r="W138" i="86"/>
  <c r="S103" i="86"/>
  <c r="K86" i="78"/>
  <c r="O86" i="78"/>
  <c r="M86" i="78"/>
  <c r="L86" i="78"/>
  <c r="R86" i="78"/>
  <c r="N87" i="78"/>
  <c r="W126" i="78"/>
  <c r="AR101" i="78"/>
  <c r="AV51" i="59"/>
  <c r="AU51" i="59"/>
  <c r="BG109" i="78"/>
  <c r="BE103" i="78"/>
  <c r="BJ148" i="78"/>
  <c r="AS103" i="78"/>
  <c r="Y144" i="91"/>
  <c r="X144" i="91"/>
  <c r="BI91" i="78"/>
  <c r="X125" i="78"/>
  <c r="N167" i="66"/>
  <c r="M167" i="66"/>
  <c r="L167" i="66"/>
  <c r="AO100" i="78"/>
  <c r="AM139" i="78"/>
  <c r="AX102" i="78"/>
  <c r="AW102" i="78"/>
  <c r="AU102" i="78"/>
  <c r="AR102" i="78"/>
  <c r="AY102" i="78"/>
  <c r="E52" i="91"/>
  <c r="C53" i="91"/>
  <c r="E53" i="91"/>
  <c r="K48" i="66"/>
  <c r="J48" i="66"/>
  <c r="I48" i="66"/>
  <c r="X48" i="66"/>
  <c r="BK103" i="86"/>
  <c r="J103" i="86"/>
  <c r="X138" i="86"/>
  <c r="AO104" i="86"/>
  <c r="AM143" i="86"/>
  <c r="AS104" i="86"/>
  <c r="K87" i="78"/>
  <c r="O87" i="78"/>
  <c r="M87" i="78"/>
  <c r="N88" i="78"/>
  <c r="W127" i="78"/>
  <c r="AM133" i="88"/>
  <c r="AO94" i="88"/>
  <c r="AS94" i="88"/>
  <c r="AS97" i="75"/>
  <c r="AO97" i="75"/>
  <c r="AM136" i="75"/>
  <c r="AV103" i="78"/>
  <c r="AO101" i="78"/>
  <c r="AM140" i="78"/>
  <c r="J97" i="88"/>
  <c r="BK97" i="88"/>
  <c r="X132" i="88"/>
  <c r="AT51" i="59"/>
  <c r="AR51" i="59"/>
  <c r="AS52" i="59"/>
  <c r="BG98" i="75"/>
  <c r="AU98" i="75"/>
  <c r="AY98" i="75"/>
  <c r="AW98" i="75"/>
  <c r="BL143" i="75"/>
  <c r="AT98" i="75"/>
  <c r="AM141" i="78"/>
  <c r="AO102" i="78"/>
  <c r="BG110" i="78"/>
  <c r="BE104" i="78"/>
  <c r="BJ149" i="78"/>
  <c r="AS104" i="78"/>
  <c r="L168" i="66"/>
  <c r="M168" i="66"/>
  <c r="N168" i="66"/>
  <c r="J101" i="75"/>
  <c r="X136" i="75"/>
  <c r="BK101" i="75"/>
  <c r="J86" i="78"/>
  <c r="L104" i="86"/>
  <c r="P104" i="86"/>
  <c r="N104" i="86"/>
  <c r="K104" i="86"/>
  <c r="W139" i="86"/>
  <c r="S104" i="86"/>
  <c r="L98" i="88"/>
  <c r="P98" i="88"/>
  <c r="N98" i="88"/>
  <c r="K98" i="88"/>
  <c r="W133" i="88"/>
  <c r="S98" i="88"/>
  <c r="U169" i="66"/>
  <c r="AA169" i="66"/>
  <c r="F170" i="66"/>
  <c r="G169" i="66"/>
  <c r="O45" i="59"/>
  <c r="N45" i="59"/>
  <c r="L45" i="59"/>
  <c r="P45" i="59"/>
  <c r="S102" i="75"/>
  <c r="L102" i="75"/>
  <c r="P102" i="75"/>
  <c r="N102" i="75"/>
  <c r="K102" i="75"/>
  <c r="W137" i="75"/>
  <c r="BG95" i="88"/>
  <c r="AU95" i="88"/>
  <c r="AY95" i="88"/>
  <c r="AW95" i="88"/>
  <c r="AT95" i="88"/>
  <c r="BL140" i="88"/>
  <c r="T48" i="66"/>
  <c r="S48" i="66"/>
  <c r="R48" i="66"/>
  <c r="P48" i="66"/>
  <c r="AX103" i="78"/>
  <c r="AW103" i="78"/>
  <c r="AU103" i="78"/>
  <c r="AR103" i="78"/>
  <c r="AY103" i="78"/>
  <c r="BL150" i="86"/>
  <c r="AU105" i="86"/>
  <c r="AY105" i="86"/>
  <c r="AW105" i="86"/>
  <c r="AT105" i="86"/>
  <c r="BG105" i="86"/>
  <c r="O170" i="66"/>
  <c r="W171" i="66"/>
  <c r="X139" i="86"/>
  <c r="J104" i="86"/>
  <c r="BK104" i="86"/>
  <c r="AM134" i="88"/>
  <c r="AO95" i="88"/>
  <c r="AS95" i="88"/>
  <c r="I45" i="59"/>
  <c r="BF51" i="59"/>
  <c r="K45" i="59"/>
  <c r="H48" i="66"/>
  <c r="O48" i="66"/>
  <c r="X137" i="75"/>
  <c r="J102" i="75"/>
  <c r="BK102" i="75"/>
  <c r="O171" i="66"/>
  <c r="W172" i="66"/>
  <c r="AM137" i="75"/>
  <c r="AO98" i="75"/>
  <c r="AS98" i="75"/>
  <c r="AO103" i="78"/>
  <c r="AM142" i="78"/>
  <c r="BG96" i="88"/>
  <c r="AU96" i="88"/>
  <c r="AY96" i="88"/>
  <c r="AW96" i="88"/>
  <c r="AT96" i="88"/>
  <c r="BL141" i="88"/>
  <c r="AO51" i="59"/>
  <c r="AQ51" i="59"/>
  <c r="BB51" i="59"/>
  <c r="AY104" i="78"/>
  <c r="AX104" i="78"/>
  <c r="J87" i="78"/>
  <c r="L87" i="78"/>
  <c r="R87" i="78"/>
  <c r="AU106" i="86"/>
  <c r="AY106" i="86"/>
  <c r="AW106" i="86"/>
  <c r="AT106" i="86"/>
  <c r="BL151" i="86"/>
  <c r="BG106" i="86"/>
  <c r="AV104" i="78"/>
  <c r="M169" i="66"/>
  <c r="L169" i="66"/>
  <c r="N169" i="66"/>
  <c r="W134" i="88"/>
  <c r="L99" i="88"/>
  <c r="P99" i="88"/>
  <c r="N99" i="88"/>
  <c r="K99" i="88"/>
  <c r="S99" i="88"/>
  <c r="L105" i="86"/>
  <c r="P105" i="86"/>
  <c r="N105" i="86"/>
  <c r="K105" i="86"/>
  <c r="W140" i="86"/>
  <c r="S105" i="86"/>
  <c r="X126" i="78"/>
  <c r="BI92" i="78"/>
  <c r="AM144" i="86"/>
  <c r="AO105" i="86"/>
  <c r="AS105" i="86"/>
  <c r="S103" i="75"/>
  <c r="L103" i="75"/>
  <c r="P103" i="75"/>
  <c r="N103" i="75"/>
  <c r="K103" i="75"/>
  <c r="W138" i="75"/>
  <c r="M46" i="59"/>
  <c r="BK98" i="88"/>
  <c r="X133" i="88"/>
  <c r="J98" i="88"/>
  <c r="Q49" i="66"/>
  <c r="AA170" i="66"/>
  <c r="F171" i="66"/>
  <c r="U170" i="66"/>
  <c r="G170" i="66"/>
  <c r="BG111" i="78"/>
  <c r="BE105" i="78"/>
  <c r="BJ150" i="78"/>
  <c r="AS105" i="78"/>
  <c r="BG99" i="75"/>
  <c r="AU99" i="75"/>
  <c r="AY99" i="75"/>
  <c r="AW99" i="75"/>
  <c r="AT99" i="75"/>
  <c r="BL144" i="75"/>
  <c r="BD58" i="59"/>
  <c r="BG97" i="59"/>
  <c r="AP52" i="59"/>
  <c r="J105" i="86"/>
  <c r="BK105" i="86"/>
  <c r="X140" i="86"/>
  <c r="AO96" i="88"/>
  <c r="AS96" i="88"/>
  <c r="AM135" i="88"/>
  <c r="BK99" i="88"/>
  <c r="X134" i="88"/>
  <c r="J99" i="88"/>
  <c r="AM138" i="75"/>
  <c r="AS99" i="75"/>
  <c r="AO99" i="75"/>
  <c r="J103" i="75"/>
  <c r="X138" i="75"/>
  <c r="BK103" i="75"/>
  <c r="BI93" i="78"/>
  <c r="X127" i="78"/>
  <c r="AH50" i="78"/>
  <c r="Q45" i="59"/>
  <c r="U92" i="59"/>
  <c r="N170" i="66"/>
  <c r="M170" i="66"/>
  <c r="L170" i="66"/>
  <c r="S104" i="75"/>
  <c r="L104" i="75"/>
  <c r="P104" i="75"/>
  <c r="N104" i="75"/>
  <c r="K104" i="75"/>
  <c r="W139" i="75"/>
  <c r="AS106" i="86"/>
  <c r="AO106" i="86"/>
  <c r="AM145" i="86"/>
  <c r="AL51" i="59"/>
  <c r="AJ90" i="59"/>
  <c r="W173" i="66"/>
  <c r="O172" i="66"/>
  <c r="BG112" i="78"/>
  <c r="BE106" i="78"/>
  <c r="BJ151" i="78"/>
  <c r="AS106" i="78"/>
  <c r="BG100" i="75"/>
  <c r="BL145" i="75"/>
  <c r="AU100" i="75"/>
  <c r="AY100" i="75"/>
  <c r="AW100" i="75"/>
  <c r="AT100" i="75"/>
  <c r="BG97" i="88"/>
  <c r="BL142" i="88"/>
  <c r="AU97" i="88"/>
  <c r="AY97" i="88"/>
  <c r="AW97" i="88"/>
  <c r="AT97" i="88"/>
  <c r="V48" i="66"/>
  <c r="Z48" i="66"/>
  <c r="AY105" i="78"/>
  <c r="AX105" i="78"/>
  <c r="AW105" i="78"/>
  <c r="AU105" i="78"/>
  <c r="AW104" i="78"/>
  <c r="AU104" i="78"/>
  <c r="AR104" i="78"/>
  <c r="AR105" i="78"/>
  <c r="F172" i="66"/>
  <c r="U171" i="66"/>
  <c r="AA171" i="66"/>
  <c r="G171" i="66"/>
  <c r="L106" i="86"/>
  <c r="P106" i="86"/>
  <c r="N106" i="86"/>
  <c r="W141" i="86"/>
  <c r="K106" i="86"/>
  <c r="S106" i="86"/>
  <c r="L100" i="88"/>
  <c r="P100" i="88"/>
  <c r="N100" i="88"/>
  <c r="K100" i="88"/>
  <c r="W135" i="88"/>
  <c r="S100" i="88"/>
  <c r="AU107" i="86"/>
  <c r="AY107" i="86"/>
  <c r="AW107" i="86"/>
  <c r="AT107" i="86"/>
  <c r="BL152" i="86"/>
  <c r="BG107" i="86"/>
  <c r="K88" i="78"/>
  <c r="O88" i="78"/>
  <c r="M88" i="78"/>
  <c r="N89" i="78"/>
  <c r="W128" i="78"/>
  <c r="BK100" i="88"/>
  <c r="X135" i="88"/>
  <c r="J100" i="88"/>
  <c r="AM139" i="75"/>
  <c r="AO100" i="75"/>
  <c r="AS100" i="75"/>
  <c r="AM144" i="78"/>
  <c r="AO105" i="78"/>
  <c r="AM146" i="86"/>
  <c r="AO107" i="86"/>
  <c r="AS107" i="86"/>
  <c r="AO97" i="88"/>
  <c r="AS97" i="88"/>
  <c r="AM136" i="88"/>
  <c r="L88" i="78"/>
  <c r="R88" i="78"/>
  <c r="S105" i="75"/>
  <c r="W140" i="75"/>
  <c r="L105" i="75"/>
  <c r="P105" i="75"/>
  <c r="N105" i="75"/>
  <c r="K105" i="75"/>
  <c r="BK106" i="86"/>
  <c r="J106" i="86"/>
  <c r="X141" i="86"/>
  <c r="J88" i="78"/>
  <c r="AU108" i="86"/>
  <c r="BL153" i="86"/>
  <c r="BL154" i="86"/>
  <c r="BG108" i="86"/>
  <c r="L101" i="88"/>
  <c r="P101" i="88"/>
  <c r="N101" i="88"/>
  <c r="K101" i="88"/>
  <c r="W136" i="88"/>
  <c r="S101" i="88"/>
  <c r="L107" i="86"/>
  <c r="P107" i="86"/>
  <c r="N107" i="86"/>
  <c r="K107" i="86"/>
  <c r="W142" i="86"/>
  <c r="S107" i="86"/>
  <c r="U172" i="66"/>
  <c r="G172" i="66"/>
  <c r="AA172" i="66"/>
  <c r="F173" i="66"/>
  <c r="AV105" i="78"/>
  <c r="S46" i="59"/>
  <c r="T93" i="59"/>
  <c r="J46" i="59"/>
  <c r="L171" i="66"/>
  <c r="M171" i="66"/>
  <c r="N171" i="66"/>
  <c r="AV106" i="78"/>
  <c r="J49" i="66"/>
  <c r="I49" i="66"/>
  <c r="K49" i="66"/>
  <c r="X49" i="66"/>
  <c r="BG98" i="88"/>
  <c r="BL143" i="88"/>
  <c r="AU98" i="88"/>
  <c r="AY98" i="88"/>
  <c r="AW98" i="88"/>
  <c r="AT98" i="88"/>
  <c r="BG101" i="75"/>
  <c r="AU101" i="75"/>
  <c r="AY101" i="75"/>
  <c r="AW101" i="75"/>
  <c r="AT101" i="75"/>
  <c r="BL146" i="75"/>
  <c r="BG113" i="78"/>
  <c r="BE107" i="78"/>
  <c r="AS107" i="78"/>
  <c r="BJ152" i="78"/>
  <c r="O173" i="66"/>
  <c r="W174" i="66"/>
  <c r="J104" i="75"/>
  <c r="X139" i="75"/>
  <c r="BK104" i="75"/>
  <c r="AM143" i="78"/>
  <c r="AO104" i="78"/>
  <c r="AY106" i="78"/>
  <c r="AX106" i="78"/>
  <c r="AW106" i="78"/>
  <c r="AU106" i="78"/>
  <c r="AR106" i="78"/>
  <c r="AV52" i="59"/>
  <c r="AU52" i="59"/>
  <c r="AT52" i="59"/>
  <c r="AR52" i="59"/>
  <c r="AO101" i="75"/>
  <c r="AM140" i="75"/>
  <c r="AS101" i="75"/>
  <c r="AO52" i="59"/>
  <c r="BK101" i="88"/>
  <c r="J101" i="88"/>
  <c r="X136" i="88"/>
  <c r="X140" i="75"/>
  <c r="BK105" i="75"/>
  <c r="J105" i="75"/>
  <c r="AO106" i="78"/>
  <c r="AM145" i="78"/>
  <c r="X142" i="86"/>
  <c r="J107" i="86"/>
  <c r="BK107" i="86"/>
  <c r="W175" i="66"/>
  <c r="O174" i="66"/>
  <c r="P46" i="59"/>
  <c r="O46" i="59"/>
  <c r="U173" i="66"/>
  <c r="F174" i="66"/>
  <c r="AA173" i="66"/>
  <c r="G173" i="66"/>
  <c r="V108" i="86"/>
  <c r="L108" i="86"/>
  <c r="W143" i="86"/>
  <c r="W144" i="86"/>
  <c r="W137" i="88"/>
  <c r="L102" i="88"/>
  <c r="P102" i="88"/>
  <c r="N102" i="88"/>
  <c r="K102" i="88"/>
  <c r="S102" i="88"/>
  <c r="BI94" i="78"/>
  <c r="X128" i="78"/>
  <c r="S106" i="75"/>
  <c r="L106" i="75"/>
  <c r="P106" i="75"/>
  <c r="N106" i="75"/>
  <c r="W141" i="75"/>
  <c r="K106" i="75"/>
  <c r="N46" i="59"/>
  <c r="L46" i="59"/>
  <c r="I46" i="59"/>
  <c r="BF52" i="59"/>
  <c r="K89" i="78"/>
  <c r="O89" i="78"/>
  <c r="M89" i="78"/>
  <c r="N90" i="78"/>
  <c r="W129" i="78"/>
  <c r="BG114" i="78"/>
  <c r="BE108" i="78"/>
  <c r="AS108" i="78"/>
  <c r="BJ153" i="78"/>
  <c r="BJ154" i="78"/>
  <c r="AY107" i="78"/>
  <c r="AX107" i="78"/>
  <c r="BG102" i="75"/>
  <c r="AU102" i="75"/>
  <c r="AY102" i="75"/>
  <c r="AW102" i="75"/>
  <c r="AT102" i="75"/>
  <c r="BL147" i="75"/>
  <c r="BG99" i="88"/>
  <c r="BL144" i="88"/>
  <c r="AU99" i="88"/>
  <c r="AY99" i="88"/>
  <c r="AW99" i="88"/>
  <c r="AT99" i="88"/>
  <c r="T49" i="66"/>
  <c r="S49" i="66"/>
  <c r="L172" i="66"/>
  <c r="N172" i="66"/>
  <c r="M172" i="66"/>
  <c r="AS53" i="59"/>
  <c r="AV107" i="78"/>
  <c r="AM137" i="88"/>
  <c r="AO98" i="88"/>
  <c r="AS98" i="88"/>
  <c r="AY108" i="86"/>
  <c r="AW108" i="86"/>
  <c r="AU109" i="86"/>
  <c r="D30" i="86"/>
  <c r="D33" i="86"/>
  <c r="BK102" i="88"/>
  <c r="J102" i="88"/>
  <c r="X137" i="88"/>
  <c r="AM138" i="88"/>
  <c r="AS99" i="88"/>
  <c r="AO99" i="88"/>
  <c r="AO102" i="75"/>
  <c r="AS102" i="75"/>
  <c r="AM141" i="75"/>
  <c r="D51" i="86"/>
  <c r="J89" i="78"/>
  <c r="W138" i="88"/>
  <c r="L103" i="88"/>
  <c r="P103" i="88"/>
  <c r="N103" i="88"/>
  <c r="K103" i="88"/>
  <c r="S103" i="88"/>
  <c r="AJ91" i="59"/>
  <c r="AL52" i="59"/>
  <c r="S107" i="75"/>
  <c r="W142" i="75"/>
  <c r="L107" i="75"/>
  <c r="P107" i="75"/>
  <c r="N107" i="75"/>
  <c r="K107" i="75"/>
  <c r="N173" i="66"/>
  <c r="M173" i="66"/>
  <c r="L173" i="66"/>
  <c r="M47" i="59"/>
  <c r="AW109" i="86"/>
  <c r="AT108" i="86"/>
  <c r="AX108" i="78"/>
  <c r="AW108" i="78"/>
  <c r="AU108" i="78"/>
  <c r="AW107" i="78"/>
  <c r="AU107" i="78"/>
  <c r="AR107" i="78"/>
  <c r="AR108" i="78"/>
  <c r="AY108" i="78"/>
  <c r="X141" i="75"/>
  <c r="J106" i="75"/>
  <c r="BK106" i="75"/>
  <c r="L109" i="86"/>
  <c r="C30" i="86"/>
  <c r="K46" i="59"/>
  <c r="W176" i="66"/>
  <c r="O175" i="66"/>
  <c r="BG100" i="88"/>
  <c r="BL145" i="88"/>
  <c r="AU100" i="88"/>
  <c r="AY100" i="88"/>
  <c r="AW100" i="88"/>
  <c r="AT100" i="88"/>
  <c r="BG103" i="75"/>
  <c r="AU103" i="75"/>
  <c r="AY103" i="75"/>
  <c r="AW103" i="75"/>
  <c r="AT103" i="75"/>
  <c r="BL148" i="75"/>
  <c r="L89" i="78"/>
  <c r="R89" i="78"/>
  <c r="R108" i="86"/>
  <c r="R109" i="86"/>
  <c r="S108" i="86"/>
  <c r="M108" i="86"/>
  <c r="M109" i="86"/>
  <c r="Q108" i="86"/>
  <c r="Q109" i="86"/>
  <c r="U174" i="66"/>
  <c r="G174" i="66"/>
  <c r="AA174" i="66"/>
  <c r="F175" i="66"/>
  <c r="R49" i="66"/>
  <c r="P49" i="66"/>
  <c r="AQ52" i="59"/>
  <c r="BB52" i="59"/>
  <c r="J107" i="75"/>
  <c r="X142" i="75"/>
  <c r="BK107" i="75"/>
  <c r="AM147" i="78"/>
  <c r="AO108" i="78"/>
  <c r="AM142" i="75"/>
  <c r="AS103" i="75"/>
  <c r="AO103" i="75"/>
  <c r="AO100" i="88"/>
  <c r="AS100" i="88"/>
  <c r="AM139" i="88"/>
  <c r="BK103" i="88"/>
  <c r="J103" i="88"/>
  <c r="X138" i="88"/>
  <c r="N174" i="66"/>
  <c r="M174" i="66"/>
  <c r="L174" i="66"/>
  <c r="K90" i="78"/>
  <c r="O90" i="78"/>
  <c r="M90" i="78"/>
  <c r="N91" i="78"/>
  <c r="W130" i="78"/>
  <c r="W177" i="66"/>
  <c r="O176" i="66"/>
  <c r="D52" i="86"/>
  <c r="D53" i="86"/>
  <c r="D54" i="86"/>
  <c r="H49" i="66"/>
  <c r="O49" i="66"/>
  <c r="BD59" i="59"/>
  <c r="BG98" i="59"/>
  <c r="AP53" i="59"/>
  <c r="U175" i="66"/>
  <c r="G175" i="66"/>
  <c r="AA175" i="66"/>
  <c r="F176" i="66"/>
  <c r="AM146" i="78"/>
  <c r="AO107" i="78"/>
  <c r="BG104" i="75"/>
  <c r="BL149" i="75"/>
  <c r="AU104" i="75"/>
  <c r="AY104" i="75"/>
  <c r="AW104" i="75"/>
  <c r="AT104" i="75"/>
  <c r="BG101" i="88"/>
  <c r="BL146" i="88"/>
  <c r="AU101" i="88"/>
  <c r="AY101" i="88"/>
  <c r="AW101" i="88"/>
  <c r="AT101" i="88"/>
  <c r="Q46" i="59"/>
  <c r="U93" i="59"/>
  <c r="AO108" i="86"/>
  <c r="AO7" i="86"/>
  <c r="AS108" i="86"/>
  <c r="AS109" i="86"/>
  <c r="AM147" i="86"/>
  <c r="AT109" i="86"/>
  <c r="D32" i="86"/>
  <c r="AC51" i="86"/>
  <c r="AB47" i="86"/>
  <c r="L104" i="88"/>
  <c r="P104" i="88"/>
  <c r="N104" i="88"/>
  <c r="K104" i="88"/>
  <c r="W139" i="88"/>
  <c r="S104" i="88"/>
  <c r="BI95" i="78"/>
  <c r="X129" i="78"/>
  <c r="Q50" i="66"/>
  <c r="E30" i="86"/>
  <c r="C33" i="86"/>
  <c r="V108" i="75"/>
  <c r="L108" i="75"/>
  <c r="W143" i="75"/>
  <c r="W144" i="75"/>
  <c r="AV108" i="78"/>
  <c r="P108" i="86"/>
  <c r="AM140" i="88"/>
  <c r="AS101" i="88"/>
  <c r="AO101" i="88"/>
  <c r="AO104" i="75"/>
  <c r="AS104" i="75"/>
  <c r="AM143" i="75"/>
  <c r="BK104" i="88"/>
  <c r="J104" i="88"/>
  <c r="X139" i="88"/>
  <c r="L175" i="66"/>
  <c r="M175" i="66"/>
  <c r="N175" i="66"/>
  <c r="M108" i="75"/>
  <c r="M109" i="75"/>
  <c r="Q108" i="75"/>
  <c r="Q109" i="75"/>
  <c r="S108" i="75"/>
  <c r="R108" i="75"/>
  <c r="R109" i="75"/>
  <c r="AV53" i="59"/>
  <c r="AU53" i="59"/>
  <c r="O177" i="66"/>
  <c r="W178" i="66"/>
  <c r="C51" i="86"/>
  <c r="E33" i="86"/>
  <c r="C34" i="86"/>
  <c r="C49" i="86"/>
  <c r="P108" i="75"/>
  <c r="L109" i="75"/>
  <c r="C30" i="75"/>
  <c r="W140" i="88"/>
  <c r="L105" i="88"/>
  <c r="P105" i="88"/>
  <c r="N105" i="88"/>
  <c r="K105" i="88"/>
  <c r="S105" i="88"/>
  <c r="N108" i="86"/>
  <c r="P109" i="86"/>
  <c r="AN148" i="86"/>
  <c r="AM148" i="86"/>
  <c r="S47" i="59"/>
  <c r="J47" i="59"/>
  <c r="T94" i="59"/>
  <c r="BG102" i="88"/>
  <c r="BL147" i="88"/>
  <c r="AU102" i="88"/>
  <c r="AY102" i="88"/>
  <c r="AW102" i="88"/>
  <c r="AT102" i="88"/>
  <c r="BG105" i="75"/>
  <c r="AU105" i="75"/>
  <c r="AY105" i="75"/>
  <c r="AW105" i="75"/>
  <c r="AT105" i="75"/>
  <c r="BL150" i="75"/>
  <c r="AA176" i="66"/>
  <c r="F177" i="66"/>
  <c r="G176" i="66"/>
  <c r="U176" i="66"/>
  <c r="V49" i="66"/>
  <c r="Z49" i="66"/>
  <c r="L90" i="78"/>
  <c r="R90" i="78"/>
  <c r="AT53" i="59"/>
  <c r="AR53" i="59"/>
  <c r="AO53" i="59"/>
  <c r="J90" i="78"/>
  <c r="BK105" i="88"/>
  <c r="J105" i="88"/>
  <c r="X140" i="88"/>
  <c r="AM141" i="88"/>
  <c r="AS102" i="88"/>
  <c r="AO102" i="88"/>
  <c r="L106" i="88"/>
  <c r="P106" i="88"/>
  <c r="N106" i="88"/>
  <c r="K106" i="88"/>
  <c r="W141" i="88"/>
  <c r="S106" i="88"/>
  <c r="C33" i="75"/>
  <c r="C52" i="86"/>
  <c r="E51" i="86"/>
  <c r="C53" i="86"/>
  <c r="AS54" i="59"/>
  <c r="N108" i="75"/>
  <c r="P109" i="75"/>
  <c r="L176" i="66"/>
  <c r="N176" i="66"/>
  <c r="M176" i="66"/>
  <c r="AS105" i="75"/>
  <c r="AM144" i="75"/>
  <c r="AO105" i="75"/>
  <c r="O47" i="59"/>
  <c r="N47" i="59"/>
  <c r="L47" i="59"/>
  <c r="I47" i="59"/>
  <c r="BF53" i="59"/>
  <c r="W179" i="66"/>
  <c r="O178" i="66"/>
  <c r="K91" i="78"/>
  <c r="O91" i="78"/>
  <c r="M91" i="78"/>
  <c r="N92" i="78"/>
  <c r="W131" i="78"/>
  <c r="BI96" i="78"/>
  <c r="X130" i="78"/>
  <c r="J50" i="66"/>
  <c r="I50" i="66"/>
  <c r="K50" i="66"/>
  <c r="X50" i="66"/>
  <c r="AA177" i="66"/>
  <c r="F178" i="66"/>
  <c r="U177" i="66"/>
  <c r="G177" i="66"/>
  <c r="AJ92" i="59"/>
  <c r="AL53" i="59"/>
  <c r="BG106" i="75"/>
  <c r="BL151" i="75"/>
  <c r="AU106" i="75"/>
  <c r="AY106" i="75"/>
  <c r="AW106" i="75"/>
  <c r="AT106" i="75"/>
  <c r="BG103" i="88"/>
  <c r="BL148" i="88"/>
  <c r="AU103" i="88"/>
  <c r="AY103" i="88"/>
  <c r="AW103" i="88"/>
  <c r="AT103" i="88"/>
  <c r="K47" i="59"/>
  <c r="P47" i="59"/>
  <c r="U94" i="59"/>
  <c r="N109" i="86"/>
  <c r="K108" i="86"/>
  <c r="AQ53" i="59"/>
  <c r="BB53" i="59"/>
  <c r="AO106" i="75"/>
  <c r="AM145" i="75"/>
  <c r="AS106" i="75"/>
  <c r="AM142" i="88"/>
  <c r="AO103" i="88"/>
  <c r="AS103" i="88"/>
  <c r="J106" i="88"/>
  <c r="BK106" i="88"/>
  <c r="X141" i="88"/>
  <c r="N109" i="75"/>
  <c r="K108" i="75"/>
  <c r="X143" i="86"/>
  <c r="J108" i="86"/>
  <c r="J109" i="86"/>
  <c r="C32" i="86"/>
  <c r="E32" i="86"/>
  <c r="BK108" i="86"/>
  <c r="K109" i="86"/>
  <c r="BK109" i="86"/>
  <c r="BK115" i="86"/>
  <c r="M48" i="59"/>
  <c r="S50" i="66"/>
  <c r="T50" i="66"/>
  <c r="C51" i="75"/>
  <c r="N177" i="66"/>
  <c r="L177" i="66"/>
  <c r="M177" i="66"/>
  <c r="BD60" i="59"/>
  <c r="BG99" i="59"/>
  <c r="AP54" i="59"/>
  <c r="BG104" i="88"/>
  <c r="BL149" i="88"/>
  <c r="AU104" i="88"/>
  <c r="AY104" i="88"/>
  <c r="AW104" i="88"/>
  <c r="AT104" i="88"/>
  <c r="BG107" i="75"/>
  <c r="BL152" i="75"/>
  <c r="AU107" i="75"/>
  <c r="AY107" i="75"/>
  <c r="AW107" i="75"/>
  <c r="AT107" i="75"/>
  <c r="L91" i="78"/>
  <c r="R91" i="78"/>
  <c r="W180" i="66"/>
  <c r="O179" i="66"/>
  <c r="E53" i="86"/>
  <c r="C54" i="86"/>
  <c r="E54" i="86"/>
  <c r="Q47" i="59"/>
  <c r="R50" i="66"/>
  <c r="P50" i="66"/>
  <c r="J91" i="78"/>
  <c r="L107" i="88"/>
  <c r="P107" i="88"/>
  <c r="N107" i="88"/>
  <c r="K107" i="88"/>
  <c r="W142" i="88"/>
  <c r="S107" i="88"/>
  <c r="AA178" i="66"/>
  <c r="F179" i="66"/>
  <c r="U178" i="66"/>
  <c r="G178" i="66"/>
  <c r="H50" i="66"/>
  <c r="O50" i="66"/>
  <c r="W181" i="66"/>
  <c r="O180" i="66"/>
  <c r="Q51" i="66"/>
  <c r="G179" i="66"/>
  <c r="F180" i="66"/>
  <c r="U179" i="66"/>
  <c r="AA179" i="66"/>
  <c r="W132" i="78"/>
  <c r="K92" i="78"/>
  <c r="O92" i="78"/>
  <c r="M92" i="78"/>
  <c r="N93" i="78"/>
  <c r="BG108" i="75"/>
  <c r="AU108" i="75"/>
  <c r="BL153" i="75"/>
  <c r="BL154" i="75"/>
  <c r="BG105" i="88"/>
  <c r="BL150" i="88"/>
  <c r="AU105" i="88"/>
  <c r="AY105" i="88"/>
  <c r="AW105" i="88"/>
  <c r="AT105" i="88"/>
  <c r="AU54" i="59"/>
  <c r="AV54" i="59"/>
  <c r="X144" i="86"/>
  <c r="Y144" i="86"/>
  <c r="L178" i="66"/>
  <c r="M178" i="66"/>
  <c r="N178" i="66"/>
  <c r="S48" i="59"/>
  <c r="J48" i="59"/>
  <c r="T95" i="59"/>
  <c r="AO107" i="75"/>
  <c r="AS107" i="75"/>
  <c r="AM146" i="75"/>
  <c r="AO104" i="88"/>
  <c r="AS104" i="88"/>
  <c r="AM143" i="88"/>
  <c r="C52" i="75"/>
  <c r="C53" i="75"/>
  <c r="X143" i="75"/>
  <c r="J108" i="75"/>
  <c r="J109" i="75"/>
  <c r="C32" i="75"/>
  <c r="BK108" i="75"/>
  <c r="K109" i="75"/>
  <c r="BK109" i="75"/>
  <c r="BK115" i="75"/>
  <c r="V108" i="88"/>
  <c r="L108" i="88"/>
  <c r="W143" i="88"/>
  <c r="W144" i="88"/>
  <c r="X131" i="78"/>
  <c r="BI97" i="78"/>
  <c r="J107" i="88"/>
  <c r="BK107" i="88"/>
  <c r="X142" i="88"/>
  <c r="AO105" i="88"/>
  <c r="AM144" i="88"/>
  <c r="AS105" i="88"/>
  <c r="V50" i="66"/>
  <c r="Z50" i="66"/>
  <c r="R108" i="88"/>
  <c r="R109" i="88"/>
  <c r="Q108" i="88"/>
  <c r="Q109" i="88"/>
  <c r="M108" i="88"/>
  <c r="M109" i="88"/>
  <c r="S108" i="88"/>
  <c r="Y144" i="75"/>
  <c r="X144" i="75"/>
  <c r="AY108" i="75"/>
  <c r="AW108" i="75"/>
  <c r="AU109" i="75"/>
  <c r="D30" i="75"/>
  <c r="M179" i="66"/>
  <c r="L179" i="66"/>
  <c r="N179" i="66"/>
  <c r="O181" i="66"/>
  <c r="W182" i="66"/>
  <c r="J92" i="78"/>
  <c r="C54" i="75"/>
  <c r="O48" i="59"/>
  <c r="P48" i="59"/>
  <c r="BG106" i="88"/>
  <c r="AU106" i="88"/>
  <c r="AY106" i="88"/>
  <c r="AW106" i="88"/>
  <c r="AT106" i="88"/>
  <c r="BL151" i="88"/>
  <c r="P108" i="88"/>
  <c r="L109" i="88"/>
  <c r="C29" i="88"/>
  <c r="N48" i="59"/>
  <c r="L48" i="59"/>
  <c r="I48" i="59"/>
  <c r="BF54" i="59"/>
  <c r="L92" i="78"/>
  <c r="R92" i="78"/>
  <c r="F181" i="66"/>
  <c r="U180" i="66"/>
  <c r="AA180" i="66"/>
  <c r="G180" i="66"/>
  <c r="AT54" i="59"/>
  <c r="AR54" i="59"/>
  <c r="AO106" i="88"/>
  <c r="AS106" i="88"/>
  <c r="AM145" i="88"/>
  <c r="G181" i="66"/>
  <c r="U181" i="66"/>
  <c r="AA181" i="66"/>
  <c r="F182" i="66"/>
  <c r="AO54" i="59"/>
  <c r="AQ54" i="59"/>
  <c r="BB54" i="59"/>
  <c r="W183" i="66"/>
  <c r="O182" i="66"/>
  <c r="J51" i="66"/>
  <c r="K51" i="66"/>
  <c r="I51" i="66"/>
  <c r="X51" i="66"/>
  <c r="D33" i="75"/>
  <c r="E30" i="75"/>
  <c r="M180" i="66"/>
  <c r="N180" i="66"/>
  <c r="L180" i="66"/>
  <c r="K93" i="78"/>
  <c r="O93" i="78"/>
  <c r="M93" i="78"/>
  <c r="N94" i="78"/>
  <c r="W133" i="78"/>
  <c r="N108" i="88"/>
  <c r="P109" i="88"/>
  <c r="BG107" i="88"/>
  <c r="BL152" i="88"/>
  <c r="AU107" i="88"/>
  <c r="AY107" i="88"/>
  <c r="AW107" i="88"/>
  <c r="AT107" i="88"/>
  <c r="K48" i="59"/>
  <c r="BI98" i="78"/>
  <c r="X132" i="78"/>
  <c r="AW109" i="75"/>
  <c r="AT108" i="75"/>
  <c r="C32" i="88"/>
  <c r="AS55" i="59"/>
  <c r="M49" i="59"/>
  <c r="BD61" i="59"/>
  <c r="AP55" i="59"/>
  <c r="BG100" i="59"/>
  <c r="AS107" i="88"/>
  <c r="AM146" i="88"/>
  <c r="AO107" i="88"/>
  <c r="J93" i="78"/>
  <c r="O183" i="66"/>
  <c r="W184" i="66"/>
  <c r="M181" i="66"/>
  <c r="L181" i="66"/>
  <c r="N181" i="66"/>
  <c r="U95" i="59"/>
  <c r="Q48" i="59"/>
  <c r="N109" i="88"/>
  <c r="K108" i="88"/>
  <c r="F183" i="66"/>
  <c r="AA182" i="66"/>
  <c r="U182" i="66"/>
  <c r="G182" i="66"/>
  <c r="AO108" i="75"/>
  <c r="AO7" i="75"/>
  <c r="AM147" i="75"/>
  <c r="AS108" i="75"/>
  <c r="AS109" i="75"/>
  <c r="AT109" i="75"/>
  <c r="D32" i="75"/>
  <c r="C50" i="88"/>
  <c r="L93" i="78"/>
  <c r="R93" i="78"/>
  <c r="BG108" i="88"/>
  <c r="AU108" i="88"/>
  <c r="BL153" i="88"/>
  <c r="BL154" i="88"/>
  <c r="D51" i="75"/>
  <c r="C49" i="75"/>
  <c r="E33" i="75"/>
  <c r="C34" i="75"/>
  <c r="T51" i="66"/>
  <c r="S51" i="66"/>
  <c r="R51" i="66"/>
  <c r="P51" i="66"/>
  <c r="AL54" i="59"/>
  <c r="AJ93" i="59"/>
  <c r="H51" i="66"/>
  <c r="O51" i="66"/>
  <c r="K94" i="78"/>
  <c r="O94" i="78"/>
  <c r="M94" i="78"/>
  <c r="N95" i="78"/>
  <c r="W134" i="78"/>
  <c r="L182" i="66"/>
  <c r="M182" i="66"/>
  <c r="N182" i="66"/>
  <c r="J108" i="88"/>
  <c r="J109" i="88"/>
  <c r="C31" i="88"/>
  <c r="BK108" i="88"/>
  <c r="X143" i="88"/>
  <c r="K109" i="88"/>
  <c r="BK109" i="88"/>
  <c r="BK115" i="88"/>
  <c r="W185" i="66"/>
  <c r="O184" i="66"/>
  <c r="X133" i="78"/>
  <c r="BI99" i="78"/>
  <c r="AN148" i="75"/>
  <c r="AM148" i="75"/>
  <c r="AY108" i="88"/>
  <c r="AW108" i="88"/>
  <c r="AU109" i="88"/>
  <c r="D29" i="88"/>
  <c r="C52" i="88"/>
  <c r="C51" i="88"/>
  <c r="S49" i="59"/>
  <c r="T96" i="59"/>
  <c r="J49" i="59"/>
  <c r="AU55" i="59"/>
  <c r="AT55" i="59"/>
  <c r="AV55" i="59"/>
  <c r="AR55" i="59"/>
  <c r="AO55" i="59"/>
  <c r="Q52" i="66"/>
  <c r="D53" i="75"/>
  <c r="D52" i="75"/>
  <c r="E51" i="75"/>
  <c r="AC51" i="75"/>
  <c r="AB47" i="75"/>
  <c r="E32" i="75"/>
  <c r="G183" i="66"/>
  <c r="U183" i="66"/>
  <c r="AA183" i="66"/>
  <c r="F184" i="66"/>
  <c r="V51" i="66"/>
  <c r="Z51" i="66"/>
  <c r="AJ94" i="59"/>
  <c r="AL55" i="59"/>
  <c r="O49" i="59"/>
  <c r="P49" i="59"/>
  <c r="M183" i="66"/>
  <c r="L183" i="66"/>
  <c r="N183" i="66"/>
  <c r="N49" i="59"/>
  <c r="L49" i="59"/>
  <c r="I49" i="59"/>
  <c r="BF55" i="59"/>
  <c r="AW109" i="88"/>
  <c r="AT108" i="88"/>
  <c r="O185" i="66"/>
  <c r="W186" i="66"/>
  <c r="L94" i="78"/>
  <c r="R94" i="78"/>
  <c r="D32" i="88"/>
  <c r="E29" i="88"/>
  <c r="AS56" i="59"/>
  <c r="F185" i="66"/>
  <c r="G184" i="66"/>
  <c r="U184" i="66"/>
  <c r="AA184" i="66"/>
  <c r="D54" i="75"/>
  <c r="E54" i="75"/>
  <c r="E53" i="75"/>
  <c r="AQ55" i="59"/>
  <c r="BB55" i="59"/>
  <c r="C53" i="88"/>
  <c r="Y144" i="88"/>
  <c r="X144" i="88"/>
  <c r="J94" i="78"/>
  <c r="BD62" i="59"/>
  <c r="BG101" i="59"/>
  <c r="AP56" i="59"/>
  <c r="AO108" i="88"/>
  <c r="AO7" i="88"/>
  <c r="AM147" i="88"/>
  <c r="AS108" i="88"/>
  <c r="AS109" i="88"/>
  <c r="AT109" i="88"/>
  <c r="D31" i="88"/>
  <c r="K49" i="59"/>
  <c r="W187" i="66"/>
  <c r="O186" i="66"/>
  <c r="M184" i="66"/>
  <c r="N184" i="66"/>
  <c r="L184" i="66"/>
  <c r="C48" i="88"/>
  <c r="D50" i="88"/>
  <c r="E32" i="88"/>
  <c r="C33" i="88"/>
  <c r="M50" i="59"/>
  <c r="BI100" i="78"/>
  <c r="X134" i="78"/>
  <c r="AA185" i="66"/>
  <c r="U185" i="66"/>
  <c r="G185" i="66"/>
  <c r="F186" i="66"/>
  <c r="K95" i="78"/>
  <c r="O95" i="78"/>
  <c r="M95" i="78"/>
  <c r="L95" i="78"/>
  <c r="R95" i="78"/>
  <c r="J95" i="78"/>
  <c r="N96" i="78"/>
  <c r="W135" i="78"/>
  <c r="K52" i="66"/>
  <c r="J52" i="66"/>
  <c r="I52" i="66"/>
  <c r="X52" i="66"/>
  <c r="W136" i="78"/>
  <c r="K96" i="78"/>
  <c r="O96" i="78"/>
  <c r="M96" i="78"/>
  <c r="N97" i="78"/>
  <c r="U96" i="59"/>
  <c r="Q49" i="59"/>
  <c r="AU56" i="59"/>
  <c r="AV56" i="59"/>
  <c r="T52" i="66"/>
  <c r="S52" i="66"/>
  <c r="AC51" i="88"/>
  <c r="AB47" i="88"/>
  <c r="E31" i="88"/>
  <c r="R52" i="66"/>
  <c r="P52" i="66"/>
  <c r="BI101" i="78"/>
  <c r="X135" i="78"/>
  <c r="G186" i="66"/>
  <c r="AA186" i="66"/>
  <c r="U186" i="66"/>
  <c r="F187" i="66"/>
  <c r="W188" i="66"/>
  <c r="O187" i="66"/>
  <c r="M185" i="66"/>
  <c r="L185" i="66"/>
  <c r="N185" i="66"/>
  <c r="D52" i="88"/>
  <c r="D51" i="88"/>
  <c r="E50" i="88"/>
  <c r="AN148" i="88"/>
  <c r="AM148" i="88"/>
  <c r="S50" i="59"/>
  <c r="T97" i="59"/>
  <c r="J50" i="59"/>
  <c r="W189" i="66"/>
  <c r="O188" i="66"/>
  <c r="H52" i="66"/>
  <c r="O52" i="66"/>
  <c r="M186" i="66"/>
  <c r="L186" i="66"/>
  <c r="N186" i="66"/>
  <c r="D53" i="88"/>
  <c r="E53" i="88"/>
  <c r="E52" i="88"/>
  <c r="U187" i="66"/>
  <c r="AA187" i="66"/>
  <c r="F188" i="66"/>
  <c r="G187" i="66"/>
  <c r="AT56" i="59"/>
  <c r="AR56" i="59"/>
  <c r="Q53" i="66"/>
  <c r="J96" i="78"/>
  <c r="L96" i="78"/>
  <c r="R96" i="78"/>
  <c r="V52" i="66"/>
  <c r="Z52" i="66"/>
  <c r="L187" i="66"/>
  <c r="N187" i="66"/>
  <c r="M187" i="66"/>
  <c r="O50" i="59"/>
  <c r="N50" i="59"/>
  <c r="L50" i="59"/>
  <c r="I50" i="59"/>
  <c r="BF56" i="59"/>
  <c r="AA188" i="66"/>
  <c r="F189" i="66"/>
  <c r="U188" i="66"/>
  <c r="G188" i="66"/>
  <c r="W190" i="66"/>
  <c r="O189" i="66"/>
  <c r="X136" i="78"/>
  <c r="BI102" i="78"/>
  <c r="AO56" i="59"/>
  <c r="AQ56" i="59"/>
  <c r="BB56" i="59"/>
  <c r="P50" i="59"/>
  <c r="K50" i="59"/>
  <c r="Q50" i="59"/>
  <c r="W137" i="78"/>
  <c r="K97" i="78"/>
  <c r="O97" i="78"/>
  <c r="M97" i="78"/>
  <c r="N98" i="78"/>
  <c r="AS57" i="59"/>
  <c r="S51" i="59"/>
  <c r="T98" i="59"/>
  <c r="J51" i="59"/>
  <c r="L97" i="78"/>
  <c r="R97" i="78"/>
  <c r="M188" i="66"/>
  <c r="L188" i="66"/>
  <c r="N188" i="66"/>
  <c r="BD63" i="59"/>
  <c r="BG102" i="59"/>
  <c r="AP57" i="59"/>
  <c r="J97" i="78"/>
  <c r="M51" i="59"/>
  <c r="AL56" i="59"/>
  <c r="AJ95" i="59"/>
  <c r="U97" i="59"/>
  <c r="W191" i="66"/>
  <c r="O190" i="66"/>
  <c r="AA189" i="66"/>
  <c r="F190" i="66"/>
  <c r="U189" i="66"/>
  <c r="G189" i="66"/>
  <c r="J53" i="66"/>
  <c r="I53" i="66"/>
  <c r="K53" i="66"/>
  <c r="X53" i="66"/>
  <c r="T53" i="66"/>
  <c r="S53" i="66"/>
  <c r="R53" i="66"/>
  <c r="P53" i="66"/>
  <c r="F191" i="66"/>
  <c r="U190" i="66"/>
  <c r="AA190" i="66"/>
  <c r="G190" i="66"/>
  <c r="O191" i="66"/>
  <c r="X137" i="78"/>
  <c r="BI103" i="78"/>
  <c r="AV57" i="59"/>
  <c r="AU57" i="59"/>
  <c r="L189" i="66"/>
  <c r="N189" i="66"/>
  <c r="M189" i="66"/>
  <c r="AT57" i="59"/>
  <c r="AR57" i="59"/>
  <c r="AO57" i="59"/>
  <c r="K98" i="78"/>
  <c r="O98" i="78"/>
  <c r="M98" i="78"/>
  <c r="N99" i="78"/>
  <c r="W138" i="78"/>
  <c r="O51" i="59"/>
  <c r="N51" i="59"/>
  <c r="L51" i="59"/>
  <c r="P51" i="59"/>
  <c r="I51" i="59"/>
  <c r="BF57" i="59"/>
  <c r="J98" i="78"/>
  <c r="AL57" i="59"/>
  <c r="AJ96" i="59"/>
  <c r="AS58" i="59"/>
  <c r="AQ57" i="59"/>
  <c r="BB57" i="59"/>
  <c r="AA191" i="66"/>
  <c r="U191" i="66"/>
  <c r="G191" i="66"/>
  <c r="M52" i="59"/>
  <c r="N190" i="66"/>
  <c r="M190" i="66"/>
  <c r="L190" i="66"/>
  <c r="Q54" i="66"/>
  <c r="L98" i="78"/>
  <c r="R98" i="78"/>
  <c r="H53" i="66"/>
  <c r="O53" i="66"/>
  <c r="V53" i="66"/>
  <c r="Z53" i="66"/>
  <c r="N191" i="66"/>
  <c r="M191" i="66"/>
  <c r="L191" i="66"/>
  <c r="BD64" i="59"/>
  <c r="BG103" i="59"/>
  <c r="AP58" i="59"/>
  <c r="BI104" i="78"/>
  <c r="X138" i="78"/>
  <c r="K99" i="78"/>
  <c r="O99" i="78"/>
  <c r="M99" i="78"/>
  <c r="N100" i="78"/>
  <c r="W139" i="78"/>
  <c r="K51" i="59"/>
  <c r="J99" i="78"/>
  <c r="AV58" i="59"/>
  <c r="AU58" i="59"/>
  <c r="U98" i="59"/>
  <c r="Q51" i="59"/>
  <c r="L99" i="78"/>
  <c r="R99" i="78"/>
  <c r="J54" i="66"/>
  <c r="I54" i="66"/>
  <c r="K54" i="66"/>
  <c r="X54" i="66"/>
  <c r="W140" i="78"/>
  <c r="K100" i="78"/>
  <c r="O100" i="78"/>
  <c r="M100" i="78"/>
  <c r="N101" i="78"/>
  <c r="BI105" i="78"/>
  <c r="X139" i="78"/>
  <c r="S54" i="66"/>
  <c r="T54" i="66"/>
  <c r="R54" i="66"/>
  <c r="P54" i="66"/>
  <c r="S52" i="59"/>
  <c r="T99" i="59"/>
  <c r="J52" i="59"/>
  <c r="AT58" i="59"/>
  <c r="AR58" i="59"/>
  <c r="H54" i="66"/>
  <c r="O54" i="66"/>
  <c r="Q55" i="66"/>
  <c r="AO58" i="59"/>
  <c r="AQ58" i="59"/>
  <c r="BB58" i="59"/>
  <c r="J100" i="78"/>
  <c r="AS59" i="59"/>
  <c r="P52" i="59"/>
  <c r="O52" i="59"/>
  <c r="L100" i="78"/>
  <c r="R100" i="78"/>
  <c r="X140" i="78"/>
  <c r="BI106" i="78"/>
  <c r="V54" i="66"/>
  <c r="Z54" i="66"/>
  <c r="BD65" i="59"/>
  <c r="BG104" i="59"/>
  <c r="AP59" i="59"/>
  <c r="K101" i="78"/>
  <c r="O101" i="78"/>
  <c r="M101" i="78"/>
  <c r="N102" i="78"/>
  <c r="W141" i="78"/>
  <c r="AL58" i="59"/>
  <c r="AJ97" i="59"/>
  <c r="N52" i="59"/>
  <c r="L52" i="59"/>
  <c r="M53" i="59"/>
  <c r="K55" i="66"/>
  <c r="J55" i="66"/>
  <c r="I55" i="66"/>
  <c r="X55" i="66"/>
  <c r="I52" i="59"/>
  <c r="BF58" i="59"/>
  <c r="J101" i="78"/>
  <c r="L101" i="78"/>
  <c r="R101" i="78"/>
  <c r="AV59" i="59"/>
  <c r="AU59" i="59"/>
  <c r="T55" i="66"/>
  <c r="S55" i="66"/>
  <c r="W142" i="78"/>
  <c r="K102" i="78"/>
  <c r="O102" i="78"/>
  <c r="M102" i="78"/>
  <c r="N103" i="78"/>
  <c r="R55" i="66"/>
  <c r="P55" i="66"/>
  <c r="X141" i="78"/>
  <c r="BI107" i="78"/>
  <c r="K52" i="59"/>
  <c r="AT59" i="59"/>
  <c r="AR59" i="59"/>
  <c r="AO59" i="59"/>
  <c r="AQ59" i="59"/>
  <c r="BB59" i="59"/>
  <c r="AS60" i="59"/>
  <c r="H55" i="66"/>
  <c r="O55" i="66"/>
  <c r="U99" i="59"/>
  <c r="Q52" i="59"/>
  <c r="J102" i="78"/>
  <c r="L102" i="78"/>
  <c r="R102" i="78"/>
  <c r="Q56" i="66"/>
  <c r="V55" i="66"/>
  <c r="Z55" i="66"/>
  <c r="BD66" i="59"/>
  <c r="BG105" i="59"/>
  <c r="AP60" i="59"/>
  <c r="BI108" i="78"/>
  <c r="X142" i="78"/>
  <c r="S53" i="59"/>
  <c r="J53" i="59"/>
  <c r="T100" i="59"/>
  <c r="W143" i="78"/>
  <c r="K103" i="78"/>
  <c r="O103" i="78"/>
  <c r="M103" i="78"/>
  <c r="J103" i="78"/>
  <c r="N104" i="78"/>
  <c r="AJ98" i="59"/>
  <c r="AL59" i="59"/>
  <c r="AU60" i="59"/>
  <c r="AV60" i="59"/>
  <c r="X143" i="78"/>
  <c r="BI109" i="78"/>
  <c r="AT60" i="59"/>
  <c r="AR60" i="59"/>
  <c r="AO60" i="59"/>
  <c r="L103" i="78"/>
  <c r="R103" i="78"/>
  <c r="O53" i="59"/>
  <c r="P53" i="59"/>
  <c r="K56" i="66"/>
  <c r="J56" i="66"/>
  <c r="I56" i="66"/>
  <c r="X56" i="66"/>
  <c r="T56" i="66"/>
  <c r="S56" i="66"/>
  <c r="R56" i="66"/>
  <c r="P56" i="66"/>
  <c r="AS61" i="59"/>
  <c r="W144" i="78"/>
  <c r="K104" i="78"/>
  <c r="O104" i="78"/>
  <c r="M104" i="78"/>
  <c r="N105" i="78"/>
  <c r="AQ60" i="59"/>
  <c r="BB60" i="59"/>
  <c r="AL60" i="59"/>
  <c r="AJ99" i="59"/>
  <c r="N53" i="59"/>
  <c r="L53" i="59"/>
  <c r="BD67" i="59"/>
  <c r="AP61" i="59"/>
  <c r="BG106" i="59"/>
  <c r="L104" i="78"/>
  <c r="R104" i="78"/>
  <c r="H56" i="66"/>
  <c r="O56" i="66"/>
  <c r="I53" i="59"/>
  <c r="BF59" i="59"/>
  <c r="J104" i="78"/>
  <c r="M54" i="59"/>
  <c r="Q57" i="66"/>
  <c r="V56" i="66"/>
  <c r="Z56" i="66"/>
  <c r="BI110" i="78"/>
  <c r="X144" i="78"/>
  <c r="K53" i="59"/>
  <c r="K105" i="78"/>
  <c r="O105" i="78"/>
  <c r="M105" i="78"/>
  <c r="N106" i="78"/>
  <c r="W145" i="78"/>
  <c r="AU61" i="59"/>
  <c r="AT61" i="59"/>
  <c r="AV61" i="59"/>
  <c r="AR61" i="59"/>
  <c r="AO61" i="59"/>
  <c r="AQ61" i="59"/>
  <c r="BB61" i="59"/>
  <c r="L105" i="78"/>
  <c r="R105" i="78"/>
  <c r="U100" i="59"/>
  <c r="Q53" i="59"/>
  <c r="AS62" i="59"/>
  <c r="J105" i="78"/>
  <c r="J57" i="66"/>
  <c r="I57" i="66"/>
  <c r="K57" i="66"/>
  <c r="X57" i="66"/>
  <c r="BI111" i="78"/>
  <c r="X145" i="78"/>
  <c r="W146" i="78"/>
  <c r="K106" i="78"/>
  <c r="O106" i="78"/>
  <c r="M106" i="78"/>
  <c r="N107" i="78"/>
  <c r="T57" i="66"/>
  <c r="S57" i="66"/>
  <c r="BD68" i="59"/>
  <c r="AP62" i="59"/>
  <c r="BG107" i="59"/>
  <c r="S54" i="59"/>
  <c r="T101" i="59"/>
  <c r="J54" i="59"/>
  <c r="AL61" i="59"/>
  <c r="AJ100" i="59"/>
  <c r="O54" i="59"/>
  <c r="P54" i="59"/>
  <c r="AU62" i="59"/>
  <c r="AV62" i="59"/>
  <c r="J106" i="78"/>
  <c r="N54" i="59"/>
  <c r="L54" i="59"/>
  <c r="I54" i="59"/>
  <c r="BF60" i="59"/>
  <c r="AT62" i="59"/>
  <c r="AR62" i="59"/>
  <c r="AO62" i="59"/>
  <c r="L106" i="78"/>
  <c r="R106" i="78"/>
  <c r="R57" i="66"/>
  <c r="P57" i="66"/>
  <c r="Q58" i="66"/>
  <c r="K54" i="59"/>
  <c r="H57" i="66"/>
  <c r="O57" i="66"/>
  <c r="W147" i="78"/>
  <c r="K107" i="78"/>
  <c r="O107" i="78"/>
  <c r="M107" i="78"/>
  <c r="N108" i="78"/>
  <c r="AS63" i="59"/>
  <c r="AL62" i="59"/>
  <c r="AJ101" i="59"/>
  <c r="X146" i="78"/>
  <c r="BI112" i="78"/>
  <c r="AQ62" i="59"/>
  <c r="BB62" i="59"/>
  <c r="M55" i="59"/>
  <c r="L107" i="78"/>
  <c r="R107" i="78"/>
  <c r="V57" i="66"/>
  <c r="Z57" i="66"/>
  <c r="J107" i="78"/>
  <c r="BD69" i="59"/>
  <c r="AP63" i="59"/>
  <c r="BG108" i="59"/>
  <c r="U101" i="59"/>
  <c r="Q54" i="59"/>
  <c r="X147" i="78"/>
  <c r="BI113" i="78"/>
  <c r="S55" i="59"/>
  <c r="J55" i="59"/>
  <c r="T102" i="59"/>
  <c r="J58" i="66"/>
  <c r="I58" i="66"/>
  <c r="K58" i="66"/>
  <c r="X58" i="66"/>
  <c r="AU63" i="59"/>
  <c r="AV63" i="59"/>
  <c r="U108" i="78"/>
  <c r="K108" i="78"/>
  <c r="W148" i="78"/>
  <c r="W149" i="78"/>
  <c r="K109" i="78"/>
  <c r="C33" i="78"/>
  <c r="AT63" i="59"/>
  <c r="AR63" i="59"/>
  <c r="O55" i="59"/>
  <c r="N55" i="59"/>
  <c r="L55" i="59"/>
  <c r="I55" i="59"/>
  <c r="K55" i="59"/>
  <c r="P55" i="59"/>
  <c r="Q55" i="59"/>
  <c r="S58" i="66"/>
  <c r="R58" i="66"/>
  <c r="P58" i="66"/>
  <c r="T58" i="66"/>
  <c r="P108" i="78"/>
  <c r="O108" i="78"/>
  <c r="M108" i="78"/>
  <c r="Q108" i="78"/>
  <c r="U102" i="59"/>
  <c r="BF61" i="59"/>
  <c r="H58" i="66"/>
  <c r="O58" i="66"/>
  <c r="M109" i="78"/>
  <c r="J108" i="78"/>
  <c r="L108" i="78"/>
  <c r="S56" i="59"/>
  <c r="J56" i="59"/>
  <c r="T103" i="59"/>
  <c r="AO63" i="59"/>
  <c r="AQ63" i="59"/>
  <c r="BB63" i="59"/>
  <c r="M56" i="59"/>
  <c r="Q59" i="66"/>
  <c r="C34" i="78"/>
  <c r="C36" i="78"/>
  <c r="E45" i="78"/>
  <c r="AS64" i="59"/>
  <c r="V58" i="66"/>
  <c r="Z58" i="66"/>
  <c r="BD70" i="59"/>
  <c r="AP64" i="59"/>
  <c r="BG109" i="59"/>
  <c r="L109" i="78"/>
  <c r="R108" i="78"/>
  <c r="BI114" i="78"/>
  <c r="BI115" i="78"/>
  <c r="X148" i="78"/>
  <c r="J109" i="78"/>
  <c r="C32" i="78"/>
  <c r="E44" i="78"/>
  <c r="C37" i="78"/>
  <c r="C38" i="78"/>
  <c r="E51" i="78"/>
  <c r="AJ102" i="59"/>
  <c r="AL63" i="59"/>
  <c r="P56" i="59"/>
  <c r="O56" i="59"/>
  <c r="N56" i="59"/>
  <c r="L56" i="59"/>
  <c r="I56" i="59"/>
  <c r="BF62" i="59"/>
  <c r="AU64" i="59"/>
  <c r="AT64" i="59"/>
  <c r="C39" i="78"/>
  <c r="E54" i="78"/>
  <c r="E53" i="78"/>
  <c r="AV64" i="59"/>
  <c r="M57" i="59"/>
  <c r="Y149" i="78"/>
  <c r="C14" i="78"/>
  <c r="X149" i="78"/>
  <c r="K59" i="66"/>
  <c r="J59" i="66"/>
  <c r="I59" i="66"/>
  <c r="X59" i="66"/>
  <c r="AR64" i="59"/>
  <c r="T59" i="66"/>
  <c r="S59" i="66"/>
  <c r="R59" i="66"/>
  <c r="P59" i="66"/>
  <c r="K56" i="59"/>
  <c r="AO64" i="59"/>
  <c r="H59" i="66"/>
  <c r="O59" i="66"/>
  <c r="Q56" i="59"/>
  <c r="U103" i="59"/>
  <c r="Q60" i="66"/>
  <c r="AS65" i="59"/>
  <c r="V59" i="66"/>
  <c r="Z59" i="66"/>
  <c r="S57" i="59"/>
  <c r="T104" i="59"/>
  <c r="J57" i="59"/>
  <c r="AL64" i="59"/>
  <c r="AJ103" i="59"/>
  <c r="AQ64" i="59"/>
  <c r="BB64" i="59"/>
  <c r="K60" i="66"/>
  <c r="J60" i="66"/>
  <c r="I60" i="66"/>
  <c r="X60" i="66"/>
  <c r="O57" i="59"/>
  <c r="N57" i="59"/>
  <c r="L57" i="59"/>
  <c r="P57" i="59"/>
  <c r="BD71" i="59"/>
  <c r="AP65" i="59"/>
  <c r="BG110" i="59"/>
  <c r="I57" i="59"/>
  <c r="BF63" i="59"/>
  <c r="T60" i="66"/>
  <c r="S60" i="66"/>
  <c r="R60" i="66"/>
  <c r="P60" i="66"/>
  <c r="M58" i="59"/>
  <c r="AV65" i="59"/>
  <c r="AU65" i="59"/>
  <c r="Q61" i="66"/>
  <c r="H60" i="66"/>
  <c r="O60" i="66"/>
  <c r="AT65" i="59"/>
  <c r="AR65" i="59"/>
  <c r="AS66" i="59"/>
  <c r="K57" i="59"/>
  <c r="V60" i="66"/>
  <c r="Z60" i="66"/>
  <c r="AO65" i="59"/>
  <c r="AQ65" i="59"/>
  <c r="BB65" i="59"/>
  <c r="Q57" i="59"/>
  <c r="U104" i="59"/>
  <c r="BD72" i="59"/>
  <c r="BG111" i="59"/>
  <c r="AP66" i="59"/>
  <c r="J61" i="66"/>
  <c r="I61" i="66"/>
  <c r="K61" i="66"/>
  <c r="X61" i="66"/>
  <c r="AL65" i="59"/>
  <c r="AJ104" i="59"/>
  <c r="S58" i="59"/>
  <c r="T105" i="59"/>
  <c r="J58" i="59"/>
  <c r="T61" i="66"/>
  <c r="S61" i="66"/>
  <c r="R61" i="66"/>
  <c r="P61" i="66"/>
  <c r="O58" i="59"/>
  <c r="P58" i="59"/>
  <c r="AU66" i="59"/>
  <c r="AV66" i="59"/>
  <c r="H61" i="66"/>
  <c r="O61" i="66"/>
  <c r="AT66" i="59"/>
  <c r="AR66" i="59"/>
  <c r="N58" i="59"/>
  <c r="L58" i="59"/>
  <c r="M59" i="59"/>
  <c r="Q62" i="66"/>
  <c r="V61" i="66"/>
  <c r="Z61" i="66"/>
  <c r="AO66" i="59"/>
  <c r="AQ66" i="59"/>
  <c r="BB66" i="59"/>
  <c r="AS67" i="59"/>
  <c r="I58" i="59"/>
  <c r="BF64" i="59"/>
  <c r="K58" i="59"/>
  <c r="BD73" i="59"/>
  <c r="AP67" i="59"/>
  <c r="BG112" i="59"/>
  <c r="U105" i="59"/>
  <c r="Q58" i="59"/>
  <c r="AL66" i="59"/>
  <c r="AJ105" i="59"/>
  <c r="J62" i="66"/>
  <c r="I62" i="66"/>
  <c r="K62" i="66"/>
  <c r="X62" i="66"/>
  <c r="S62" i="66"/>
  <c r="T62" i="66"/>
  <c r="S59" i="59"/>
  <c r="J59" i="59"/>
  <c r="T106" i="59"/>
  <c r="AU67" i="59"/>
  <c r="AT67" i="59"/>
  <c r="R62" i="66"/>
  <c r="P62" i="66"/>
  <c r="AV67" i="59"/>
  <c r="H62" i="66"/>
  <c r="O62" i="66"/>
  <c r="AR67" i="59"/>
  <c r="O59" i="59"/>
  <c r="P59" i="59"/>
  <c r="Q63" i="66"/>
  <c r="V62" i="66"/>
  <c r="Z62" i="66"/>
  <c r="AO67" i="59"/>
  <c r="AQ67" i="59"/>
  <c r="BB67" i="59"/>
  <c r="AS68" i="59"/>
  <c r="N59" i="59"/>
  <c r="L59" i="59"/>
  <c r="BD74" i="59"/>
  <c r="BG113" i="59"/>
  <c r="AP68" i="59"/>
  <c r="J63" i="66"/>
  <c r="K63" i="66"/>
  <c r="I63" i="66"/>
  <c r="X63" i="66"/>
  <c r="I59" i="59"/>
  <c r="BF65" i="59"/>
  <c r="K59" i="59"/>
  <c r="AL67" i="59"/>
  <c r="AJ106" i="59"/>
  <c r="M60" i="59"/>
  <c r="U106" i="59"/>
  <c r="Q59" i="59"/>
  <c r="AU68" i="59"/>
  <c r="AT68" i="59"/>
  <c r="T63" i="66"/>
  <c r="S63" i="66"/>
  <c r="AQ68" i="59"/>
  <c r="BB68" i="59"/>
  <c r="AV68" i="59"/>
  <c r="R63" i="66"/>
  <c r="P63" i="66"/>
  <c r="AR68" i="59"/>
  <c r="BD75" i="59"/>
  <c r="AP69" i="59"/>
  <c r="BG114" i="59"/>
  <c r="S60" i="59"/>
  <c r="T107" i="59"/>
  <c r="J60" i="59"/>
  <c r="AO68" i="59"/>
  <c r="H63" i="66"/>
  <c r="O63" i="66"/>
  <c r="AS69" i="59"/>
  <c r="P60" i="59"/>
  <c r="O60" i="59"/>
  <c r="AV69" i="59"/>
  <c r="AQ69" i="59"/>
  <c r="AU69" i="59"/>
  <c r="BB69" i="59"/>
  <c r="Q64" i="66"/>
  <c r="V63" i="66"/>
  <c r="Z63" i="66"/>
  <c r="AL68" i="59"/>
  <c r="AJ107" i="59"/>
  <c r="BD76" i="59"/>
  <c r="AP70" i="59"/>
  <c r="BG115" i="59"/>
  <c r="AT69" i="59"/>
  <c r="AR69" i="59"/>
  <c r="AS70" i="59"/>
  <c r="AO69" i="59"/>
  <c r="N60" i="59"/>
  <c r="L60" i="59"/>
  <c r="I60" i="59"/>
  <c r="BF66" i="59"/>
  <c r="AL69" i="59"/>
  <c r="AJ108" i="59"/>
  <c r="M61" i="59"/>
  <c r="AU70" i="59"/>
  <c r="BB70" i="59"/>
  <c r="AV70" i="59"/>
  <c r="AQ70" i="59"/>
  <c r="K64" i="66"/>
  <c r="J64" i="66"/>
  <c r="I64" i="66"/>
  <c r="X64" i="66"/>
  <c r="T64" i="66"/>
  <c r="S64" i="66"/>
  <c r="R64" i="66"/>
  <c r="P64" i="66"/>
  <c r="BD77" i="59"/>
  <c r="AP71" i="59"/>
  <c r="BG116" i="59"/>
  <c r="AT70" i="59"/>
  <c r="AR70" i="59"/>
  <c r="AO70" i="59"/>
  <c r="K60" i="59"/>
  <c r="U107" i="59"/>
  <c r="Q60" i="59"/>
  <c r="H64" i="66"/>
  <c r="O64" i="66"/>
  <c r="AJ109" i="59"/>
  <c r="AL70" i="59"/>
  <c r="AU71" i="59"/>
  <c r="AT71" i="59"/>
  <c r="Q65" i="66"/>
  <c r="AS71" i="59"/>
  <c r="AQ71" i="59"/>
  <c r="AV71" i="59"/>
  <c r="BB71" i="59"/>
  <c r="V64" i="66"/>
  <c r="Z64" i="66"/>
  <c r="AR71" i="59"/>
  <c r="AO71" i="59"/>
  <c r="S61" i="59"/>
  <c r="J61" i="59"/>
  <c r="T108" i="59"/>
  <c r="BD78" i="59"/>
  <c r="AP72" i="59"/>
  <c r="BG117" i="59"/>
  <c r="AS72" i="59"/>
  <c r="O61" i="59"/>
  <c r="P61" i="59"/>
  <c r="AL71" i="59"/>
  <c r="AJ110" i="59"/>
  <c r="BB72" i="59"/>
  <c r="AQ72" i="59"/>
  <c r="AV72" i="59"/>
  <c r="AU72" i="59"/>
  <c r="N61" i="59"/>
  <c r="L61" i="59"/>
  <c r="I61" i="59"/>
  <c r="BF67" i="59"/>
  <c r="J65" i="66"/>
  <c r="I65" i="66"/>
  <c r="K65" i="66"/>
  <c r="X65" i="66"/>
  <c r="S65" i="66"/>
  <c r="T65" i="66"/>
  <c r="BD79" i="59"/>
  <c r="AP73" i="59"/>
  <c r="BG118" i="59"/>
  <c r="R65" i="66"/>
  <c r="P65" i="66"/>
  <c r="AT72" i="59"/>
  <c r="AR72" i="59"/>
  <c r="AO72" i="59"/>
  <c r="M62" i="59"/>
  <c r="K61" i="59"/>
  <c r="U108" i="59"/>
  <c r="Q61" i="59"/>
  <c r="H65" i="66"/>
  <c r="O65" i="66"/>
  <c r="AS73" i="59"/>
  <c r="AQ73" i="59"/>
  <c r="AV73" i="59"/>
  <c r="AU73" i="59"/>
  <c r="AT73" i="59"/>
  <c r="AR73" i="59"/>
  <c r="AO73" i="59"/>
  <c r="BB73" i="59"/>
  <c r="AL72" i="59"/>
  <c r="AJ111" i="59"/>
  <c r="Q66" i="66"/>
  <c r="AJ112" i="59"/>
  <c r="AL73" i="59"/>
  <c r="V65" i="66"/>
  <c r="Z65" i="66"/>
  <c r="BD80" i="59"/>
  <c r="AP74" i="59"/>
  <c r="BG119" i="59"/>
  <c r="S62" i="59"/>
  <c r="J62" i="59"/>
  <c r="T109" i="59"/>
  <c r="AS74" i="59"/>
  <c r="J66" i="66"/>
  <c r="I66" i="66"/>
  <c r="K66" i="66"/>
  <c r="X66" i="66"/>
  <c r="AU74" i="59"/>
  <c r="AT74" i="59"/>
  <c r="AV74" i="59"/>
  <c r="AR74" i="59"/>
  <c r="AO74" i="59"/>
  <c r="O62" i="59"/>
  <c r="P62" i="59"/>
  <c r="BB74" i="59"/>
  <c r="AQ74" i="59"/>
  <c r="AQ109" i="59"/>
  <c r="AJ113" i="59"/>
  <c r="AL74" i="59"/>
  <c r="S66" i="66"/>
  <c r="T66" i="66"/>
  <c r="N62" i="59"/>
  <c r="L62" i="59"/>
  <c r="M63" i="59"/>
  <c r="AS75" i="59"/>
  <c r="BB75" i="59"/>
  <c r="BD81" i="59"/>
  <c r="AP75" i="59"/>
  <c r="BG120" i="59"/>
  <c r="R66" i="66"/>
  <c r="P66" i="66"/>
  <c r="I62" i="59"/>
  <c r="BF68" i="59"/>
  <c r="K62" i="59"/>
  <c r="BB76" i="59"/>
  <c r="BD82" i="59"/>
  <c r="AP76" i="59"/>
  <c r="BG121" i="59"/>
  <c r="Q67" i="66"/>
  <c r="H66" i="66"/>
  <c r="O66" i="66"/>
  <c r="AU75" i="59"/>
  <c r="AT75" i="59"/>
  <c r="AR75" i="59"/>
  <c r="AO75" i="59"/>
  <c r="AV75" i="59"/>
  <c r="AL75" i="59"/>
  <c r="AJ114" i="59"/>
  <c r="AS76" i="59"/>
  <c r="BB77" i="59"/>
  <c r="BD83" i="59"/>
  <c r="AP77" i="59"/>
  <c r="BG122" i="59"/>
  <c r="U109" i="59"/>
  <c r="Q62" i="59"/>
  <c r="V66" i="66"/>
  <c r="Z66" i="66"/>
  <c r="AV76" i="59"/>
  <c r="AU76" i="59"/>
  <c r="K67" i="66"/>
  <c r="J67" i="66"/>
  <c r="I67" i="66"/>
  <c r="X67" i="66"/>
  <c r="S63" i="59"/>
  <c r="J63" i="59"/>
  <c r="T110" i="59"/>
  <c r="AU77" i="59"/>
  <c r="AT77" i="59"/>
  <c r="AR77" i="59"/>
  <c r="AV77" i="59"/>
  <c r="AT76" i="59"/>
  <c r="AR76" i="59"/>
  <c r="AO76" i="59"/>
  <c r="BB78" i="59"/>
  <c r="BD84" i="59"/>
  <c r="BG123" i="59"/>
  <c r="AP78" i="59"/>
  <c r="BB79" i="59"/>
  <c r="BD85" i="59"/>
  <c r="AP79" i="59"/>
  <c r="BG124" i="59"/>
  <c r="AO77" i="59"/>
  <c r="O63" i="59"/>
  <c r="P63" i="59"/>
  <c r="AS77" i="59"/>
  <c r="T67" i="66"/>
  <c r="S67" i="66"/>
  <c r="R67" i="66"/>
  <c r="P67" i="66"/>
  <c r="AL76" i="59"/>
  <c r="AJ115" i="59"/>
  <c r="AV78" i="59"/>
  <c r="AU78" i="59"/>
  <c r="AS78" i="59"/>
  <c r="AU79" i="59"/>
  <c r="AV79" i="59"/>
  <c r="H67" i="66"/>
  <c r="O67" i="66"/>
  <c r="N63" i="59"/>
  <c r="L63" i="59"/>
  <c r="M64" i="59"/>
  <c r="AL77" i="59"/>
  <c r="AJ116" i="59"/>
  <c r="BB80" i="59"/>
  <c r="BD86" i="59"/>
  <c r="AP80" i="59"/>
  <c r="BG125" i="59"/>
  <c r="Q68" i="66"/>
  <c r="AT79" i="59"/>
  <c r="AR79" i="59"/>
  <c r="AT78" i="59"/>
  <c r="AR78" i="59"/>
  <c r="AO78" i="59"/>
  <c r="AL78" i="59"/>
  <c r="AJ117" i="59"/>
  <c r="AO79" i="59"/>
  <c r="AU80" i="59"/>
  <c r="AV80" i="59"/>
  <c r="V67" i="66"/>
  <c r="Z67" i="66"/>
  <c r="AS79" i="59"/>
  <c r="BD87" i="59"/>
  <c r="BB81" i="59"/>
  <c r="BG126" i="59"/>
  <c r="AP81" i="59"/>
  <c r="I63" i="59"/>
  <c r="BF69" i="59"/>
  <c r="AS80" i="59"/>
  <c r="K63" i="59"/>
  <c r="BD88" i="59"/>
  <c r="BB82" i="59"/>
  <c r="AP82" i="59"/>
  <c r="BG127" i="59"/>
  <c r="AL79" i="59"/>
  <c r="AJ118" i="59"/>
  <c r="K68" i="66"/>
  <c r="J68" i="66"/>
  <c r="I68" i="66"/>
  <c r="X68" i="66"/>
  <c r="AV81" i="59"/>
  <c r="AU81" i="59"/>
  <c r="AT81" i="59"/>
  <c r="AR81" i="59"/>
  <c r="AT80" i="59"/>
  <c r="AR80" i="59"/>
  <c r="AO80" i="59"/>
  <c r="AO81" i="59"/>
  <c r="AS81" i="59"/>
  <c r="AL81" i="59"/>
  <c r="AJ120" i="59"/>
  <c r="AJ119" i="59"/>
  <c r="AL80" i="59"/>
  <c r="S68" i="66"/>
  <c r="T68" i="66"/>
  <c r="BD89" i="59"/>
  <c r="BB83" i="59"/>
  <c r="BG128" i="59"/>
  <c r="AP83" i="59"/>
  <c r="AV82" i="59"/>
  <c r="AU82" i="59"/>
  <c r="AS82" i="59"/>
  <c r="U110" i="59"/>
  <c r="Q63" i="59"/>
  <c r="AT82" i="59"/>
  <c r="AR82" i="59"/>
  <c r="AS83" i="59"/>
  <c r="AV83" i="59"/>
  <c r="AU83" i="59"/>
  <c r="AO82" i="59"/>
  <c r="AT83" i="59"/>
  <c r="AR83" i="59"/>
  <c r="AO83" i="59"/>
  <c r="BD90" i="59"/>
  <c r="BB84" i="59"/>
  <c r="AP84" i="59"/>
  <c r="BG129" i="59"/>
  <c r="S64" i="59"/>
  <c r="J64" i="59"/>
  <c r="T111" i="59"/>
  <c r="R68" i="66"/>
  <c r="P68" i="66"/>
  <c r="H68" i="66"/>
  <c r="O68" i="66"/>
  <c r="P64" i="59"/>
  <c r="O64" i="59"/>
  <c r="AL82" i="59"/>
  <c r="AJ121" i="59"/>
  <c r="Q69" i="66"/>
  <c r="BD91" i="59"/>
  <c r="BB85" i="59"/>
  <c r="BG130" i="59"/>
  <c r="AP85" i="59"/>
  <c r="AS84" i="59"/>
  <c r="AV84" i="59"/>
  <c r="AU84" i="59"/>
  <c r="AT84" i="59"/>
  <c r="AR84" i="59"/>
  <c r="AO84" i="59"/>
  <c r="AL83" i="59"/>
  <c r="AJ122" i="59"/>
  <c r="V68" i="66"/>
  <c r="Z68" i="66"/>
  <c r="AU85" i="59"/>
  <c r="AT85" i="59"/>
  <c r="AR85" i="59"/>
  <c r="AO85" i="59"/>
  <c r="AV85" i="59"/>
  <c r="AS85" i="59"/>
  <c r="BD92" i="59"/>
  <c r="BB86" i="59"/>
  <c r="BG131" i="59"/>
  <c r="AP86" i="59"/>
  <c r="N64" i="59"/>
  <c r="L64" i="59"/>
  <c r="AL84" i="59"/>
  <c r="AJ123" i="59"/>
  <c r="I64" i="59"/>
  <c r="BF70" i="59"/>
  <c r="BD93" i="59"/>
  <c r="BB87" i="59"/>
  <c r="AP87" i="59"/>
  <c r="BG132" i="59"/>
  <c r="AV86" i="59"/>
  <c r="AU86" i="59"/>
  <c r="AT86" i="59"/>
  <c r="AR86" i="59"/>
  <c r="AO86" i="59"/>
  <c r="AS86" i="59"/>
  <c r="J69" i="66"/>
  <c r="I69" i="66"/>
  <c r="K69" i="66"/>
  <c r="X69" i="66"/>
  <c r="AL85" i="59"/>
  <c r="AJ124" i="59"/>
  <c r="M65" i="59"/>
  <c r="AJ125" i="59"/>
  <c r="AL86" i="59"/>
  <c r="S69" i="66"/>
  <c r="T69" i="66"/>
  <c r="BD94" i="59"/>
  <c r="BB88" i="59"/>
  <c r="AP88" i="59"/>
  <c r="BG133" i="59"/>
  <c r="AU87" i="59"/>
  <c r="AV87" i="59"/>
  <c r="AS87" i="59"/>
  <c r="K64" i="59"/>
  <c r="U111" i="59"/>
  <c r="Q64" i="59"/>
  <c r="AT87" i="59"/>
  <c r="AR87" i="59"/>
  <c r="AO87" i="59"/>
  <c r="BD95" i="59"/>
  <c r="BB89" i="59"/>
  <c r="BG134" i="59"/>
  <c r="AP89" i="59"/>
  <c r="R69" i="66"/>
  <c r="P69" i="66"/>
  <c r="Q70" i="66"/>
  <c r="AU88" i="59"/>
  <c r="AT88" i="59"/>
  <c r="AR88" i="59"/>
  <c r="AO88" i="59"/>
  <c r="AV88" i="59"/>
  <c r="AJ127" i="59"/>
  <c r="AL88" i="59"/>
  <c r="H69" i="66"/>
  <c r="O69" i="66"/>
  <c r="AS88" i="59"/>
  <c r="BD96" i="59"/>
  <c r="BB90" i="59"/>
  <c r="BG135" i="59"/>
  <c r="AP90" i="59"/>
  <c r="S65" i="59"/>
  <c r="T112" i="59"/>
  <c r="J65" i="59"/>
  <c r="AU89" i="59"/>
  <c r="AT89" i="59"/>
  <c r="AR89" i="59"/>
  <c r="AO89" i="59"/>
  <c r="AV89" i="59"/>
  <c r="AS89" i="59"/>
  <c r="AJ126" i="59"/>
  <c r="AL87" i="59"/>
  <c r="O65" i="59"/>
  <c r="N65" i="59"/>
  <c r="L65" i="59"/>
  <c r="I65" i="59"/>
  <c r="BF71" i="59"/>
  <c r="AS90" i="59"/>
  <c r="AL89" i="59"/>
  <c r="AJ128" i="59"/>
  <c r="P65" i="59"/>
  <c r="BD97" i="59"/>
  <c r="BB91" i="59"/>
  <c r="BG136" i="59"/>
  <c r="AP91" i="59"/>
  <c r="V69" i="66"/>
  <c r="Z69" i="66"/>
  <c r="AV90" i="59"/>
  <c r="AU90" i="59"/>
  <c r="K65" i="59"/>
  <c r="J70" i="66"/>
  <c r="I70" i="66"/>
  <c r="K70" i="66"/>
  <c r="X70" i="66"/>
  <c r="BD98" i="59"/>
  <c r="BB92" i="59"/>
  <c r="AP92" i="59"/>
  <c r="BG137" i="59"/>
  <c r="AU91" i="59"/>
  <c r="AV91" i="59"/>
  <c r="M66" i="59"/>
  <c r="AT90" i="59"/>
  <c r="AR90" i="59"/>
  <c r="AO90" i="59"/>
  <c r="AV92" i="59"/>
  <c r="AU92" i="59"/>
  <c r="AT92" i="59"/>
  <c r="AR92" i="59"/>
  <c r="AT91" i="59"/>
  <c r="AR91" i="59"/>
  <c r="AO91" i="59"/>
  <c r="AO92" i="59"/>
  <c r="S70" i="66"/>
  <c r="T70" i="66"/>
  <c r="U112" i="59"/>
  <c r="Q65" i="59"/>
  <c r="BD99" i="59"/>
  <c r="BB93" i="59"/>
  <c r="AP93" i="59"/>
  <c r="BG138" i="59"/>
  <c r="R70" i="66"/>
  <c r="P70" i="66"/>
  <c r="AL90" i="59"/>
  <c r="AJ129" i="59"/>
  <c r="AS91" i="59"/>
  <c r="AS92" i="59"/>
  <c r="Q71" i="66"/>
  <c r="H70" i="66"/>
  <c r="O70" i="66"/>
  <c r="S66" i="59"/>
  <c r="T113" i="59"/>
  <c r="J66" i="59"/>
  <c r="BD100" i="59"/>
  <c r="BB94" i="59"/>
  <c r="AP94" i="59"/>
  <c r="BG139" i="59"/>
  <c r="AJ131" i="59"/>
  <c r="AL92" i="59"/>
  <c r="AL91" i="59"/>
  <c r="AJ130" i="59"/>
  <c r="AS93" i="59"/>
  <c r="AV93" i="59"/>
  <c r="AU93" i="59"/>
  <c r="V70" i="66"/>
  <c r="Z70" i="66"/>
  <c r="AU94" i="59"/>
  <c r="AT94" i="59"/>
  <c r="AR94" i="59"/>
  <c r="AT93" i="59"/>
  <c r="AR93" i="59"/>
  <c r="AO93" i="59"/>
  <c r="AO94" i="59"/>
  <c r="BD101" i="59"/>
  <c r="BB95" i="59"/>
  <c r="AP95" i="59"/>
  <c r="BG140" i="59"/>
  <c r="AV94" i="59"/>
  <c r="O66" i="59"/>
  <c r="P66" i="59"/>
  <c r="N66" i="59"/>
  <c r="L66" i="59"/>
  <c r="I66" i="59"/>
  <c r="BF72" i="59"/>
  <c r="K66" i="59"/>
  <c r="AS94" i="59"/>
  <c r="M67" i="59"/>
  <c r="AU95" i="59"/>
  <c r="AT95" i="59"/>
  <c r="AR95" i="59"/>
  <c r="AO95" i="59"/>
  <c r="AV95" i="59"/>
  <c r="K71" i="66"/>
  <c r="J71" i="66"/>
  <c r="I71" i="66"/>
  <c r="X71" i="66"/>
  <c r="AL94" i="59"/>
  <c r="AJ133" i="59"/>
  <c r="AJ132" i="59"/>
  <c r="AL93" i="59"/>
  <c r="AS95" i="59"/>
  <c r="BD102" i="59"/>
  <c r="BB96" i="59"/>
  <c r="AP96" i="59"/>
  <c r="BG141" i="59"/>
  <c r="AL95" i="59"/>
  <c r="AJ134" i="59"/>
  <c r="T71" i="66"/>
  <c r="S71" i="66"/>
  <c r="BD103" i="59"/>
  <c r="BB97" i="59"/>
  <c r="AP97" i="59"/>
  <c r="BG142" i="59"/>
  <c r="R71" i="66"/>
  <c r="P71" i="66"/>
  <c r="AU96" i="59"/>
  <c r="AV96" i="59"/>
  <c r="AS96" i="59"/>
  <c r="Q66" i="59"/>
  <c r="U113" i="59"/>
  <c r="Q72" i="66"/>
  <c r="S67" i="59"/>
  <c r="J67" i="59"/>
  <c r="T114" i="59"/>
  <c r="H71" i="66"/>
  <c r="O71" i="66"/>
  <c r="AT96" i="59"/>
  <c r="AR96" i="59"/>
  <c r="AO96" i="59"/>
  <c r="BD104" i="59"/>
  <c r="BB98" i="59"/>
  <c r="BG143" i="59"/>
  <c r="AP98" i="59"/>
  <c r="AU97" i="59"/>
  <c r="AV97" i="59"/>
  <c r="V71" i="66"/>
  <c r="Z71" i="66"/>
  <c r="AU98" i="59"/>
  <c r="AT98" i="59"/>
  <c r="AR98" i="59"/>
  <c r="AV98" i="59"/>
  <c r="AJ135" i="59"/>
  <c r="AL96" i="59"/>
  <c r="BD105" i="59"/>
  <c r="BB99" i="59"/>
  <c r="BG144" i="59"/>
  <c r="AP99" i="59"/>
  <c r="O67" i="59"/>
  <c r="P67" i="59"/>
  <c r="AS97" i="59"/>
  <c r="N67" i="59"/>
  <c r="L67" i="59"/>
  <c r="I67" i="59"/>
  <c r="BF73" i="59"/>
  <c r="AT97" i="59"/>
  <c r="AR97" i="59"/>
  <c r="AO97" i="59"/>
  <c r="AU99" i="59"/>
  <c r="AT99" i="59"/>
  <c r="AR99" i="59"/>
  <c r="AO98" i="59"/>
  <c r="AO99" i="59"/>
  <c r="K72" i="66"/>
  <c r="J72" i="66"/>
  <c r="I72" i="66"/>
  <c r="X72" i="66"/>
  <c r="AS98" i="59"/>
  <c r="AS99" i="59"/>
  <c r="AJ136" i="59"/>
  <c r="AL97" i="59"/>
  <c r="AV99" i="59"/>
  <c r="M68" i="59"/>
  <c r="BD106" i="59"/>
  <c r="BB100" i="59"/>
  <c r="BG145" i="59"/>
  <c r="AP100" i="59"/>
  <c r="K67" i="59"/>
  <c r="Q67" i="59"/>
  <c r="U114" i="59"/>
  <c r="AL98" i="59"/>
  <c r="AJ137" i="59"/>
  <c r="BD107" i="59"/>
  <c r="BB101" i="59"/>
  <c r="AP101" i="59"/>
  <c r="BG146" i="59"/>
  <c r="AS100" i="59"/>
  <c r="T72" i="66"/>
  <c r="S72" i="66"/>
  <c r="AU100" i="59"/>
  <c r="AV100" i="59"/>
  <c r="AL99" i="59"/>
  <c r="AJ138" i="59"/>
  <c r="R72" i="66"/>
  <c r="P72" i="66"/>
  <c r="BD108" i="59"/>
  <c r="BB102" i="59"/>
  <c r="AP102" i="59"/>
  <c r="BG147" i="59"/>
  <c r="AU101" i="59"/>
  <c r="AV101" i="59"/>
  <c r="S68" i="59"/>
  <c r="J68" i="59"/>
  <c r="T115" i="59"/>
  <c r="AT101" i="59"/>
  <c r="AR101" i="59"/>
  <c r="AT100" i="59"/>
  <c r="AR100" i="59"/>
  <c r="AO100" i="59"/>
  <c r="AV102" i="59"/>
  <c r="AU102" i="59"/>
  <c r="AT102" i="59"/>
  <c r="AR102" i="59"/>
  <c r="H72" i="66"/>
  <c r="O72" i="66"/>
  <c r="P68" i="59"/>
  <c r="K68" i="59"/>
  <c r="Q68" i="59"/>
  <c r="O68" i="59"/>
  <c r="Q73" i="66"/>
  <c r="AL100" i="59"/>
  <c r="AJ139" i="59"/>
  <c r="AO101" i="59"/>
  <c r="AS102" i="59"/>
  <c r="BD109" i="59"/>
  <c r="BB103" i="59"/>
  <c r="AP103" i="59"/>
  <c r="BG148" i="59"/>
  <c r="AS101" i="59"/>
  <c r="V72" i="66"/>
  <c r="Z72" i="66"/>
  <c r="N68" i="59"/>
  <c r="L68" i="59"/>
  <c r="U115" i="59"/>
  <c r="AS103" i="59"/>
  <c r="BD110" i="59"/>
  <c r="BB104" i="59"/>
  <c r="BG149" i="59"/>
  <c r="AP104" i="59"/>
  <c r="AJ140" i="59"/>
  <c r="AL101" i="59"/>
  <c r="M69" i="59"/>
  <c r="S69" i="59"/>
  <c r="J69" i="59"/>
  <c r="T116" i="59"/>
  <c r="AV103" i="59"/>
  <c r="AU103" i="59"/>
  <c r="AT103" i="59"/>
  <c r="AR103" i="59"/>
  <c r="AO102" i="59"/>
  <c r="AO103" i="59"/>
  <c r="AR109" i="59"/>
  <c r="AJ142" i="59"/>
  <c r="AL103" i="59"/>
  <c r="AL102" i="59"/>
  <c r="AJ141" i="59"/>
  <c r="J73" i="66"/>
  <c r="I73" i="66"/>
  <c r="K73" i="66"/>
  <c r="X73" i="66"/>
  <c r="BD111" i="59"/>
  <c r="BB105" i="59"/>
  <c r="BG150" i="59"/>
  <c r="AP105" i="59"/>
  <c r="AS104" i="59"/>
  <c r="O69" i="59"/>
  <c r="N69" i="59"/>
  <c r="L69" i="59"/>
  <c r="I68" i="59"/>
  <c r="BF74" i="59"/>
  <c r="Q69" i="59"/>
  <c r="P69" i="59"/>
  <c r="K69" i="59"/>
  <c r="U116" i="59"/>
  <c r="AU104" i="59"/>
  <c r="AV104" i="59"/>
  <c r="I69" i="59"/>
  <c r="BF75" i="59"/>
  <c r="BD112" i="59"/>
  <c r="BB106" i="59"/>
  <c r="BG151" i="59"/>
  <c r="AP106" i="59"/>
  <c r="AT104" i="59"/>
  <c r="AR104" i="59"/>
  <c r="AO104" i="59"/>
  <c r="M70" i="59"/>
  <c r="AV105" i="59"/>
  <c r="AU105" i="59"/>
  <c r="S73" i="66"/>
  <c r="T73" i="66"/>
  <c r="S70" i="59"/>
  <c r="J70" i="59"/>
  <c r="T117" i="59"/>
  <c r="R73" i="66"/>
  <c r="P73" i="66"/>
  <c r="AV106" i="59"/>
  <c r="AU106" i="59"/>
  <c r="O70" i="59"/>
  <c r="N70" i="59"/>
  <c r="L70" i="59"/>
  <c r="I70" i="59"/>
  <c r="BF76" i="59"/>
  <c r="H73" i="66"/>
  <c r="O73" i="66"/>
  <c r="P70" i="59"/>
  <c r="K70" i="59"/>
  <c r="U117" i="59"/>
  <c r="Q70" i="59"/>
  <c r="AS105" i="59"/>
  <c r="Q74" i="66"/>
  <c r="AJ143" i="59"/>
  <c r="AL104" i="59"/>
  <c r="BD113" i="59"/>
  <c r="BB107" i="59"/>
  <c r="BG152" i="59"/>
  <c r="AP107" i="59"/>
  <c r="AT105" i="59"/>
  <c r="AR105" i="59"/>
  <c r="AO105" i="59"/>
  <c r="V73" i="66"/>
  <c r="Z73" i="66"/>
  <c r="S71" i="59"/>
  <c r="T118" i="59"/>
  <c r="J71" i="59"/>
  <c r="AU107" i="59"/>
  <c r="AV107" i="59"/>
  <c r="AT106" i="59"/>
  <c r="AR106" i="59"/>
  <c r="AS107" i="59"/>
  <c r="AJ144" i="59"/>
  <c r="AL105" i="59"/>
  <c r="BD114" i="59"/>
  <c r="BB108" i="59"/>
  <c r="BG153" i="59"/>
  <c r="BG154" i="59"/>
  <c r="AP108" i="59"/>
  <c r="M71" i="59"/>
  <c r="AS106" i="59"/>
  <c r="AT107" i="59"/>
  <c r="AR107" i="59"/>
  <c r="AO106" i="59"/>
  <c r="AJ145" i="59"/>
  <c r="AL106" i="59"/>
  <c r="AU108" i="59"/>
  <c r="AT108" i="59"/>
  <c r="AR108" i="59"/>
  <c r="AP109" i="59"/>
  <c r="D31" i="59"/>
  <c r="D32" i="59"/>
  <c r="D38" i="59"/>
  <c r="AV108" i="59"/>
  <c r="AS108" i="59"/>
  <c r="P71" i="59"/>
  <c r="K71" i="59"/>
  <c r="O71" i="59"/>
  <c r="N71" i="59"/>
  <c r="L71" i="59"/>
  <c r="U118" i="59"/>
  <c r="Q71" i="59"/>
  <c r="AO107" i="59"/>
  <c r="I71" i="59"/>
  <c r="BF77" i="59"/>
  <c r="J74" i="66"/>
  <c r="I74" i="66"/>
  <c r="K74" i="66"/>
  <c r="X74" i="66"/>
  <c r="V74" i="66"/>
  <c r="O74" i="66"/>
  <c r="O192" i="66"/>
  <c r="AJ146" i="59"/>
  <c r="AL107" i="59"/>
  <c r="D40" i="59"/>
  <c r="D41" i="59"/>
  <c r="D39" i="59"/>
  <c r="S72" i="59"/>
  <c r="J72" i="59"/>
  <c r="T119" i="59"/>
  <c r="AO108" i="59"/>
  <c r="J75" i="66"/>
  <c r="K75" i="66"/>
  <c r="I75" i="66"/>
  <c r="X75" i="66"/>
  <c r="V75" i="66"/>
  <c r="M72" i="59"/>
  <c r="S74" i="66"/>
  <c r="T74" i="66"/>
  <c r="K76" i="66"/>
  <c r="J76" i="66"/>
  <c r="I76" i="66"/>
  <c r="X76" i="66"/>
  <c r="V76" i="66"/>
  <c r="AJ147" i="59"/>
  <c r="AL108" i="59"/>
  <c r="AL7" i="59"/>
  <c r="AO109" i="59"/>
  <c r="D30" i="59"/>
  <c r="Z51" i="59"/>
  <c r="Y51" i="59"/>
  <c r="K72" i="59"/>
  <c r="P72" i="59"/>
  <c r="O72" i="59"/>
  <c r="Q72" i="59"/>
  <c r="T75" i="66"/>
  <c r="S75" i="66"/>
  <c r="R74" i="66"/>
  <c r="P74" i="66"/>
  <c r="Q75" i="66"/>
  <c r="R75" i="66"/>
  <c r="P75" i="66"/>
  <c r="Z75" i="66"/>
  <c r="N72" i="59"/>
  <c r="L72" i="59"/>
  <c r="U119" i="59"/>
  <c r="D43" i="59"/>
  <c r="BI33" i="59"/>
  <c r="H74" i="66"/>
  <c r="Z74" i="66"/>
  <c r="Q76" i="66"/>
  <c r="AJ148" i="59"/>
  <c r="AK148" i="59"/>
  <c r="S76" i="66"/>
  <c r="R76" i="66"/>
  <c r="P76" i="66"/>
  <c r="H75" i="66"/>
  <c r="H76" i="66"/>
  <c r="S73" i="59"/>
  <c r="J73" i="59"/>
  <c r="T120" i="59"/>
  <c r="J77" i="66"/>
  <c r="I77" i="66"/>
  <c r="K77" i="66"/>
  <c r="X77" i="66"/>
  <c r="V77" i="66"/>
  <c r="M73" i="59"/>
  <c r="T76" i="66"/>
  <c r="I72" i="59"/>
  <c r="BF78" i="59"/>
  <c r="S77" i="66"/>
  <c r="R77" i="66"/>
  <c r="P77" i="66"/>
  <c r="H77" i="66"/>
  <c r="Q73" i="59"/>
  <c r="K73" i="59"/>
  <c r="P73" i="59"/>
  <c r="O73" i="59"/>
  <c r="J78" i="66"/>
  <c r="I78" i="66"/>
  <c r="K78" i="66"/>
  <c r="X78" i="66"/>
  <c r="V78" i="66"/>
  <c r="Q77" i="66"/>
  <c r="T77" i="66"/>
  <c r="N73" i="59"/>
  <c r="L73" i="59"/>
  <c r="I73" i="59"/>
  <c r="BF79" i="59"/>
  <c r="Z76" i="66"/>
  <c r="S78" i="66"/>
  <c r="T78" i="66"/>
  <c r="U120" i="59"/>
  <c r="S74" i="59"/>
  <c r="J74" i="59"/>
  <c r="T121" i="59"/>
  <c r="R78" i="66"/>
  <c r="P78" i="66"/>
  <c r="H78" i="66"/>
  <c r="Q78" i="66"/>
  <c r="K79" i="66"/>
  <c r="J79" i="66"/>
  <c r="I79" i="66"/>
  <c r="X79" i="66"/>
  <c r="V79" i="66"/>
  <c r="M74" i="59"/>
  <c r="Z77" i="66"/>
  <c r="T79" i="66"/>
  <c r="S79" i="66"/>
  <c r="R79" i="66"/>
  <c r="P79" i="66"/>
  <c r="Z79" i="66"/>
  <c r="H79" i="66"/>
  <c r="Z78" i="66"/>
  <c r="P74" i="59"/>
  <c r="O74" i="59"/>
  <c r="Q74" i="59"/>
  <c r="K74" i="59"/>
  <c r="K80" i="66"/>
  <c r="J80" i="66"/>
  <c r="I80" i="66"/>
  <c r="X80" i="66"/>
  <c r="V80" i="66"/>
  <c r="N74" i="59"/>
  <c r="L74" i="59"/>
  <c r="I74" i="59"/>
  <c r="BF80" i="59"/>
  <c r="Q79" i="66"/>
  <c r="T80" i="66"/>
  <c r="S80" i="66"/>
  <c r="S75" i="59"/>
  <c r="J75" i="59"/>
  <c r="T122" i="59"/>
  <c r="U121" i="59"/>
  <c r="R80" i="66"/>
  <c r="P80" i="66"/>
  <c r="H80" i="66"/>
  <c r="Z80" i="66"/>
  <c r="M75" i="59"/>
  <c r="Q80" i="66"/>
  <c r="J81" i="66"/>
  <c r="I81" i="66"/>
  <c r="K81" i="66"/>
  <c r="X81" i="66"/>
  <c r="V81" i="66"/>
  <c r="P75" i="59"/>
  <c r="K75" i="59"/>
  <c r="Q75" i="59"/>
  <c r="O75" i="59"/>
  <c r="J82" i="66"/>
  <c r="I82" i="66"/>
  <c r="K82" i="66"/>
  <c r="X82" i="66"/>
  <c r="V82" i="66"/>
  <c r="T81" i="66"/>
  <c r="S81" i="66"/>
  <c r="Q81" i="66"/>
  <c r="J83" i="66"/>
  <c r="I83" i="66"/>
  <c r="K83" i="66"/>
  <c r="X83" i="66"/>
  <c r="V83" i="66"/>
  <c r="N75" i="59"/>
  <c r="L75" i="59"/>
  <c r="T82" i="66"/>
  <c r="S82" i="66"/>
  <c r="S76" i="59"/>
  <c r="T123" i="59"/>
  <c r="J76" i="59"/>
  <c r="R82" i="66"/>
  <c r="P82" i="66"/>
  <c r="R81" i="66"/>
  <c r="P81" i="66"/>
  <c r="Q82" i="66"/>
  <c r="K84" i="66"/>
  <c r="J84" i="66"/>
  <c r="I84" i="66"/>
  <c r="X84" i="66"/>
  <c r="V84" i="66"/>
  <c r="Z82" i="66"/>
  <c r="Q76" i="59"/>
  <c r="O76" i="59"/>
  <c r="K76" i="59"/>
  <c r="N76" i="59"/>
  <c r="L76" i="59"/>
  <c r="P76" i="59"/>
  <c r="U123" i="59"/>
  <c r="I75" i="59"/>
  <c r="BF81" i="59"/>
  <c r="U122" i="59"/>
  <c r="S83" i="66"/>
  <c r="T83" i="66"/>
  <c r="Q83" i="66"/>
  <c r="M76" i="59"/>
  <c r="H81" i="66"/>
  <c r="H82" i="66"/>
  <c r="Z81" i="66"/>
  <c r="I76" i="59"/>
  <c r="BF82" i="59"/>
  <c r="R83" i="66"/>
  <c r="P83" i="66"/>
  <c r="Z83" i="66"/>
  <c r="S77" i="59"/>
  <c r="J77" i="59"/>
  <c r="T124" i="59"/>
  <c r="K85" i="66"/>
  <c r="J85" i="66"/>
  <c r="I85" i="66"/>
  <c r="X85" i="66"/>
  <c r="V85" i="66"/>
  <c r="H83" i="66"/>
  <c r="T84" i="66"/>
  <c r="S84" i="66"/>
  <c r="Q84" i="66"/>
  <c r="M77" i="59"/>
  <c r="K86" i="66"/>
  <c r="J86" i="66"/>
  <c r="I86" i="66"/>
  <c r="X86" i="66"/>
  <c r="V86" i="66"/>
  <c r="S85" i="66"/>
  <c r="T85" i="66"/>
  <c r="R84" i="66"/>
  <c r="P84" i="66"/>
  <c r="R85" i="66"/>
  <c r="P85" i="66"/>
  <c r="O77" i="59"/>
  <c r="Q77" i="59"/>
  <c r="K77" i="59"/>
  <c r="P77" i="59"/>
  <c r="S78" i="59"/>
  <c r="J78" i="59"/>
  <c r="T125" i="59"/>
  <c r="H84" i="66"/>
  <c r="Z84" i="66"/>
  <c r="Q86" i="66"/>
  <c r="T86" i="66"/>
  <c r="S86" i="66"/>
  <c r="H85" i="66"/>
  <c r="Z85" i="66"/>
  <c r="N77" i="59"/>
  <c r="L77" i="59"/>
  <c r="I77" i="59"/>
  <c r="BF83" i="59"/>
  <c r="J87" i="66"/>
  <c r="K87" i="66"/>
  <c r="I87" i="66"/>
  <c r="X87" i="66"/>
  <c r="V87" i="66"/>
  <c r="Q85" i="66"/>
  <c r="T87" i="66"/>
  <c r="S87" i="66"/>
  <c r="P78" i="59"/>
  <c r="Q78" i="59"/>
  <c r="O78" i="59"/>
  <c r="K78" i="59"/>
  <c r="R87" i="66"/>
  <c r="P87" i="66"/>
  <c r="R86" i="66"/>
  <c r="P86" i="66"/>
  <c r="J88" i="66"/>
  <c r="I88" i="66"/>
  <c r="K88" i="66"/>
  <c r="X88" i="66"/>
  <c r="V88" i="66"/>
  <c r="M78" i="59"/>
  <c r="U124" i="59"/>
  <c r="J89" i="66"/>
  <c r="I89" i="66"/>
  <c r="K89" i="66"/>
  <c r="X89" i="66"/>
  <c r="V89" i="66"/>
  <c r="T88" i="66"/>
  <c r="S88" i="66"/>
  <c r="H86" i="66"/>
  <c r="H87" i="66"/>
  <c r="Q88" i="66"/>
  <c r="Z86" i="66"/>
  <c r="Z87" i="66"/>
  <c r="R88" i="66"/>
  <c r="P88" i="66"/>
  <c r="Z88" i="66"/>
  <c r="N78" i="59"/>
  <c r="L78" i="59"/>
  <c r="S79" i="59"/>
  <c r="T126" i="59"/>
  <c r="J79" i="59"/>
  <c r="Q87" i="66"/>
  <c r="Q89" i="66"/>
  <c r="T89" i="66"/>
  <c r="S89" i="66"/>
  <c r="I78" i="59"/>
  <c r="BF84" i="59"/>
  <c r="U125" i="59"/>
  <c r="K90" i="66"/>
  <c r="J90" i="66"/>
  <c r="I90" i="66"/>
  <c r="X90" i="66"/>
  <c r="V90" i="66"/>
  <c r="P79" i="59"/>
  <c r="K79" i="59"/>
  <c r="Q79" i="59"/>
  <c r="O79" i="59"/>
  <c r="N79" i="59"/>
  <c r="L79" i="59"/>
  <c r="U126" i="59"/>
  <c r="H88" i="66"/>
  <c r="M79" i="59"/>
  <c r="R89" i="66"/>
  <c r="P89" i="66"/>
  <c r="H89" i="66"/>
  <c r="Z89" i="66"/>
  <c r="I79" i="59"/>
  <c r="BF85" i="59"/>
  <c r="S90" i="66"/>
  <c r="R90" i="66"/>
  <c r="P90" i="66"/>
  <c r="H90" i="66"/>
  <c r="Q90" i="66"/>
  <c r="T90" i="66"/>
  <c r="M80" i="59"/>
  <c r="S80" i="59"/>
  <c r="T127" i="59"/>
  <c r="J80" i="59"/>
  <c r="J91" i="66"/>
  <c r="I91" i="66"/>
  <c r="K91" i="66"/>
  <c r="X91" i="66"/>
  <c r="V91" i="66"/>
  <c r="K92" i="66"/>
  <c r="J92" i="66"/>
  <c r="I92" i="66"/>
  <c r="X92" i="66"/>
  <c r="V92" i="66"/>
  <c r="O80" i="59"/>
  <c r="N80" i="59"/>
  <c r="L80" i="59"/>
  <c r="I80" i="59"/>
  <c r="BF86" i="59"/>
  <c r="T91" i="66"/>
  <c r="S91" i="66"/>
  <c r="Z90" i="66"/>
  <c r="P80" i="59"/>
  <c r="Q80" i="59"/>
  <c r="K80" i="59"/>
  <c r="U127" i="59"/>
  <c r="Q91" i="66"/>
  <c r="S81" i="59"/>
  <c r="J81" i="59"/>
  <c r="T128" i="59"/>
  <c r="J93" i="66"/>
  <c r="I93" i="66"/>
  <c r="K93" i="66"/>
  <c r="X93" i="66"/>
  <c r="V93" i="66"/>
  <c r="R91" i="66"/>
  <c r="P91" i="66"/>
  <c r="Q92" i="66"/>
  <c r="M81" i="59"/>
  <c r="T92" i="66"/>
  <c r="S92" i="66"/>
  <c r="K94" i="66"/>
  <c r="J94" i="66"/>
  <c r="I94" i="66"/>
  <c r="X94" i="66"/>
  <c r="V94" i="66"/>
  <c r="S93" i="66"/>
  <c r="T93" i="66"/>
  <c r="H91" i="66"/>
  <c r="Z91" i="66"/>
  <c r="O81" i="59"/>
  <c r="Q81" i="59"/>
  <c r="K81" i="59"/>
  <c r="P81" i="59"/>
  <c r="R92" i="66"/>
  <c r="P92" i="66"/>
  <c r="S82" i="59"/>
  <c r="T129" i="59"/>
  <c r="J82" i="59"/>
  <c r="H92" i="66"/>
  <c r="Z92" i="66"/>
  <c r="R93" i="66"/>
  <c r="P93" i="66"/>
  <c r="Q94" i="66"/>
  <c r="T94" i="66"/>
  <c r="S94" i="66"/>
  <c r="Q93" i="66"/>
  <c r="K95" i="66"/>
  <c r="J95" i="66"/>
  <c r="I95" i="66"/>
  <c r="X95" i="66"/>
  <c r="V95" i="66"/>
  <c r="N81" i="59"/>
  <c r="L81" i="59"/>
  <c r="M82" i="59"/>
  <c r="J96" i="66"/>
  <c r="I96" i="66"/>
  <c r="K96" i="66"/>
  <c r="X96" i="66"/>
  <c r="V96" i="66"/>
  <c r="P82" i="59"/>
  <c r="Q82" i="59"/>
  <c r="O82" i="59"/>
  <c r="K82" i="59"/>
  <c r="I81" i="59"/>
  <c r="BF87" i="59"/>
  <c r="U128" i="59"/>
  <c r="S95" i="66"/>
  <c r="R95" i="66"/>
  <c r="P95" i="66"/>
  <c r="T95" i="66"/>
  <c r="Z95" i="66"/>
  <c r="R94" i="66"/>
  <c r="P94" i="66"/>
  <c r="H93" i="66"/>
  <c r="Z93" i="66"/>
  <c r="H94" i="66"/>
  <c r="Z94" i="66"/>
  <c r="H95" i="66"/>
  <c r="K97" i="66"/>
  <c r="J97" i="66"/>
  <c r="I97" i="66"/>
  <c r="X97" i="66"/>
  <c r="V97" i="66"/>
  <c r="S96" i="66"/>
  <c r="R96" i="66"/>
  <c r="P96" i="66"/>
  <c r="H96" i="66"/>
  <c r="S83" i="59"/>
  <c r="T130" i="59"/>
  <c r="J83" i="59"/>
  <c r="T96" i="66"/>
  <c r="N82" i="59"/>
  <c r="L82" i="59"/>
  <c r="I82" i="59"/>
  <c r="BF88" i="59"/>
  <c r="Q96" i="66"/>
  <c r="Q95" i="66"/>
  <c r="Z96" i="66"/>
  <c r="Q83" i="59"/>
  <c r="P83" i="59"/>
  <c r="O83" i="59"/>
  <c r="K83" i="59"/>
  <c r="T97" i="66"/>
  <c r="S97" i="66"/>
  <c r="Q97" i="66"/>
  <c r="J98" i="66"/>
  <c r="I98" i="66"/>
  <c r="K98" i="66"/>
  <c r="X98" i="66"/>
  <c r="V98" i="66"/>
  <c r="M83" i="59"/>
  <c r="U129" i="59"/>
  <c r="K99" i="66"/>
  <c r="I99" i="66"/>
  <c r="J99" i="66"/>
  <c r="X99" i="66"/>
  <c r="V99" i="66"/>
  <c r="T98" i="66"/>
  <c r="S98" i="66"/>
  <c r="S84" i="59"/>
  <c r="J84" i="59"/>
  <c r="T131" i="59"/>
  <c r="R97" i="66"/>
  <c r="P97" i="66"/>
  <c r="N83" i="59"/>
  <c r="L83" i="59"/>
  <c r="M84" i="59"/>
  <c r="R98" i="66"/>
  <c r="P98" i="66"/>
  <c r="H97" i="66"/>
  <c r="Z97" i="66"/>
  <c r="K100" i="66"/>
  <c r="J100" i="66"/>
  <c r="I100" i="66"/>
  <c r="X100" i="66"/>
  <c r="V100" i="66"/>
  <c r="T99" i="66"/>
  <c r="S99" i="66"/>
  <c r="O84" i="59"/>
  <c r="K84" i="59"/>
  <c r="P84" i="59"/>
  <c r="Q84" i="59"/>
  <c r="N84" i="59"/>
  <c r="L84" i="59"/>
  <c r="I83" i="59"/>
  <c r="I84" i="59"/>
  <c r="BF90" i="59"/>
  <c r="BF89" i="59"/>
  <c r="U130" i="59"/>
  <c r="Q98" i="66"/>
  <c r="J101" i="66"/>
  <c r="I101" i="66"/>
  <c r="K101" i="66"/>
  <c r="X101" i="66"/>
  <c r="V101" i="66"/>
  <c r="S85" i="59"/>
  <c r="T132" i="59"/>
  <c r="J85" i="59"/>
  <c r="S100" i="66"/>
  <c r="T100" i="66"/>
  <c r="H98" i="66"/>
  <c r="Z98" i="66"/>
  <c r="M85" i="59"/>
  <c r="R99" i="66"/>
  <c r="P99" i="66"/>
  <c r="U131" i="59"/>
  <c r="Q99" i="66"/>
  <c r="K85" i="59"/>
  <c r="P85" i="59"/>
  <c r="O85" i="59"/>
  <c r="Q85" i="59"/>
  <c r="T101" i="66"/>
  <c r="S101" i="66"/>
  <c r="K102" i="66"/>
  <c r="J102" i="66"/>
  <c r="I102" i="66"/>
  <c r="X102" i="66"/>
  <c r="V102" i="66"/>
  <c r="H99" i="66"/>
  <c r="Z99" i="66"/>
  <c r="R100" i="66"/>
  <c r="P100" i="66"/>
  <c r="Q100" i="66"/>
  <c r="N85" i="59"/>
  <c r="L85" i="59"/>
  <c r="I85" i="59"/>
  <c r="BF91" i="59"/>
  <c r="R101" i="66"/>
  <c r="P101" i="66"/>
  <c r="Z101" i="66"/>
  <c r="AC49" i="94"/>
  <c r="AC48" i="94"/>
  <c r="H100" i="66"/>
  <c r="Z100" i="66"/>
  <c r="J103" i="66"/>
  <c r="I103" i="66"/>
  <c r="K103" i="66"/>
  <c r="X103" i="66"/>
  <c r="V103" i="66"/>
  <c r="Q102" i="66"/>
  <c r="T102" i="66"/>
  <c r="S102" i="66"/>
  <c r="U132" i="59"/>
  <c r="R102" i="66"/>
  <c r="P102" i="66"/>
  <c r="Z102" i="66"/>
  <c r="S86" i="59"/>
  <c r="J86" i="59"/>
  <c r="T133" i="59"/>
  <c r="Q101" i="66"/>
  <c r="H101" i="66"/>
  <c r="M86" i="59"/>
  <c r="O86" i="59"/>
  <c r="N86" i="59"/>
  <c r="L86" i="59"/>
  <c r="I86" i="59"/>
  <c r="BF92" i="59"/>
  <c r="H102" i="66"/>
  <c r="P86" i="59"/>
  <c r="Q86" i="59"/>
  <c r="K86" i="59"/>
  <c r="U133" i="59"/>
  <c r="Q103" i="66"/>
  <c r="K104" i="66"/>
  <c r="J104" i="66"/>
  <c r="I104" i="66"/>
  <c r="X104" i="66"/>
  <c r="V104" i="66"/>
  <c r="T103" i="66"/>
  <c r="S103" i="66"/>
  <c r="J105" i="66"/>
  <c r="I105" i="66"/>
  <c r="K105" i="66"/>
  <c r="X105" i="66"/>
  <c r="V105" i="66"/>
  <c r="M87" i="59"/>
  <c r="R103" i="66"/>
  <c r="P103" i="66"/>
  <c r="Q104" i="66"/>
  <c r="T104" i="66"/>
  <c r="S104" i="66"/>
  <c r="S87" i="59"/>
  <c r="J87" i="59"/>
  <c r="T134" i="59"/>
  <c r="H103" i="66"/>
  <c r="Z103" i="66"/>
  <c r="S105" i="66"/>
  <c r="R105" i="66"/>
  <c r="P105" i="66"/>
  <c r="Q87" i="59"/>
  <c r="O87" i="59"/>
  <c r="N87" i="59"/>
  <c r="L87" i="59"/>
  <c r="I87" i="59"/>
  <c r="BF93" i="59"/>
  <c r="P87" i="59"/>
  <c r="K87" i="59"/>
  <c r="K106" i="66"/>
  <c r="J106" i="66"/>
  <c r="I106" i="66"/>
  <c r="X106" i="66"/>
  <c r="V106" i="66"/>
  <c r="R104" i="66"/>
  <c r="P104" i="66"/>
  <c r="T105" i="66"/>
  <c r="U134" i="59"/>
  <c r="AE50" i="59"/>
  <c r="S88" i="59"/>
  <c r="T135" i="59"/>
  <c r="J88" i="59"/>
  <c r="H104" i="66"/>
  <c r="Z104" i="66"/>
  <c r="H105" i="66"/>
  <c r="J107" i="66"/>
  <c r="I107" i="66"/>
  <c r="K107" i="66"/>
  <c r="X107" i="66"/>
  <c r="V107" i="66"/>
  <c r="Q106" i="66"/>
  <c r="T106" i="66"/>
  <c r="S106" i="66"/>
  <c r="Z105" i="66"/>
  <c r="M88" i="59"/>
  <c r="Q105" i="66"/>
  <c r="J108" i="66"/>
  <c r="I108" i="66"/>
  <c r="K108" i="66"/>
  <c r="X108" i="66"/>
  <c r="V108" i="66"/>
  <c r="T107" i="66"/>
  <c r="S107" i="66"/>
  <c r="R107" i="66"/>
  <c r="P107" i="66"/>
  <c r="Z107" i="66"/>
  <c r="P88" i="59"/>
  <c r="O88" i="59"/>
  <c r="Q88" i="59"/>
  <c r="K88" i="59"/>
  <c r="R106" i="66"/>
  <c r="P106" i="66"/>
  <c r="H106" i="66"/>
  <c r="Z106" i="66"/>
  <c r="H107" i="66"/>
  <c r="N88" i="59"/>
  <c r="L88" i="59"/>
  <c r="T108" i="66"/>
  <c r="S108" i="66"/>
  <c r="Q108" i="66"/>
  <c r="S89" i="59"/>
  <c r="J89" i="59"/>
  <c r="T136" i="59"/>
  <c r="K109" i="66"/>
  <c r="J109" i="66"/>
  <c r="I109" i="66"/>
  <c r="X109" i="66"/>
  <c r="V109" i="66"/>
  <c r="Q107" i="66"/>
  <c r="T109" i="66"/>
  <c r="S109" i="66"/>
  <c r="I88" i="59"/>
  <c r="BF94" i="59"/>
  <c r="U135" i="59"/>
  <c r="R109" i="66"/>
  <c r="P109" i="66"/>
  <c r="Z109" i="66"/>
  <c r="P89" i="59"/>
  <c r="O89" i="59"/>
  <c r="N89" i="59"/>
  <c r="L89" i="59"/>
  <c r="Q89" i="59"/>
  <c r="K89" i="59"/>
  <c r="M89" i="59"/>
  <c r="J110" i="66"/>
  <c r="I110" i="66"/>
  <c r="K110" i="66"/>
  <c r="X110" i="66"/>
  <c r="V110" i="66"/>
  <c r="R108" i="66"/>
  <c r="P108" i="66"/>
  <c r="I89" i="59"/>
  <c r="BF95" i="59"/>
  <c r="U136" i="59"/>
  <c r="H108" i="66"/>
  <c r="Z108" i="66"/>
  <c r="S90" i="59"/>
  <c r="J90" i="59"/>
  <c r="T137" i="59"/>
  <c r="H109" i="66"/>
  <c r="J111" i="66"/>
  <c r="K111" i="66"/>
  <c r="I111" i="66"/>
  <c r="X111" i="66"/>
  <c r="V111" i="66"/>
  <c r="Q109" i="66"/>
  <c r="M90" i="59"/>
  <c r="Q110" i="66"/>
  <c r="S110" i="66"/>
  <c r="T110" i="66"/>
  <c r="J112" i="66"/>
  <c r="I112" i="66"/>
  <c r="K112" i="66"/>
  <c r="X112" i="66"/>
  <c r="V112" i="66"/>
  <c r="T111" i="66"/>
  <c r="S111" i="66"/>
  <c r="R110" i="66"/>
  <c r="P110" i="66"/>
  <c r="K90" i="59"/>
  <c r="P90" i="59"/>
  <c r="Q90" i="59"/>
  <c r="O90" i="59"/>
  <c r="R111" i="66"/>
  <c r="P111" i="66"/>
  <c r="Z111" i="66"/>
  <c r="J113" i="66"/>
  <c r="I113" i="66"/>
  <c r="K113" i="66"/>
  <c r="X113" i="66"/>
  <c r="V113" i="66"/>
  <c r="H110" i="66"/>
  <c r="H111" i="66"/>
  <c r="Z110" i="66"/>
  <c r="S91" i="59"/>
  <c r="J91" i="59"/>
  <c r="T138" i="59"/>
  <c r="Q112" i="66"/>
  <c r="S112" i="66"/>
  <c r="R112" i="66"/>
  <c r="P112" i="66"/>
  <c r="T112" i="66"/>
  <c r="N90" i="59"/>
  <c r="L90" i="59"/>
  <c r="Q111" i="66"/>
  <c r="H112" i="66"/>
  <c r="Z112" i="66"/>
  <c r="S113" i="66"/>
  <c r="T113" i="66"/>
  <c r="I90" i="59"/>
  <c r="BF96" i="59"/>
  <c r="U137" i="59"/>
  <c r="Q113" i="66"/>
  <c r="Q91" i="59"/>
  <c r="P91" i="59"/>
  <c r="K91" i="59"/>
  <c r="O91" i="59"/>
  <c r="R113" i="66"/>
  <c r="P113" i="66"/>
  <c r="H113" i="66"/>
  <c r="J114" i="66"/>
  <c r="I114" i="66"/>
  <c r="K114" i="66"/>
  <c r="X114" i="66"/>
  <c r="V114" i="66"/>
  <c r="M91" i="59"/>
  <c r="N91" i="59"/>
  <c r="L91" i="59"/>
  <c r="U138" i="59"/>
  <c r="K115" i="66"/>
  <c r="J115" i="66"/>
  <c r="I115" i="66"/>
  <c r="X115" i="66"/>
  <c r="V115" i="66"/>
  <c r="Q114" i="66"/>
  <c r="S114" i="66"/>
  <c r="T114" i="66"/>
  <c r="Z113" i="66"/>
  <c r="S92" i="59"/>
  <c r="J92" i="59"/>
  <c r="T139" i="59"/>
  <c r="I91" i="59"/>
  <c r="BF97" i="59"/>
  <c r="K116" i="66"/>
  <c r="J116" i="66"/>
  <c r="I116" i="66"/>
  <c r="X116" i="66"/>
  <c r="V116" i="66"/>
  <c r="Q92" i="59"/>
  <c r="K92" i="59"/>
  <c r="P92" i="59"/>
  <c r="O92" i="59"/>
  <c r="T115" i="66"/>
  <c r="S115" i="66"/>
  <c r="R114" i="66"/>
  <c r="P114" i="66"/>
  <c r="Q115" i="66"/>
  <c r="R115" i="66"/>
  <c r="P115" i="66"/>
  <c r="Z115" i="66"/>
  <c r="M92" i="59"/>
  <c r="S93" i="59"/>
  <c r="T140" i="59"/>
  <c r="J93" i="59"/>
  <c r="H114" i="66"/>
  <c r="H115" i="66"/>
  <c r="Z114" i="66"/>
  <c r="N92" i="59"/>
  <c r="L92" i="59"/>
  <c r="M93" i="59"/>
  <c r="Q116" i="66"/>
  <c r="K117" i="66"/>
  <c r="J117" i="66"/>
  <c r="I117" i="66"/>
  <c r="X117" i="66"/>
  <c r="V117" i="66"/>
  <c r="S116" i="66"/>
  <c r="R116" i="66"/>
  <c r="P116" i="66"/>
  <c r="T116" i="66"/>
  <c r="I92" i="59"/>
  <c r="BF98" i="59"/>
  <c r="H116" i="66"/>
  <c r="Z116" i="66"/>
  <c r="K118" i="66"/>
  <c r="J118" i="66"/>
  <c r="I118" i="66"/>
  <c r="X118" i="66"/>
  <c r="V118" i="66"/>
  <c r="P93" i="59"/>
  <c r="O93" i="59"/>
  <c r="Q93" i="59"/>
  <c r="K93" i="59"/>
  <c r="N93" i="59"/>
  <c r="L93" i="59"/>
  <c r="U140" i="59"/>
  <c r="S117" i="66"/>
  <c r="T117" i="66"/>
  <c r="Q117" i="66"/>
  <c r="I93" i="59"/>
  <c r="BF99" i="59"/>
  <c r="U139" i="59"/>
  <c r="R117" i="66"/>
  <c r="P117" i="66"/>
  <c r="S94" i="59"/>
  <c r="T141" i="59"/>
  <c r="J94" i="59"/>
  <c r="K119" i="66"/>
  <c r="J119" i="66"/>
  <c r="I119" i="66"/>
  <c r="X119" i="66"/>
  <c r="V119" i="66"/>
  <c r="M94" i="59"/>
  <c r="T118" i="66"/>
  <c r="S118" i="66"/>
  <c r="J120" i="66"/>
  <c r="I120" i="66"/>
  <c r="K120" i="66"/>
  <c r="X120" i="66"/>
  <c r="V120" i="66"/>
  <c r="O94" i="59"/>
  <c r="N94" i="59"/>
  <c r="L94" i="59"/>
  <c r="I94" i="59"/>
  <c r="BF100" i="59"/>
  <c r="H117" i="66"/>
  <c r="Z117" i="66"/>
  <c r="S119" i="66"/>
  <c r="T119" i="66"/>
  <c r="K94" i="59"/>
  <c r="P94" i="59"/>
  <c r="U141" i="59"/>
  <c r="Q94" i="59"/>
  <c r="R118" i="66"/>
  <c r="P118" i="66"/>
  <c r="Q118" i="66"/>
  <c r="K121" i="66"/>
  <c r="J121" i="66"/>
  <c r="I121" i="66"/>
  <c r="X121" i="66"/>
  <c r="V121" i="66"/>
  <c r="H118" i="66"/>
  <c r="Z118" i="66"/>
  <c r="T120" i="66"/>
  <c r="S120" i="66"/>
  <c r="S95" i="59"/>
  <c r="T142" i="59"/>
  <c r="J95" i="59"/>
  <c r="Q119" i="66"/>
  <c r="M95" i="59"/>
  <c r="R119" i="66"/>
  <c r="P119" i="66"/>
  <c r="Q120" i="66"/>
  <c r="R120" i="66"/>
  <c r="P120" i="66"/>
  <c r="K122" i="66"/>
  <c r="J122" i="66"/>
  <c r="I122" i="66"/>
  <c r="X122" i="66"/>
  <c r="V122" i="66"/>
  <c r="Q95" i="59"/>
  <c r="P95" i="59"/>
  <c r="K95" i="59"/>
  <c r="O95" i="59"/>
  <c r="T121" i="66"/>
  <c r="S121" i="66"/>
  <c r="R121" i="66"/>
  <c r="P121" i="66"/>
  <c r="H119" i="66"/>
  <c r="H120" i="66"/>
  <c r="Z119" i="66"/>
  <c r="Z120" i="66"/>
  <c r="N95" i="59"/>
  <c r="L95" i="59"/>
  <c r="I95" i="59"/>
  <c r="BF101" i="59"/>
  <c r="U142" i="59"/>
  <c r="Q121" i="66"/>
  <c r="H121" i="66"/>
  <c r="Z121" i="66"/>
  <c r="J123" i="66"/>
  <c r="K123" i="66"/>
  <c r="I123" i="66"/>
  <c r="X123" i="66"/>
  <c r="V123" i="66"/>
  <c r="Q122" i="66"/>
  <c r="S122" i="66"/>
  <c r="T122" i="66"/>
  <c r="S96" i="59"/>
  <c r="J96" i="59"/>
  <c r="T143" i="59"/>
  <c r="R122" i="66"/>
  <c r="P122" i="66"/>
  <c r="H122" i="66"/>
  <c r="M96" i="59"/>
  <c r="O96" i="59"/>
  <c r="Q96" i="59"/>
  <c r="K96" i="59"/>
  <c r="P96" i="59"/>
  <c r="Z122" i="66"/>
  <c r="J124" i="66"/>
  <c r="I124" i="66"/>
  <c r="K124" i="66"/>
  <c r="X124" i="66"/>
  <c r="V124" i="66"/>
  <c r="N96" i="59"/>
  <c r="L96" i="59"/>
  <c r="I96" i="59"/>
  <c r="BF102" i="59"/>
  <c r="U143" i="59"/>
  <c r="Q123" i="66"/>
  <c r="S123" i="66"/>
  <c r="T123" i="66"/>
  <c r="S124" i="66"/>
  <c r="R124" i="66"/>
  <c r="P124" i="66"/>
  <c r="J125" i="66"/>
  <c r="I125" i="66"/>
  <c r="K125" i="66"/>
  <c r="X125" i="66"/>
  <c r="V125" i="66"/>
  <c r="T124" i="66"/>
  <c r="S97" i="59"/>
  <c r="T144" i="59"/>
  <c r="J97" i="59"/>
  <c r="R123" i="66"/>
  <c r="P123" i="66"/>
  <c r="M97" i="59"/>
  <c r="Q97" i="59"/>
  <c r="O97" i="59"/>
  <c r="K97" i="59"/>
  <c r="P97" i="59"/>
  <c r="H123" i="66"/>
  <c r="Z123" i="66"/>
  <c r="K126" i="66"/>
  <c r="J126" i="66"/>
  <c r="I126" i="66"/>
  <c r="X126" i="66"/>
  <c r="V126" i="66"/>
  <c r="H124" i="66"/>
  <c r="N97" i="59"/>
  <c r="L97" i="59"/>
  <c r="I97" i="59"/>
  <c r="BF103" i="59"/>
  <c r="T125" i="66"/>
  <c r="S125" i="66"/>
  <c r="Z124" i="66"/>
  <c r="Q125" i="66"/>
  <c r="Q124" i="66"/>
  <c r="U144" i="59"/>
  <c r="K127" i="66"/>
  <c r="J127" i="66"/>
  <c r="I127" i="66"/>
  <c r="X127" i="66"/>
  <c r="V127" i="66"/>
  <c r="T126" i="66"/>
  <c r="S126" i="66"/>
  <c r="M98" i="59"/>
  <c r="R125" i="66"/>
  <c r="P125" i="66"/>
  <c r="S98" i="59"/>
  <c r="J98" i="59"/>
  <c r="T145" i="59"/>
  <c r="S127" i="66"/>
  <c r="T127" i="66"/>
  <c r="K98" i="59"/>
  <c r="P98" i="59"/>
  <c r="O98" i="59"/>
  <c r="Q98" i="59"/>
  <c r="R126" i="66"/>
  <c r="P126" i="66"/>
  <c r="H125" i="66"/>
  <c r="Z125" i="66"/>
  <c r="Q126" i="66"/>
  <c r="J128" i="66"/>
  <c r="I128" i="66"/>
  <c r="K128" i="66"/>
  <c r="X128" i="66"/>
  <c r="V128" i="66"/>
  <c r="H126" i="66"/>
  <c r="Z126" i="66"/>
  <c r="K129" i="66"/>
  <c r="J129" i="66"/>
  <c r="I129" i="66"/>
  <c r="X129" i="66"/>
  <c r="V129" i="66"/>
  <c r="Q127" i="66"/>
  <c r="T128" i="66"/>
  <c r="S128" i="66"/>
  <c r="R127" i="66"/>
  <c r="P127" i="66"/>
  <c r="S99" i="59"/>
  <c r="T146" i="59"/>
  <c r="J99" i="59"/>
  <c r="N98" i="59"/>
  <c r="L98" i="59"/>
  <c r="I98" i="59"/>
  <c r="BF104" i="59"/>
  <c r="H127" i="66"/>
  <c r="Z127" i="66"/>
  <c r="J130" i="66"/>
  <c r="I130" i="66"/>
  <c r="K130" i="66"/>
  <c r="X130" i="66"/>
  <c r="V130" i="66"/>
  <c r="Q128" i="66"/>
  <c r="R128" i="66"/>
  <c r="P128" i="66"/>
  <c r="K99" i="59"/>
  <c r="Q99" i="59"/>
  <c r="O99" i="59"/>
  <c r="P99" i="59"/>
  <c r="S129" i="66"/>
  <c r="T129" i="66"/>
  <c r="M99" i="59"/>
  <c r="R129" i="66"/>
  <c r="P129" i="66"/>
  <c r="U145" i="59"/>
  <c r="H128" i="66"/>
  <c r="H129" i="66"/>
  <c r="Z128" i="66"/>
  <c r="T130" i="66"/>
  <c r="S130" i="66"/>
  <c r="S100" i="59"/>
  <c r="T147" i="59"/>
  <c r="J100" i="59"/>
  <c r="R130" i="66"/>
  <c r="P130" i="66"/>
  <c r="Z129" i="66"/>
  <c r="Q130" i="66"/>
  <c r="K131" i="66"/>
  <c r="J131" i="66"/>
  <c r="I131" i="66"/>
  <c r="X131" i="66"/>
  <c r="V131" i="66"/>
  <c r="Q129" i="66"/>
  <c r="N99" i="59"/>
  <c r="L99" i="59"/>
  <c r="I99" i="59"/>
  <c r="BF105" i="59"/>
  <c r="H130" i="66"/>
  <c r="J132" i="66"/>
  <c r="I132" i="66"/>
  <c r="K132" i="66"/>
  <c r="X132" i="66"/>
  <c r="V132" i="66"/>
  <c r="M100" i="59"/>
  <c r="Q131" i="66"/>
  <c r="S131" i="66"/>
  <c r="T131" i="66"/>
  <c r="Z130" i="66"/>
  <c r="O100" i="59"/>
  <c r="Q100" i="59"/>
  <c r="K100" i="59"/>
  <c r="P100" i="59"/>
  <c r="U146" i="59"/>
  <c r="S132" i="66"/>
  <c r="T132" i="66"/>
  <c r="N100" i="59"/>
  <c r="L100" i="59"/>
  <c r="R132" i="66"/>
  <c r="P132" i="66"/>
  <c r="Z132" i="66"/>
  <c r="S101" i="59"/>
  <c r="T148" i="59"/>
  <c r="J101" i="59"/>
  <c r="R131" i="66"/>
  <c r="P131" i="66"/>
  <c r="J133" i="66"/>
  <c r="I133" i="66"/>
  <c r="K133" i="66"/>
  <c r="X133" i="66"/>
  <c r="V133" i="66"/>
  <c r="J134" i="66"/>
  <c r="I134" i="66"/>
  <c r="K134" i="66"/>
  <c r="X134" i="66"/>
  <c r="V134" i="66"/>
  <c r="H131" i="66"/>
  <c r="H132" i="66"/>
  <c r="Z131" i="66"/>
  <c r="Q132" i="66"/>
  <c r="S133" i="66"/>
  <c r="T133" i="66"/>
  <c r="O101" i="59"/>
  <c r="N101" i="59"/>
  <c r="L101" i="59"/>
  <c r="I100" i="59"/>
  <c r="I101" i="59"/>
  <c r="BF107" i="59"/>
  <c r="Q133" i="66"/>
  <c r="R133" i="66"/>
  <c r="P133" i="66"/>
  <c r="Z133" i="66"/>
  <c r="Q101" i="59"/>
  <c r="K101" i="59"/>
  <c r="P101" i="59"/>
  <c r="U148" i="59"/>
  <c r="BF106" i="59"/>
  <c r="U147" i="59"/>
  <c r="M101" i="59"/>
  <c r="H133" i="66"/>
  <c r="J135" i="66"/>
  <c r="K135" i="66"/>
  <c r="I135" i="66"/>
  <c r="X135" i="66"/>
  <c r="V135" i="66"/>
  <c r="S134" i="66"/>
  <c r="T134" i="66"/>
  <c r="M102" i="59"/>
  <c r="S102" i="59"/>
  <c r="T149" i="59"/>
  <c r="J102" i="59"/>
  <c r="Q134" i="66"/>
  <c r="R134" i="66"/>
  <c r="P134" i="66"/>
  <c r="H134" i="66"/>
  <c r="Z134" i="66"/>
  <c r="T135" i="66"/>
  <c r="S135" i="66"/>
  <c r="K102" i="59"/>
  <c r="P102" i="59"/>
  <c r="O102" i="59"/>
  <c r="Q102" i="59"/>
  <c r="Q135" i="66"/>
  <c r="N102" i="59"/>
  <c r="L102" i="59"/>
  <c r="I102" i="59"/>
  <c r="BF108" i="59"/>
  <c r="K136" i="66"/>
  <c r="J136" i="66"/>
  <c r="I136" i="66"/>
  <c r="X136" i="66"/>
  <c r="V136" i="66"/>
  <c r="J137" i="66"/>
  <c r="I137" i="66"/>
  <c r="K137" i="66"/>
  <c r="X137" i="66"/>
  <c r="V137" i="66"/>
  <c r="U149" i="59"/>
  <c r="S136" i="66"/>
  <c r="T136" i="66"/>
  <c r="S103" i="59"/>
  <c r="T150" i="59"/>
  <c r="J103" i="59"/>
  <c r="R136" i="66"/>
  <c r="P136" i="66"/>
  <c r="Z136" i="66"/>
  <c r="R135" i="66"/>
  <c r="P135" i="66"/>
  <c r="M103" i="59"/>
  <c r="J138" i="66"/>
  <c r="I138" i="66"/>
  <c r="K138" i="66"/>
  <c r="X138" i="66"/>
  <c r="V138" i="66"/>
  <c r="Q137" i="66"/>
  <c r="S137" i="66"/>
  <c r="T137" i="66"/>
  <c r="K103" i="59"/>
  <c r="Q103" i="59"/>
  <c r="O103" i="59"/>
  <c r="P103" i="59"/>
  <c r="H135" i="66"/>
  <c r="H136" i="66"/>
  <c r="Z135" i="66"/>
  <c r="Q136" i="66"/>
  <c r="R137" i="66"/>
  <c r="P137" i="66"/>
  <c r="Z137" i="66"/>
  <c r="J139" i="66"/>
  <c r="I139" i="66"/>
  <c r="K139" i="66"/>
  <c r="X139" i="66"/>
  <c r="V139" i="66"/>
  <c r="H137" i="66"/>
  <c r="S104" i="59"/>
  <c r="J104" i="59"/>
  <c r="T151" i="59"/>
  <c r="Q138" i="66"/>
  <c r="T138" i="66"/>
  <c r="S138" i="66"/>
  <c r="R138" i="66"/>
  <c r="P138" i="66"/>
  <c r="N103" i="59"/>
  <c r="L103" i="59"/>
  <c r="I103" i="59"/>
  <c r="BF109" i="59"/>
  <c r="H138" i="66"/>
  <c r="Z138" i="66"/>
  <c r="O104" i="59"/>
  <c r="Q104" i="59"/>
  <c r="K104" i="59"/>
  <c r="P104" i="59"/>
  <c r="J140" i="66"/>
  <c r="I140" i="66"/>
  <c r="K140" i="66"/>
  <c r="X140" i="66"/>
  <c r="V140" i="66"/>
  <c r="M104" i="59"/>
  <c r="T139" i="66"/>
  <c r="S139" i="66"/>
  <c r="Q139" i="66"/>
  <c r="N104" i="59"/>
  <c r="L104" i="59"/>
  <c r="U151" i="59"/>
  <c r="I104" i="59"/>
  <c r="BF110" i="59"/>
  <c r="R139" i="66"/>
  <c r="P139" i="66"/>
  <c r="H139" i="66"/>
  <c r="Z139" i="66"/>
  <c r="U150" i="59"/>
  <c r="S105" i="59"/>
  <c r="T152" i="59"/>
  <c r="J105" i="59"/>
  <c r="M105" i="59"/>
  <c r="Q140" i="66"/>
  <c r="K141" i="66"/>
  <c r="J141" i="66"/>
  <c r="I141" i="66"/>
  <c r="X141" i="66"/>
  <c r="V141" i="66"/>
  <c r="S140" i="66"/>
  <c r="T140" i="66"/>
  <c r="J142" i="66"/>
  <c r="I142" i="66"/>
  <c r="K142" i="66"/>
  <c r="X142" i="66"/>
  <c r="V142" i="66"/>
  <c r="S141" i="66"/>
  <c r="T141" i="66"/>
  <c r="R140" i="66"/>
  <c r="P140" i="66"/>
  <c r="Q141" i="66"/>
  <c r="R141" i="66"/>
  <c r="P141" i="66"/>
  <c r="Z141" i="66"/>
  <c r="O105" i="59"/>
  <c r="Q105" i="59"/>
  <c r="K105" i="59"/>
  <c r="P105" i="59"/>
  <c r="Q142" i="66"/>
  <c r="K143" i="66"/>
  <c r="J143" i="66"/>
  <c r="I143" i="66"/>
  <c r="X143" i="66"/>
  <c r="V143" i="66"/>
  <c r="S106" i="59"/>
  <c r="T153" i="59"/>
  <c r="J106" i="59"/>
  <c r="S142" i="66"/>
  <c r="T142" i="66"/>
  <c r="N105" i="59"/>
  <c r="L105" i="59"/>
  <c r="M106" i="59"/>
  <c r="H140" i="66"/>
  <c r="H141" i="66"/>
  <c r="Z140" i="66"/>
  <c r="R142" i="66"/>
  <c r="P142" i="66"/>
  <c r="H142" i="66"/>
  <c r="Q106" i="59"/>
  <c r="O106" i="59"/>
  <c r="K106" i="59"/>
  <c r="P106" i="59"/>
  <c r="T143" i="66"/>
  <c r="S143" i="66"/>
  <c r="Q143" i="66"/>
  <c r="Z142" i="66"/>
  <c r="I105" i="59"/>
  <c r="BF111" i="59"/>
  <c r="U152" i="59"/>
  <c r="N106" i="59"/>
  <c r="L106" i="59"/>
  <c r="I106" i="59"/>
  <c r="BF112" i="59"/>
  <c r="K144" i="66"/>
  <c r="J144" i="66"/>
  <c r="I144" i="66"/>
  <c r="X144" i="66"/>
  <c r="V144" i="66"/>
  <c r="K145" i="66"/>
  <c r="J145" i="66"/>
  <c r="I145" i="66"/>
  <c r="X145" i="66"/>
  <c r="V145" i="66"/>
  <c r="M107" i="59"/>
  <c r="T144" i="66"/>
  <c r="S144" i="66"/>
  <c r="U153" i="59"/>
  <c r="S107" i="59"/>
  <c r="J107" i="59"/>
  <c r="T154" i="59"/>
  <c r="R144" i="66"/>
  <c r="P144" i="66"/>
  <c r="R143" i="66"/>
  <c r="P143" i="66"/>
  <c r="Q144" i="66"/>
  <c r="Q107" i="59"/>
  <c r="P107" i="59"/>
  <c r="K107" i="59"/>
  <c r="O107" i="59"/>
  <c r="K146" i="66"/>
  <c r="J146" i="66"/>
  <c r="I146" i="66"/>
  <c r="X146" i="66"/>
  <c r="V146" i="66"/>
  <c r="Z144" i="66"/>
  <c r="S145" i="66"/>
  <c r="T145" i="66"/>
  <c r="H143" i="66"/>
  <c r="H144" i="66"/>
  <c r="Z143" i="66"/>
  <c r="N107" i="59"/>
  <c r="L107" i="59"/>
  <c r="I107" i="59"/>
  <c r="BF113" i="59"/>
  <c r="Q145" i="66"/>
  <c r="S146" i="66"/>
  <c r="T146" i="66"/>
  <c r="U154" i="59"/>
  <c r="R145" i="66"/>
  <c r="P145" i="66"/>
  <c r="J108" i="59"/>
  <c r="S108" i="59"/>
  <c r="T155" i="59"/>
  <c r="T156" i="59"/>
  <c r="J147" i="66"/>
  <c r="K147" i="66"/>
  <c r="I147" i="66"/>
  <c r="X147" i="66"/>
  <c r="V147" i="66"/>
  <c r="M108" i="59"/>
  <c r="J109" i="59"/>
  <c r="H145" i="66"/>
  <c r="Z145" i="66"/>
  <c r="S147" i="66"/>
  <c r="T147" i="66"/>
  <c r="Q108" i="59"/>
  <c r="K108" i="59"/>
  <c r="K109" i="59"/>
  <c r="O108" i="59"/>
  <c r="N108" i="59"/>
  <c r="L108" i="59"/>
  <c r="P108" i="59"/>
  <c r="K148" i="66"/>
  <c r="J148" i="66"/>
  <c r="I148" i="66"/>
  <c r="X148" i="66"/>
  <c r="V148" i="66"/>
  <c r="R147" i="66"/>
  <c r="P147" i="66"/>
  <c r="Z147" i="66"/>
  <c r="R146" i="66"/>
  <c r="P146" i="66"/>
  <c r="Q146" i="66"/>
  <c r="L109" i="59"/>
  <c r="I108" i="59"/>
  <c r="H146" i="66"/>
  <c r="Z146" i="66"/>
  <c r="K149" i="66"/>
  <c r="J149" i="66"/>
  <c r="I149" i="66"/>
  <c r="X149" i="66"/>
  <c r="V149" i="66"/>
  <c r="Q147" i="66"/>
  <c r="S148" i="66"/>
  <c r="R148" i="66"/>
  <c r="P148" i="66"/>
  <c r="T148" i="66"/>
  <c r="C17" i="59"/>
  <c r="C31" i="59"/>
  <c r="H147" i="66"/>
  <c r="Q148" i="66"/>
  <c r="U155" i="59"/>
  <c r="H148" i="66"/>
  <c r="Z148" i="66"/>
  <c r="J150" i="66"/>
  <c r="I150" i="66"/>
  <c r="K150" i="66"/>
  <c r="X150" i="66"/>
  <c r="V150" i="66"/>
  <c r="V156" i="59"/>
  <c r="U156" i="59"/>
  <c r="Q149" i="66"/>
  <c r="T149" i="66"/>
  <c r="S149" i="66"/>
  <c r="E31" i="59"/>
  <c r="C32" i="59"/>
  <c r="R149" i="66"/>
  <c r="P149" i="66"/>
  <c r="H149" i="66"/>
  <c r="BF114" i="59"/>
  <c r="BF115" i="59"/>
  <c r="I109" i="59"/>
  <c r="C30" i="59"/>
  <c r="E30" i="59"/>
  <c r="E17" i="59"/>
  <c r="C18" i="59"/>
  <c r="E18" i="59"/>
  <c r="Q150" i="66"/>
  <c r="Z149" i="66"/>
  <c r="E32" i="59"/>
  <c r="C38" i="59"/>
  <c r="K151" i="66"/>
  <c r="J151" i="66"/>
  <c r="I151" i="66"/>
  <c r="X151" i="66"/>
  <c r="V151" i="66"/>
  <c r="T150" i="66"/>
  <c r="S150" i="66"/>
  <c r="R150" i="66"/>
  <c r="P150" i="66"/>
  <c r="H150" i="66"/>
  <c r="Z150" i="66"/>
  <c r="J152" i="66"/>
  <c r="I152" i="66"/>
  <c r="K152" i="66"/>
  <c r="X152" i="66"/>
  <c r="V152" i="66"/>
  <c r="C40" i="59"/>
  <c r="E38" i="59"/>
  <c r="C39" i="59"/>
  <c r="Q151" i="66"/>
  <c r="S151" i="66"/>
  <c r="R151" i="66"/>
  <c r="P151" i="66"/>
  <c r="T151" i="66"/>
  <c r="H151" i="66"/>
  <c r="Z151" i="66"/>
  <c r="J153" i="66"/>
  <c r="I153" i="66"/>
  <c r="K153" i="66"/>
  <c r="X153" i="66"/>
  <c r="V153" i="66"/>
  <c r="S152" i="66"/>
  <c r="T152" i="66"/>
  <c r="Q152" i="66"/>
  <c r="C41" i="59"/>
  <c r="E41" i="59"/>
  <c r="E40" i="59"/>
  <c r="J154" i="66"/>
  <c r="I154" i="66"/>
  <c r="K154" i="66"/>
  <c r="X154" i="66"/>
  <c r="V154" i="66"/>
  <c r="R152" i="66"/>
  <c r="P152" i="66"/>
  <c r="S153" i="66"/>
  <c r="R153" i="66"/>
  <c r="P153" i="66"/>
  <c r="T153" i="66"/>
  <c r="Z153" i="66"/>
  <c r="K155" i="66"/>
  <c r="J155" i="66"/>
  <c r="I155" i="66"/>
  <c r="X155" i="66"/>
  <c r="V155" i="66"/>
  <c r="Q154" i="66"/>
  <c r="S154" i="66"/>
  <c r="R154" i="66"/>
  <c r="P154" i="66"/>
  <c r="T154" i="66"/>
  <c r="H152" i="66"/>
  <c r="H153" i="66"/>
  <c r="Z152" i="66"/>
  <c r="Q153" i="66"/>
  <c r="H154" i="66"/>
  <c r="Z154" i="66"/>
  <c r="K156" i="66"/>
  <c r="J156" i="66"/>
  <c r="I156" i="66"/>
  <c r="X156" i="66"/>
  <c r="V156" i="66"/>
  <c r="Q155" i="66"/>
  <c r="T155" i="66"/>
  <c r="S155" i="66"/>
  <c r="R155" i="66"/>
  <c r="P155" i="66"/>
  <c r="H155" i="66"/>
  <c r="Z155" i="66"/>
  <c r="Q156" i="66"/>
  <c r="K157" i="66"/>
  <c r="J157" i="66"/>
  <c r="I157" i="66"/>
  <c r="X157" i="66"/>
  <c r="V157" i="66"/>
  <c r="T156" i="66"/>
  <c r="S156" i="66"/>
  <c r="K158" i="66"/>
  <c r="J158" i="66"/>
  <c r="I158" i="66"/>
  <c r="X158" i="66"/>
  <c r="V158" i="66"/>
  <c r="S157" i="66"/>
  <c r="T157" i="66"/>
  <c r="R156" i="66"/>
  <c r="P156" i="66"/>
  <c r="J159" i="66"/>
  <c r="K159" i="66"/>
  <c r="I159" i="66"/>
  <c r="X159" i="66"/>
  <c r="V159" i="66"/>
  <c r="H156" i="66"/>
  <c r="Z156" i="66"/>
  <c r="T158" i="66"/>
  <c r="S158" i="66"/>
  <c r="R157" i="66"/>
  <c r="P157" i="66"/>
  <c r="Q158" i="66"/>
  <c r="Q157" i="66"/>
  <c r="R158" i="66"/>
  <c r="P158" i="66"/>
  <c r="K160" i="66"/>
  <c r="J160" i="66"/>
  <c r="I160" i="66"/>
  <c r="X160" i="66"/>
  <c r="V160" i="66"/>
  <c r="H157" i="66"/>
  <c r="Z157" i="66"/>
  <c r="S159" i="66"/>
  <c r="T159" i="66"/>
  <c r="H158" i="66"/>
  <c r="Q159" i="66"/>
  <c r="R159" i="66"/>
  <c r="P159" i="66"/>
  <c r="H159" i="66"/>
  <c r="Z158" i="66"/>
  <c r="Q160" i="66"/>
  <c r="K161" i="66"/>
  <c r="J161" i="66"/>
  <c r="I161" i="66"/>
  <c r="X161" i="66"/>
  <c r="V161" i="66"/>
  <c r="T160" i="66"/>
  <c r="S160" i="66"/>
  <c r="Z159" i="66"/>
  <c r="S161" i="66"/>
  <c r="T161" i="66"/>
  <c r="R161" i="66"/>
  <c r="P161" i="66"/>
  <c r="R160" i="66"/>
  <c r="P160" i="66"/>
  <c r="J162" i="66"/>
  <c r="I162" i="66"/>
  <c r="K162" i="66"/>
  <c r="X162" i="66"/>
  <c r="V162" i="66"/>
  <c r="J163" i="66"/>
  <c r="I163" i="66"/>
  <c r="K163" i="66"/>
  <c r="X163" i="66"/>
  <c r="V163" i="66"/>
  <c r="H160" i="66"/>
  <c r="H161" i="66"/>
  <c r="Z160" i="66"/>
  <c r="Q162" i="66"/>
  <c r="S162" i="66"/>
  <c r="T162" i="66"/>
  <c r="Z161" i="66"/>
  <c r="Q161" i="66"/>
  <c r="J164" i="66"/>
  <c r="I164" i="66"/>
  <c r="K164" i="66"/>
  <c r="X164" i="66"/>
  <c r="V164" i="66"/>
  <c r="T163" i="66"/>
  <c r="S163" i="66"/>
  <c r="R162" i="66"/>
  <c r="P162" i="66"/>
  <c r="H162" i="66"/>
  <c r="Z162" i="66"/>
  <c r="J165" i="66"/>
  <c r="I165" i="66"/>
  <c r="K165" i="66"/>
  <c r="X165" i="66"/>
  <c r="V165" i="66"/>
  <c r="R163" i="66"/>
  <c r="P163" i="66"/>
  <c r="Q164" i="66"/>
  <c r="S164" i="66"/>
  <c r="T164" i="66"/>
  <c r="Q163" i="66"/>
  <c r="K166" i="66"/>
  <c r="J166" i="66"/>
  <c r="I166" i="66"/>
  <c r="X166" i="66"/>
  <c r="V166" i="66"/>
  <c r="S165" i="66"/>
  <c r="T165" i="66"/>
  <c r="H163" i="66"/>
  <c r="Z163" i="66"/>
  <c r="R165" i="66"/>
  <c r="P165" i="66"/>
  <c r="Z165" i="66"/>
  <c r="R164" i="66"/>
  <c r="P164" i="66"/>
  <c r="Q165" i="66"/>
  <c r="J167" i="66"/>
  <c r="I167" i="66"/>
  <c r="K167" i="66"/>
  <c r="X167" i="66"/>
  <c r="V167" i="66"/>
  <c r="S166" i="66"/>
  <c r="T166" i="66"/>
  <c r="Q166" i="66"/>
  <c r="H164" i="66"/>
  <c r="H165" i="66"/>
  <c r="Z164" i="66"/>
  <c r="T167" i="66"/>
  <c r="S167" i="66"/>
  <c r="R166" i="66"/>
  <c r="P166" i="66"/>
  <c r="Q167" i="66"/>
  <c r="R167" i="66"/>
  <c r="P167" i="66"/>
  <c r="K168" i="66"/>
  <c r="J168" i="66"/>
  <c r="I168" i="66"/>
  <c r="X168" i="66"/>
  <c r="V168" i="66"/>
  <c r="K169" i="66"/>
  <c r="J169" i="66"/>
  <c r="I169" i="66"/>
  <c r="X169" i="66"/>
  <c r="V169" i="66"/>
  <c r="H166" i="66"/>
  <c r="H167" i="66"/>
  <c r="Z166" i="66"/>
  <c r="Q168" i="66"/>
  <c r="S168" i="66"/>
  <c r="T168" i="66"/>
  <c r="Z167" i="66"/>
  <c r="K170" i="66"/>
  <c r="J170" i="66"/>
  <c r="I170" i="66"/>
  <c r="X170" i="66"/>
  <c r="V170" i="66"/>
  <c r="T169" i="66"/>
  <c r="S169" i="66"/>
  <c r="R168" i="66"/>
  <c r="P168" i="66"/>
  <c r="S170" i="66"/>
  <c r="T170" i="66"/>
  <c r="H168" i="66"/>
  <c r="Z168" i="66"/>
  <c r="R170" i="66"/>
  <c r="P170" i="66"/>
  <c r="R169" i="66"/>
  <c r="P169" i="66"/>
  <c r="J171" i="66"/>
  <c r="K171" i="66"/>
  <c r="I171" i="66"/>
  <c r="X171" i="66"/>
  <c r="V171" i="66"/>
  <c r="Q169" i="66"/>
  <c r="T171" i="66"/>
  <c r="S171" i="66"/>
  <c r="R171" i="66"/>
  <c r="P171" i="66"/>
  <c r="Z170" i="66"/>
  <c r="Q171" i="66"/>
  <c r="J172" i="66"/>
  <c r="I172" i="66"/>
  <c r="K172" i="66"/>
  <c r="X172" i="66"/>
  <c r="V172" i="66"/>
  <c r="H169" i="66"/>
  <c r="H170" i="66"/>
  <c r="Z169" i="66"/>
  <c r="Q170" i="66"/>
  <c r="H171" i="66"/>
  <c r="J173" i="66"/>
  <c r="I173" i="66"/>
  <c r="K173" i="66"/>
  <c r="X173" i="66"/>
  <c r="V173" i="66"/>
  <c r="Z171" i="66"/>
  <c r="S172" i="66"/>
  <c r="T172" i="66"/>
  <c r="Q172" i="66"/>
  <c r="J174" i="66"/>
  <c r="I174" i="66"/>
  <c r="K174" i="66"/>
  <c r="X174" i="66"/>
  <c r="V174" i="66"/>
  <c r="T173" i="66"/>
  <c r="S173" i="66"/>
  <c r="R172" i="66"/>
  <c r="P172" i="66"/>
  <c r="H172" i="66"/>
  <c r="Z172" i="66"/>
  <c r="K175" i="66"/>
  <c r="J175" i="66"/>
  <c r="I175" i="66"/>
  <c r="X175" i="66"/>
  <c r="V175" i="66"/>
  <c r="Q173" i="66"/>
  <c r="R173" i="66"/>
  <c r="P173" i="66"/>
  <c r="Q174" i="66"/>
  <c r="T174" i="66"/>
  <c r="S174" i="66"/>
  <c r="J176" i="66"/>
  <c r="I176" i="66"/>
  <c r="K176" i="66"/>
  <c r="X176" i="66"/>
  <c r="V176" i="66"/>
  <c r="T175" i="66"/>
  <c r="S175" i="66"/>
  <c r="H173" i="66"/>
  <c r="Z173" i="66"/>
  <c r="R174" i="66"/>
  <c r="P174" i="66"/>
  <c r="T176" i="66"/>
  <c r="S176" i="66"/>
  <c r="R175" i="66"/>
  <c r="P175" i="66"/>
  <c r="H174" i="66"/>
  <c r="Z174" i="66"/>
  <c r="R176" i="66"/>
  <c r="P176" i="66"/>
  <c r="Q175" i="66"/>
  <c r="K177" i="66"/>
  <c r="J177" i="66"/>
  <c r="I177" i="66"/>
  <c r="X177" i="66"/>
  <c r="V177" i="66"/>
  <c r="T177" i="66"/>
  <c r="S177" i="66"/>
  <c r="H175" i="66"/>
  <c r="H176" i="66"/>
  <c r="Z175" i="66"/>
  <c r="R177" i="66"/>
  <c r="P177" i="66"/>
  <c r="Z177" i="66"/>
  <c r="Z176" i="66"/>
  <c r="Q176" i="66"/>
  <c r="Q177" i="66"/>
  <c r="J178" i="66"/>
  <c r="I178" i="66"/>
  <c r="K178" i="66"/>
  <c r="X178" i="66"/>
  <c r="V178" i="66"/>
  <c r="J179" i="66"/>
  <c r="I179" i="66"/>
  <c r="K179" i="66"/>
  <c r="X179" i="66"/>
  <c r="V179" i="66"/>
  <c r="H177" i="66"/>
  <c r="Q178" i="66"/>
  <c r="T178" i="66"/>
  <c r="S178" i="66"/>
  <c r="J180" i="66"/>
  <c r="I180" i="66"/>
  <c r="K180" i="66"/>
  <c r="X180" i="66"/>
  <c r="V180" i="66"/>
  <c r="R178" i="66"/>
  <c r="P178" i="66"/>
  <c r="T179" i="66"/>
  <c r="S179" i="66"/>
  <c r="K181" i="66"/>
  <c r="J181" i="66"/>
  <c r="I181" i="66"/>
  <c r="X181" i="66"/>
  <c r="V181" i="66"/>
  <c r="R179" i="66"/>
  <c r="P179" i="66"/>
  <c r="S180" i="66"/>
  <c r="T180" i="66"/>
  <c r="H178" i="66"/>
  <c r="Z178" i="66"/>
  <c r="Q179" i="66"/>
  <c r="K182" i="66"/>
  <c r="J182" i="66"/>
  <c r="I182" i="66"/>
  <c r="X182" i="66"/>
  <c r="V182" i="66"/>
  <c r="S181" i="66"/>
  <c r="R181" i="66"/>
  <c r="P181" i="66"/>
  <c r="T181" i="66"/>
  <c r="H179" i="66"/>
  <c r="Z179" i="66"/>
  <c r="R180" i="66"/>
  <c r="P180" i="66"/>
  <c r="Q181" i="66"/>
  <c r="Q180" i="66"/>
  <c r="Z181" i="66"/>
  <c r="J183" i="66"/>
  <c r="K183" i="66"/>
  <c r="I183" i="66"/>
  <c r="X183" i="66"/>
  <c r="V183" i="66"/>
  <c r="Q182" i="66"/>
  <c r="T182" i="66"/>
  <c r="S182" i="66"/>
  <c r="R182" i="66"/>
  <c r="P182" i="66"/>
  <c r="Z182" i="66"/>
  <c r="H180" i="66"/>
  <c r="H181" i="66"/>
  <c r="Z180" i="66"/>
  <c r="H182" i="66"/>
  <c r="Q183" i="66"/>
  <c r="K184" i="66"/>
  <c r="J184" i="66"/>
  <c r="I184" i="66"/>
  <c r="X184" i="66"/>
  <c r="V184" i="66"/>
  <c r="S183" i="66"/>
  <c r="T183" i="66"/>
  <c r="J185" i="66"/>
  <c r="I185" i="66"/>
  <c r="K185" i="66"/>
  <c r="X185" i="66"/>
  <c r="V185" i="66"/>
  <c r="T184" i="66"/>
  <c r="S184" i="66"/>
  <c r="R184" i="66"/>
  <c r="P184" i="66"/>
  <c r="R183" i="66"/>
  <c r="P183" i="66"/>
  <c r="Q184" i="66"/>
  <c r="Z184" i="66"/>
  <c r="J186" i="66"/>
  <c r="I186" i="66"/>
  <c r="K186" i="66"/>
  <c r="X186" i="66"/>
  <c r="V186" i="66"/>
  <c r="S185" i="66"/>
  <c r="T185" i="66"/>
  <c r="H183" i="66"/>
  <c r="H184" i="66"/>
  <c r="Z183" i="66"/>
  <c r="Q185" i="66"/>
  <c r="R185" i="66"/>
  <c r="P185" i="66"/>
  <c r="J187" i="66"/>
  <c r="I187" i="66"/>
  <c r="K187" i="66"/>
  <c r="X187" i="66"/>
  <c r="V187" i="66"/>
  <c r="S186" i="66"/>
  <c r="R186" i="66"/>
  <c r="P186" i="66"/>
  <c r="T186" i="66"/>
  <c r="Z186" i="66"/>
  <c r="K188" i="66"/>
  <c r="J188" i="66"/>
  <c r="I188" i="66"/>
  <c r="X188" i="66"/>
  <c r="V188" i="66"/>
  <c r="H185" i="66"/>
  <c r="H186" i="66"/>
  <c r="Z185" i="66"/>
  <c r="T187" i="66"/>
  <c r="S187" i="66"/>
  <c r="Q187" i="66"/>
  <c r="R187" i="66"/>
  <c r="P187" i="66"/>
  <c r="Q186" i="66"/>
  <c r="H187" i="66"/>
  <c r="Q188" i="66"/>
  <c r="Z187" i="66"/>
  <c r="K189" i="66"/>
  <c r="J189" i="66"/>
  <c r="I189" i="66"/>
  <c r="X189" i="66"/>
  <c r="V189" i="66"/>
  <c r="S188" i="66"/>
  <c r="T188" i="66"/>
  <c r="J190" i="66"/>
  <c r="I190" i="66"/>
  <c r="K190" i="66"/>
  <c r="X190" i="66"/>
  <c r="V190" i="66"/>
  <c r="T189" i="66"/>
  <c r="S189" i="66"/>
  <c r="R189" i="66"/>
  <c r="P189" i="66"/>
  <c r="R188" i="66"/>
  <c r="P188" i="66"/>
  <c r="Z189" i="66"/>
  <c r="H188" i="66"/>
  <c r="H189" i="66"/>
  <c r="Z188" i="66"/>
  <c r="J191" i="66"/>
  <c r="I191" i="66"/>
  <c r="K191" i="66"/>
  <c r="X191" i="66"/>
  <c r="V191" i="66"/>
  <c r="Q190" i="66"/>
  <c r="T190" i="66"/>
  <c r="S190" i="66"/>
  <c r="R190" i="66"/>
  <c r="P190" i="66"/>
  <c r="Q189" i="66"/>
  <c r="H190" i="66"/>
  <c r="Z190" i="66"/>
  <c r="I192" i="66"/>
  <c r="Q191" i="66"/>
  <c r="T191" i="66"/>
  <c r="S191" i="66"/>
  <c r="R191" i="66"/>
  <c r="P191" i="66"/>
  <c r="P192" i="66"/>
  <c r="H191" i="66"/>
  <c r="H192" i="66"/>
  <c r="D24" i="66"/>
  <c r="Z191" i="66"/>
  <c r="I6" i="66"/>
  <c r="J6" i="66"/>
  <c r="C24" i="66"/>
  <c r="J45" i="103"/>
  <c r="J53" i="103"/>
  <c r="J48" i="103"/>
  <c r="J50" i="103"/>
  <c r="J51" i="103"/>
  <c r="J52" i="103"/>
  <c r="J58" i="103"/>
  <c r="J55" i="103"/>
  <c r="J47" i="103"/>
  <c r="J46" i="103"/>
  <c r="J56" i="103"/>
  <c r="J44" i="110"/>
  <c r="J55" i="110"/>
  <c r="J56" i="110"/>
  <c r="J68" i="110"/>
  <c r="C12" i="103" l="1"/>
  <c r="D12" i="103"/>
  <c r="C12" i="111"/>
  <c r="D12" i="111" s="1"/>
  <c r="U10" i="94"/>
  <c r="AP93" i="109"/>
  <c r="AT93" i="109"/>
  <c r="AS49" i="109"/>
  <c r="AS47" i="109"/>
  <c r="AS31" i="109"/>
  <c r="AS59" i="109"/>
  <c r="AS27" i="109"/>
  <c r="AS92" i="109"/>
  <c r="AS36" i="109"/>
  <c r="AS45" i="109"/>
  <c r="AS43" i="109"/>
  <c r="AS70" i="109"/>
  <c r="AS74" i="109"/>
  <c r="AS99" i="109"/>
  <c r="AH40" i="109"/>
  <c r="AS16" i="109"/>
  <c r="AS12" i="109"/>
  <c r="AS20" i="109"/>
  <c r="AS69" i="109"/>
  <c r="AS82" i="109"/>
  <c r="AN135" i="109"/>
  <c r="AS52" i="109"/>
  <c r="AS21" i="109"/>
  <c r="AS25" i="109"/>
  <c r="AS38" i="109"/>
  <c r="AS108" i="109"/>
  <c r="AS87" i="109"/>
  <c r="AN39" i="109"/>
  <c r="AS64" i="109"/>
  <c r="AS65" i="109"/>
  <c r="AS40" i="109"/>
  <c r="AS35" i="109"/>
  <c r="AS22" i="109"/>
  <c r="AS30" i="109"/>
  <c r="AS50" i="109"/>
  <c r="AF13" i="109"/>
  <c r="AS32" i="109"/>
  <c r="AS80" i="109"/>
  <c r="AS54" i="109"/>
  <c r="AS26" i="109"/>
  <c r="AS39" i="109"/>
  <c r="AS51" i="109"/>
  <c r="AS56" i="109"/>
  <c r="AS71" i="109"/>
  <c r="AS53" i="109"/>
  <c r="AS60" i="109"/>
  <c r="AS76" i="109"/>
  <c r="AS83" i="109"/>
  <c r="AS88" i="109"/>
  <c r="AS100" i="109"/>
  <c r="AS101" i="109"/>
  <c r="AH38" i="109"/>
  <c r="AT107" i="109"/>
  <c r="AT95" i="109"/>
  <c r="AP100" i="109"/>
  <c r="AN134" i="109"/>
  <c r="AS14" i="109"/>
  <c r="AS10" i="109"/>
  <c r="AS79" i="109"/>
  <c r="AS81" i="109"/>
  <c r="AF14" i="109"/>
  <c r="AS23" i="109"/>
  <c r="AS48" i="109"/>
  <c r="AS68" i="109"/>
  <c r="AS13" i="109"/>
  <c r="AS34" i="109"/>
  <c r="AS98" i="109"/>
  <c r="AS11" i="109"/>
  <c r="AS29" i="109"/>
  <c r="AS42" i="109"/>
  <c r="AS55" i="109"/>
  <c r="AS63" i="109"/>
  <c r="AS94" i="109"/>
  <c r="AG57" i="109"/>
  <c r="AS62" i="109"/>
  <c r="AS106" i="109"/>
  <c r="AS84" i="109"/>
  <c r="AS90" i="109"/>
  <c r="AS93" i="109"/>
  <c r="AS103" i="109"/>
  <c r="AN146" i="109"/>
  <c r="AS28" i="109"/>
  <c r="AS17" i="109"/>
  <c r="AS104" i="109"/>
  <c r="AS15" i="109"/>
  <c r="AS9" i="109"/>
  <c r="AS24" i="109"/>
  <c r="AS44" i="109"/>
  <c r="AS72" i="109"/>
  <c r="AS18" i="109"/>
  <c r="AS37" i="109"/>
  <c r="AS41" i="109"/>
  <c r="AS19" i="109"/>
  <c r="AS33" i="109"/>
  <c r="AS46" i="109"/>
  <c r="AS66" i="109"/>
  <c r="AS67" i="109"/>
  <c r="AS102" i="109"/>
  <c r="AS58" i="109"/>
  <c r="AS73" i="109"/>
  <c r="AS77" i="109"/>
  <c r="AS86" i="109"/>
  <c r="AS91" i="109"/>
  <c r="AS95" i="109"/>
  <c r="AS107" i="109"/>
  <c r="AH37" i="109"/>
  <c r="AO88" i="109"/>
  <c r="AO89" i="109" s="1"/>
  <c r="AO90" i="109" s="1"/>
  <c r="AO91" i="109" s="1"/>
  <c r="AO92" i="109" s="1"/>
  <c r="AO93" i="109" s="1"/>
  <c r="AO94" i="109" s="1"/>
  <c r="AO95" i="109" s="1"/>
  <c r="AO96" i="109" s="1"/>
  <c r="AO97" i="109" s="1"/>
  <c r="AO98" i="109" s="1"/>
  <c r="AO99" i="109" s="1"/>
  <c r="AO100" i="109" s="1"/>
  <c r="AO101" i="109" s="1"/>
  <c r="AO102" i="109" s="1"/>
  <c r="AO103" i="109" s="1"/>
  <c r="AO104" i="109" s="1"/>
  <c r="AO105" i="109" s="1"/>
  <c r="AO106" i="109" s="1"/>
  <c r="AO107" i="109" s="1"/>
  <c r="AO108" i="109" s="1"/>
  <c r="AO109" i="109" s="1"/>
  <c r="AO110" i="109" s="1"/>
  <c r="AO111" i="109" s="1"/>
  <c r="AO112" i="109" s="1"/>
  <c r="AO113" i="109" s="1"/>
  <c r="AO114" i="109" s="1"/>
  <c r="AO115" i="109" s="1"/>
  <c r="AO116" i="109" s="1"/>
  <c r="AO117" i="109" s="1"/>
  <c r="AO118" i="109"/>
  <c r="AO119" i="109" s="1"/>
  <c r="AO120" i="109" s="1"/>
  <c r="AO121" i="109" s="1"/>
  <c r="AO122" i="109" s="1"/>
  <c r="AO123" i="109" s="1"/>
  <c r="AO124" i="109" s="1"/>
  <c r="AO125" i="109" s="1"/>
  <c r="AO126" i="109" s="1"/>
  <c r="AO127" i="109" s="1"/>
  <c r="AO128" i="109" s="1"/>
  <c r="AO129" i="109" s="1"/>
  <c r="AO130" i="109" s="1"/>
  <c r="AO131" i="109" s="1"/>
  <c r="AO132" i="109" s="1"/>
  <c r="AO133" i="109" s="1"/>
  <c r="AO134" i="109" s="1"/>
  <c r="AO135" i="109" s="1"/>
  <c r="AO136" i="109" s="1"/>
  <c r="AO137" i="109" s="1"/>
  <c r="AO138" i="109" s="1"/>
  <c r="AO139" i="109" s="1"/>
  <c r="AO140" i="109" s="1"/>
  <c r="AO141" i="109" s="1"/>
  <c r="AO142" i="109" s="1"/>
  <c r="AO143" i="109" s="1"/>
  <c r="AO144" i="109" s="1"/>
  <c r="AO145" i="109" s="1"/>
  <c r="AO146" i="109" s="1"/>
  <c r="AO147" i="109" s="1"/>
  <c r="AE54" i="109"/>
  <c r="Z43" i="109"/>
  <c r="Z42" i="109"/>
  <c r="V48" i="110"/>
  <c r="AZ8" i="110"/>
  <c r="AZ7" i="110" s="1"/>
  <c r="AA55" i="110"/>
  <c r="V49" i="110"/>
  <c r="V50" i="110" s="1"/>
  <c r="BH8" i="109"/>
  <c r="AH57" i="109"/>
  <c r="AG56" i="109"/>
  <c r="BE23" i="112"/>
  <c r="BE24" i="112" s="1"/>
  <c r="AT102" i="109"/>
  <c r="AT100" i="109"/>
  <c r="AN141" i="109"/>
  <c r="AT104" i="109"/>
  <c r="AT99" i="109"/>
  <c r="AT96" i="109"/>
  <c r="AT94" i="109"/>
  <c r="AT105" i="109"/>
  <c r="AP105" i="109"/>
  <c r="AN133" i="109"/>
  <c r="AS57" i="109"/>
  <c r="AS61" i="109"/>
  <c r="AS75" i="109"/>
  <c r="AS78" i="109"/>
  <c r="AS85" i="109"/>
  <c r="AS89" i="109"/>
  <c r="AS96" i="109"/>
  <c r="AS97" i="109"/>
  <c r="X46" i="109"/>
  <c r="AM60" i="109"/>
  <c r="AM54" i="109"/>
  <c r="AM78" i="109"/>
  <c r="AM65" i="109"/>
  <c r="AM69" i="109"/>
  <c r="AM73" i="109"/>
  <c r="AM80" i="109"/>
  <c r="AM48" i="109"/>
  <c r="X44" i="109"/>
  <c r="AM59" i="109"/>
  <c r="AM85" i="109"/>
  <c r="X47" i="109"/>
  <c r="BM56" i="109"/>
  <c r="AM55" i="109"/>
  <c r="AM82" i="109"/>
  <c r="AM66" i="109"/>
  <c r="AM70" i="109"/>
  <c r="AM74" i="109"/>
  <c r="AM81" i="109"/>
  <c r="BM54" i="109"/>
  <c r="AM58" i="109"/>
  <c r="AT106" i="109"/>
  <c r="X48" i="109"/>
  <c r="BM57" i="109"/>
  <c r="X45" i="109"/>
  <c r="AM61" i="109"/>
  <c r="AM62" i="109"/>
  <c r="AM50" i="109"/>
  <c r="AM64" i="109"/>
  <c r="AM83" i="109"/>
  <c r="AM67" i="109"/>
  <c r="AM71" i="109"/>
  <c r="AM75" i="109"/>
  <c r="AM56" i="109"/>
  <c r="AN147" i="109"/>
  <c r="AT97" i="109"/>
  <c r="AN38" i="109"/>
  <c r="AM57" i="109"/>
  <c r="AT108" i="109"/>
  <c r="AT101" i="109"/>
  <c r="AN136" i="109"/>
  <c r="AN40" i="109"/>
  <c r="AM52" i="109"/>
  <c r="AN145" i="109"/>
  <c r="AT98" i="109"/>
  <c r="AN143" i="109"/>
  <c r="AP99" i="109"/>
  <c r="AN137" i="109"/>
  <c r="AN140" i="109"/>
  <c r="AX9" i="110"/>
  <c r="AX10" i="110" s="1"/>
  <c r="AX11" i="110" s="1"/>
  <c r="AX12" i="110" s="1"/>
  <c r="AX13" i="110" s="1"/>
  <c r="AX14" i="110" s="1"/>
  <c r="AX15" i="110" s="1"/>
  <c r="AX16" i="110" s="1"/>
  <c r="AX17" i="110" s="1"/>
  <c r="AX18" i="110" s="1"/>
  <c r="AX19" i="110" s="1"/>
  <c r="AX20" i="110" s="1"/>
  <c r="AX21" i="110" s="1"/>
  <c r="AX22" i="110" s="1"/>
  <c r="AX23" i="110" s="1"/>
  <c r="AX24" i="110" s="1"/>
  <c r="AX25" i="110" s="1"/>
  <c r="AX26" i="110" s="1"/>
  <c r="AX27" i="110" s="1"/>
  <c r="AX28" i="110" s="1"/>
  <c r="AX29" i="110" s="1"/>
  <c r="AX30" i="110" s="1"/>
  <c r="AX31" i="110" s="1"/>
  <c r="AX32" i="110" s="1"/>
  <c r="AX33" i="110" s="1"/>
  <c r="AX34" i="110" s="1"/>
  <c r="AX35" i="110" s="1"/>
  <c r="AX36" i="110" s="1"/>
  <c r="AX37" i="110" s="1"/>
  <c r="AX38" i="110" s="1"/>
  <c r="AX39" i="110" s="1"/>
  <c r="AX40" i="110" s="1"/>
  <c r="AX41" i="110" s="1"/>
  <c r="AX42" i="110" s="1"/>
  <c r="AX43" i="110" s="1"/>
  <c r="AX44" i="110" s="1"/>
  <c r="AX45" i="110" s="1"/>
  <c r="AX46" i="110" s="1"/>
  <c r="AX47" i="110" s="1"/>
  <c r="AX48" i="110" s="1"/>
  <c r="AX49" i="110" s="1"/>
  <c r="AX50" i="110" s="1"/>
  <c r="AX51" i="110" s="1"/>
  <c r="AX52" i="110" s="1"/>
  <c r="AX53" i="110" s="1"/>
  <c r="AX54" i="110" s="1"/>
  <c r="AX55" i="110" s="1"/>
  <c r="AX56" i="110" s="1"/>
  <c r="AX57" i="110" s="1"/>
  <c r="AX58" i="110" s="1"/>
  <c r="AX59" i="110" s="1"/>
  <c r="AX60" i="110" s="1"/>
  <c r="AX61" i="110" s="1"/>
  <c r="AX62" i="110" s="1"/>
  <c r="AX63" i="110" s="1"/>
  <c r="AX64" i="110" s="1"/>
  <c r="AX65" i="110" s="1"/>
  <c r="AX66" i="110" s="1"/>
  <c r="AX67" i="110" s="1"/>
  <c r="AX68" i="110" s="1"/>
  <c r="AX69" i="110" s="1"/>
  <c r="AX70" i="110" s="1"/>
  <c r="AX71" i="110" s="1"/>
  <c r="AX72" i="110" s="1"/>
  <c r="AX73" i="110" s="1"/>
  <c r="AX74" i="110" s="1"/>
  <c r="AX75" i="110" s="1"/>
  <c r="AX76" i="110" s="1"/>
  <c r="AX77" i="110" s="1"/>
  <c r="AX78" i="110" s="1"/>
  <c r="AX79" i="110" s="1"/>
  <c r="AX80" i="110" s="1"/>
  <c r="AX81" i="110" s="1"/>
  <c r="AX82" i="110" s="1"/>
  <c r="AX83" i="110" s="1"/>
  <c r="AX84" i="110" s="1"/>
  <c r="AX85" i="110" s="1"/>
  <c r="AX86" i="110" s="1"/>
  <c r="AX87" i="110" s="1"/>
  <c r="AX88" i="110" s="1"/>
  <c r="AX89" i="110" s="1"/>
  <c r="AX90" i="110" s="1"/>
  <c r="AX91" i="110" s="1"/>
  <c r="AX92" i="110" s="1"/>
  <c r="AX93" i="110" s="1"/>
  <c r="AX94" i="110" s="1"/>
  <c r="AX95" i="110" s="1"/>
  <c r="AX96" i="110" s="1"/>
  <c r="AX97" i="110" s="1"/>
  <c r="AX98" i="110" s="1"/>
  <c r="AX99" i="110" s="1"/>
  <c r="AX100" i="110" s="1"/>
  <c r="AX101" i="110" s="1"/>
  <c r="AX102" i="110" s="1"/>
  <c r="AX103" i="110" s="1"/>
  <c r="AX104" i="110" s="1"/>
  <c r="AX105" i="110" s="1"/>
  <c r="AX106" i="110" s="1"/>
  <c r="AX107" i="110" s="1"/>
  <c r="AX108" i="110" s="1"/>
  <c r="AX109" i="110" s="1"/>
  <c r="AX110" i="110" s="1"/>
  <c r="AX111" i="110" s="1"/>
  <c r="AX112" i="110" s="1"/>
  <c r="AX113" i="110" s="1"/>
  <c r="AX114" i="110" s="1"/>
  <c r="AX115" i="110" s="1"/>
  <c r="AX116" i="110" s="1"/>
  <c r="AX117" i="110" s="1"/>
  <c r="AX118" i="110" s="1"/>
  <c r="AX119" i="110" s="1"/>
  <c r="AX120" i="110" s="1"/>
  <c r="AX121" i="110" s="1"/>
  <c r="AX122" i="110" s="1"/>
  <c r="AX123" i="110" s="1"/>
  <c r="AX124" i="110" s="1"/>
  <c r="AX125" i="110" s="1"/>
  <c r="AX126" i="110" s="1"/>
  <c r="AX127" i="110" s="1"/>
  <c r="AX128" i="110" s="1"/>
  <c r="AX129" i="110" s="1"/>
  <c r="AK46" i="110"/>
  <c r="T36" i="110"/>
  <c r="AE89" i="110"/>
  <c r="AE88" i="110"/>
  <c r="AD75" i="110"/>
  <c r="AB75" i="110"/>
  <c r="AD77" i="110"/>
  <c r="AD81" i="110" s="1"/>
  <c r="BI22" i="110"/>
  <c r="C30" i="110" s="1"/>
  <c r="E27" i="109" s="1"/>
  <c r="V46" i="110"/>
  <c r="J12" i="110"/>
  <c r="J15" i="110"/>
  <c r="J19" i="110"/>
  <c r="R9" i="110"/>
  <c r="R10" i="110" s="1"/>
  <c r="R11" i="110" s="1"/>
  <c r="R12" i="110" s="1"/>
  <c r="R13" i="110" s="1"/>
  <c r="R14" i="110" s="1"/>
  <c r="R15" i="110" s="1"/>
  <c r="R16" i="110" s="1"/>
  <c r="R17" i="110" s="1"/>
  <c r="R18" i="110" s="1"/>
  <c r="R19" i="110" s="1"/>
  <c r="R20" i="110" s="1"/>
  <c r="R21" i="110" s="1"/>
  <c r="R22" i="110" s="1"/>
  <c r="R23" i="110" s="1"/>
  <c r="R24" i="110" s="1"/>
  <c r="R25" i="110" s="1"/>
  <c r="R26" i="110" s="1"/>
  <c r="R27" i="110" s="1"/>
  <c r="R28" i="110" s="1"/>
  <c r="R29" i="110" s="1"/>
  <c r="R30" i="110" s="1"/>
  <c r="R31" i="110" s="1"/>
  <c r="R32" i="110" s="1"/>
  <c r="R33" i="110" s="1"/>
  <c r="R34" i="110" s="1"/>
  <c r="R35" i="110" s="1"/>
  <c r="R36" i="110" s="1"/>
  <c r="R37" i="110" s="1"/>
  <c r="R38" i="110" s="1"/>
  <c r="R39" i="110" s="1"/>
  <c r="R40" i="110" s="1"/>
  <c r="R41" i="110" s="1"/>
  <c r="R42" i="110" s="1"/>
  <c r="R43" i="110" s="1"/>
  <c r="R44" i="110" s="1"/>
  <c r="R45" i="110" s="1"/>
  <c r="R46" i="110" s="1"/>
  <c r="R47" i="110" s="1"/>
  <c r="R48" i="110" s="1"/>
  <c r="R49" i="110" s="1"/>
  <c r="R50" i="110" s="1"/>
  <c r="R51" i="110" s="1"/>
  <c r="R52" i="110" s="1"/>
  <c r="R53" i="110" s="1"/>
  <c r="R54" i="110" s="1"/>
  <c r="R55" i="110" s="1"/>
  <c r="R56" i="110" s="1"/>
  <c r="R57" i="110" s="1"/>
  <c r="R58" i="110" s="1"/>
  <c r="R59" i="110" s="1"/>
  <c r="R60" i="110" s="1"/>
  <c r="R61" i="110" s="1"/>
  <c r="R62" i="110" s="1"/>
  <c r="R63" i="110" s="1"/>
  <c r="R64" i="110" s="1"/>
  <c r="R65" i="110" s="1"/>
  <c r="R66" i="110" s="1"/>
  <c r="R67" i="110" s="1"/>
  <c r="R68" i="110" s="1"/>
  <c r="R69" i="110" s="1"/>
  <c r="R70" i="110" s="1"/>
  <c r="R71" i="110" s="1"/>
  <c r="R72" i="110" s="1"/>
  <c r="R73" i="110" s="1"/>
  <c r="R74" i="110" s="1"/>
  <c r="R75" i="110" s="1"/>
  <c r="R76" i="110" s="1"/>
  <c r="R77" i="110" s="1"/>
  <c r="R78" i="110" s="1"/>
  <c r="R79" i="110" s="1"/>
  <c r="R80" i="110" s="1"/>
  <c r="R81" i="110" s="1"/>
  <c r="R82" i="110" s="1"/>
  <c r="R83" i="110" s="1"/>
  <c r="R84" i="110" s="1"/>
  <c r="R85" i="110" s="1"/>
  <c r="R86" i="110" s="1"/>
  <c r="R87" i="110" s="1"/>
  <c r="R88" i="110" s="1"/>
  <c r="R89" i="110" s="1"/>
  <c r="R90" i="110" s="1"/>
  <c r="R91" i="110" s="1"/>
  <c r="R92" i="110" s="1"/>
  <c r="R93" i="110" s="1"/>
  <c r="R94" i="110" s="1"/>
  <c r="R95" i="110" s="1"/>
  <c r="R96" i="110" s="1"/>
  <c r="R97" i="110" s="1"/>
  <c r="R98" i="110" s="1"/>
  <c r="R99" i="110" s="1"/>
  <c r="R100" i="110" s="1"/>
  <c r="R101" i="110" s="1"/>
  <c r="R102" i="110" s="1"/>
  <c r="R103" i="110" s="1"/>
  <c r="R104" i="110" s="1"/>
  <c r="R105" i="110" s="1"/>
  <c r="R106" i="110" s="1"/>
  <c r="R107" i="110" s="1"/>
  <c r="R108" i="110" s="1"/>
  <c r="R109" i="110" s="1"/>
  <c r="R110" i="110" s="1"/>
  <c r="R111" i="110" s="1"/>
  <c r="R112" i="110" s="1"/>
  <c r="R113" i="110" s="1"/>
  <c r="R114" i="110" s="1"/>
  <c r="R115" i="110" s="1"/>
  <c r="R116" i="110" s="1"/>
  <c r="R117" i="110" s="1"/>
  <c r="R118" i="110" s="1"/>
  <c r="R119" i="110" s="1"/>
  <c r="R120" i="110" s="1"/>
  <c r="R121" i="110" s="1"/>
  <c r="R122" i="110" s="1"/>
  <c r="R123" i="110" s="1"/>
  <c r="R124" i="110" s="1"/>
  <c r="R125" i="110" s="1"/>
  <c r="R126" i="110" s="1"/>
  <c r="R127" i="110" s="1"/>
  <c r="R128" i="110" s="1"/>
  <c r="R129" i="110" s="1"/>
  <c r="R130" i="110" s="1"/>
  <c r="R131" i="110" s="1"/>
  <c r="R132" i="110" s="1"/>
  <c r="R133" i="110" s="1"/>
  <c r="R134" i="110" s="1"/>
  <c r="R135" i="110" s="1"/>
  <c r="R136" i="110" s="1"/>
  <c r="R137" i="110" s="1"/>
  <c r="R138" i="110" s="1"/>
  <c r="R139" i="110" s="1"/>
  <c r="R140" i="110" s="1"/>
  <c r="R141" i="110" s="1"/>
  <c r="R142" i="110" s="1"/>
  <c r="R143" i="110" s="1"/>
  <c r="R144" i="110" s="1"/>
  <c r="R145" i="110" s="1"/>
  <c r="R146" i="110" s="1"/>
  <c r="R147" i="110" s="1"/>
  <c r="R148" i="110" s="1"/>
  <c r="R149" i="110" s="1"/>
  <c r="R150" i="110" s="1"/>
  <c r="R151" i="110" s="1"/>
  <c r="R152" i="110" s="1"/>
  <c r="R153" i="110" s="1"/>
  <c r="R154" i="110" s="1"/>
  <c r="R155" i="110" s="1"/>
  <c r="R156" i="110" s="1"/>
  <c r="R157" i="110" s="1"/>
  <c r="R158" i="110" s="1"/>
  <c r="R159" i="110" s="1"/>
  <c r="T41" i="110"/>
  <c r="AB77" i="110"/>
  <c r="AB81" i="110" s="1"/>
  <c r="AB76" i="110"/>
  <c r="AB74" i="110"/>
  <c r="AE90" i="110"/>
  <c r="BE22" i="110"/>
  <c r="U35" i="110"/>
  <c r="Z67" i="110"/>
  <c r="J13" i="110"/>
  <c r="J16" i="110"/>
  <c r="J17" i="110"/>
  <c r="J18" i="110"/>
  <c r="J20" i="110"/>
  <c r="J21" i="110"/>
  <c r="J22" i="110"/>
  <c r="J23" i="110"/>
  <c r="D10" i="110"/>
  <c r="AD76" i="110"/>
  <c r="AD73" i="110"/>
  <c r="AE85" i="110"/>
  <c r="AE86" i="110"/>
  <c r="T35" i="110"/>
  <c r="U36" i="110"/>
  <c r="J10" i="110"/>
  <c r="J31" i="110"/>
  <c r="J27" i="110"/>
  <c r="J25" i="110"/>
  <c r="AD78" i="110"/>
  <c r="AA6" i="110"/>
  <c r="AA4" i="110"/>
  <c r="AA15" i="110"/>
  <c r="C21" i="110" s="1"/>
  <c r="A15" i="110"/>
  <c r="C19" i="110"/>
  <c r="AA14" i="110" s="1"/>
  <c r="AA8" i="110"/>
  <c r="AA11" i="110"/>
  <c r="J11" i="110"/>
  <c r="V47" i="110"/>
  <c r="AE87" i="110"/>
  <c r="J47" i="110"/>
  <c r="J42" i="110"/>
  <c r="J40" i="110"/>
  <c r="J37" i="110"/>
  <c r="J33" i="110"/>
  <c r="J32" i="110"/>
  <c r="J30" i="110"/>
  <c r="J28" i="110"/>
  <c r="J24" i="110"/>
  <c r="AH54" i="109"/>
  <c r="AB73" i="110"/>
  <c r="AA67" i="110"/>
  <c r="AC67" i="110"/>
  <c r="F160" i="110"/>
  <c r="AZ110" i="110" s="1"/>
  <c r="AN11" i="110"/>
  <c r="AN19" i="110"/>
  <c r="AN23" i="110"/>
  <c r="F9" i="110"/>
  <c r="AZ9" i="110" s="1"/>
  <c r="AN9" i="110"/>
  <c r="AN13" i="110"/>
  <c r="AN14" i="110"/>
  <c r="F14" i="110"/>
  <c r="AZ14" i="110" s="1"/>
  <c r="AN17" i="110"/>
  <c r="F19" i="110"/>
  <c r="AZ19" i="110" s="1"/>
  <c r="AN21" i="110"/>
  <c r="AN24" i="110"/>
  <c r="AN10" i="110"/>
  <c r="F12" i="110"/>
  <c r="AZ12" i="110" s="1"/>
  <c r="AN15" i="110"/>
  <c r="AN16" i="110"/>
  <c r="F15" i="110"/>
  <c r="AZ15" i="110" s="1"/>
  <c r="AN20" i="110"/>
  <c r="F18" i="110"/>
  <c r="AZ18" i="110" s="1"/>
  <c r="F20" i="110"/>
  <c r="AZ20" i="110" s="1"/>
  <c r="F22" i="110"/>
  <c r="AZ22" i="110" s="1"/>
  <c r="F23" i="110"/>
  <c r="AZ23" i="110" s="1"/>
  <c r="AA12" i="110"/>
  <c r="A13" i="110"/>
  <c r="W22" i="110"/>
  <c r="V22" i="110"/>
  <c r="AC58" i="110"/>
  <c r="X22" i="110"/>
  <c r="E13" i="112"/>
  <c r="J12" i="112"/>
  <c r="AM14" i="112"/>
  <c r="F12" i="112"/>
  <c r="AZ12" i="112" s="1"/>
  <c r="AF68" i="112"/>
  <c r="AE68" i="112"/>
  <c r="AH67" i="112"/>
  <c r="AN13" i="112"/>
  <c r="AX12" i="112"/>
  <c r="AK46" i="103"/>
  <c r="AK50" i="103"/>
  <c r="AK47" i="103" s="1"/>
  <c r="BI11" i="94"/>
  <c r="AF68" i="111"/>
  <c r="AH67" i="111"/>
  <c r="C32" i="111" s="1"/>
  <c r="AE68" i="111"/>
  <c r="T35" i="103"/>
  <c r="V49" i="103"/>
  <c r="V50" i="103" s="1"/>
  <c r="V47" i="103" s="1"/>
  <c r="V48" i="103"/>
  <c r="D11" i="103"/>
  <c r="U35" i="103" s="1"/>
  <c r="AZ8" i="103"/>
  <c r="AZ7" i="103" s="1"/>
  <c r="BM54" i="94"/>
  <c r="G10" i="94"/>
  <c r="W10" i="94" s="1"/>
  <c r="H10" i="94"/>
  <c r="BK10" i="94" s="1"/>
  <c r="AR9" i="94"/>
  <c r="H9" i="94"/>
  <c r="BK9" i="94" s="1"/>
  <c r="AO118" i="94"/>
  <c r="AO119" i="94" s="1"/>
  <c r="AO120" i="94" s="1"/>
  <c r="AO121" i="94" s="1"/>
  <c r="AO122" i="94" s="1"/>
  <c r="AO123" i="94" s="1"/>
  <c r="AO124" i="94" s="1"/>
  <c r="AO125" i="94" s="1"/>
  <c r="AO126" i="94" s="1"/>
  <c r="AO127" i="94" s="1"/>
  <c r="AO128" i="94" s="1"/>
  <c r="AO129" i="94" s="1"/>
  <c r="AO130" i="94" s="1"/>
  <c r="AO131" i="94" s="1"/>
  <c r="AO132" i="94" s="1"/>
  <c r="AO133" i="94" s="1"/>
  <c r="AO134" i="94" s="1"/>
  <c r="AO135" i="94" s="1"/>
  <c r="AO136" i="94" s="1"/>
  <c r="AO137" i="94" s="1"/>
  <c r="AO138" i="94" s="1"/>
  <c r="AO139" i="94" s="1"/>
  <c r="AO140" i="94" s="1"/>
  <c r="AO141" i="94" s="1"/>
  <c r="AO142" i="94" s="1"/>
  <c r="AO143" i="94" s="1"/>
  <c r="AO144" i="94" s="1"/>
  <c r="AO145" i="94" s="1"/>
  <c r="AO146" i="94" s="1"/>
  <c r="AO147" i="94" s="1"/>
  <c r="AO88" i="94"/>
  <c r="AO89" i="94" s="1"/>
  <c r="AO90" i="94" s="1"/>
  <c r="AO91" i="94" s="1"/>
  <c r="AO92" i="94" s="1"/>
  <c r="AO93" i="94" s="1"/>
  <c r="AO94" i="94" s="1"/>
  <c r="AO95" i="94" s="1"/>
  <c r="AO96" i="94" s="1"/>
  <c r="AO97" i="94" s="1"/>
  <c r="AO98" i="94" s="1"/>
  <c r="AO99" i="94" s="1"/>
  <c r="AO100" i="94" s="1"/>
  <c r="AO101" i="94" s="1"/>
  <c r="AO102" i="94" s="1"/>
  <c r="AO103" i="94" s="1"/>
  <c r="AO104" i="94" s="1"/>
  <c r="AO105" i="94" s="1"/>
  <c r="AO106" i="94" s="1"/>
  <c r="AO107" i="94" s="1"/>
  <c r="AO108" i="94" s="1"/>
  <c r="AO109" i="94" s="1"/>
  <c r="AO110" i="94" s="1"/>
  <c r="AO111" i="94" s="1"/>
  <c r="AO112" i="94" s="1"/>
  <c r="AO113" i="94" s="1"/>
  <c r="AO114" i="94" s="1"/>
  <c r="AO115" i="94" s="1"/>
  <c r="AO116" i="94" s="1"/>
  <c r="AO117" i="94" s="1"/>
  <c r="AM83" i="94"/>
  <c r="AM72" i="94"/>
  <c r="AO46" i="94"/>
  <c r="D15" i="94"/>
  <c r="D23" i="94" s="1"/>
  <c r="AU8" i="94" s="1"/>
  <c r="AN46" i="94" s="1"/>
  <c r="X45" i="94"/>
  <c r="AM78" i="94"/>
  <c r="AM62" i="94"/>
  <c r="Z42" i="94"/>
  <c r="AM85" i="94" s="1"/>
  <c r="AK66" i="94"/>
  <c r="AD31" i="94"/>
  <c r="AM73" i="94"/>
  <c r="BK8" i="94"/>
  <c r="BK7" i="94" s="1"/>
  <c r="AN36" i="94"/>
  <c r="C17" i="111"/>
  <c r="J110" i="103"/>
  <c r="J141" i="103"/>
  <c r="J124" i="103"/>
  <c r="J118" i="103"/>
  <c r="J108" i="103"/>
  <c r="J156" i="103"/>
  <c r="J133" i="103"/>
  <c r="J126" i="103"/>
  <c r="J120" i="103"/>
  <c r="AM51" i="94"/>
  <c r="AM65" i="94"/>
  <c r="AM52" i="94"/>
  <c r="AM71" i="94"/>
  <c r="AM58" i="94"/>
  <c r="AM81" i="94"/>
  <c r="AM70" i="94"/>
  <c r="BM55" i="94"/>
  <c r="AM67" i="94"/>
  <c r="AM56" i="94"/>
  <c r="AM79" i="94"/>
  <c r="AM76" i="94"/>
  <c r="X44" i="94"/>
  <c r="AM57" i="94"/>
  <c r="AM55" i="94"/>
  <c r="AM84" i="94"/>
  <c r="AM50" i="94"/>
  <c r="AM148" i="94" s="1"/>
  <c r="AM82" i="94"/>
  <c r="AM74" i="94"/>
  <c r="AM75" i="94"/>
  <c r="AM53" i="94"/>
  <c r="AM63" i="94"/>
  <c r="AM80" i="94"/>
  <c r="AM68" i="94"/>
  <c r="AM86" i="94"/>
  <c r="AM77" i="94"/>
  <c r="AM69" i="94"/>
  <c r="AM54" i="94"/>
  <c r="AM66" i="94"/>
  <c r="AM49" i="94"/>
  <c r="AR10" i="94"/>
  <c r="AQ11" i="94"/>
  <c r="AM87" i="94"/>
  <c r="Z45" i="94"/>
  <c r="AA55" i="103"/>
  <c r="F14" i="103" s="1"/>
  <c r="AZ14" i="103" s="1"/>
  <c r="G11" i="94"/>
  <c r="X41" i="103"/>
  <c r="AF81" i="103"/>
  <c r="AF67" i="103" s="1"/>
  <c r="AE81" i="103"/>
  <c r="AE67" i="103" s="1"/>
  <c r="J77" i="103"/>
  <c r="AX13" i="111"/>
  <c r="E12" i="111"/>
  <c r="J11" i="111"/>
  <c r="AM12" i="111"/>
  <c r="AN11" i="111"/>
  <c r="AA15" i="103"/>
  <c r="C21" i="103" s="1"/>
  <c r="V13" i="103"/>
  <c r="U13" i="103"/>
  <c r="AM35" i="94"/>
  <c r="AB81" i="103"/>
  <c r="V41" i="103"/>
  <c r="AA81" i="103"/>
  <c r="AA67" i="103" s="1"/>
  <c r="AC81" i="103"/>
  <c r="AC66" i="103" s="1"/>
  <c r="AC67" i="103" s="1"/>
  <c r="Z50" i="103"/>
  <c r="AD81" i="103"/>
  <c r="Z52" i="103"/>
  <c r="Y52" i="103" s="1"/>
  <c r="Z41" i="103"/>
  <c r="T41" i="103" s="1"/>
  <c r="W41" i="103"/>
  <c r="Z49" i="103"/>
  <c r="D7" i="103"/>
  <c r="Z81" i="103"/>
  <c r="J68" i="103"/>
  <c r="J80" i="103"/>
  <c r="J157" i="103"/>
  <c r="J150" i="103"/>
  <c r="J142" i="103"/>
  <c r="J134" i="103"/>
  <c r="J125" i="103"/>
  <c r="J123" i="103"/>
  <c r="J119" i="103"/>
  <c r="J117" i="103"/>
  <c r="J104" i="103"/>
  <c r="J97" i="103"/>
  <c r="J84" i="103"/>
  <c r="J78" i="103"/>
  <c r="J70" i="103"/>
  <c r="J69" i="103"/>
  <c r="J155" i="103"/>
  <c r="J148" i="103"/>
  <c r="J140" i="103"/>
  <c r="J132" i="103"/>
  <c r="J116" i="103"/>
  <c r="J105" i="103"/>
  <c r="J102" i="103"/>
  <c r="J94" i="103"/>
  <c r="J75" i="103"/>
  <c r="J154" i="103"/>
  <c r="J147" i="103"/>
  <c r="J139" i="103"/>
  <c r="J131" i="103"/>
  <c r="J128" i="103"/>
  <c r="J122" i="103"/>
  <c r="J100" i="103"/>
  <c r="J98" i="103"/>
  <c r="J86" i="103"/>
  <c r="J85" i="103"/>
  <c r="J79" i="103"/>
  <c r="J76" i="103"/>
  <c r="J146" i="103"/>
  <c r="J138" i="103"/>
  <c r="J130" i="103"/>
  <c r="J114" i="103"/>
  <c r="J112" i="103"/>
  <c r="J101" i="103"/>
  <c r="J73" i="103"/>
  <c r="J71" i="103"/>
  <c r="J93" i="103"/>
  <c r="J88" i="103"/>
  <c r="J159" i="103"/>
  <c r="J153" i="103"/>
  <c r="J145" i="103"/>
  <c r="J137" i="103"/>
  <c r="J129" i="103"/>
  <c r="J121" i="103"/>
  <c r="J115" i="103"/>
  <c r="J109" i="103"/>
  <c r="J103" i="103"/>
  <c r="J95" i="103"/>
  <c r="J81" i="103"/>
  <c r="J90" i="103"/>
  <c r="J83" i="103"/>
  <c r="J152" i="103"/>
  <c r="J144" i="103"/>
  <c r="J136" i="103"/>
  <c r="J127" i="103"/>
  <c r="J111" i="103"/>
  <c r="J107" i="103"/>
  <c r="J106" i="103"/>
  <c r="J96" i="103"/>
  <c r="J91" i="103"/>
  <c r="J89" i="103"/>
  <c r="J74" i="103"/>
  <c r="J82" i="103"/>
  <c r="J158" i="103"/>
  <c r="J151" i="103"/>
  <c r="J143" i="103"/>
  <c r="J135" i="103"/>
  <c r="J113" i="103"/>
  <c r="J99" i="103"/>
  <c r="AA11" i="103"/>
  <c r="AA9" i="103"/>
  <c r="AA5" i="103"/>
  <c r="A13" i="103"/>
  <c r="AA8" i="103"/>
  <c r="C31" i="103"/>
  <c r="AA10" i="103"/>
  <c r="T14" i="103"/>
  <c r="C19" i="103"/>
  <c r="AA7" i="103"/>
  <c r="AA4" i="103"/>
  <c r="C20" i="103"/>
  <c r="AA6" i="103"/>
  <c r="AA12" i="103"/>
  <c r="Y53" i="103"/>
  <c r="A28" i="103"/>
  <c r="J105" i="109"/>
  <c r="AN142" i="109"/>
  <c r="AP103" i="109"/>
  <c r="Y128" i="109"/>
  <c r="J93" i="109"/>
  <c r="T14" i="110"/>
  <c r="AA10" i="110"/>
  <c r="AH55" i="109"/>
  <c r="AG55" i="109" s="1"/>
  <c r="C20" i="110"/>
  <c r="AH56" i="109"/>
  <c r="AA9" i="110"/>
  <c r="AA7" i="110"/>
  <c r="AA5" i="110"/>
  <c r="C31" i="110"/>
  <c r="L95" i="105"/>
  <c r="P95" i="105" s="1"/>
  <c r="N95" i="105" s="1"/>
  <c r="W130" i="105"/>
  <c r="AO93" i="105"/>
  <c r="AS93" i="106"/>
  <c r="AM132" i="106"/>
  <c r="J93" i="105"/>
  <c r="U36" i="103"/>
  <c r="Y135" i="109"/>
  <c r="BL99" i="109"/>
  <c r="Y132" i="109"/>
  <c r="AL38" i="105"/>
  <c r="AL37" i="105"/>
  <c r="AL39" i="105"/>
  <c r="AL40" i="105"/>
  <c r="AF35" i="106"/>
  <c r="AF37" i="106" s="1"/>
  <c r="AF38" i="106" s="1"/>
  <c r="AF39" i="106" s="1"/>
  <c r="AF40" i="106" s="1"/>
  <c r="AL35" i="106"/>
  <c r="AT94" i="106"/>
  <c r="BG95" i="106"/>
  <c r="AU95" i="106"/>
  <c r="AY95" i="106" s="1"/>
  <c r="AW95" i="106" s="1"/>
  <c r="AT95" i="106" s="1"/>
  <c r="BL140" i="106"/>
  <c r="L94" i="105"/>
  <c r="AF35" i="105"/>
  <c r="AF37" i="105" s="1"/>
  <c r="AF38" i="105" s="1"/>
  <c r="AF39" i="105" s="1"/>
  <c r="AF40" i="105" s="1"/>
  <c r="S95" i="105"/>
  <c r="W129" i="105"/>
  <c r="BL140" i="105"/>
  <c r="BG95" i="105"/>
  <c r="AU94" i="105"/>
  <c r="B8" i="65"/>
  <c r="B33" i="65"/>
  <c r="B23" i="65"/>
  <c r="B37" i="65"/>
  <c r="B18" i="65"/>
  <c r="B34" i="65"/>
  <c r="B12" i="65"/>
  <c r="B14" i="65"/>
  <c r="B10" i="65"/>
  <c r="AM61" i="94"/>
  <c r="B7" i="65"/>
  <c r="B16" i="65"/>
  <c r="B30" i="65"/>
  <c r="B31" i="65"/>
  <c r="B20" i="65"/>
  <c r="B36" i="65"/>
  <c r="B27" i="65"/>
  <c r="B28" i="65"/>
  <c r="B19" i="65"/>
  <c r="B15" i="65"/>
  <c r="B35" i="65"/>
  <c r="B9" i="65"/>
  <c r="B32" i="65"/>
  <c r="B13" i="65"/>
  <c r="B17" i="65"/>
  <c r="B11" i="65"/>
  <c r="B29" i="65"/>
  <c r="Y140" i="109"/>
  <c r="J107" i="109"/>
  <c r="D13" i="94"/>
  <c r="AS9" i="94" s="1"/>
  <c r="J96" i="109"/>
  <c r="AN38" i="94"/>
  <c r="AN40" i="94"/>
  <c r="AN39" i="94"/>
  <c r="AN37" i="94"/>
  <c r="Z46" i="61"/>
  <c r="D21" i="61" s="1"/>
  <c r="BI22" i="103"/>
  <c r="BI23" i="103" s="1"/>
  <c r="BI24" i="103" s="1"/>
  <c r="J99" i="109"/>
  <c r="F1" i="103"/>
  <c r="Z44" i="61"/>
  <c r="D15" i="61" s="1"/>
  <c r="AM60" i="94"/>
  <c r="AA13" i="103"/>
  <c r="BL106" i="109"/>
  <c r="G6" i="61"/>
  <c r="Z43" i="61" s="1"/>
  <c r="G23" i="61" s="1"/>
  <c r="J106" i="109"/>
  <c r="AA39" i="61"/>
  <c r="Z58" i="103"/>
  <c r="BE22" i="103"/>
  <c r="D17" i="103"/>
  <c r="J95" i="109"/>
  <c r="Y142" i="109"/>
  <c r="BL96" i="109"/>
  <c r="BL95" i="109"/>
  <c r="J101" i="109"/>
  <c r="J104" i="109"/>
  <c r="Y129" i="109"/>
  <c r="Y139" i="109"/>
  <c r="AH37" i="94"/>
  <c r="D22" i="61"/>
  <c r="AH39" i="94"/>
  <c r="AH40" i="94"/>
  <c r="Y138" i="109"/>
  <c r="J103" i="109"/>
  <c r="Y143" i="109"/>
  <c r="BL108" i="109"/>
  <c r="J102" i="109"/>
  <c r="BL102" i="109"/>
  <c r="J98" i="109"/>
  <c r="BL101" i="109"/>
  <c r="J100" i="109"/>
  <c r="BL98" i="109"/>
  <c r="J97" i="109"/>
  <c r="J94" i="109"/>
  <c r="V10" i="94" l="1"/>
  <c r="U11" i="94"/>
  <c r="BA8" i="111"/>
  <c r="C25" i="94"/>
  <c r="BH8" i="94"/>
  <c r="AM148" i="109"/>
  <c r="F17" i="110"/>
  <c r="AZ17" i="110" s="1"/>
  <c r="AN22" i="110"/>
  <c r="AN25" i="110"/>
  <c r="AN29" i="110"/>
  <c r="AN30" i="110"/>
  <c r="AN32" i="110"/>
  <c r="F36" i="110"/>
  <c r="AZ36" i="110" s="1"/>
  <c r="F10" i="110"/>
  <c r="AZ10" i="110" s="1"/>
  <c r="F16" i="110"/>
  <c r="AZ16" i="110" s="1"/>
  <c r="F21" i="110"/>
  <c r="AZ21" i="110" s="1"/>
  <c r="F24" i="110"/>
  <c r="AZ24" i="110" s="1"/>
  <c r="F25" i="110"/>
  <c r="AZ25" i="110" s="1"/>
  <c r="F26" i="110"/>
  <c r="AZ26" i="110" s="1"/>
  <c r="AN33" i="110"/>
  <c r="AN34" i="110"/>
  <c r="AN35" i="110"/>
  <c r="F34" i="110"/>
  <c r="AZ34" i="110" s="1"/>
  <c r="AN38" i="110"/>
  <c r="F37" i="110"/>
  <c r="AZ37" i="110" s="1"/>
  <c r="F39" i="110"/>
  <c r="AZ39" i="110" s="1"/>
  <c r="AN42" i="110"/>
  <c r="AN12" i="110"/>
  <c r="F13" i="110"/>
  <c r="AZ13" i="110" s="1"/>
  <c r="AN28" i="110"/>
  <c r="F27" i="110"/>
  <c r="AZ27" i="110" s="1"/>
  <c r="F28" i="110"/>
  <c r="AZ28" i="110" s="1"/>
  <c r="F29" i="110"/>
  <c r="AZ29" i="110" s="1"/>
  <c r="F30" i="110"/>
  <c r="AZ30" i="110" s="1"/>
  <c r="F32" i="110"/>
  <c r="AZ32" i="110" s="1"/>
  <c r="F33" i="110"/>
  <c r="AZ33" i="110" s="1"/>
  <c r="AN36" i="110"/>
  <c r="F35" i="110"/>
  <c r="AZ35" i="110" s="1"/>
  <c r="F38" i="110"/>
  <c r="AZ38" i="110" s="1"/>
  <c r="AN18" i="110"/>
  <c r="AN39" i="110"/>
  <c r="F41" i="110"/>
  <c r="AZ41" i="110" s="1"/>
  <c r="AN44" i="110"/>
  <c r="AN45" i="110"/>
  <c r="F44" i="110"/>
  <c r="AZ44" i="110" s="1"/>
  <c r="F46" i="110"/>
  <c r="AZ46" i="110" s="1"/>
  <c r="AN50" i="110"/>
  <c r="AN53" i="110"/>
  <c r="AN55" i="110"/>
  <c r="F54" i="110"/>
  <c r="AZ54" i="110" s="1"/>
  <c r="AN58" i="110"/>
  <c r="F58" i="110"/>
  <c r="AZ58" i="110" s="1"/>
  <c r="F59" i="110"/>
  <c r="AZ59" i="110" s="1"/>
  <c r="AN66" i="110"/>
  <c r="F65" i="110"/>
  <c r="AZ65" i="110" s="1"/>
  <c r="AN69" i="110"/>
  <c r="F69" i="110"/>
  <c r="AZ69" i="110" s="1"/>
  <c r="AN75" i="110"/>
  <c r="AN76" i="110"/>
  <c r="AN26" i="110"/>
  <c r="F31" i="110"/>
  <c r="AZ31" i="110" s="1"/>
  <c r="F40" i="110"/>
  <c r="AZ40" i="110" s="1"/>
  <c r="F45" i="110"/>
  <c r="AZ45" i="110" s="1"/>
  <c r="AN49" i="110"/>
  <c r="AN57" i="110"/>
  <c r="AN60" i="110"/>
  <c r="AN62" i="110"/>
  <c r="F62" i="110"/>
  <c r="AZ62" i="110" s="1"/>
  <c r="AN67" i="110"/>
  <c r="AN68" i="110"/>
  <c r="AN70" i="110"/>
  <c r="AN72" i="110"/>
  <c r="AN77" i="110"/>
  <c r="AN31" i="110"/>
  <c r="AN41" i="110"/>
  <c r="F42" i="110"/>
  <c r="AZ42" i="110" s="1"/>
  <c r="AN46" i="110"/>
  <c r="AN47" i="110"/>
  <c r="F48" i="110"/>
  <c r="AZ48" i="110" s="1"/>
  <c r="F49" i="110"/>
  <c r="AZ49" i="110" s="1"/>
  <c r="AN52" i="110"/>
  <c r="AN54" i="110"/>
  <c r="AN56" i="110"/>
  <c r="F56" i="110"/>
  <c r="AZ56" i="110" s="1"/>
  <c r="AN59" i="110"/>
  <c r="AN61" i="110"/>
  <c r="F60" i="110"/>
  <c r="AZ60" i="110" s="1"/>
  <c r="F61" i="110"/>
  <c r="AZ61" i="110" s="1"/>
  <c r="AN65" i="110"/>
  <c r="F71" i="110"/>
  <c r="AZ71" i="110" s="1"/>
  <c r="F72" i="110"/>
  <c r="AZ72" i="110" s="1"/>
  <c r="F74" i="110"/>
  <c r="AZ74" i="110" s="1"/>
  <c r="F75" i="110"/>
  <c r="AZ75" i="110" s="1"/>
  <c r="AN78" i="110"/>
  <c r="AN27" i="110"/>
  <c r="AN37" i="110"/>
  <c r="F50" i="110"/>
  <c r="AZ50" i="110" s="1"/>
  <c r="F55" i="110"/>
  <c r="AZ55" i="110" s="1"/>
  <c r="F63" i="110"/>
  <c r="AZ63" i="110" s="1"/>
  <c r="F67" i="110"/>
  <c r="AZ67" i="110" s="1"/>
  <c r="AN71" i="110"/>
  <c r="AN80" i="110"/>
  <c r="AN81" i="110"/>
  <c r="AN82" i="110"/>
  <c r="F81" i="110"/>
  <c r="AZ81" i="110" s="1"/>
  <c r="AN92" i="110"/>
  <c r="F91" i="110"/>
  <c r="AZ91" i="110" s="1"/>
  <c r="AN95" i="110"/>
  <c r="AN96" i="110"/>
  <c r="F95" i="110"/>
  <c r="AZ95" i="110" s="1"/>
  <c r="F96" i="110"/>
  <c r="AZ96" i="110" s="1"/>
  <c r="AN101" i="110"/>
  <c r="F100" i="110"/>
  <c r="AZ100" i="110" s="1"/>
  <c r="F103" i="110"/>
  <c r="AZ103" i="110" s="1"/>
  <c r="AN107" i="110"/>
  <c r="AN108" i="110"/>
  <c r="AN110" i="110"/>
  <c r="AN111" i="110"/>
  <c r="AN115" i="110"/>
  <c r="F114" i="110"/>
  <c r="AN117" i="110"/>
  <c r="F116" i="110"/>
  <c r="AN119" i="110"/>
  <c r="AN120" i="110"/>
  <c r="AN122" i="110"/>
  <c r="AN126" i="110"/>
  <c r="AN128" i="110"/>
  <c r="F129" i="110"/>
  <c r="F133" i="110"/>
  <c r="F137" i="110"/>
  <c r="F141" i="110"/>
  <c r="F145" i="110"/>
  <c r="F150" i="110"/>
  <c r="F154" i="110"/>
  <c r="F158" i="110"/>
  <c r="AZ108" i="110" s="1"/>
  <c r="AN63" i="110"/>
  <c r="AN64" i="110"/>
  <c r="F68" i="110"/>
  <c r="AZ68" i="110" s="1"/>
  <c r="AN73" i="110"/>
  <c r="F73" i="110"/>
  <c r="AZ73" i="110" s="1"/>
  <c r="F77" i="110"/>
  <c r="AZ77" i="110" s="1"/>
  <c r="F80" i="110"/>
  <c r="AZ80" i="110" s="1"/>
  <c r="AN83" i="110"/>
  <c r="AN84" i="110"/>
  <c r="F83" i="110"/>
  <c r="AZ83" i="110" s="1"/>
  <c r="F84" i="110"/>
  <c r="AZ84" i="110" s="1"/>
  <c r="AN87" i="110"/>
  <c r="AN88" i="110"/>
  <c r="F87" i="110"/>
  <c r="AZ87" i="110" s="1"/>
  <c r="F88" i="110"/>
  <c r="AZ88" i="110" s="1"/>
  <c r="F89" i="110"/>
  <c r="AZ89" i="110" s="1"/>
  <c r="F90" i="110"/>
  <c r="AZ90" i="110" s="1"/>
  <c r="AN94" i="110"/>
  <c r="F93" i="110"/>
  <c r="AZ93" i="110" s="1"/>
  <c r="F98" i="110"/>
  <c r="AZ98" i="110" s="1"/>
  <c r="AN102" i="110"/>
  <c r="AN103" i="110"/>
  <c r="F102" i="110"/>
  <c r="AZ102" i="110" s="1"/>
  <c r="AN109" i="110"/>
  <c r="AN112" i="110"/>
  <c r="F112" i="110"/>
  <c r="F119" i="110"/>
  <c r="AN123" i="110"/>
  <c r="F123" i="110"/>
  <c r="AN127" i="110"/>
  <c r="F128" i="110"/>
  <c r="F132" i="110"/>
  <c r="F136" i="110"/>
  <c r="F140" i="110"/>
  <c r="F144" i="110"/>
  <c r="F149" i="110"/>
  <c r="F153" i="110"/>
  <c r="F157" i="110"/>
  <c r="F43" i="110"/>
  <c r="AZ43" i="110" s="1"/>
  <c r="AN51" i="110"/>
  <c r="F52" i="110"/>
  <c r="AZ52" i="110" s="1"/>
  <c r="F66" i="110"/>
  <c r="AZ66" i="110" s="1"/>
  <c r="AN74" i="110"/>
  <c r="F82" i="110"/>
  <c r="AZ82" i="110" s="1"/>
  <c r="AN85" i="110"/>
  <c r="AN86" i="110"/>
  <c r="AN89" i="110"/>
  <c r="AN90" i="110"/>
  <c r="AN91" i="110"/>
  <c r="AN93" i="110"/>
  <c r="AN97" i="110"/>
  <c r="AN98" i="110"/>
  <c r="F97" i="110"/>
  <c r="AZ97" i="110" s="1"/>
  <c r="AN104" i="110"/>
  <c r="AN105" i="110"/>
  <c r="F104" i="110"/>
  <c r="AZ104" i="110" s="1"/>
  <c r="F106" i="110"/>
  <c r="AZ106" i="110" s="1"/>
  <c r="F108" i="110"/>
  <c r="F111" i="110"/>
  <c r="F113" i="110"/>
  <c r="AN116" i="110"/>
  <c r="F115" i="110"/>
  <c r="AN118" i="110"/>
  <c r="F118" i="110"/>
  <c r="AN121" i="110"/>
  <c r="F120" i="110"/>
  <c r="F122" i="110"/>
  <c r="F124" i="110"/>
  <c r="F127" i="110"/>
  <c r="F131" i="110"/>
  <c r="F135" i="110"/>
  <c r="F139" i="110"/>
  <c r="F143" i="110"/>
  <c r="F147" i="110"/>
  <c r="F148" i="110"/>
  <c r="F152" i="110"/>
  <c r="F156" i="110"/>
  <c r="AN48" i="110"/>
  <c r="F57" i="110"/>
  <c r="AZ57" i="110" s="1"/>
  <c r="F64" i="110"/>
  <c r="AZ64" i="110" s="1"/>
  <c r="F70" i="110"/>
  <c r="AZ70" i="110" s="1"/>
  <c r="F79" i="110"/>
  <c r="AZ79" i="110" s="1"/>
  <c r="F105" i="110"/>
  <c r="AZ105" i="110" s="1"/>
  <c r="AN114" i="110"/>
  <c r="AN124" i="110"/>
  <c r="F125" i="110"/>
  <c r="F134" i="110"/>
  <c r="F155" i="110"/>
  <c r="F159" i="110"/>
  <c r="AZ109" i="110" s="1"/>
  <c r="F53" i="110"/>
  <c r="AZ53" i="110" s="1"/>
  <c r="F92" i="110"/>
  <c r="AZ92" i="110" s="1"/>
  <c r="AN106" i="110"/>
  <c r="F121" i="110"/>
  <c r="F138" i="110"/>
  <c r="AN40" i="110"/>
  <c r="AN43" i="110"/>
  <c r="F51" i="110"/>
  <c r="AZ51" i="110" s="1"/>
  <c r="F85" i="110"/>
  <c r="AZ85" i="110" s="1"/>
  <c r="AN99" i="110"/>
  <c r="AN100" i="110"/>
  <c r="F99" i="110"/>
  <c r="AZ99" i="110" s="1"/>
  <c r="F101" i="110"/>
  <c r="AZ101" i="110" s="1"/>
  <c r="F107" i="110"/>
  <c r="AZ107" i="110" s="1"/>
  <c r="AN113" i="110"/>
  <c r="AN125" i="110"/>
  <c r="F126" i="110"/>
  <c r="F142" i="110"/>
  <c r="F11" i="110"/>
  <c r="AZ11" i="110" s="1"/>
  <c r="F47" i="110"/>
  <c r="AZ47" i="110" s="1"/>
  <c r="F76" i="110"/>
  <c r="AZ76" i="110" s="1"/>
  <c r="AN79" i="110"/>
  <c r="F78" i="110"/>
  <c r="AZ78" i="110" s="1"/>
  <c r="F86" i="110"/>
  <c r="AZ86" i="110" s="1"/>
  <c r="F94" i="110"/>
  <c r="AZ94" i="110" s="1"/>
  <c r="F109" i="110"/>
  <c r="F110" i="110"/>
  <c r="F117" i="110"/>
  <c r="AN129" i="110"/>
  <c r="F130" i="110"/>
  <c r="F146" i="110"/>
  <c r="F151" i="110"/>
  <c r="AM86" i="109"/>
  <c r="Z44" i="109"/>
  <c r="H9" i="109"/>
  <c r="BK9" i="109" s="1"/>
  <c r="AR9" i="109"/>
  <c r="AR13" i="109"/>
  <c r="AR15" i="109"/>
  <c r="AR16" i="109"/>
  <c r="AR17" i="109"/>
  <c r="H13" i="109"/>
  <c r="BK13" i="109" s="1"/>
  <c r="H16" i="109"/>
  <c r="BK16" i="109" s="1"/>
  <c r="AR23" i="109"/>
  <c r="H21" i="109"/>
  <c r="BK21" i="109" s="1"/>
  <c r="H22" i="109"/>
  <c r="BK22" i="109" s="1"/>
  <c r="AR27" i="109"/>
  <c r="H24" i="109"/>
  <c r="BK24" i="109" s="1"/>
  <c r="H25" i="109"/>
  <c r="BK25" i="109" s="1"/>
  <c r="AR30" i="109"/>
  <c r="AR31" i="109"/>
  <c r="H29" i="109"/>
  <c r="BK29" i="109" s="1"/>
  <c r="AR34" i="109"/>
  <c r="AR35" i="109"/>
  <c r="H32" i="109"/>
  <c r="BK32" i="109" s="1"/>
  <c r="AR38" i="109"/>
  <c r="H36" i="109"/>
  <c r="BK36" i="109" s="1"/>
  <c r="AR41" i="109"/>
  <c r="H37" i="109"/>
  <c r="BK37" i="109" s="1"/>
  <c r="H39" i="109"/>
  <c r="BK39" i="109" s="1"/>
  <c r="H40" i="109"/>
  <c r="BK40" i="109" s="1"/>
  <c r="AR11" i="109"/>
  <c r="H11" i="109"/>
  <c r="BK11" i="109" s="1"/>
  <c r="H12" i="109"/>
  <c r="BK12" i="109" s="1"/>
  <c r="H15" i="109"/>
  <c r="BK15" i="109" s="1"/>
  <c r="AR20" i="109"/>
  <c r="AR21" i="109"/>
  <c r="H17" i="109"/>
  <c r="BK17" i="109" s="1"/>
  <c r="AR22" i="109"/>
  <c r="H19" i="109"/>
  <c r="BK19" i="109" s="1"/>
  <c r="H20" i="109"/>
  <c r="BK20" i="109" s="1"/>
  <c r="AR26" i="109"/>
  <c r="AR28" i="109"/>
  <c r="AR29" i="109"/>
  <c r="H26" i="109"/>
  <c r="BK26" i="109" s="1"/>
  <c r="H27" i="109"/>
  <c r="BK27" i="109" s="1"/>
  <c r="H28" i="109"/>
  <c r="BK28" i="109" s="1"/>
  <c r="H31" i="109"/>
  <c r="BK31" i="109" s="1"/>
  <c r="H33" i="109"/>
  <c r="BK33" i="109" s="1"/>
  <c r="AR39" i="109"/>
  <c r="AR40" i="109"/>
  <c r="AR44" i="109"/>
  <c r="AR14" i="109"/>
  <c r="AR12" i="109"/>
  <c r="H14" i="109"/>
  <c r="BK14" i="109" s="1"/>
  <c r="AR19" i="109"/>
  <c r="AR24" i="109"/>
  <c r="AR32" i="109"/>
  <c r="AR37" i="109"/>
  <c r="H35" i="109"/>
  <c r="BK35" i="109" s="1"/>
  <c r="AR42" i="109"/>
  <c r="AR10" i="109"/>
  <c r="H10" i="109"/>
  <c r="BK10" i="109" s="1"/>
  <c r="H18" i="109"/>
  <c r="BK18" i="109" s="1"/>
  <c r="H23" i="109"/>
  <c r="BK23" i="109" s="1"/>
  <c r="AR36" i="109"/>
  <c r="AR43" i="109"/>
  <c r="AR52" i="109"/>
  <c r="H48" i="109"/>
  <c r="BK48" i="109" s="1"/>
  <c r="AR53" i="109"/>
  <c r="H53" i="109"/>
  <c r="BK53" i="109" s="1"/>
  <c r="AR61" i="109"/>
  <c r="AR62" i="109"/>
  <c r="AR64" i="109"/>
  <c r="AR68" i="109"/>
  <c r="H64" i="109"/>
  <c r="BK64" i="109" s="1"/>
  <c r="H65" i="109"/>
  <c r="BK65" i="109" s="1"/>
  <c r="AR71" i="109"/>
  <c r="AR72" i="109"/>
  <c r="AR75" i="109"/>
  <c r="AR76" i="109"/>
  <c r="H74" i="109"/>
  <c r="BK74" i="109" s="1"/>
  <c r="AR25" i="109"/>
  <c r="H38" i="109"/>
  <c r="BK38" i="109" s="1"/>
  <c r="H41" i="109"/>
  <c r="BK41" i="109" s="1"/>
  <c r="AR48" i="109"/>
  <c r="H45" i="109"/>
  <c r="BK45" i="109" s="1"/>
  <c r="AR49" i="109"/>
  <c r="AR50" i="109"/>
  <c r="H47" i="109"/>
  <c r="BK47" i="109" s="1"/>
  <c r="H51" i="109"/>
  <c r="BK51" i="109" s="1"/>
  <c r="H52" i="109"/>
  <c r="BK52" i="109" s="1"/>
  <c r="AR57" i="109"/>
  <c r="AR60" i="109"/>
  <c r="H58" i="109"/>
  <c r="BK58" i="109" s="1"/>
  <c r="AR65" i="109"/>
  <c r="AR66" i="109"/>
  <c r="H62" i="109"/>
  <c r="BK62" i="109" s="1"/>
  <c r="AR70" i="109"/>
  <c r="H66" i="109"/>
  <c r="BK66" i="109" s="1"/>
  <c r="AR73" i="109"/>
  <c r="H69" i="109"/>
  <c r="BK69" i="109" s="1"/>
  <c r="H70" i="109"/>
  <c r="BK70" i="109" s="1"/>
  <c r="H72" i="109"/>
  <c r="BK72" i="109" s="1"/>
  <c r="AR78" i="109"/>
  <c r="AR18" i="109"/>
  <c r="H34" i="109"/>
  <c r="BK34" i="109" s="1"/>
  <c r="AR45" i="109"/>
  <c r="H42" i="109"/>
  <c r="BK42" i="109" s="1"/>
  <c r="AR47" i="109"/>
  <c r="H46" i="109"/>
  <c r="BK46" i="109" s="1"/>
  <c r="H50" i="109"/>
  <c r="BK50" i="109" s="1"/>
  <c r="AR55" i="109"/>
  <c r="AR56" i="109"/>
  <c r="AR58" i="109"/>
  <c r="H54" i="109"/>
  <c r="BK54" i="109" s="1"/>
  <c r="H55" i="109"/>
  <c r="BK55" i="109" s="1"/>
  <c r="AR59" i="109"/>
  <c r="H56" i="109"/>
  <c r="BK56" i="109" s="1"/>
  <c r="H57" i="109"/>
  <c r="BK57" i="109" s="1"/>
  <c r="AR63" i="109"/>
  <c r="H59" i="109"/>
  <c r="BK59" i="109" s="1"/>
  <c r="H63" i="109"/>
  <c r="BK63" i="109" s="1"/>
  <c r="H68" i="109"/>
  <c r="BK68" i="109" s="1"/>
  <c r="AR74" i="109"/>
  <c r="H71" i="109"/>
  <c r="BK71" i="109" s="1"/>
  <c r="AR77" i="109"/>
  <c r="H73" i="109"/>
  <c r="BK73" i="109" s="1"/>
  <c r="AR33" i="109"/>
  <c r="H30" i="109"/>
  <c r="BK30" i="109" s="1"/>
  <c r="AR51" i="109"/>
  <c r="H60" i="109"/>
  <c r="BK60" i="109" s="1"/>
  <c r="H67" i="109"/>
  <c r="BK67" i="109" s="1"/>
  <c r="AR80" i="109"/>
  <c r="AR81" i="109"/>
  <c r="AR82" i="109"/>
  <c r="AR83" i="109"/>
  <c r="H81" i="109"/>
  <c r="BK81" i="109" s="1"/>
  <c r="AR89" i="109"/>
  <c r="AR91" i="109"/>
  <c r="AR92" i="109"/>
  <c r="H89" i="109"/>
  <c r="BK89" i="109" s="1"/>
  <c r="H90" i="109"/>
  <c r="BK90" i="109" s="1"/>
  <c r="H92" i="109"/>
  <c r="BK92" i="109" s="1"/>
  <c r="AR98" i="109"/>
  <c r="AR101" i="109"/>
  <c r="H98" i="109"/>
  <c r="BK98" i="109" s="1"/>
  <c r="H100" i="109"/>
  <c r="BK100" i="109" s="1"/>
  <c r="AR104" i="109"/>
  <c r="AR105" i="109"/>
  <c r="H104" i="109"/>
  <c r="BK104" i="109" s="1"/>
  <c r="AR108" i="109"/>
  <c r="AR46" i="109"/>
  <c r="H43" i="109"/>
  <c r="BK43" i="109" s="1"/>
  <c r="AR54" i="109"/>
  <c r="AR67" i="109"/>
  <c r="H76" i="109"/>
  <c r="BK76" i="109" s="1"/>
  <c r="H77" i="109"/>
  <c r="BK77" i="109" s="1"/>
  <c r="AR84" i="109"/>
  <c r="AR85" i="109"/>
  <c r="AR87" i="109"/>
  <c r="H83" i="109"/>
  <c r="BK83" i="109" s="1"/>
  <c r="H84" i="109"/>
  <c r="BK84" i="109" s="1"/>
  <c r="AR90" i="109"/>
  <c r="H86" i="109"/>
  <c r="BK86" i="109" s="1"/>
  <c r="H88" i="109"/>
  <c r="BK88" i="109" s="1"/>
  <c r="AR95" i="109"/>
  <c r="H91" i="109"/>
  <c r="BK91" i="109" s="1"/>
  <c r="H93" i="109"/>
  <c r="BK93" i="109" s="1"/>
  <c r="AR97" i="109"/>
  <c r="H102" i="109"/>
  <c r="BK102" i="109" s="1"/>
  <c r="AR106" i="109"/>
  <c r="H103" i="109"/>
  <c r="BK103" i="109" s="1"/>
  <c r="AR107" i="109"/>
  <c r="H105" i="109"/>
  <c r="BK105" i="109" s="1"/>
  <c r="H106" i="109"/>
  <c r="BK106" i="109" s="1"/>
  <c r="H108" i="109"/>
  <c r="BK108" i="109" s="1"/>
  <c r="H49" i="109"/>
  <c r="BK49" i="109" s="1"/>
  <c r="H80" i="109"/>
  <c r="BK80" i="109" s="1"/>
  <c r="AR86" i="109"/>
  <c r="AR88" i="109"/>
  <c r="AR93" i="109"/>
  <c r="AR96" i="109"/>
  <c r="H94" i="109"/>
  <c r="BK94" i="109" s="1"/>
  <c r="AR99" i="109"/>
  <c r="H95" i="109"/>
  <c r="BK95" i="109" s="1"/>
  <c r="H96" i="109"/>
  <c r="BK96" i="109" s="1"/>
  <c r="H97" i="109"/>
  <c r="BK97" i="109" s="1"/>
  <c r="AR102" i="109"/>
  <c r="AR103" i="109"/>
  <c r="H99" i="109"/>
  <c r="BK99" i="109" s="1"/>
  <c r="H61" i="109"/>
  <c r="BK61" i="109" s="1"/>
  <c r="AR69" i="109"/>
  <c r="H79" i="109"/>
  <c r="BK79" i="109" s="1"/>
  <c r="H101" i="109"/>
  <c r="BK101" i="109" s="1"/>
  <c r="H44" i="109"/>
  <c r="BK44" i="109" s="1"/>
  <c r="H85" i="109"/>
  <c r="BK85" i="109" s="1"/>
  <c r="H87" i="109"/>
  <c r="BK87" i="109" s="1"/>
  <c r="AR94" i="109"/>
  <c r="H107" i="109"/>
  <c r="BK107" i="109" s="1"/>
  <c r="H82" i="109"/>
  <c r="BK82" i="109" s="1"/>
  <c r="AR79" i="109"/>
  <c r="H75" i="109"/>
  <c r="BK75" i="109" s="1"/>
  <c r="H78" i="109"/>
  <c r="BK78" i="109" s="1"/>
  <c r="AR100" i="109"/>
  <c r="AV9" i="109"/>
  <c r="AZ9" i="109" s="1"/>
  <c r="AU8" i="109"/>
  <c r="AN46" i="109" s="1"/>
  <c r="AB6" i="110"/>
  <c r="D31" i="110"/>
  <c r="AB10" i="110"/>
  <c r="D20" i="110"/>
  <c r="D19" i="110"/>
  <c r="AB14" i="110" s="1"/>
  <c r="AI46" i="110" s="1"/>
  <c r="AB12" i="110"/>
  <c r="Y54" i="110"/>
  <c r="AB9" i="110"/>
  <c r="AB15" i="110"/>
  <c r="D21" i="110" s="1"/>
  <c r="AB11" i="110"/>
  <c r="AB8" i="110"/>
  <c r="AB4" i="110"/>
  <c r="AB7" i="110"/>
  <c r="AB5" i="110"/>
  <c r="A29" i="110"/>
  <c r="D12" i="110"/>
  <c r="C12" i="110"/>
  <c r="AE68" i="110"/>
  <c r="AF68" i="110"/>
  <c r="AA68" i="110"/>
  <c r="A28" i="110"/>
  <c r="C23" i="110"/>
  <c r="AB66" i="110"/>
  <c r="AB67" i="110" s="1"/>
  <c r="AF67" i="110" s="1"/>
  <c r="F2" i="110"/>
  <c r="AD66" i="110"/>
  <c r="AD67" i="110" s="1"/>
  <c r="AE67" i="110" s="1"/>
  <c r="AH68" i="110" s="1"/>
  <c r="G2" i="110"/>
  <c r="AH68" i="112"/>
  <c r="D32" i="112"/>
  <c r="C32" i="112"/>
  <c r="AM15" i="112"/>
  <c r="AN14" i="112"/>
  <c r="AX13" i="112"/>
  <c r="J13" i="112"/>
  <c r="E14" i="112"/>
  <c r="F13" i="112"/>
  <c r="AZ13" i="112" s="1"/>
  <c r="V46" i="103"/>
  <c r="D32" i="111"/>
  <c r="D28" i="111" s="1"/>
  <c r="AH68" i="111"/>
  <c r="BJ11" i="94"/>
  <c r="BB11" i="94" s="1"/>
  <c r="BI12" i="94"/>
  <c r="Z58" i="111"/>
  <c r="D17" i="111"/>
  <c r="U13" i="111"/>
  <c r="C23" i="111" s="1"/>
  <c r="BE22" i="111"/>
  <c r="C19" i="111"/>
  <c r="V13" i="111"/>
  <c r="AA13" i="111"/>
  <c r="C23" i="103"/>
  <c r="AE68" i="103"/>
  <c r="AF68" i="103"/>
  <c r="G12" i="94"/>
  <c r="W11" i="94"/>
  <c r="H11" i="94"/>
  <c r="BK11" i="94" s="1"/>
  <c r="BM56" i="94"/>
  <c r="X46" i="94"/>
  <c r="AQ12" i="94"/>
  <c r="AR11" i="94"/>
  <c r="F18" i="103"/>
  <c r="AZ18" i="103" s="1"/>
  <c r="F30" i="103"/>
  <c r="AZ30" i="103" s="1"/>
  <c r="F46" i="103"/>
  <c r="AZ46" i="103" s="1"/>
  <c r="F62" i="103"/>
  <c r="AZ62" i="103" s="1"/>
  <c r="F78" i="103"/>
  <c r="AZ78" i="103" s="1"/>
  <c r="F94" i="103"/>
  <c r="AZ94" i="103" s="1"/>
  <c r="F110" i="103"/>
  <c r="F126" i="103"/>
  <c r="F142" i="103"/>
  <c r="F19" i="103"/>
  <c r="AZ19" i="103" s="1"/>
  <c r="F35" i="103"/>
  <c r="AZ35" i="103" s="1"/>
  <c r="F51" i="103"/>
  <c r="AZ51" i="103" s="1"/>
  <c r="F67" i="103"/>
  <c r="AZ67" i="103" s="1"/>
  <c r="F83" i="103"/>
  <c r="AZ83" i="103" s="1"/>
  <c r="F99" i="103"/>
  <c r="AZ99" i="103" s="1"/>
  <c r="F115" i="103"/>
  <c r="F131" i="103"/>
  <c r="F147" i="103"/>
  <c r="F28" i="103"/>
  <c r="AZ28" i="103" s="1"/>
  <c r="F44" i="103"/>
  <c r="AZ44" i="103" s="1"/>
  <c r="F60" i="103"/>
  <c r="AZ60" i="103" s="1"/>
  <c r="F76" i="103"/>
  <c r="AZ76" i="103" s="1"/>
  <c r="F92" i="103"/>
  <c r="AZ92" i="103" s="1"/>
  <c r="F108" i="103"/>
  <c r="F124" i="103"/>
  <c r="F140" i="103"/>
  <c r="F17" i="103"/>
  <c r="AZ17" i="103" s="1"/>
  <c r="F33" i="103"/>
  <c r="AZ33" i="103" s="1"/>
  <c r="F49" i="103"/>
  <c r="AZ49" i="103" s="1"/>
  <c r="F65" i="103"/>
  <c r="AZ65" i="103" s="1"/>
  <c r="F81" i="103"/>
  <c r="AZ81" i="103" s="1"/>
  <c r="F97" i="103"/>
  <c r="AZ97" i="103" s="1"/>
  <c r="F113" i="103"/>
  <c r="F129" i="103"/>
  <c r="F145" i="103"/>
  <c r="F155" i="103"/>
  <c r="F152" i="103"/>
  <c r="F157" i="103"/>
  <c r="AN9" i="103"/>
  <c r="F34" i="103"/>
  <c r="AZ34" i="103" s="1"/>
  <c r="F50" i="103"/>
  <c r="AZ50" i="103" s="1"/>
  <c r="F66" i="103"/>
  <c r="AZ66" i="103" s="1"/>
  <c r="F82" i="103"/>
  <c r="AZ82" i="103" s="1"/>
  <c r="F98" i="103"/>
  <c r="AZ98" i="103" s="1"/>
  <c r="F114" i="103"/>
  <c r="F130" i="103"/>
  <c r="F146" i="103"/>
  <c r="F23" i="103"/>
  <c r="AZ23" i="103" s="1"/>
  <c r="F39" i="103"/>
  <c r="AZ39" i="103" s="1"/>
  <c r="F55" i="103"/>
  <c r="AZ55" i="103" s="1"/>
  <c r="F71" i="103"/>
  <c r="AZ71" i="103" s="1"/>
  <c r="F87" i="103"/>
  <c r="AZ87" i="103" s="1"/>
  <c r="F103" i="103"/>
  <c r="AZ103" i="103" s="1"/>
  <c r="F119" i="103"/>
  <c r="F135" i="103"/>
  <c r="F16" i="103"/>
  <c r="AZ16" i="103" s="1"/>
  <c r="F32" i="103"/>
  <c r="AZ32" i="103" s="1"/>
  <c r="F48" i="103"/>
  <c r="AZ48" i="103" s="1"/>
  <c r="F64" i="103"/>
  <c r="AZ64" i="103" s="1"/>
  <c r="F80" i="103"/>
  <c r="AZ80" i="103" s="1"/>
  <c r="F96" i="103"/>
  <c r="AZ96" i="103" s="1"/>
  <c r="F112" i="103"/>
  <c r="F128" i="103"/>
  <c r="F144" i="103"/>
  <c r="F21" i="103"/>
  <c r="AZ21" i="103" s="1"/>
  <c r="F37" i="103"/>
  <c r="AZ37" i="103" s="1"/>
  <c r="F53" i="103"/>
  <c r="AZ53" i="103" s="1"/>
  <c r="F69" i="103"/>
  <c r="AZ69" i="103" s="1"/>
  <c r="F85" i="103"/>
  <c r="AZ85" i="103" s="1"/>
  <c r="F101" i="103"/>
  <c r="AZ101" i="103" s="1"/>
  <c r="F117" i="103"/>
  <c r="F133" i="103"/>
  <c r="F149" i="103"/>
  <c r="F154" i="103"/>
  <c r="F156" i="103"/>
  <c r="F10" i="103"/>
  <c r="AZ10" i="103" s="1"/>
  <c r="F22" i="103"/>
  <c r="AZ22" i="103" s="1"/>
  <c r="F38" i="103"/>
  <c r="AZ38" i="103" s="1"/>
  <c r="F54" i="103"/>
  <c r="AZ54" i="103" s="1"/>
  <c r="F70" i="103"/>
  <c r="AZ70" i="103" s="1"/>
  <c r="F86" i="103"/>
  <c r="AZ86" i="103" s="1"/>
  <c r="F102" i="103"/>
  <c r="AZ102" i="103" s="1"/>
  <c r="F118" i="103"/>
  <c r="F134" i="103"/>
  <c r="F150" i="103"/>
  <c r="F27" i="103"/>
  <c r="AZ27" i="103" s="1"/>
  <c r="F43" i="103"/>
  <c r="AZ43" i="103" s="1"/>
  <c r="F59" i="103"/>
  <c r="AZ59" i="103" s="1"/>
  <c r="F75" i="103"/>
  <c r="AZ75" i="103" s="1"/>
  <c r="F91" i="103"/>
  <c r="AZ91" i="103" s="1"/>
  <c r="F107" i="103"/>
  <c r="AZ107" i="103" s="1"/>
  <c r="F123" i="103"/>
  <c r="F139" i="103"/>
  <c r="F151" i="103"/>
  <c r="F20" i="103"/>
  <c r="AZ20" i="103" s="1"/>
  <c r="F36" i="103"/>
  <c r="AZ36" i="103" s="1"/>
  <c r="F52" i="103"/>
  <c r="AZ52" i="103" s="1"/>
  <c r="F68" i="103"/>
  <c r="AZ68" i="103" s="1"/>
  <c r="F84" i="103"/>
  <c r="AZ84" i="103" s="1"/>
  <c r="F100" i="103"/>
  <c r="AZ100" i="103" s="1"/>
  <c r="F116" i="103"/>
  <c r="F132" i="103"/>
  <c r="F148" i="103"/>
  <c r="F25" i="103"/>
  <c r="AZ25" i="103" s="1"/>
  <c r="F41" i="103"/>
  <c r="AZ41" i="103" s="1"/>
  <c r="F57" i="103"/>
  <c r="AZ57" i="103" s="1"/>
  <c r="F73" i="103"/>
  <c r="AZ73" i="103" s="1"/>
  <c r="F89" i="103"/>
  <c r="AZ89" i="103" s="1"/>
  <c r="F105" i="103"/>
  <c r="AZ105" i="103" s="1"/>
  <c r="F121" i="103"/>
  <c r="F137" i="103"/>
  <c r="F158" i="103"/>
  <c r="AZ108" i="103" s="1"/>
  <c r="F159" i="103"/>
  <c r="AZ109" i="103" s="1"/>
  <c r="F160" i="103"/>
  <c r="AZ110" i="103" s="1"/>
  <c r="AN11" i="103"/>
  <c r="F74" i="103"/>
  <c r="AZ74" i="103" s="1"/>
  <c r="F138" i="103"/>
  <c r="F63" i="103"/>
  <c r="AZ63" i="103" s="1"/>
  <c r="F127" i="103"/>
  <c r="F24" i="103"/>
  <c r="AZ24" i="103" s="1"/>
  <c r="F88" i="103"/>
  <c r="AZ88" i="103" s="1"/>
  <c r="F13" i="103"/>
  <c r="AZ13" i="103" s="1"/>
  <c r="F77" i="103"/>
  <c r="AZ77" i="103" s="1"/>
  <c r="F141" i="103"/>
  <c r="F11" i="103"/>
  <c r="AZ11" i="103" s="1"/>
  <c r="AN16" i="103"/>
  <c r="AN17" i="103"/>
  <c r="AN18" i="103"/>
  <c r="AN20" i="103"/>
  <c r="AN21" i="103"/>
  <c r="AN22" i="103"/>
  <c r="AN24" i="103"/>
  <c r="AN30" i="103"/>
  <c r="AN33" i="103"/>
  <c r="AN35" i="103"/>
  <c r="AN39" i="103"/>
  <c r="AN42" i="103"/>
  <c r="AN43" i="103"/>
  <c r="AN44" i="103"/>
  <c r="AN47" i="103"/>
  <c r="AN48" i="103"/>
  <c r="AN51" i="103"/>
  <c r="AN55" i="103"/>
  <c r="AN57" i="103"/>
  <c r="AN62" i="103"/>
  <c r="AN63" i="103"/>
  <c r="AN64" i="103"/>
  <c r="AN65" i="103"/>
  <c r="AN66" i="103"/>
  <c r="AN68" i="103"/>
  <c r="AN73" i="103"/>
  <c r="AN80" i="103"/>
  <c r="AN83" i="103"/>
  <c r="AN91" i="103"/>
  <c r="AN94" i="103"/>
  <c r="AN97" i="103"/>
  <c r="AN102" i="103"/>
  <c r="AN111" i="103"/>
  <c r="AN113" i="103"/>
  <c r="AN115" i="103"/>
  <c r="AN117" i="103"/>
  <c r="AN120" i="103"/>
  <c r="AN122" i="103"/>
  <c r="AN127" i="103"/>
  <c r="F26" i="103"/>
  <c r="AZ26" i="103" s="1"/>
  <c r="F90" i="103"/>
  <c r="AZ90" i="103" s="1"/>
  <c r="F15" i="103"/>
  <c r="AZ15" i="103" s="1"/>
  <c r="F79" i="103"/>
  <c r="AZ79" i="103" s="1"/>
  <c r="F143" i="103"/>
  <c r="F40" i="103"/>
  <c r="AZ40" i="103" s="1"/>
  <c r="F104" i="103"/>
  <c r="AZ104" i="103" s="1"/>
  <c r="F29" i="103"/>
  <c r="AZ29" i="103" s="1"/>
  <c r="F93" i="103"/>
  <c r="AZ93" i="103" s="1"/>
  <c r="AN28" i="103"/>
  <c r="AN29" i="103"/>
  <c r="AN46" i="103"/>
  <c r="AN50" i="103"/>
  <c r="AN56" i="103"/>
  <c r="AN60" i="103"/>
  <c r="AN61" i="103"/>
  <c r="AN67" i="103"/>
  <c r="AN70" i="103"/>
  <c r="AN72" i="103"/>
  <c r="AN75" i="103"/>
  <c r="AN76" i="103"/>
  <c r="AN79" i="103"/>
  <c r="AN82" i="103"/>
  <c r="AN85" i="103"/>
  <c r="AN87" i="103"/>
  <c r="AN93" i="103"/>
  <c r="AN96" i="103"/>
  <c r="AN100" i="103"/>
  <c r="AN101" i="103"/>
  <c r="AN105" i="103"/>
  <c r="AN108" i="103"/>
  <c r="AN119" i="103"/>
  <c r="AN124" i="103"/>
  <c r="F42" i="103"/>
  <c r="AZ42" i="103" s="1"/>
  <c r="F106" i="103"/>
  <c r="AZ106" i="103" s="1"/>
  <c r="F31" i="103"/>
  <c r="AZ31" i="103" s="1"/>
  <c r="F95" i="103"/>
  <c r="AZ95" i="103" s="1"/>
  <c r="F56" i="103"/>
  <c r="AZ56" i="103" s="1"/>
  <c r="F120" i="103"/>
  <c r="F45" i="103"/>
  <c r="AZ45" i="103" s="1"/>
  <c r="F109" i="103"/>
  <c r="F9" i="103"/>
  <c r="AZ9" i="103" s="1"/>
  <c r="AN10" i="103"/>
  <c r="AN12" i="103"/>
  <c r="AN19" i="103"/>
  <c r="AN23" i="103"/>
  <c r="AN25" i="103"/>
  <c r="AN26" i="103"/>
  <c r="AN31" i="103"/>
  <c r="AN32" i="103"/>
  <c r="AN34" i="103"/>
  <c r="AN36" i="103"/>
  <c r="AN37" i="103"/>
  <c r="AN38" i="103"/>
  <c r="AN40" i="103"/>
  <c r="AN41" i="103"/>
  <c r="AN45" i="103"/>
  <c r="AN54" i="103"/>
  <c r="AN58" i="103"/>
  <c r="AN59" i="103"/>
  <c r="AN69" i="103"/>
  <c r="AN71" i="103"/>
  <c r="AN78" i="103"/>
  <c r="AN86" i="103"/>
  <c r="AN90" i="103"/>
  <c r="AN92" i="103"/>
  <c r="AN95" i="103"/>
  <c r="AN104" i="103"/>
  <c r="AN107" i="103"/>
  <c r="AN110" i="103"/>
  <c r="AN112" i="103"/>
  <c r="AN114" i="103"/>
  <c r="AN116" i="103"/>
  <c r="AN121" i="103"/>
  <c r="AN123" i="103"/>
  <c r="AN126" i="103"/>
  <c r="AN129" i="103"/>
  <c r="F58" i="103"/>
  <c r="AZ58" i="103" s="1"/>
  <c r="F122" i="103"/>
  <c r="F47" i="103"/>
  <c r="AZ47" i="103" s="1"/>
  <c r="F111" i="103"/>
  <c r="F12" i="103"/>
  <c r="AZ12" i="103" s="1"/>
  <c r="F72" i="103"/>
  <c r="AZ72" i="103" s="1"/>
  <c r="F136" i="103"/>
  <c r="F61" i="103"/>
  <c r="AZ61" i="103" s="1"/>
  <c r="F125" i="103"/>
  <c r="F153" i="103"/>
  <c r="AN13" i="103"/>
  <c r="AN14" i="103"/>
  <c r="AN15" i="103"/>
  <c r="AN27" i="103"/>
  <c r="AN49" i="103"/>
  <c r="AN52" i="103"/>
  <c r="AN53" i="103"/>
  <c r="AN74" i="103"/>
  <c r="AN77" i="103"/>
  <c r="AN81" i="103"/>
  <c r="AN84" i="103"/>
  <c r="AN88" i="103"/>
  <c r="AN89" i="103"/>
  <c r="AN98" i="103"/>
  <c r="AN99" i="103"/>
  <c r="AN103" i="103"/>
  <c r="AN106" i="103"/>
  <c r="AN109" i="103"/>
  <c r="AN118" i="103"/>
  <c r="AN125" i="103"/>
  <c r="AN128" i="103"/>
  <c r="Z46" i="94"/>
  <c r="AM88" i="94"/>
  <c r="AX14" i="111"/>
  <c r="AM13" i="111"/>
  <c r="AN12" i="111"/>
  <c r="J12" i="111"/>
  <c r="E13" i="111"/>
  <c r="F12" i="111"/>
  <c r="AZ12" i="111" s="1"/>
  <c r="AA14" i="103"/>
  <c r="AD66" i="103"/>
  <c r="AD67" i="103" s="1"/>
  <c r="AH68" i="103" s="1"/>
  <c r="G2" i="103"/>
  <c r="T17" i="103"/>
  <c r="Z66" i="103"/>
  <c r="Z67" i="103" s="1"/>
  <c r="AA68" i="103"/>
  <c r="F2" i="103"/>
  <c r="AB66" i="103"/>
  <c r="AB67" i="103" s="1"/>
  <c r="T46" i="103"/>
  <c r="E27" i="94"/>
  <c r="AS56" i="94"/>
  <c r="A15" i="103"/>
  <c r="D32" i="103"/>
  <c r="D28" i="103" s="1"/>
  <c r="AW8" i="103" s="1"/>
  <c r="AB5" i="103"/>
  <c r="D20" i="103"/>
  <c r="AB9" i="103"/>
  <c r="AB6" i="103"/>
  <c r="AB8" i="103"/>
  <c r="D31" i="103"/>
  <c r="AB12" i="103"/>
  <c r="AB11" i="103"/>
  <c r="AB15" i="103"/>
  <c r="D21" i="103" s="1"/>
  <c r="AB10" i="103"/>
  <c r="AB4" i="103"/>
  <c r="A29" i="103"/>
  <c r="Y54" i="103"/>
  <c r="AB7" i="103"/>
  <c r="G71" i="61"/>
  <c r="AO95" i="106"/>
  <c r="AS95" i="106"/>
  <c r="AM134" i="106"/>
  <c r="AL38" i="106"/>
  <c r="AL39" i="106"/>
  <c r="AL37" i="106"/>
  <c r="AL40" i="106"/>
  <c r="W131" i="105"/>
  <c r="S96" i="105"/>
  <c r="L96" i="105"/>
  <c r="P96" i="105" s="1"/>
  <c r="N96" i="105" s="1"/>
  <c r="BG96" i="106"/>
  <c r="BL141" i="106"/>
  <c r="AU96" i="106"/>
  <c r="AY96" i="106" s="1"/>
  <c r="AW96" i="106" s="1"/>
  <c r="AT96" i="106" s="1"/>
  <c r="AY94" i="105"/>
  <c r="AW94" i="105" s="1"/>
  <c r="BG96" i="105"/>
  <c r="BL141" i="105"/>
  <c r="AU96" i="105"/>
  <c r="AY96" i="105" s="1"/>
  <c r="AW96" i="105" s="1"/>
  <c r="AS94" i="106"/>
  <c r="AO94" i="106"/>
  <c r="AM133" i="106"/>
  <c r="P94" i="105"/>
  <c r="G77" i="61"/>
  <c r="AS34" i="94"/>
  <c r="AS11" i="94"/>
  <c r="AS66" i="94"/>
  <c r="AS48" i="94"/>
  <c r="AG57" i="94"/>
  <c r="AG56" i="94" s="1"/>
  <c r="U36" i="61"/>
  <c r="U37" i="61" s="1"/>
  <c r="U38" i="61" s="1"/>
  <c r="U39" i="61" s="1"/>
  <c r="U40" i="61" s="1"/>
  <c r="U41" i="61" s="1"/>
  <c r="U42" i="61" s="1"/>
  <c r="U43" i="61" s="1"/>
  <c r="U44" i="61" s="1"/>
  <c r="U45" i="61" s="1"/>
  <c r="U46" i="61" s="1"/>
  <c r="U47" i="61" s="1"/>
  <c r="U48" i="61" s="1"/>
  <c r="U49" i="61" s="1"/>
  <c r="U50" i="61" s="1"/>
  <c r="U51" i="61" s="1"/>
  <c r="U52" i="61" s="1"/>
  <c r="U53" i="61" s="1"/>
  <c r="U54" i="61" s="1"/>
  <c r="U55" i="61" s="1"/>
  <c r="U56" i="61" s="1"/>
  <c r="U57" i="61" s="1"/>
  <c r="U58" i="61" s="1"/>
  <c r="U59" i="61" s="1"/>
  <c r="U60" i="61" s="1"/>
  <c r="U61" i="61" s="1"/>
  <c r="U62" i="61" s="1"/>
  <c r="U63" i="61" s="1"/>
  <c r="U64" i="61" s="1"/>
  <c r="U65" i="61" s="1"/>
  <c r="U66" i="61" s="1"/>
  <c r="U67" i="61" s="1"/>
  <c r="U68" i="61" s="1"/>
  <c r="U69" i="61" s="1"/>
  <c r="U70" i="61" s="1"/>
  <c r="U71" i="61" s="1"/>
  <c r="U72" i="61" s="1"/>
  <c r="U73" i="61" s="1"/>
  <c r="U74" i="61" s="1"/>
  <c r="U75" i="61" s="1"/>
  <c r="U76" i="61" s="1"/>
  <c r="G68" i="61"/>
  <c r="G76" i="61"/>
  <c r="G48" i="61"/>
  <c r="G52" i="61"/>
  <c r="G32" i="61"/>
  <c r="G21" i="61"/>
  <c r="G47" i="61"/>
  <c r="G40" i="61"/>
  <c r="G28" i="61"/>
  <c r="G83" i="61"/>
  <c r="G43" i="61"/>
  <c r="G56" i="61"/>
  <c r="G44" i="61"/>
  <c r="G39" i="61"/>
  <c r="G13" i="61"/>
  <c r="G10" i="61"/>
  <c r="G18" i="61"/>
  <c r="AS75" i="94"/>
  <c r="G51" i="61"/>
  <c r="G19" i="61"/>
  <c r="G75" i="61"/>
  <c r="G64" i="61"/>
  <c r="AS58" i="94"/>
  <c r="AS101" i="94"/>
  <c r="G20" i="61"/>
  <c r="G41" i="61"/>
  <c r="G14" i="61"/>
  <c r="AS85" i="94"/>
  <c r="AS65" i="94"/>
  <c r="AS53" i="94"/>
  <c r="AS27" i="94"/>
  <c r="AS97" i="94"/>
  <c r="AS63" i="94"/>
  <c r="AS90" i="94"/>
  <c r="AS82" i="94"/>
  <c r="AS86" i="94"/>
  <c r="AS108" i="94"/>
  <c r="AS40" i="94"/>
  <c r="AS94" i="94"/>
  <c r="AS18" i="94"/>
  <c r="AS70" i="94"/>
  <c r="AF13" i="94"/>
  <c r="AS96" i="94"/>
  <c r="AS33" i="94"/>
  <c r="AS25" i="94"/>
  <c r="AS46" i="94"/>
  <c r="AS73" i="94"/>
  <c r="AS61" i="94"/>
  <c r="AS16" i="94"/>
  <c r="AS55" i="94"/>
  <c r="AS50" i="94"/>
  <c r="AS77" i="94"/>
  <c r="AS21" i="94"/>
  <c r="AS29" i="94"/>
  <c r="AS74" i="94"/>
  <c r="AS79" i="94"/>
  <c r="AS38" i="94"/>
  <c r="AS35" i="94"/>
  <c r="AS23" i="94"/>
  <c r="AS88" i="94"/>
  <c r="AS44" i="94"/>
  <c r="AS89" i="94"/>
  <c r="AS54" i="94"/>
  <c r="AS81" i="94"/>
  <c r="AS83" i="94"/>
  <c r="AS106" i="94"/>
  <c r="AS62" i="94"/>
  <c r="AS47" i="94"/>
  <c r="AS49" i="94"/>
  <c r="AS24" i="94"/>
  <c r="R7" i="61"/>
  <c r="N7" i="61" s="1"/>
  <c r="AS13" i="94"/>
  <c r="AS72" i="94"/>
  <c r="AS67" i="94"/>
  <c r="AS69" i="94"/>
  <c r="AS71" i="94"/>
  <c r="AV9" i="94"/>
  <c r="AZ9" i="94" s="1"/>
  <c r="AS17" i="94"/>
  <c r="AS19" i="94"/>
  <c r="AS22" i="94"/>
  <c r="AS78" i="94"/>
  <c r="AS92" i="94"/>
  <c r="AS20" i="94"/>
  <c r="AS60" i="94"/>
  <c r="AS57" i="94"/>
  <c r="AS80" i="94"/>
  <c r="AS102" i="94"/>
  <c r="AS104" i="94"/>
  <c r="AS37" i="94"/>
  <c r="AS84" i="94"/>
  <c r="AS45" i="94"/>
  <c r="AS103" i="94"/>
  <c r="AS41" i="94"/>
  <c r="AS95" i="94"/>
  <c r="AS93" i="94"/>
  <c r="AS32" i="94"/>
  <c r="AS87" i="94"/>
  <c r="AS30" i="94"/>
  <c r="AS15" i="94"/>
  <c r="AS31" i="94"/>
  <c r="AS43" i="94"/>
  <c r="AS100" i="94"/>
  <c r="AS26" i="94"/>
  <c r="AS42" i="94"/>
  <c r="AS107" i="94"/>
  <c r="AS28" i="94"/>
  <c r="AS76" i="94"/>
  <c r="AS39" i="94"/>
  <c r="G15" i="61"/>
  <c r="AD38" i="61"/>
  <c r="G81" i="61"/>
  <c r="G65" i="61"/>
  <c r="G35" i="61"/>
  <c r="G55" i="61"/>
  <c r="G80" i="61"/>
  <c r="AS98" i="94"/>
  <c r="AS59" i="94"/>
  <c r="AS12" i="94"/>
  <c r="AS68" i="94"/>
  <c r="AS36" i="94"/>
  <c r="AS14" i="94"/>
  <c r="AS105" i="94"/>
  <c r="AS52" i="94"/>
  <c r="AS10" i="94"/>
  <c r="AS64" i="94"/>
  <c r="AS51" i="94"/>
  <c r="AS99" i="94"/>
  <c r="AS91" i="94"/>
  <c r="AF14" i="94"/>
  <c r="G57" i="61"/>
  <c r="G22" i="61"/>
  <c r="G33" i="61"/>
  <c r="G45" i="61"/>
  <c r="G85" i="61"/>
  <c r="G30" i="61"/>
  <c r="G79" i="61"/>
  <c r="G29" i="61"/>
  <c r="G46" i="61"/>
  <c r="G63" i="61"/>
  <c r="G74" i="61"/>
  <c r="G66" i="61"/>
  <c r="G58" i="61"/>
  <c r="G70" i="61"/>
  <c r="G62" i="61"/>
  <c r="G84" i="61"/>
  <c r="G42" i="61"/>
  <c r="G37" i="61"/>
  <c r="G50" i="61"/>
  <c r="G69" i="61"/>
  <c r="G38" i="61"/>
  <c r="G9" i="61"/>
  <c r="G34" i="61"/>
  <c r="G49" i="61"/>
  <c r="G67" i="61"/>
  <c r="G36" i="61"/>
  <c r="G16" i="61"/>
  <c r="G7" i="61"/>
  <c r="I7" i="61" s="1"/>
  <c r="G82" i="61"/>
  <c r="G26" i="61"/>
  <c r="G11" i="61"/>
  <c r="G12" i="61"/>
  <c r="G25" i="61"/>
  <c r="G24" i="61"/>
  <c r="G78" i="61"/>
  <c r="G73" i="61"/>
  <c r="G8" i="61"/>
  <c r="G27" i="61"/>
  <c r="G72" i="61"/>
  <c r="G61" i="61"/>
  <c r="G60" i="61"/>
  <c r="G59" i="61"/>
  <c r="G31" i="61"/>
  <c r="G17" i="61"/>
  <c r="G54" i="61"/>
  <c r="G53" i="61"/>
  <c r="U22" i="103"/>
  <c r="D19" i="103"/>
  <c r="AB14" i="103" s="1"/>
  <c r="AI46" i="103" s="1"/>
  <c r="V22" i="103"/>
  <c r="X22" i="103"/>
  <c r="W22" i="103"/>
  <c r="AC58" i="103"/>
  <c r="AB13" i="103"/>
  <c r="Z45" i="61"/>
  <c r="Y45" i="61" s="1"/>
  <c r="D20" i="61" s="1"/>
  <c r="U12" i="94" l="1"/>
  <c r="V11" i="94"/>
  <c r="Q10" i="94"/>
  <c r="R10" i="94"/>
  <c r="Z45" i="109"/>
  <c r="AM87" i="109"/>
  <c r="T46" i="110"/>
  <c r="C25" i="110"/>
  <c r="BI23" i="110"/>
  <c r="BI24" i="110" s="1"/>
  <c r="I27" i="109"/>
  <c r="I43" i="109"/>
  <c r="I44" i="109"/>
  <c r="I45" i="109"/>
  <c r="I56" i="109"/>
  <c r="I62" i="109"/>
  <c r="I64" i="109"/>
  <c r="I66" i="109"/>
  <c r="I69" i="109"/>
  <c r="I73" i="109"/>
  <c r="I77" i="109"/>
  <c r="I81" i="109"/>
  <c r="I85" i="109"/>
  <c r="I89" i="109"/>
  <c r="I91" i="109"/>
  <c r="I92" i="109"/>
  <c r="I93" i="109"/>
  <c r="I94" i="109"/>
  <c r="I30" i="109"/>
  <c r="I38" i="109"/>
  <c r="I39" i="109"/>
  <c r="I40" i="109"/>
  <c r="I41" i="109"/>
  <c r="I42" i="109"/>
  <c r="I46" i="109"/>
  <c r="I48" i="109"/>
  <c r="I50" i="109"/>
  <c r="I35" i="109"/>
  <c r="I37" i="109"/>
  <c r="I49" i="109"/>
  <c r="I55" i="109"/>
  <c r="I57" i="109"/>
  <c r="I63" i="109"/>
  <c r="I68" i="109"/>
  <c r="I70" i="109"/>
  <c r="I75" i="109"/>
  <c r="I80" i="109"/>
  <c r="I83" i="109"/>
  <c r="I90" i="109"/>
  <c r="I29" i="109"/>
  <c r="I52" i="109"/>
  <c r="I53" i="109"/>
  <c r="I54" i="109"/>
  <c r="I60" i="109"/>
  <c r="I61" i="109"/>
  <c r="I65" i="109"/>
  <c r="I82" i="109"/>
  <c r="I88" i="109"/>
  <c r="I97" i="109"/>
  <c r="I105" i="109"/>
  <c r="I108" i="109"/>
  <c r="I28" i="109"/>
  <c r="I47" i="109"/>
  <c r="I51" i="109"/>
  <c r="I58" i="109"/>
  <c r="I59" i="109"/>
  <c r="I67" i="109"/>
  <c r="I71" i="109"/>
  <c r="I74" i="109"/>
  <c r="I86" i="109"/>
  <c r="I87" i="109"/>
  <c r="I95" i="109"/>
  <c r="I96" i="109"/>
  <c r="I98" i="109"/>
  <c r="I102" i="109"/>
  <c r="I104" i="109"/>
  <c r="I107" i="109"/>
  <c r="I33" i="109"/>
  <c r="I72" i="109"/>
  <c r="I76" i="109"/>
  <c r="I78" i="109"/>
  <c r="I79" i="109"/>
  <c r="I84" i="109"/>
  <c r="I99" i="109"/>
  <c r="I100" i="109"/>
  <c r="I101" i="109"/>
  <c r="I103" i="109"/>
  <c r="I106" i="109"/>
  <c r="I15" i="109"/>
  <c r="I14" i="109"/>
  <c r="I25" i="109"/>
  <c r="I13" i="109"/>
  <c r="I24" i="109"/>
  <c r="I20" i="109"/>
  <c r="I31" i="109"/>
  <c r="I32" i="109"/>
  <c r="I18" i="109"/>
  <c r="I16" i="109"/>
  <c r="I17" i="109"/>
  <c r="I36" i="109"/>
  <c r="I21" i="109"/>
  <c r="I26" i="109"/>
  <c r="I34" i="109"/>
  <c r="I22" i="109"/>
  <c r="I12" i="109"/>
  <c r="I9" i="109"/>
  <c r="I23" i="109"/>
  <c r="I10" i="109"/>
  <c r="I19" i="109"/>
  <c r="I11" i="109"/>
  <c r="BA8" i="112"/>
  <c r="C28" i="112"/>
  <c r="U49" i="112"/>
  <c r="AJ49" i="112"/>
  <c r="D28" i="112"/>
  <c r="AX14" i="112"/>
  <c r="AM16" i="112"/>
  <c r="AN15" i="112"/>
  <c r="J14" i="112"/>
  <c r="E15" i="112"/>
  <c r="F14" i="112"/>
  <c r="AZ14" i="112" s="1"/>
  <c r="BI13" i="94"/>
  <c r="BJ12" i="94"/>
  <c r="BB12" i="94" s="1"/>
  <c r="AJ49" i="111"/>
  <c r="U22" i="111"/>
  <c r="AB13" i="111"/>
  <c r="AC58" i="111"/>
  <c r="D19" i="111"/>
  <c r="AB14" i="111" s="1"/>
  <c r="W22" i="111"/>
  <c r="V22" i="111"/>
  <c r="X22" i="111"/>
  <c r="AA14" i="111"/>
  <c r="C13" i="94"/>
  <c r="T46" i="111"/>
  <c r="C25" i="111"/>
  <c r="C19" i="94"/>
  <c r="Z47" i="94"/>
  <c r="AM89" i="94"/>
  <c r="AR12" i="94"/>
  <c r="AQ13" i="94"/>
  <c r="W12" i="94"/>
  <c r="G13" i="94"/>
  <c r="X47" i="94"/>
  <c r="BM57" i="94"/>
  <c r="H12" i="94"/>
  <c r="BK12" i="94" s="1"/>
  <c r="AM14" i="111"/>
  <c r="AN13" i="111"/>
  <c r="AX15" i="111"/>
  <c r="J13" i="111"/>
  <c r="E14" i="111"/>
  <c r="F13" i="111"/>
  <c r="AZ13" i="111" s="1"/>
  <c r="AC57" i="103"/>
  <c r="AO8" i="103"/>
  <c r="AJ48" i="103" s="1"/>
  <c r="C25" i="103"/>
  <c r="AJ49" i="103"/>
  <c r="O7" i="61"/>
  <c r="AS96" i="106"/>
  <c r="AM135" i="106"/>
  <c r="AO96" i="106"/>
  <c r="N94" i="105"/>
  <c r="BG97" i="105"/>
  <c r="AU97" i="105"/>
  <c r="AY97" i="105" s="1"/>
  <c r="AW97" i="105" s="1"/>
  <c r="BL142" i="105"/>
  <c r="AT94" i="105"/>
  <c r="BG97" i="106"/>
  <c r="BL142" i="106"/>
  <c r="AU97" i="106"/>
  <c r="AY97" i="106" s="1"/>
  <c r="AW97" i="106" s="1"/>
  <c r="AT97" i="106"/>
  <c r="L97" i="105"/>
  <c r="S97" i="105"/>
  <c r="W132" i="105"/>
  <c r="S37" i="61"/>
  <c r="AD55" i="103"/>
  <c r="D29" i="103" s="1"/>
  <c r="AD56" i="103"/>
  <c r="AC56" i="103" s="1"/>
  <c r="AY9" i="103" s="1"/>
  <c r="AD57" i="103"/>
  <c r="AH57" i="94"/>
  <c r="AH54" i="94"/>
  <c r="AH56" i="94"/>
  <c r="AH55" i="94"/>
  <c r="AG55" i="94" s="1"/>
  <c r="AD58" i="103"/>
  <c r="AP9" i="103"/>
  <c r="BB55" i="103"/>
  <c r="BB155" i="103" s="1"/>
  <c r="AI50" i="103"/>
  <c r="U77" i="61"/>
  <c r="U78" i="61" s="1"/>
  <c r="U79" i="61" s="1"/>
  <c r="U80" i="61" s="1"/>
  <c r="U81" i="61" s="1"/>
  <c r="U82" i="61" s="1"/>
  <c r="U83" i="61" s="1"/>
  <c r="U84" i="61" s="1"/>
  <c r="U85" i="61" s="1"/>
  <c r="U86" i="61" s="1"/>
  <c r="U87" i="61" s="1"/>
  <c r="U88" i="61" s="1"/>
  <c r="U89" i="61" s="1"/>
  <c r="U90" i="61" s="1"/>
  <c r="U91" i="61" s="1"/>
  <c r="U92" i="61" s="1"/>
  <c r="U93" i="61" s="1"/>
  <c r="U94" i="61" s="1"/>
  <c r="U95" i="61" s="1"/>
  <c r="U96" i="61" s="1"/>
  <c r="U97" i="61" s="1"/>
  <c r="U98" i="61" s="1"/>
  <c r="U99" i="61" s="1"/>
  <c r="U100" i="61" s="1"/>
  <c r="U101" i="61" s="1"/>
  <c r="U102" i="61" s="1"/>
  <c r="U103" i="61" s="1"/>
  <c r="U104" i="61" s="1"/>
  <c r="U105" i="61" s="1"/>
  <c r="U106" i="61" s="1"/>
  <c r="U107" i="61"/>
  <c r="U108" i="61" s="1"/>
  <c r="U109" i="61" s="1"/>
  <c r="U110" i="61" s="1"/>
  <c r="U111" i="61" s="1"/>
  <c r="U112" i="61" s="1"/>
  <c r="U113" i="61" s="1"/>
  <c r="U114" i="61" s="1"/>
  <c r="U115" i="61" s="1"/>
  <c r="M7" i="61"/>
  <c r="I13" i="94" l="1"/>
  <c r="Q11" i="94"/>
  <c r="R11" i="94"/>
  <c r="U13" i="94"/>
  <c r="V12" i="94"/>
  <c r="AD56" i="111"/>
  <c r="Z46" i="109"/>
  <c r="AM88" i="109"/>
  <c r="C32" i="110"/>
  <c r="D32" i="110"/>
  <c r="BE23" i="110"/>
  <c r="BE24" i="110" s="1"/>
  <c r="AX15" i="112"/>
  <c r="J15" i="112"/>
  <c r="E16" i="112"/>
  <c r="F15" i="112"/>
  <c r="AZ15" i="112" s="1"/>
  <c r="AB58" i="112"/>
  <c r="AB57" i="112"/>
  <c r="AB56" i="112"/>
  <c r="AA56" i="112" s="1"/>
  <c r="AA57" i="112"/>
  <c r="Z57" i="112" s="1"/>
  <c r="AB55" i="112"/>
  <c r="Q8" i="112"/>
  <c r="G8" i="112"/>
  <c r="AM17" i="112"/>
  <c r="AN16" i="112"/>
  <c r="AD58" i="112"/>
  <c r="AD57" i="112"/>
  <c r="AD56" i="112"/>
  <c r="AC57" i="112"/>
  <c r="AW8" i="112"/>
  <c r="AO8" i="112"/>
  <c r="AJ48" i="112" s="1"/>
  <c r="AW8" i="111"/>
  <c r="AO8" i="111"/>
  <c r="AJ48" i="111" s="1"/>
  <c r="AC57" i="111"/>
  <c r="BJ13" i="94"/>
  <c r="BB13" i="94" s="1"/>
  <c r="BI14" i="94"/>
  <c r="C18" i="94"/>
  <c r="C28" i="111"/>
  <c r="C23" i="94" s="1"/>
  <c r="BE23" i="111"/>
  <c r="BE24" i="111" s="1"/>
  <c r="U49" i="111"/>
  <c r="AI46" i="111"/>
  <c r="AI50" i="111" s="1"/>
  <c r="AD58" i="111"/>
  <c r="AD57" i="111"/>
  <c r="I9" i="94"/>
  <c r="I10" i="94"/>
  <c r="I12" i="94"/>
  <c r="I11" i="94"/>
  <c r="G14" i="94"/>
  <c r="W13" i="94"/>
  <c r="X48" i="94"/>
  <c r="H13" i="94"/>
  <c r="BK13" i="94" s="1"/>
  <c r="BM58" i="94"/>
  <c r="AR13" i="94"/>
  <c r="AQ14" i="94"/>
  <c r="Z48" i="94"/>
  <c r="AM90" i="94"/>
  <c r="AM15" i="111"/>
  <c r="AN14" i="111"/>
  <c r="E15" i="111"/>
  <c r="J14" i="111"/>
  <c r="F14" i="111"/>
  <c r="AZ14" i="111" s="1"/>
  <c r="AX16" i="111"/>
  <c r="BE23" i="103"/>
  <c r="BE24" i="103" s="1"/>
  <c r="C32" i="103" s="1"/>
  <c r="U49" i="103" s="1"/>
  <c r="K7" i="61"/>
  <c r="H7" i="61" s="1"/>
  <c r="J7" i="61" s="1"/>
  <c r="P97" i="105"/>
  <c r="BG98" i="106"/>
  <c r="BL143" i="106"/>
  <c r="AU98" i="106"/>
  <c r="AO94" i="105"/>
  <c r="AS94" i="105"/>
  <c r="AM133" i="105"/>
  <c r="AT95" i="105"/>
  <c r="BG98" i="105"/>
  <c r="BL143" i="105"/>
  <c r="AU98" i="105"/>
  <c r="AY98" i="105" s="1"/>
  <c r="AW98" i="105" s="1"/>
  <c r="K94" i="105"/>
  <c r="AM136" i="106"/>
  <c r="AO97" i="106"/>
  <c r="AS97" i="106"/>
  <c r="S98" i="105"/>
  <c r="L98" i="105"/>
  <c r="P98" i="105" s="1"/>
  <c r="N98" i="105" s="1"/>
  <c r="W133" i="105"/>
  <c r="AU9" i="94"/>
  <c r="AT9" i="94" s="1"/>
  <c r="AV9" i="103"/>
  <c r="AU9" i="103"/>
  <c r="AT9" i="103" s="1"/>
  <c r="V13" i="94" l="1"/>
  <c r="U14" i="94"/>
  <c r="Q12" i="94"/>
  <c r="R12" i="94"/>
  <c r="Z47" i="109"/>
  <c r="AM89" i="109"/>
  <c r="AJ49" i="110"/>
  <c r="D28" i="110"/>
  <c r="C28" i="110"/>
  <c r="BA8" i="110"/>
  <c r="U49" i="110"/>
  <c r="BB55" i="112"/>
  <c r="BB155" i="112" s="1"/>
  <c r="AP9" i="112"/>
  <c r="AI50" i="112"/>
  <c r="U48" i="112"/>
  <c r="BA7" i="112"/>
  <c r="AE50" i="112"/>
  <c r="S9" i="112"/>
  <c r="U15" i="112"/>
  <c r="T15" i="112"/>
  <c r="T50" i="112"/>
  <c r="H9" i="112"/>
  <c r="AX16" i="112"/>
  <c r="AD55" i="112"/>
  <c r="D29" i="112" s="1"/>
  <c r="AC56" i="112"/>
  <c r="AM18" i="112"/>
  <c r="AN17" i="112"/>
  <c r="E17" i="112"/>
  <c r="J16" i="112"/>
  <c r="F16" i="112"/>
  <c r="AZ16" i="112" s="1"/>
  <c r="BI15" i="94"/>
  <c r="BJ14" i="94"/>
  <c r="BB14" i="94" s="1"/>
  <c r="AP9" i="111"/>
  <c r="BB55" i="111"/>
  <c r="BB155" i="111" s="1"/>
  <c r="AB57" i="111"/>
  <c r="AB58" i="111"/>
  <c r="AB55" i="111"/>
  <c r="AB56" i="111"/>
  <c r="AA56" i="111" s="1"/>
  <c r="AA57" i="111"/>
  <c r="Z57" i="111" s="1"/>
  <c r="G8" i="111"/>
  <c r="Q8" i="111"/>
  <c r="AC56" i="111"/>
  <c r="AY9" i="111" s="1"/>
  <c r="AV9" i="111" s="1"/>
  <c r="AD55" i="111"/>
  <c r="D29" i="111" s="1"/>
  <c r="C29" i="111" s="1"/>
  <c r="C24" i="94" s="1"/>
  <c r="K9" i="94" s="1"/>
  <c r="AR14" i="94"/>
  <c r="AQ15" i="94"/>
  <c r="W14" i="94"/>
  <c r="G15" i="94"/>
  <c r="H14" i="94"/>
  <c r="BK14" i="94" s="1"/>
  <c r="I14" i="94"/>
  <c r="Z49" i="94"/>
  <c r="AM91" i="94"/>
  <c r="J15" i="111"/>
  <c r="E16" i="111"/>
  <c r="F15" i="111"/>
  <c r="AZ15" i="111" s="1"/>
  <c r="AX17" i="111"/>
  <c r="AM16" i="111"/>
  <c r="AN15" i="111"/>
  <c r="E25" i="94"/>
  <c r="BA8" i="103"/>
  <c r="C28" i="103"/>
  <c r="L8" i="61"/>
  <c r="AU10" i="94"/>
  <c r="AP10" i="94" s="1"/>
  <c r="D24" i="94"/>
  <c r="AN48" i="94"/>
  <c r="J94" i="105"/>
  <c r="BK94" i="105"/>
  <c r="X129" i="105"/>
  <c r="K95" i="105"/>
  <c r="AY98" i="106"/>
  <c r="AW98" i="106" s="1"/>
  <c r="AT98" i="106" s="1"/>
  <c r="W134" i="105"/>
  <c r="S99" i="105"/>
  <c r="L99" i="105"/>
  <c r="P99" i="105" s="1"/>
  <c r="N99" i="105" s="1"/>
  <c r="AU99" i="106"/>
  <c r="AY99" i="106" s="1"/>
  <c r="AW99" i="106" s="1"/>
  <c r="AT99" i="106" s="1"/>
  <c r="BL144" i="106"/>
  <c r="BG99" i="106"/>
  <c r="N97" i="105"/>
  <c r="BL144" i="105"/>
  <c r="BG99" i="105"/>
  <c r="AU99" i="105"/>
  <c r="AY99" i="105" s="1"/>
  <c r="AW99" i="105" s="1"/>
  <c r="AS95" i="105"/>
  <c r="AO95" i="105"/>
  <c r="AM134" i="105"/>
  <c r="AT96" i="105"/>
  <c r="AP9" i="94"/>
  <c r="AR9" i="103"/>
  <c r="BC9" i="103" s="1"/>
  <c r="P7" i="61"/>
  <c r="T37" i="61"/>
  <c r="AB58" i="103" l="1"/>
  <c r="AB55" i="103"/>
  <c r="C29" i="103" s="1"/>
  <c r="AG36" i="94" s="1"/>
  <c r="AG37" i="94" s="1"/>
  <c r="AG38" i="94" s="1"/>
  <c r="AG39" i="94" s="1"/>
  <c r="AG40" i="94" s="1"/>
  <c r="V14" i="94"/>
  <c r="U15" i="94"/>
  <c r="Q13" i="94"/>
  <c r="R13" i="94"/>
  <c r="Z48" i="109"/>
  <c r="AM90" i="109"/>
  <c r="AB55" i="110"/>
  <c r="G8" i="110"/>
  <c r="AB57" i="110"/>
  <c r="Q8" i="110"/>
  <c r="AA57" i="110"/>
  <c r="Z57" i="110" s="1"/>
  <c r="AB56" i="110"/>
  <c r="AA56" i="110" s="1"/>
  <c r="AB58" i="110"/>
  <c r="AW8" i="110"/>
  <c r="AO8" i="110"/>
  <c r="AJ48" i="110" s="1"/>
  <c r="AD55" i="110"/>
  <c r="D29" i="110" s="1"/>
  <c r="AC57" i="110"/>
  <c r="AD56" i="110"/>
  <c r="AC56" i="110" s="1"/>
  <c r="AY9" i="110" s="1"/>
  <c r="AD58" i="110"/>
  <c r="AD57" i="110"/>
  <c r="BL8" i="109"/>
  <c r="E25" i="109"/>
  <c r="I9" i="112"/>
  <c r="O9" i="112"/>
  <c r="N9" i="112" s="1"/>
  <c r="P9" i="112"/>
  <c r="E18" i="112"/>
  <c r="J17" i="112"/>
  <c r="BI22" i="112"/>
  <c r="BI23" i="112" s="1"/>
  <c r="BI24" i="112" s="1"/>
  <c r="F17" i="112"/>
  <c r="AZ17" i="112" s="1"/>
  <c r="AM19" i="112"/>
  <c r="AN18" i="112"/>
  <c r="C29" i="112"/>
  <c r="AX17" i="112"/>
  <c r="AY9" i="112"/>
  <c r="BI16" i="94"/>
  <c r="BJ15" i="94"/>
  <c r="BB15" i="94" s="1"/>
  <c r="AU9" i="111"/>
  <c r="AT9" i="111" s="1"/>
  <c r="AR9" i="111" s="1"/>
  <c r="U48" i="111"/>
  <c r="BA7" i="111"/>
  <c r="AE50" i="111"/>
  <c r="S9" i="111"/>
  <c r="T50" i="111"/>
  <c r="T15" i="111"/>
  <c r="T22" i="111" s="1"/>
  <c r="Z32" i="111" s="1"/>
  <c r="H9" i="111"/>
  <c r="U15" i="111"/>
  <c r="AR15" i="94"/>
  <c r="AQ16" i="94"/>
  <c r="AM92" i="94"/>
  <c r="Z50" i="94"/>
  <c r="G16" i="94"/>
  <c r="W15" i="94"/>
  <c r="H15" i="94"/>
  <c r="BK15" i="94" s="1"/>
  <c r="I15" i="94"/>
  <c r="AM17" i="111"/>
  <c r="AN16" i="111"/>
  <c r="E17" i="111"/>
  <c r="J16" i="111"/>
  <c r="F16" i="111"/>
  <c r="AZ16" i="111" s="1"/>
  <c r="AX18" i="111"/>
  <c r="AA57" i="103"/>
  <c r="Z57" i="103" s="1"/>
  <c r="Q8" i="103"/>
  <c r="H9" i="103" s="1"/>
  <c r="I9" i="103" s="1"/>
  <c r="G8" i="103"/>
  <c r="BA7" i="103" s="1"/>
  <c r="AB57" i="103"/>
  <c r="AF57" i="94"/>
  <c r="AB56" i="103"/>
  <c r="AA56" i="103" s="1"/>
  <c r="AE50" i="103" s="1"/>
  <c r="BL8" i="94"/>
  <c r="AT10" i="94"/>
  <c r="AU11" i="94"/>
  <c r="AN50" i="94" s="1"/>
  <c r="AX9" i="94"/>
  <c r="AW9" i="94" s="1"/>
  <c r="AN49" i="94"/>
  <c r="AM36" i="94"/>
  <c r="AM40" i="94" s="1"/>
  <c r="AS99" i="106"/>
  <c r="AM138" i="106"/>
  <c r="AO99" i="106"/>
  <c r="AM137" i="106"/>
  <c r="AO98" i="106"/>
  <c r="AS98" i="106"/>
  <c r="AS96" i="105"/>
  <c r="AO96" i="105"/>
  <c r="AM135" i="105"/>
  <c r="AT97" i="105"/>
  <c r="AU100" i="105"/>
  <c r="AY100" i="105" s="1"/>
  <c r="AW100" i="105" s="1"/>
  <c r="BG100" i="105"/>
  <c r="BL145" i="105"/>
  <c r="BK95" i="105"/>
  <c r="X130" i="105"/>
  <c r="J95" i="105"/>
  <c r="K96" i="105"/>
  <c r="S100" i="105"/>
  <c r="W135" i="105"/>
  <c r="L100" i="105"/>
  <c r="P100" i="105" s="1"/>
  <c r="N100" i="105" s="1"/>
  <c r="BG100" i="106"/>
  <c r="BL145" i="106"/>
  <c r="AU100" i="106"/>
  <c r="AY100" i="106" s="1"/>
  <c r="AW100" i="106" s="1"/>
  <c r="AT100" i="106" s="1"/>
  <c r="AS10" i="103"/>
  <c r="AO9" i="103"/>
  <c r="AL9" i="103" s="1"/>
  <c r="I8" i="61"/>
  <c r="S38" i="61"/>
  <c r="R8" i="61"/>
  <c r="V15" i="94" l="1"/>
  <c r="U16" i="94"/>
  <c r="Q14" i="94"/>
  <c r="R14" i="94"/>
  <c r="Z49" i="109"/>
  <c r="AM91" i="109"/>
  <c r="AU9" i="109"/>
  <c r="C29" i="110"/>
  <c r="AG36" i="109" s="1"/>
  <c r="AG37" i="109" s="1"/>
  <c r="AG38" i="109" s="1"/>
  <c r="AG39" i="109" s="1"/>
  <c r="AG40" i="109" s="1"/>
  <c r="AE50" i="110"/>
  <c r="S9" i="110"/>
  <c r="U48" i="110"/>
  <c r="BA7" i="110"/>
  <c r="AV9" i="110"/>
  <c r="AU9" i="110"/>
  <c r="AI50" i="110"/>
  <c r="BB55" i="110"/>
  <c r="BB155" i="110" s="1"/>
  <c r="AP9" i="110"/>
  <c r="U15" i="110"/>
  <c r="T50" i="110"/>
  <c r="H9" i="110"/>
  <c r="T15" i="110"/>
  <c r="T22" i="110" s="1"/>
  <c r="Z32" i="110" s="1"/>
  <c r="AE56" i="109"/>
  <c r="AF56" i="109"/>
  <c r="AF54" i="109"/>
  <c r="K8" i="109"/>
  <c r="AF57" i="109"/>
  <c r="AF55" i="109"/>
  <c r="AE55" i="109" s="1"/>
  <c r="S8" i="109"/>
  <c r="AX18" i="112"/>
  <c r="AV9" i="112"/>
  <c r="AU9" i="112"/>
  <c r="AM20" i="112"/>
  <c r="AN19" i="112"/>
  <c r="L9" i="112"/>
  <c r="M10" i="112" s="1"/>
  <c r="E19" i="112"/>
  <c r="J18" i="112"/>
  <c r="F18" i="112"/>
  <c r="AZ18" i="112" s="1"/>
  <c r="BI17" i="94"/>
  <c r="BJ16" i="94"/>
  <c r="BB16" i="94" s="1"/>
  <c r="I9" i="111"/>
  <c r="P9" i="111"/>
  <c r="O9" i="111"/>
  <c r="AR16" i="94"/>
  <c r="AQ17" i="94"/>
  <c r="AM93" i="94"/>
  <c r="Z51" i="94"/>
  <c r="W16" i="94"/>
  <c r="G17" i="94"/>
  <c r="H16" i="94"/>
  <c r="BK16" i="94" s="1"/>
  <c r="I16" i="94"/>
  <c r="BC9" i="111"/>
  <c r="AO9" i="111"/>
  <c r="AQ9" i="111" s="1"/>
  <c r="AX19" i="111"/>
  <c r="J17" i="111"/>
  <c r="BI22" i="111"/>
  <c r="BI23" i="111" s="1"/>
  <c r="BI24" i="111" s="1"/>
  <c r="E18" i="111"/>
  <c r="F17" i="111"/>
  <c r="AZ17" i="111" s="1"/>
  <c r="AS10" i="111"/>
  <c r="AM18" i="111"/>
  <c r="AN17" i="111"/>
  <c r="AF55" i="94"/>
  <c r="AE55" i="94" s="1"/>
  <c r="AF54" i="94"/>
  <c r="U15" i="103"/>
  <c r="K8" i="94"/>
  <c r="Y42" i="94" s="1"/>
  <c r="T50" i="103"/>
  <c r="E23" i="94"/>
  <c r="AE56" i="94"/>
  <c r="T15" i="103"/>
  <c r="T22" i="103" s="1"/>
  <c r="Z32" i="103" s="1"/>
  <c r="AF56" i="94"/>
  <c r="S8" i="94"/>
  <c r="U48" i="103"/>
  <c r="E24" i="94"/>
  <c r="S9" i="103"/>
  <c r="O9" i="103" s="1"/>
  <c r="N9" i="103" s="1"/>
  <c r="AU12" i="94"/>
  <c r="AT12" i="94" s="1"/>
  <c r="AM39" i="94"/>
  <c r="AM37" i="94"/>
  <c r="AM38" i="94"/>
  <c r="AP11" i="94"/>
  <c r="AT11" i="94"/>
  <c r="AS100" i="106"/>
  <c r="AM139" i="106"/>
  <c r="AO100" i="106"/>
  <c r="J96" i="105"/>
  <c r="X131" i="105"/>
  <c r="BK96" i="105"/>
  <c r="AM136" i="105"/>
  <c r="AO97" i="105"/>
  <c r="AS97" i="105"/>
  <c r="AT98" i="105"/>
  <c r="W136" i="105"/>
  <c r="S101" i="105"/>
  <c r="L101" i="105"/>
  <c r="P101" i="105" s="1"/>
  <c r="BG101" i="106"/>
  <c r="BL146" i="106"/>
  <c r="AU101" i="106"/>
  <c r="AY101" i="106" s="1"/>
  <c r="AW101" i="106" s="1"/>
  <c r="AT101" i="106" s="1"/>
  <c r="BG101" i="105"/>
  <c r="BL146" i="105"/>
  <c r="AU101" i="105"/>
  <c r="AY101" i="105" s="1"/>
  <c r="AW101" i="105" s="1"/>
  <c r="K97" i="105"/>
  <c r="AJ50" i="103"/>
  <c r="AQ9" i="103"/>
  <c r="AW9" i="103" s="1"/>
  <c r="BH9" i="94"/>
  <c r="O8" i="61"/>
  <c r="N8" i="61"/>
  <c r="M8" i="61" s="1"/>
  <c r="K8" i="61" s="1"/>
  <c r="U17" i="94" l="1"/>
  <c r="V16" i="94"/>
  <c r="R15" i="94"/>
  <c r="Q15" i="94"/>
  <c r="Z50" i="109"/>
  <c r="AM92" i="109"/>
  <c r="AT9" i="110"/>
  <c r="AR9" i="110" s="1"/>
  <c r="AO9" i="110" s="1"/>
  <c r="AL9" i="110" s="1"/>
  <c r="O9" i="110"/>
  <c r="N9" i="110" s="1"/>
  <c r="P9" i="110"/>
  <c r="Y42" i="109"/>
  <c r="BL7" i="109"/>
  <c r="AH47" i="109"/>
  <c r="AD56" i="109" s="1"/>
  <c r="X10" i="109"/>
  <c r="Y10" i="109"/>
  <c r="L9" i="109"/>
  <c r="P9" i="109" s="1"/>
  <c r="N9" i="109" s="1"/>
  <c r="I9" i="110"/>
  <c r="AT9" i="109"/>
  <c r="AU10" i="109"/>
  <c r="AN48" i="109"/>
  <c r="AP9" i="109"/>
  <c r="AM21" i="112"/>
  <c r="AN20" i="112"/>
  <c r="G9" i="112"/>
  <c r="K9" i="112" s="1"/>
  <c r="AX19" i="112"/>
  <c r="E20" i="112"/>
  <c r="J19" i="112"/>
  <c r="F19" i="112"/>
  <c r="AZ19" i="112" s="1"/>
  <c r="AT9" i="112"/>
  <c r="AR9" i="112" s="1"/>
  <c r="AH47" i="94"/>
  <c r="L9" i="94"/>
  <c r="P9" i="94" s="1"/>
  <c r="N9" i="94" s="1"/>
  <c r="BJ17" i="94"/>
  <c r="BB17" i="94" s="1"/>
  <c r="BI18" i="94"/>
  <c r="N9" i="111"/>
  <c r="L9" i="111" s="1"/>
  <c r="G9" i="111" s="1"/>
  <c r="G18" i="94"/>
  <c r="W17" i="94"/>
  <c r="H17" i="94"/>
  <c r="BK17" i="94" s="1"/>
  <c r="I17" i="94"/>
  <c r="Z52" i="94"/>
  <c r="AM94" i="94"/>
  <c r="AQ18" i="94"/>
  <c r="AR17" i="94"/>
  <c r="E19" i="111"/>
  <c r="J18" i="111"/>
  <c r="F18" i="111"/>
  <c r="AZ18" i="111" s="1"/>
  <c r="AW9" i="111"/>
  <c r="AL9" i="111"/>
  <c r="AJ50" i="111"/>
  <c r="AM19" i="111"/>
  <c r="AN18" i="111"/>
  <c r="AX20" i="111"/>
  <c r="AI49" i="94"/>
  <c r="BL7" i="94"/>
  <c r="AD56" i="94"/>
  <c r="Y10" i="94"/>
  <c r="X10" i="94"/>
  <c r="P9" i="103"/>
  <c r="L9" i="103" s="1"/>
  <c r="G9" i="103" s="1"/>
  <c r="AP12" i="94"/>
  <c r="AN51" i="94"/>
  <c r="AU13" i="94"/>
  <c r="AU14" i="94" s="1"/>
  <c r="AM140" i="106"/>
  <c r="AS101" i="106"/>
  <c r="AO101" i="106"/>
  <c r="BG102" i="105"/>
  <c r="AU102" i="105"/>
  <c r="AY102" i="105" s="1"/>
  <c r="AW102" i="105" s="1"/>
  <c r="BL147" i="105"/>
  <c r="BL147" i="106"/>
  <c r="AU102" i="106"/>
  <c r="AY102" i="106" s="1"/>
  <c r="AW102" i="106" s="1"/>
  <c r="AT102" i="106"/>
  <c r="BG102" i="106"/>
  <c r="J97" i="105"/>
  <c r="BK97" i="105"/>
  <c r="X132" i="105"/>
  <c r="K98" i="105"/>
  <c r="W137" i="105"/>
  <c r="S102" i="105"/>
  <c r="L102" i="105"/>
  <c r="P102" i="105" s="1"/>
  <c r="N102" i="105" s="1"/>
  <c r="N101" i="105"/>
  <c r="AS98" i="105"/>
  <c r="AO98" i="105"/>
  <c r="AM137" i="105"/>
  <c r="AT99" i="105"/>
  <c r="AP10" i="103"/>
  <c r="AI51" i="103"/>
  <c r="BB56" i="103"/>
  <c r="AY10" i="103"/>
  <c r="AV10" i="94"/>
  <c r="H8" i="61"/>
  <c r="J8" i="61" s="1"/>
  <c r="L9" i="61"/>
  <c r="Q16" i="94" l="1"/>
  <c r="R16" i="94"/>
  <c r="U18" i="94"/>
  <c r="V17" i="94"/>
  <c r="BC9" i="110"/>
  <c r="Z51" i="109"/>
  <c r="AM93" i="109"/>
  <c r="AJ50" i="110"/>
  <c r="AS10" i="110"/>
  <c r="AQ9" i="110"/>
  <c r="AW9" i="110" s="1"/>
  <c r="AI51" i="110" s="1"/>
  <c r="AK51" i="110" s="1"/>
  <c r="AI49" i="109"/>
  <c r="L9" i="110"/>
  <c r="G9" i="110" s="1"/>
  <c r="K9" i="110" s="1"/>
  <c r="Q9" i="110" s="1"/>
  <c r="AU11" i="109"/>
  <c r="AT10" i="109"/>
  <c r="AN49" i="109"/>
  <c r="AP10" i="109"/>
  <c r="AX9" i="109"/>
  <c r="AW9" i="109" s="1"/>
  <c r="BH9" i="109" s="1"/>
  <c r="AM36" i="109"/>
  <c r="Q9" i="112"/>
  <c r="BC9" i="112"/>
  <c r="AO9" i="112"/>
  <c r="AM22" i="112"/>
  <c r="AN21" i="112"/>
  <c r="AX20" i="112"/>
  <c r="AS10" i="112"/>
  <c r="E21" i="112"/>
  <c r="J20" i="112"/>
  <c r="F20" i="112"/>
  <c r="AZ20" i="112" s="1"/>
  <c r="BA9" i="112"/>
  <c r="BJ18" i="94"/>
  <c r="BB18" i="94" s="1"/>
  <c r="BI19" i="94"/>
  <c r="K9" i="111"/>
  <c r="Q9" i="111" s="1"/>
  <c r="BA9" i="111"/>
  <c r="M10" i="111"/>
  <c r="AQ19" i="94"/>
  <c r="AR18" i="94"/>
  <c r="Z53" i="94"/>
  <c r="AM95" i="94"/>
  <c r="W18" i="94"/>
  <c r="G19" i="94"/>
  <c r="H18" i="94"/>
  <c r="BK18" i="94" s="1"/>
  <c r="I18" i="94"/>
  <c r="AP10" i="111"/>
  <c r="BB56" i="111"/>
  <c r="AI51" i="111"/>
  <c r="AY10" i="111"/>
  <c r="AX21" i="111"/>
  <c r="J19" i="111"/>
  <c r="E20" i="111"/>
  <c r="F19" i="111"/>
  <c r="AZ19" i="111" s="1"/>
  <c r="AM20" i="111"/>
  <c r="AN19" i="111"/>
  <c r="M10" i="103"/>
  <c r="AN52" i="94"/>
  <c r="AP13" i="94"/>
  <c r="AT13" i="94"/>
  <c r="K9" i="103"/>
  <c r="Q9" i="103" s="1"/>
  <c r="BA9" i="103"/>
  <c r="AO99" i="105"/>
  <c r="AM138" i="105"/>
  <c r="AS99" i="105"/>
  <c r="AT100" i="105"/>
  <c r="L103" i="105"/>
  <c r="P103" i="105" s="1"/>
  <c r="N103" i="105" s="1"/>
  <c r="S103" i="105"/>
  <c r="W138" i="105"/>
  <c r="BG103" i="105"/>
  <c r="BL148" i="105"/>
  <c r="AU103" i="105"/>
  <c r="AY103" i="105" s="1"/>
  <c r="AW103" i="105" s="1"/>
  <c r="BL148" i="106"/>
  <c r="BG103" i="106"/>
  <c r="AU103" i="106"/>
  <c r="AY103" i="106" s="1"/>
  <c r="AW103" i="106" s="1"/>
  <c r="AT103" i="106" s="1"/>
  <c r="AM141" i="106"/>
  <c r="AS102" i="106"/>
  <c r="AO102" i="106"/>
  <c r="X133" i="105"/>
  <c r="BK98" i="105"/>
  <c r="J98" i="105"/>
  <c r="K99" i="105"/>
  <c r="AU15" i="94"/>
  <c r="AT14" i="94"/>
  <c r="AN53" i="94"/>
  <c r="AP14" i="94"/>
  <c r="AK51" i="103"/>
  <c r="AZ10" i="94"/>
  <c r="AX10" i="94" s="1"/>
  <c r="AU10" i="103"/>
  <c r="AV10" i="103"/>
  <c r="P8" i="61"/>
  <c r="T38" i="61"/>
  <c r="R17" i="94" l="1"/>
  <c r="Q17" i="94"/>
  <c r="U19" i="94"/>
  <c r="V18" i="94"/>
  <c r="Z52" i="109"/>
  <c r="AM94" i="109"/>
  <c r="BB56" i="110"/>
  <c r="AP10" i="110"/>
  <c r="AY10" i="110"/>
  <c r="M10" i="110"/>
  <c r="T51" i="110"/>
  <c r="V51" i="110" s="1"/>
  <c r="H10" i="110"/>
  <c r="S10" i="110"/>
  <c r="AV10" i="109"/>
  <c r="AZ10" i="109" s="1"/>
  <c r="AX10" i="109" s="1"/>
  <c r="AW10" i="109" s="1"/>
  <c r="BH10" i="109" s="1"/>
  <c r="AV11" i="109" s="1"/>
  <c r="AP11" i="109"/>
  <c r="AN50" i="109"/>
  <c r="AT11" i="109"/>
  <c r="AU12" i="109"/>
  <c r="AM39" i="109"/>
  <c r="AM38" i="109"/>
  <c r="AM37" i="109"/>
  <c r="AM40" i="109"/>
  <c r="BA9" i="110"/>
  <c r="K9" i="109"/>
  <c r="AM23" i="112"/>
  <c r="AN22" i="112"/>
  <c r="AL9" i="112"/>
  <c r="AJ50" i="112"/>
  <c r="E22" i="112"/>
  <c r="J21" i="112"/>
  <c r="F21" i="112"/>
  <c r="AZ21" i="112" s="1"/>
  <c r="AX21" i="112"/>
  <c r="H10" i="112"/>
  <c r="T51" i="112"/>
  <c r="S10" i="112"/>
  <c r="AQ9" i="112"/>
  <c r="BI20" i="94"/>
  <c r="BJ19" i="94"/>
  <c r="S10" i="111"/>
  <c r="H10" i="111"/>
  <c r="T51" i="111"/>
  <c r="AM96" i="94"/>
  <c r="Z54" i="94"/>
  <c r="G20" i="94"/>
  <c r="W19" i="94"/>
  <c r="H19" i="94"/>
  <c r="BK19" i="94" s="1"/>
  <c r="I19" i="94"/>
  <c r="AR19" i="94"/>
  <c r="AQ20" i="94"/>
  <c r="AX22" i="111"/>
  <c r="AM21" i="111"/>
  <c r="AN20" i="111"/>
  <c r="AU10" i="111"/>
  <c r="AT10" i="111" s="1"/>
  <c r="AV10" i="111"/>
  <c r="E21" i="111"/>
  <c r="J20" i="111"/>
  <c r="F20" i="111"/>
  <c r="AZ20" i="111" s="1"/>
  <c r="AK51" i="111"/>
  <c r="J9" i="94"/>
  <c r="Y44" i="94"/>
  <c r="M9" i="94"/>
  <c r="S9" i="94" s="1"/>
  <c r="BL9" i="94"/>
  <c r="H10" i="103"/>
  <c r="T51" i="103"/>
  <c r="S10" i="103"/>
  <c r="AM142" i="106"/>
  <c r="AS103" i="106"/>
  <c r="AO103" i="106"/>
  <c r="AT104" i="106"/>
  <c r="BG104" i="106"/>
  <c r="BL149" i="106"/>
  <c r="AU104" i="106"/>
  <c r="AY104" i="106" s="1"/>
  <c r="AW104" i="106" s="1"/>
  <c r="AO100" i="105"/>
  <c r="AS100" i="105"/>
  <c r="AM139" i="105"/>
  <c r="AT101" i="105"/>
  <c r="J99" i="105"/>
  <c r="BK99" i="105"/>
  <c r="X134" i="105"/>
  <c r="K100" i="105"/>
  <c r="BL149" i="105"/>
  <c r="BG104" i="105"/>
  <c r="AU104" i="105"/>
  <c r="AY104" i="105" s="1"/>
  <c r="AW104" i="105" s="1"/>
  <c r="W139" i="105"/>
  <c r="S104" i="105"/>
  <c r="L104" i="105"/>
  <c r="P104" i="105" s="1"/>
  <c r="N104" i="105" s="1"/>
  <c r="AT10" i="103"/>
  <c r="AR10" i="103" s="1"/>
  <c r="AS11" i="103" s="1"/>
  <c r="AT15" i="94"/>
  <c r="AU16" i="94"/>
  <c r="AN54" i="94"/>
  <c r="AP15" i="94"/>
  <c r="AW10" i="94"/>
  <c r="I9" i="61"/>
  <c r="S39" i="61"/>
  <c r="R9" i="61"/>
  <c r="Q18" i="94" l="1"/>
  <c r="R18" i="94"/>
  <c r="U20" i="94"/>
  <c r="V19" i="94"/>
  <c r="Z53" i="109"/>
  <c r="AM95" i="109"/>
  <c r="AU10" i="110"/>
  <c r="AT10" i="110" s="1"/>
  <c r="AV10" i="110"/>
  <c r="U50" i="110"/>
  <c r="O10" i="110"/>
  <c r="N10" i="110" s="1"/>
  <c r="L10" i="110" s="1"/>
  <c r="P10" i="110"/>
  <c r="AU13" i="109"/>
  <c r="AP12" i="109"/>
  <c r="AT12" i="109"/>
  <c r="AN51" i="109"/>
  <c r="I10" i="110"/>
  <c r="M9" i="109"/>
  <c r="S9" i="109" s="1"/>
  <c r="J9" i="109"/>
  <c r="BL9" i="109"/>
  <c r="Y44" i="109"/>
  <c r="P10" i="112"/>
  <c r="O10" i="112"/>
  <c r="N10" i="112" s="1"/>
  <c r="L10" i="112" s="1"/>
  <c r="AX22" i="112"/>
  <c r="AW9" i="112"/>
  <c r="V51" i="112"/>
  <c r="U50" i="112"/>
  <c r="AM24" i="112"/>
  <c r="AN23" i="112"/>
  <c r="I10" i="112"/>
  <c r="E23" i="112"/>
  <c r="J22" i="112"/>
  <c r="F22" i="112"/>
  <c r="AZ22" i="112" s="1"/>
  <c r="L10" i="94"/>
  <c r="K10" i="94" s="1"/>
  <c r="BI21" i="94"/>
  <c r="BJ20" i="94"/>
  <c r="V51" i="111"/>
  <c r="U50" i="111"/>
  <c r="I10" i="111"/>
  <c r="O10" i="111"/>
  <c r="N10" i="111" s="1"/>
  <c r="L10" i="111" s="1"/>
  <c r="G10" i="111" s="1"/>
  <c r="P10" i="111"/>
  <c r="AR10" i="111"/>
  <c r="BC10" i="111" s="1"/>
  <c r="AR20" i="94"/>
  <c r="AQ21" i="94"/>
  <c r="AM97" i="94"/>
  <c r="Z55" i="94"/>
  <c r="W20" i="94"/>
  <c r="G21" i="94"/>
  <c r="H20" i="94"/>
  <c r="BK20" i="94" s="1"/>
  <c r="I20" i="94"/>
  <c r="J21" i="111"/>
  <c r="E22" i="111"/>
  <c r="F21" i="111"/>
  <c r="AZ21" i="111" s="1"/>
  <c r="AM22" i="111"/>
  <c r="AN21" i="111"/>
  <c r="AX23" i="111"/>
  <c r="AZ11" i="109"/>
  <c r="AX11" i="109" s="1"/>
  <c r="V51" i="103"/>
  <c r="U50" i="103"/>
  <c r="I10" i="103"/>
  <c r="P10" i="103"/>
  <c r="O10" i="103"/>
  <c r="N10" i="103" s="1"/>
  <c r="L10" i="103" s="1"/>
  <c r="AO104" i="106"/>
  <c r="AS104" i="106"/>
  <c r="AM143" i="106"/>
  <c r="BG105" i="106"/>
  <c r="BL150" i="106"/>
  <c r="AU105" i="106"/>
  <c r="AY105" i="106" s="1"/>
  <c r="AW105" i="106" s="1"/>
  <c r="AT105" i="106" s="1"/>
  <c r="BG105" i="105"/>
  <c r="BL150" i="105"/>
  <c r="AU105" i="105"/>
  <c r="AY105" i="105" s="1"/>
  <c r="AW105" i="105" s="1"/>
  <c r="AM140" i="105"/>
  <c r="AO101" i="105"/>
  <c r="AS101" i="105"/>
  <c r="AT102" i="105"/>
  <c r="BK100" i="105"/>
  <c r="J100" i="105"/>
  <c r="X135" i="105"/>
  <c r="K101" i="105"/>
  <c r="L105" i="105"/>
  <c r="P105" i="105" s="1"/>
  <c r="N105" i="105" s="1"/>
  <c r="S105" i="105"/>
  <c r="W140" i="105"/>
  <c r="AU17" i="94"/>
  <c r="AP16" i="94"/>
  <c r="AN55" i="94"/>
  <c r="AT16" i="94"/>
  <c r="BC10" i="103"/>
  <c r="AO10" i="103"/>
  <c r="AQ10" i="103" s="1"/>
  <c r="BH10" i="94"/>
  <c r="N9" i="61"/>
  <c r="M9" i="61" s="1"/>
  <c r="K9" i="61" s="1"/>
  <c r="O9" i="61"/>
  <c r="R19" i="94" l="1"/>
  <c r="Q19" i="94"/>
  <c r="U21" i="94"/>
  <c r="V20" i="94"/>
  <c r="AR10" i="110"/>
  <c r="AS11" i="110" s="1"/>
  <c r="Z54" i="109"/>
  <c r="AM96" i="109"/>
  <c r="AO10" i="110"/>
  <c r="BC10" i="110"/>
  <c r="G10" i="110"/>
  <c r="BA10" i="110" s="1"/>
  <c r="AT13" i="109"/>
  <c r="AP13" i="109"/>
  <c r="AN52" i="109"/>
  <c r="AU14" i="109"/>
  <c r="L10" i="109"/>
  <c r="P10" i="109" s="1"/>
  <c r="N10" i="109" s="1"/>
  <c r="M11" i="110"/>
  <c r="G10" i="112"/>
  <c r="K10" i="112" s="1"/>
  <c r="BB56" i="112"/>
  <c r="AI51" i="112"/>
  <c r="AP10" i="112"/>
  <c r="AY10" i="112"/>
  <c r="AM25" i="112"/>
  <c r="AN24" i="112"/>
  <c r="M11" i="112"/>
  <c r="J23" i="112"/>
  <c r="E24" i="112"/>
  <c r="F23" i="112"/>
  <c r="AZ23" i="112" s="1"/>
  <c r="AX23" i="112"/>
  <c r="P10" i="94"/>
  <c r="N10" i="94" s="1"/>
  <c r="BL10" i="94"/>
  <c r="M10" i="94"/>
  <c r="S10" i="94" s="1"/>
  <c r="L11" i="94" s="1"/>
  <c r="J10" i="94"/>
  <c r="Y45" i="94"/>
  <c r="BI22" i="94"/>
  <c r="BJ21" i="94"/>
  <c r="AS11" i="111"/>
  <c r="AO10" i="111"/>
  <c r="AJ51" i="111" s="1"/>
  <c r="K10" i="111"/>
  <c r="Q10" i="111" s="1"/>
  <c r="S11" i="111" s="1"/>
  <c r="BA10" i="111"/>
  <c r="M11" i="111"/>
  <c r="G22" i="94"/>
  <c r="W21" i="94"/>
  <c r="H21" i="94"/>
  <c r="BK21" i="94" s="1"/>
  <c r="I21" i="94"/>
  <c r="Z56" i="94"/>
  <c r="AM98" i="94"/>
  <c r="AR21" i="94"/>
  <c r="AQ22" i="94"/>
  <c r="J22" i="111"/>
  <c r="E23" i="111"/>
  <c r="F22" i="111"/>
  <c r="AZ22" i="111" s="1"/>
  <c r="AX24" i="111"/>
  <c r="AM23" i="111"/>
  <c r="AN22" i="111"/>
  <c r="AW11" i="109"/>
  <c r="M11" i="103"/>
  <c r="AM144" i="106"/>
  <c r="AS105" i="106"/>
  <c r="AO105" i="106"/>
  <c r="J101" i="105"/>
  <c r="X136" i="105"/>
  <c r="BK101" i="105"/>
  <c r="K102" i="105"/>
  <c r="BG106" i="106"/>
  <c r="BL151" i="106"/>
  <c r="AU106" i="106"/>
  <c r="AY106" i="106" s="1"/>
  <c r="AW106" i="106" s="1"/>
  <c r="AT106" i="106" s="1"/>
  <c r="L106" i="105"/>
  <c r="P106" i="105" s="1"/>
  <c r="N106" i="105" s="1"/>
  <c r="W141" i="105"/>
  <c r="S106" i="105"/>
  <c r="BL151" i="105"/>
  <c r="BG106" i="105"/>
  <c r="AU106" i="105"/>
  <c r="AY106" i="105" s="1"/>
  <c r="AW106" i="105" s="1"/>
  <c r="AS102" i="105"/>
  <c r="AM141" i="105"/>
  <c r="AO102" i="105"/>
  <c r="AT103" i="105"/>
  <c r="AW10" i="103"/>
  <c r="AV11" i="94"/>
  <c r="AL10" i="103"/>
  <c r="AJ51" i="103"/>
  <c r="AT17" i="94"/>
  <c r="AU18" i="94"/>
  <c r="AN56" i="94"/>
  <c r="AP17" i="94"/>
  <c r="H9" i="61"/>
  <c r="J9" i="61" s="1"/>
  <c r="L10" i="61"/>
  <c r="R20" i="94" l="1"/>
  <c r="Q20" i="94"/>
  <c r="U22" i="94"/>
  <c r="V21" i="94"/>
  <c r="Z55" i="109"/>
  <c r="AM97" i="109"/>
  <c r="AQ10" i="110"/>
  <c r="AW10" i="110" s="1"/>
  <c r="AJ51" i="110"/>
  <c r="AL10" i="110"/>
  <c r="K10" i="109"/>
  <c r="M10" i="109" s="1"/>
  <c r="S10" i="109" s="1"/>
  <c r="AT14" i="109"/>
  <c r="AN53" i="109"/>
  <c r="AU15" i="109"/>
  <c r="AP14" i="109"/>
  <c r="K10" i="110"/>
  <c r="Q10" i="110" s="1"/>
  <c r="AV10" i="112"/>
  <c r="AU10" i="112"/>
  <c r="E25" i="112"/>
  <c r="J24" i="112"/>
  <c r="F24" i="112"/>
  <c r="AZ24" i="112" s="1"/>
  <c r="AX24" i="112"/>
  <c r="AK51" i="112"/>
  <c r="BA10" i="112"/>
  <c r="AM26" i="112"/>
  <c r="AN25" i="112"/>
  <c r="Q10" i="112"/>
  <c r="K11" i="94"/>
  <c r="BL11" i="94" s="1"/>
  <c r="AQ10" i="111"/>
  <c r="AW10" i="111" s="1"/>
  <c r="AL10" i="111"/>
  <c r="BJ22" i="94"/>
  <c r="BI23" i="94"/>
  <c r="H11" i="111"/>
  <c r="I11" i="111" s="1"/>
  <c r="T52" i="111"/>
  <c r="V52" i="111" s="1"/>
  <c r="AM99" i="94"/>
  <c r="Z57" i="94"/>
  <c r="W22" i="94"/>
  <c r="G23" i="94"/>
  <c r="H22" i="94"/>
  <c r="BK22" i="94" s="1"/>
  <c r="I22" i="94"/>
  <c r="AR22" i="94"/>
  <c r="AQ23" i="94"/>
  <c r="AM24" i="111"/>
  <c r="AN23" i="111"/>
  <c r="P11" i="111"/>
  <c r="O11" i="111"/>
  <c r="AX25" i="111"/>
  <c r="E24" i="111"/>
  <c r="J23" i="111"/>
  <c r="F23" i="111"/>
  <c r="AZ23" i="111" s="1"/>
  <c r="BH11" i="109"/>
  <c r="AS106" i="106"/>
  <c r="AO106" i="106"/>
  <c r="AM145" i="106"/>
  <c r="BG107" i="106"/>
  <c r="AU107" i="106"/>
  <c r="AY107" i="106" s="1"/>
  <c r="AW107" i="106" s="1"/>
  <c r="AT107" i="106" s="1"/>
  <c r="BL152" i="106"/>
  <c r="BG107" i="105"/>
  <c r="BL152" i="105"/>
  <c r="AU107" i="105"/>
  <c r="AY107" i="105" s="1"/>
  <c r="AW107" i="105" s="1"/>
  <c r="X137" i="105"/>
  <c r="J102" i="105"/>
  <c r="BK102" i="105"/>
  <c r="K103" i="105"/>
  <c r="AM142" i="105"/>
  <c r="AS103" i="105"/>
  <c r="AO103" i="105"/>
  <c r="AT104" i="105"/>
  <c r="W142" i="105"/>
  <c r="S107" i="105"/>
  <c r="L107" i="105"/>
  <c r="P107" i="105" s="1"/>
  <c r="N107" i="105" s="1"/>
  <c r="Y46" i="94"/>
  <c r="J11" i="94"/>
  <c r="P11" i="94"/>
  <c r="AZ11" i="94"/>
  <c r="AX11" i="94" s="1"/>
  <c r="BB57" i="103"/>
  <c r="AI52" i="103"/>
  <c r="AP11" i="103"/>
  <c r="AY11" i="103"/>
  <c r="AP18" i="94"/>
  <c r="AT18" i="94"/>
  <c r="AN57" i="94"/>
  <c r="AU19" i="94"/>
  <c r="M11" i="94"/>
  <c r="P9" i="61"/>
  <c r="T39" i="61"/>
  <c r="Q21" i="94" l="1"/>
  <c r="R21" i="94"/>
  <c r="V22" i="94"/>
  <c r="U23" i="94"/>
  <c r="Z56" i="109"/>
  <c r="AM98" i="109"/>
  <c r="BL10" i="109"/>
  <c r="J10" i="109"/>
  <c r="Y45" i="109"/>
  <c r="AI52" i="110"/>
  <c r="AK52" i="110" s="1"/>
  <c r="AY11" i="110"/>
  <c r="AP11" i="110"/>
  <c r="BB57" i="110"/>
  <c r="E24" i="109"/>
  <c r="L11" i="109"/>
  <c r="P11" i="109" s="1"/>
  <c r="N11" i="109" s="1"/>
  <c r="H11" i="110"/>
  <c r="I11" i="110" s="1"/>
  <c r="S11" i="110"/>
  <c r="T52" i="110"/>
  <c r="AU16" i="109"/>
  <c r="AP15" i="109"/>
  <c r="AT15" i="109"/>
  <c r="AN54" i="109"/>
  <c r="K11" i="109"/>
  <c r="AM27" i="112"/>
  <c r="AN26" i="112"/>
  <c r="AX25" i="112"/>
  <c r="J25" i="112"/>
  <c r="E26" i="112"/>
  <c r="F25" i="112"/>
  <c r="AZ25" i="112" s="1"/>
  <c r="T52" i="112"/>
  <c r="H11" i="112"/>
  <c r="S11" i="112"/>
  <c r="AT10" i="112"/>
  <c r="AR10" i="112" s="1"/>
  <c r="BI24" i="94"/>
  <c r="BJ23" i="94"/>
  <c r="N11" i="111"/>
  <c r="L11" i="111" s="1"/>
  <c r="G11" i="111" s="1"/>
  <c r="K11" i="111" s="1"/>
  <c r="U51" i="111"/>
  <c r="AQ24" i="94"/>
  <c r="AR23" i="94"/>
  <c r="G24" i="94"/>
  <c r="W23" i="94"/>
  <c r="H23" i="94"/>
  <c r="BK23" i="94" s="1"/>
  <c r="I23" i="94"/>
  <c r="Z58" i="94"/>
  <c r="AM100" i="94"/>
  <c r="J24" i="111"/>
  <c r="E25" i="111"/>
  <c r="F24" i="111"/>
  <c r="AZ24" i="111" s="1"/>
  <c r="AM25" i="111"/>
  <c r="AN24" i="111"/>
  <c r="AX26" i="111"/>
  <c r="BB57" i="111"/>
  <c r="AP11" i="111"/>
  <c r="AI52" i="111"/>
  <c r="AY11" i="111"/>
  <c r="M12" i="111"/>
  <c r="AV12" i="109"/>
  <c r="AO107" i="106"/>
  <c r="AM146" i="106"/>
  <c r="AS107" i="106"/>
  <c r="BK103" i="105"/>
  <c r="X138" i="105"/>
  <c r="J103" i="105"/>
  <c r="K104" i="105"/>
  <c r="L108" i="105"/>
  <c r="W143" i="105"/>
  <c r="V108" i="105"/>
  <c r="BG108" i="106"/>
  <c r="AU108" i="106"/>
  <c r="BL153" i="106"/>
  <c r="AS104" i="105"/>
  <c r="AM143" i="105"/>
  <c r="AO104" i="105"/>
  <c r="AT105" i="105"/>
  <c r="AU108" i="105"/>
  <c r="BG108" i="105"/>
  <c r="BL153" i="105"/>
  <c r="AW11" i="94"/>
  <c r="AV11" i="103"/>
  <c r="AU11" i="103"/>
  <c r="AT11" i="103" s="1"/>
  <c r="AU20" i="94"/>
  <c r="AP19" i="94"/>
  <c r="AN58" i="94"/>
  <c r="AT19" i="94"/>
  <c r="S11" i="94"/>
  <c r="L12" i="94" s="1"/>
  <c r="AK52" i="103"/>
  <c r="N11" i="94"/>
  <c r="I10" i="61"/>
  <c r="S40" i="61"/>
  <c r="R10" i="61"/>
  <c r="V23" i="94" l="1"/>
  <c r="U24" i="94"/>
  <c r="Q22" i="94"/>
  <c r="R22" i="94"/>
  <c r="Z57" i="109"/>
  <c r="AM99" i="109"/>
  <c r="AU11" i="110"/>
  <c r="AT11" i="110" s="1"/>
  <c r="AV11" i="110"/>
  <c r="BL11" i="109"/>
  <c r="J11" i="109"/>
  <c r="Y46" i="109"/>
  <c r="M11" i="109"/>
  <c r="S11" i="109" s="1"/>
  <c r="AN55" i="109"/>
  <c r="AT16" i="109"/>
  <c r="AU17" i="109"/>
  <c r="AP16" i="109"/>
  <c r="V52" i="110"/>
  <c r="U51" i="110"/>
  <c r="P11" i="110"/>
  <c r="O11" i="110"/>
  <c r="N11" i="110" s="1"/>
  <c r="L11" i="110" s="1"/>
  <c r="M12" i="110" s="1"/>
  <c r="P11" i="112"/>
  <c r="O11" i="112"/>
  <c r="AO10" i="112"/>
  <c r="AQ10" i="112" s="1"/>
  <c r="BC10" i="112"/>
  <c r="AX26" i="112"/>
  <c r="AS11" i="112"/>
  <c r="I11" i="112"/>
  <c r="V52" i="112"/>
  <c r="U51" i="112"/>
  <c r="AM28" i="112"/>
  <c r="AN27" i="112"/>
  <c r="J26" i="112"/>
  <c r="E27" i="112"/>
  <c r="F26" i="112"/>
  <c r="AZ26" i="112" s="1"/>
  <c r="G10" i="103"/>
  <c r="BJ24" i="94"/>
  <c r="BI25" i="94"/>
  <c r="Z59" i="94"/>
  <c r="AM101" i="94"/>
  <c r="W24" i="94"/>
  <c r="G25" i="94"/>
  <c r="H24" i="94"/>
  <c r="BK24" i="94" s="1"/>
  <c r="I24" i="94"/>
  <c r="AR24" i="94"/>
  <c r="AQ25" i="94"/>
  <c r="Q11" i="111"/>
  <c r="AK52" i="111"/>
  <c r="AM26" i="111"/>
  <c r="AN25" i="111"/>
  <c r="AX27" i="111"/>
  <c r="J25" i="111"/>
  <c r="E26" i="111"/>
  <c r="F25" i="111"/>
  <c r="AZ25" i="111" s="1"/>
  <c r="AV11" i="111"/>
  <c r="AU11" i="111"/>
  <c r="BA11" i="111"/>
  <c r="AZ12" i="109"/>
  <c r="AX12" i="109" s="1"/>
  <c r="AY108" i="106"/>
  <c r="AW108" i="106" s="1"/>
  <c r="AU109" i="106"/>
  <c r="D21" i="106" s="1"/>
  <c r="AO105" i="105"/>
  <c r="AM144" i="105"/>
  <c r="AS105" i="105"/>
  <c r="AT106" i="105"/>
  <c r="AY108" i="105"/>
  <c r="AW108" i="105" s="1"/>
  <c r="AU109" i="105"/>
  <c r="D28" i="105" s="1"/>
  <c r="D31" i="105" s="1"/>
  <c r="Q108" i="105"/>
  <c r="Q109" i="105" s="1"/>
  <c r="R108" i="105"/>
  <c r="R109" i="105" s="1"/>
  <c r="M108" i="105"/>
  <c r="M109" i="105" s="1"/>
  <c r="S108" i="105"/>
  <c r="L109" i="105"/>
  <c r="C28" i="105" s="1"/>
  <c r="X139" i="105"/>
  <c r="BK104" i="105"/>
  <c r="J104" i="105"/>
  <c r="K105" i="105"/>
  <c r="AR11" i="103"/>
  <c r="BC11" i="103" s="1"/>
  <c r="AU21" i="94"/>
  <c r="AN59" i="94"/>
  <c r="AT20" i="94"/>
  <c r="AP20" i="94"/>
  <c r="K12" i="94"/>
  <c r="BH11" i="94"/>
  <c r="N10" i="61"/>
  <c r="M10" i="61" s="1"/>
  <c r="K10" i="61" s="1"/>
  <c r="O10" i="61"/>
  <c r="V24" i="94" l="1"/>
  <c r="U25" i="94"/>
  <c r="Q23" i="94"/>
  <c r="R23" i="94"/>
  <c r="Z58" i="109"/>
  <c r="AM100" i="109"/>
  <c r="AR11" i="110"/>
  <c r="L12" i="109"/>
  <c r="P12" i="109" s="1"/>
  <c r="N12" i="109" s="1"/>
  <c r="AN56" i="109"/>
  <c r="AU18" i="109"/>
  <c r="AT17" i="109"/>
  <c r="AP17" i="109"/>
  <c r="G11" i="110"/>
  <c r="K11" i="110" s="1"/>
  <c r="Q11" i="110" s="1"/>
  <c r="J27" i="112"/>
  <c r="E28" i="112"/>
  <c r="F27" i="112"/>
  <c r="AZ27" i="112" s="1"/>
  <c r="AW10" i="112"/>
  <c r="AM29" i="112"/>
  <c r="AN28" i="112"/>
  <c r="AX27" i="112"/>
  <c r="N11" i="112"/>
  <c r="L11" i="112" s="1"/>
  <c r="AL10" i="112"/>
  <c r="AJ51" i="112"/>
  <c r="BA10" i="103"/>
  <c r="K10" i="103"/>
  <c r="Q10" i="103" s="1"/>
  <c r="BI26" i="94"/>
  <c r="BJ25" i="94"/>
  <c r="BB19" i="94" s="1"/>
  <c r="AR25" i="94"/>
  <c r="AQ26" i="94"/>
  <c r="G26" i="94"/>
  <c r="W25" i="94"/>
  <c r="H25" i="94"/>
  <c r="BK25" i="94" s="1"/>
  <c r="I25" i="94"/>
  <c r="Z60" i="94"/>
  <c r="AM102" i="94"/>
  <c r="J26" i="111"/>
  <c r="E27" i="111"/>
  <c r="F26" i="111"/>
  <c r="AZ26" i="111" s="1"/>
  <c r="AX28" i="111"/>
  <c r="AM27" i="111"/>
  <c r="AN26" i="111"/>
  <c r="S12" i="111"/>
  <c r="H12" i="111"/>
  <c r="T53" i="111"/>
  <c r="AT11" i="111"/>
  <c r="AR11" i="111" s="1"/>
  <c r="AW12" i="109"/>
  <c r="AO11" i="103"/>
  <c r="AQ11" i="103" s="1"/>
  <c r="AW11" i="103" s="1"/>
  <c r="AW109" i="105"/>
  <c r="C29" i="105"/>
  <c r="E29" i="105" s="1"/>
  <c r="E28" i="105"/>
  <c r="AS106" i="105"/>
  <c r="AO106" i="105"/>
  <c r="AM145" i="105"/>
  <c r="AT107" i="105"/>
  <c r="AT108" i="105" s="1"/>
  <c r="X140" i="105"/>
  <c r="J105" i="105"/>
  <c r="BK105" i="105"/>
  <c r="K106" i="105"/>
  <c r="P108" i="105"/>
  <c r="E21" i="106"/>
  <c r="D24" i="106"/>
  <c r="D33" i="105"/>
  <c r="AW109" i="106"/>
  <c r="AT108" i="106"/>
  <c r="AS12" i="103"/>
  <c r="AV12" i="94"/>
  <c r="AN60" i="94"/>
  <c r="AU22" i="94"/>
  <c r="AP21" i="94"/>
  <c r="Y47" i="94"/>
  <c r="BL12" i="94"/>
  <c r="J12" i="94"/>
  <c r="P12" i="94"/>
  <c r="M12" i="94"/>
  <c r="H10" i="61"/>
  <c r="J10" i="61" s="1"/>
  <c r="L11" i="61"/>
  <c r="U26" i="94" l="1"/>
  <c r="V25" i="94"/>
  <c r="R24" i="94"/>
  <c r="Q24" i="94"/>
  <c r="AM101" i="109"/>
  <c r="Z59" i="109"/>
  <c r="AS12" i="110"/>
  <c r="AO11" i="110"/>
  <c r="BC11" i="110"/>
  <c r="K12" i="109"/>
  <c r="M12" i="109" s="1"/>
  <c r="S12" i="109" s="1"/>
  <c r="AP18" i="109"/>
  <c r="AU19" i="109"/>
  <c r="AN57" i="109"/>
  <c r="AT18" i="109"/>
  <c r="BA11" i="110"/>
  <c r="AM30" i="112"/>
  <c r="AN29" i="112"/>
  <c r="AX28" i="112"/>
  <c r="AI52" i="112"/>
  <c r="AP11" i="112"/>
  <c r="BB57" i="112"/>
  <c r="AY11" i="112"/>
  <c r="E29" i="112"/>
  <c r="J28" i="112"/>
  <c r="F28" i="112"/>
  <c r="AZ28" i="112" s="1"/>
  <c r="G11" i="112"/>
  <c r="K11" i="112" s="1"/>
  <c r="M12" i="112"/>
  <c r="T52" i="103"/>
  <c r="S11" i="103"/>
  <c r="H11" i="103"/>
  <c r="I11" i="103" s="1"/>
  <c r="BI27" i="94"/>
  <c r="BJ26" i="94"/>
  <c r="BB20" i="94" s="1"/>
  <c r="AM103" i="94"/>
  <c r="Z61" i="94"/>
  <c r="W26" i="94"/>
  <c r="G27" i="94"/>
  <c r="H26" i="94"/>
  <c r="BK26" i="94" s="1"/>
  <c r="I26" i="94"/>
  <c r="AQ27" i="94"/>
  <c r="AR26" i="94"/>
  <c r="I12" i="111"/>
  <c r="E28" i="111"/>
  <c r="J27" i="111"/>
  <c r="F27" i="111"/>
  <c r="AZ27" i="111" s="1"/>
  <c r="AO11" i="111"/>
  <c r="BC11" i="111"/>
  <c r="P12" i="111"/>
  <c r="O12" i="111"/>
  <c r="AX29" i="111"/>
  <c r="V53" i="111"/>
  <c r="U52" i="111"/>
  <c r="AM28" i="111"/>
  <c r="AN27" i="111"/>
  <c r="AS12" i="111"/>
  <c r="AL11" i="103"/>
  <c r="AJ52" i="103"/>
  <c r="BH12" i="109"/>
  <c r="H12" i="110"/>
  <c r="T53" i="110"/>
  <c r="S12" i="110"/>
  <c r="AS108" i="105"/>
  <c r="AM147" i="105"/>
  <c r="AO108" i="105"/>
  <c r="AT109" i="105"/>
  <c r="D30" i="105" s="1"/>
  <c r="AC51" i="105" s="1"/>
  <c r="AB47" i="105" s="1"/>
  <c r="BK106" i="105"/>
  <c r="X141" i="105"/>
  <c r="J106" i="105"/>
  <c r="K107" i="105"/>
  <c r="C31" i="105"/>
  <c r="AM147" i="106"/>
  <c r="AS108" i="106"/>
  <c r="AO108" i="106"/>
  <c r="AO7" i="106" s="1"/>
  <c r="AT109" i="106"/>
  <c r="D22" i="106" s="1"/>
  <c r="AC51" i="106" s="1"/>
  <c r="AB47" i="106" s="1"/>
  <c r="AM146" i="105"/>
  <c r="AS107" i="105"/>
  <c r="AO107" i="105"/>
  <c r="D25" i="106"/>
  <c r="E24" i="106"/>
  <c r="D26" i="106"/>
  <c r="D34" i="105"/>
  <c r="D35" i="105"/>
  <c r="D36" i="105" s="1"/>
  <c r="N108" i="105"/>
  <c r="P109" i="105"/>
  <c r="AP22" i="94"/>
  <c r="AU23" i="94"/>
  <c r="AN61" i="94"/>
  <c r="N12" i="94"/>
  <c r="S12" i="94"/>
  <c r="L13" i="94" s="1"/>
  <c r="AZ12" i="94"/>
  <c r="AX12" i="94" s="1"/>
  <c r="AP12" i="103"/>
  <c r="AI53" i="103"/>
  <c r="BB58" i="103"/>
  <c r="AY12" i="103"/>
  <c r="P10" i="61"/>
  <c r="T40" i="61"/>
  <c r="Q25" i="94" l="1"/>
  <c r="R25" i="94"/>
  <c r="V26" i="94"/>
  <c r="U27" i="94"/>
  <c r="Z60" i="109"/>
  <c r="AM102" i="109"/>
  <c r="AQ11" i="110"/>
  <c r="AW11" i="110" s="1"/>
  <c r="AJ52" i="110"/>
  <c r="AL11" i="110"/>
  <c r="BL12" i="109"/>
  <c r="J12" i="109"/>
  <c r="Y47" i="109"/>
  <c r="AU20" i="109"/>
  <c r="AP19" i="109"/>
  <c r="AT19" i="109"/>
  <c r="AN58" i="109"/>
  <c r="L13" i="109"/>
  <c r="P13" i="109" s="1"/>
  <c r="N13" i="109" s="1"/>
  <c r="Q11" i="112"/>
  <c r="AV11" i="112"/>
  <c r="AU11" i="112"/>
  <c r="AM31" i="112"/>
  <c r="AN30" i="112"/>
  <c r="AK52" i="112"/>
  <c r="BA11" i="112"/>
  <c r="J29" i="112"/>
  <c r="E30" i="112"/>
  <c r="F29" i="112"/>
  <c r="AZ29" i="112" s="1"/>
  <c r="AX29" i="112"/>
  <c r="O11" i="103"/>
  <c r="P11" i="103"/>
  <c r="U51" i="103"/>
  <c r="V52" i="103"/>
  <c r="BI28" i="94"/>
  <c r="BJ27" i="94"/>
  <c r="G28" i="94"/>
  <c r="W27" i="94"/>
  <c r="H27" i="94"/>
  <c r="BK27" i="94" s="1"/>
  <c r="I27" i="94"/>
  <c r="Z62" i="94"/>
  <c r="AM104" i="94"/>
  <c r="AR27" i="94"/>
  <c r="AQ28" i="94"/>
  <c r="AL11" i="111"/>
  <c r="AJ52" i="111"/>
  <c r="J28" i="111"/>
  <c r="E29" i="111"/>
  <c r="F28" i="111"/>
  <c r="AZ28" i="111" s="1"/>
  <c r="AX30" i="111"/>
  <c r="AQ11" i="111"/>
  <c r="AM29" i="111"/>
  <c r="AN28" i="111"/>
  <c r="N12" i="111"/>
  <c r="L12" i="111" s="1"/>
  <c r="M13" i="111" s="1"/>
  <c r="AV13" i="109"/>
  <c r="O12" i="110"/>
  <c r="N12" i="110" s="1"/>
  <c r="L12" i="110" s="1"/>
  <c r="P12" i="110"/>
  <c r="V53" i="110"/>
  <c r="U52" i="110"/>
  <c r="I12" i="110"/>
  <c r="J107" i="105"/>
  <c r="BK107" i="105"/>
  <c r="X142" i="105"/>
  <c r="N109" i="105"/>
  <c r="K108" i="105"/>
  <c r="D27" i="106"/>
  <c r="E27" i="106" s="1"/>
  <c r="E26" i="106"/>
  <c r="AO7" i="105"/>
  <c r="AN148" i="106"/>
  <c r="AM148" i="106"/>
  <c r="AM148" i="105"/>
  <c r="AN148" i="105"/>
  <c r="C33" i="105"/>
  <c r="E31" i="105"/>
  <c r="AS109" i="105"/>
  <c r="AV12" i="103"/>
  <c r="AU12" i="103"/>
  <c r="AU24" i="94"/>
  <c r="AN62" i="94"/>
  <c r="AP23" i="94"/>
  <c r="AW12" i="94"/>
  <c r="AK53" i="103"/>
  <c r="K13" i="94"/>
  <c r="M13" i="94" s="1"/>
  <c r="I11" i="61"/>
  <c r="R11" i="61"/>
  <c r="S41" i="61"/>
  <c r="U28" i="94" l="1"/>
  <c r="V27" i="94"/>
  <c r="R26" i="94"/>
  <c r="Q26" i="94"/>
  <c r="Z61" i="109"/>
  <c r="AM103" i="109"/>
  <c r="AY12" i="110"/>
  <c r="BB58" i="110"/>
  <c r="AP12" i="110"/>
  <c r="AI53" i="110"/>
  <c r="AK53" i="110" s="1"/>
  <c r="K13" i="109"/>
  <c r="M13" i="109" s="1"/>
  <c r="S13" i="109" s="1"/>
  <c r="AN59" i="109"/>
  <c r="AP20" i="109"/>
  <c r="AT20" i="109"/>
  <c r="AU21" i="109"/>
  <c r="AM32" i="112"/>
  <c r="AN31" i="112"/>
  <c r="AX30" i="112"/>
  <c r="AT11" i="112"/>
  <c r="AR11" i="112" s="1"/>
  <c r="AS12" i="112" s="1"/>
  <c r="H12" i="112"/>
  <c r="T53" i="112"/>
  <c r="S12" i="112"/>
  <c r="J30" i="112"/>
  <c r="E31" i="112"/>
  <c r="F30" i="112"/>
  <c r="AZ30" i="112" s="1"/>
  <c r="N11" i="103"/>
  <c r="L11" i="103" s="1"/>
  <c r="G11" i="103" s="1"/>
  <c r="BA21" i="94"/>
  <c r="AT21" i="94" s="1"/>
  <c r="BB21" i="94"/>
  <c r="BI29" i="94"/>
  <c r="BJ28" i="94"/>
  <c r="AR28" i="94"/>
  <c r="AQ29" i="94"/>
  <c r="W28" i="94"/>
  <c r="G29" i="94"/>
  <c r="H28" i="94"/>
  <c r="BK28" i="94" s="1"/>
  <c r="I28" i="94"/>
  <c r="Z63" i="94"/>
  <c r="AM105" i="94"/>
  <c r="AX31" i="111"/>
  <c r="AM30" i="111"/>
  <c r="AN29" i="111"/>
  <c r="G12" i="111"/>
  <c r="K12" i="111" s="1"/>
  <c r="AW11" i="111"/>
  <c r="J29" i="111"/>
  <c r="E30" i="111"/>
  <c r="F29" i="111"/>
  <c r="AZ29" i="111" s="1"/>
  <c r="G12" i="110"/>
  <c r="M13" i="110"/>
  <c r="AZ13" i="109"/>
  <c r="AX13" i="109" s="1"/>
  <c r="X143" i="105"/>
  <c r="J108" i="105"/>
  <c r="J109" i="105" s="1"/>
  <c r="C30" i="105" s="1"/>
  <c r="BK108" i="105"/>
  <c r="K109" i="105"/>
  <c r="BK109" i="105" s="1"/>
  <c r="BK115" i="105" s="1"/>
  <c r="C34" i="105"/>
  <c r="C35" i="105"/>
  <c r="E33" i="105"/>
  <c r="BH12" i="94"/>
  <c r="S13" i="94"/>
  <c r="BL13" i="94"/>
  <c r="J13" i="94"/>
  <c r="Y48" i="94"/>
  <c r="P13" i="94"/>
  <c r="AU25" i="94"/>
  <c r="AP24" i="94"/>
  <c r="AN63" i="94"/>
  <c r="AT12" i="103"/>
  <c r="AR12" i="103" s="1"/>
  <c r="AS13" i="103" s="1"/>
  <c r="O11" i="61"/>
  <c r="N11" i="61"/>
  <c r="M11" i="61" s="1"/>
  <c r="K11" i="61" s="1"/>
  <c r="R27" i="94" l="1"/>
  <c r="Q27" i="94"/>
  <c r="U29" i="94"/>
  <c r="V28" i="94"/>
  <c r="Y48" i="109"/>
  <c r="J13" i="109"/>
  <c r="Z62" i="109"/>
  <c r="AM104" i="109"/>
  <c r="AV12" i="110"/>
  <c r="AU12" i="110"/>
  <c r="L14" i="109"/>
  <c r="P14" i="109" s="1"/>
  <c r="N14" i="109" s="1"/>
  <c r="X49" i="109"/>
  <c r="BL13" i="109"/>
  <c r="AN60" i="109"/>
  <c r="AP21" i="109"/>
  <c r="AT21" i="109"/>
  <c r="AU22" i="109"/>
  <c r="I12" i="112"/>
  <c r="P12" i="112"/>
  <c r="O12" i="112"/>
  <c r="AO11" i="112"/>
  <c r="BC11" i="112"/>
  <c r="E32" i="112"/>
  <c r="J31" i="112"/>
  <c r="F31" i="112"/>
  <c r="AZ31" i="112" s="1"/>
  <c r="AM33" i="112"/>
  <c r="AN32" i="112"/>
  <c r="V53" i="112"/>
  <c r="U52" i="112"/>
  <c r="AX31" i="112"/>
  <c r="M12" i="103"/>
  <c r="K11" i="103"/>
  <c r="Q11" i="103" s="1"/>
  <c r="BA11" i="103"/>
  <c r="X49" i="94"/>
  <c r="L14" i="94"/>
  <c r="P14" i="94" s="1"/>
  <c r="N14" i="94" s="1"/>
  <c r="BB22" i="94"/>
  <c r="BA22" i="94"/>
  <c r="AT22" i="94" s="1"/>
  <c r="BJ29" i="94"/>
  <c r="BI30" i="94"/>
  <c r="G30" i="94"/>
  <c r="W29" i="94"/>
  <c r="H29" i="94"/>
  <c r="BK29" i="94" s="1"/>
  <c r="I29" i="94"/>
  <c r="AQ30" i="94"/>
  <c r="AR29" i="94"/>
  <c r="Z64" i="94"/>
  <c r="AM106" i="94"/>
  <c r="Q12" i="111"/>
  <c r="AM31" i="111"/>
  <c r="AN30" i="111"/>
  <c r="BA12" i="111"/>
  <c r="BB58" i="111"/>
  <c r="AI53" i="111"/>
  <c r="AP12" i="111"/>
  <c r="AY12" i="111"/>
  <c r="E31" i="111"/>
  <c r="J30" i="111"/>
  <c r="F30" i="111"/>
  <c r="AZ30" i="111" s="1"/>
  <c r="AX32" i="111"/>
  <c r="AW13" i="109"/>
  <c r="BA12" i="110"/>
  <c r="K12" i="110"/>
  <c r="X144" i="105"/>
  <c r="Y144" i="105"/>
  <c r="C36" i="105"/>
  <c r="E36" i="105" s="1"/>
  <c r="E35" i="105"/>
  <c r="BC12" i="103"/>
  <c r="AO12" i="103"/>
  <c r="AQ12" i="103" s="1"/>
  <c r="AP25" i="94"/>
  <c r="AN64" i="94"/>
  <c r="AU26" i="94"/>
  <c r="AV13" i="94"/>
  <c r="N13" i="94"/>
  <c r="H11" i="61"/>
  <c r="J11" i="61" s="1"/>
  <c r="L12" i="61"/>
  <c r="Q28" i="94" l="1"/>
  <c r="R28" i="94"/>
  <c r="V29" i="94"/>
  <c r="U30" i="94"/>
  <c r="Z63" i="109"/>
  <c r="AM105" i="109"/>
  <c r="K14" i="109"/>
  <c r="M14" i="109" s="1"/>
  <c r="S14" i="109" s="1"/>
  <c r="X50" i="109" s="1"/>
  <c r="X144" i="109" s="1"/>
  <c r="AT12" i="110"/>
  <c r="AR12" i="110" s="1"/>
  <c r="AS13" i="110" s="1"/>
  <c r="AT22" i="109"/>
  <c r="AP22" i="109"/>
  <c r="AN61" i="109"/>
  <c r="AU23" i="109"/>
  <c r="AM34" i="112"/>
  <c r="AN33" i="112"/>
  <c r="AL11" i="112"/>
  <c r="AJ52" i="112"/>
  <c r="AQ11" i="112"/>
  <c r="AX32" i="112"/>
  <c r="E33" i="112"/>
  <c r="J32" i="112"/>
  <c r="F32" i="112"/>
  <c r="AZ32" i="112" s="1"/>
  <c r="N12" i="112"/>
  <c r="L12" i="112" s="1"/>
  <c r="M13" i="112" s="1"/>
  <c r="H12" i="103"/>
  <c r="I12" i="103" s="1"/>
  <c r="T53" i="103"/>
  <c r="S12" i="103"/>
  <c r="BJ30" i="94"/>
  <c r="BI31" i="94"/>
  <c r="BA23" i="94"/>
  <c r="AT23" i="94" s="1"/>
  <c r="BB23" i="94"/>
  <c r="Z65" i="94"/>
  <c r="AM107" i="94"/>
  <c r="W30" i="94"/>
  <c r="G31" i="94"/>
  <c r="H30" i="94"/>
  <c r="BK30" i="94" s="1"/>
  <c r="I30" i="94"/>
  <c r="AR30" i="94"/>
  <c r="AQ31" i="94"/>
  <c r="AX33" i="111"/>
  <c r="AK53" i="111"/>
  <c r="AM32" i="111"/>
  <c r="AN31" i="111"/>
  <c r="AV12" i="111"/>
  <c r="AU12" i="111"/>
  <c r="AT12" i="111" s="1"/>
  <c r="S13" i="111"/>
  <c r="H13" i="111"/>
  <c r="T54" i="111"/>
  <c r="E32" i="111"/>
  <c r="J31" i="111"/>
  <c r="F31" i="111"/>
  <c r="AZ31" i="111" s="1"/>
  <c r="BH13" i="109"/>
  <c r="BM59" i="109" s="1"/>
  <c r="Q12" i="110"/>
  <c r="K14" i="94"/>
  <c r="M14" i="94" s="1"/>
  <c r="S14" i="94" s="1"/>
  <c r="AN65" i="94"/>
  <c r="AP26" i="94"/>
  <c r="AU27" i="94"/>
  <c r="AZ13" i="94"/>
  <c r="AX13" i="94" s="1"/>
  <c r="AW12" i="103"/>
  <c r="AL12" i="103"/>
  <c r="AJ53" i="103"/>
  <c r="P11" i="61"/>
  <c r="T41" i="61"/>
  <c r="Q29" i="94" l="1"/>
  <c r="R29" i="94"/>
  <c r="U31" i="94"/>
  <c r="V30" i="94"/>
  <c r="L15" i="109"/>
  <c r="P15" i="109" s="1"/>
  <c r="N15" i="109" s="1"/>
  <c r="BL14" i="109"/>
  <c r="Y49" i="109"/>
  <c r="J14" i="109"/>
  <c r="Z64" i="109"/>
  <c r="AM106" i="109"/>
  <c r="AO12" i="110"/>
  <c r="BC12" i="110"/>
  <c r="K15" i="109"/>
  <c r="BL15" i="109" s="1"/>
  <c r="AP23" i="109"/>
  <c r="AT23" i="109"/>
  <c r="AU24" i="109"/>
  <c r="AN62" i="109"/>
  <c r="E34" i="112"/>
  <c r="J33" i="112"/>
  <c r="F33" i="112"/>
  <c r="AZ33" i="112" s="1"/>
  <c r="AX33" i="112"/>
  <c r="AM35" i="112"/>
  <c r="AN34" i="112"/>
  <c r="G12" i="112"/>
  <c r="K12" i="112" s="1"/>
  <c r="AW11" i="112"/>
  <c r="P12" i="103"/>
  <c r="O12" i="103"/>
  <c r="V53" i="103"/>
  <c r="U52" i="103"/>
  <c r="AR12" i="111"/>
  <c r="L15" i="94"/>
  <c r="P15" i="94" s="1"/>
  <c r="N15" i="94" s="1"/>
  <c r="BJ31" i="94"/>
  <c r="BI32" i="94"/>
  <c r="BA24" i="94"/>
  <c r="AT24" i="94" s="1"/>
  <c r="BB24" i="94"/>
  <c r="Z66" i="94"/>
  <c r="AM108" i="94"/>
  <c r="G32" i="94"/>
  <c r="W31" i="94"/>
  <c r="H31" i="94"/>
  <c r="BK31" i="94" s="1"/>
  <c r="I31" i="94"/>
  <c r="AQ32" i="94"/>
  <c r="AR31" i="94"/>
  <c r="V54" i="111"/>
  <c r="U53" i="111"/>
  <c r="AS13" i="111"/>
  <c r="AM33" i="111"/>
  <c r="AN32" i="111"/>
  <c r="J32" i="111"/>
  <c r="E33" i="111"/>
  <c r="F32" i="111"/>
  <c r="AZ32" i="111" s="1"/>
  <c r="I13" i="111"/>
  <c r="BC12" i="111"/>
  <c r="AO12" i="111"/>
  <c r="P13" i="111"/>
  <c r="O13" i="111"/>
  <c r="AX34" i="111"/>
  <c r="S13" i="110"/>
  <c r="H13" i="110"/>
  <c r="T54" i="110"/>
  <c r="AV14" i="109"/>
  <c r="J14" i="94"/>
  <c r="Y49" i="94"/>
  <c r="BL14" i="94"/>
  <c r="X50" i="94"/>
  <c r="X144" i="94" s="1"/>
  <c r="AP13" i="103"/>
  <c r="BB59" i="103"/>
  <c r="AI54" i="103"/>
  <c r="AY13" i="103"/>
  <c r="AW13" i="94"/>
  <c r="AN66" i="94"/>
  <c r="AU28" i="94"/>
  <c r="AP27" i="94"/>
  <c r="S42" i="61"/>
  <c r="I12" i="61"/>
  <c r="R12" i="61"/>
  <c r="Q30" i="94" l="1"/>
  <c r="R30" i="94"/>
  <c r="V31" i="94"/>
  <c r="U32" i="94"/>
  <c r="K15" i="94"/>
  <c r="Y50" i="94" s="1"/>
  <c r="Y50" i="109"/>
  <c r="Z65" i="109"/>
  <c r="AM107" i="109"/>
  <c r="M15" i="109"/>
  <c r="S15" i="109" s="1"/>
  <c r="L16" i="109" s="1"/>
  <c r="AQ12" i="110"/>
  <c r="AW12" i="110" s="1"/>
  <c r="AJ53" i="110"/>
  <c r="AL12" i="110"/>
  <c r="J15" i="109"/>
  <c r="AT24" i="109"/>
  <c r="AP24" i="109"/>
  <c r="AU25" i="109"/>
  <c r="AN63" i="109"/>
  <c r="Q12" i="112"/>
  <c r="AI53" i="112"/>
  <c r="BB58" i="112"/>
  <c r="AP12" i="112"/>
  <c r="AY12" i="112"/>
  <c r="E35" i="112"/>
  <c r="J34" i="112"/>
  <c r="F34" i="112"/>
  <c r="AZ34" i="112" s="1"/>
  <c r="AM36" i="112"/>
  <c r="AN35" i="112"/>
  <c r="BA12" i="112"/>
  <c r="AX34" i="112"/>
  <c r="N12" i="103"/>
  <c r="L12" i="103" s="1"/>
  <c r="M13" i="103" s="1"/>
  <c r="BJ32" i="94"/>
  <c r="BI33" i="94"/>
  <c r="BB25" i="94"/>
  <c r="BA25" i="94"/>
  <c r="AT25" i="94" s="1"/>
  <c r="AQ33" i="94"/>
  <c r="AR32" i="94"/>
  <c r="W32" i="94"/>
  <c r="G33" i="94"/>
  <c r="H32" i="94"/>
  <c r="BK32" i="94" s="1"/>
  <c r="I32" i="94"/>
  <c r="Z67" i="94"/>
  <c r="AM109" i="94"/>
  <c r="AM34" i="111"/>
  <c r="AN33" i="111"/>
  <c r="J33" i="111"/>
  <c r="E34" i="111"/>
  <c r="F33" i="111"/>
  <c r="AZ33" i="111" s="1"/>
  <c r="AL12" i="111"/>
  <c r="AJ53" i="111"/>
  <c r="AX35" i="111"/>
  <c r="N13" i="111"/>
  <c r="L13" i="111" s="1"/>
  <c r="AQ12" i="111"/>
  <c r="O13" i="110"/>
  <c r="N13" i="110" s="1"/>
  <c r="L13" i="110" s="1"/>
  <c r="P13" i="110"/>
  <c r="AZ14" i="109"/>
  <c r="AX14" i="109" s="1"/>
  <c r="AW14" i="109" s="1"/>
  <c r="BH14" i="109" s="1"/>
  <c r="V54" i="110"/>
  <c r="U53" i="110"/>
  <c r="I13" i="110"/>
  <c r="BL15" i="94"/>
  <c r="M15" i="94"/>
  <c r="S15" i="94" s="1"/>
  <c r="J15" i="94"/>
  <c r="AK54" i="103"/>
  <c r="BH13" i="94"/>
  <c r="BM59" i="94" s="1"/>
  <c r="AN67" i="94"/>
  <c r="AU29" i="94"/>
  <c r="AP28" i="94"/>
  <c r="AV13" i="103"/>
  <c r="AU13" i="103"/>
  <c r="AT13" i="103" s="1"/>
  <c r="O12" i="61"/>
  <c r="N12" i="61"/>
  <c r="V32" i="94" l="1"/>
  <c r="U33" i="94"/>
  <c r="Q31" i="94"/>
  <c r="R31" i="94"/>
  <c r="X51" i="109"/>
  <c r="P16" i="109"/>
  <c r="N16" i="109" s="1"/>
  <c r="K16" i="109"/>
  <c r="M16" i="109" s="1"/>
  <c r="S16" i="109" s="1"/>
  <c r="X52" i="109" s="1"/>
  <c r="Z66" i="109"/>
  <c r="AM108" i="109"/>
  <c r="AP13" i="110"/>
  <c r="AY13" i="110"/>
  <c r="AI54" i="110"/>
  <c r="AK54" i="110" s="1"/>
  <c r="BB59" i="110"/>
  <c r="AT25" i="109"/>
  <c r="AN64" i="109"/>
  <c r="AU26" i="109"/>
  <c r="AP25" i="109"/>
  <c r="AK53" i="112"/>
  <c r="AX35" i="112"/>
  <c r="AV12" i="112"/>
  <c r="AU12" i="112"/>
  <c r="AT12" i="112" s="1"/>
  <c r="T54" i="112"/>
  <c r="H13" i="112"/>
  <c r="S13" i="112"/>
  <c r="E36" i="112"/>
  <c r="J35" i="112"/>
  <c r="F35" i="112"/>
  <c r="AZ35" i="112" s="1"/>
  <c r="AM37" i="112"/>
  <c r="AN36" i="112"/>
  <c r="L16" i="94"/>
  <c r="P16" i="94" s="1"/>
  <c r="N16" i="94" s="1"/>
  <c r="BI34" i="94"/>
  <c r="BJ33" i="94"/>
  <c r="BB26" i="94"/>
  <c r="BA26" i="94"/>
  <c r="AT26" i="94" s="1"/>
  <c r="G34" i="94"/>
  <c r="W33" i="94"/>
  <c r="H33" i="94"/>
  <c r="BK33" i="94" s="1"/>
  <c r="I33" i="94"/>
  <c r="Z68" i="94"/>
  <c r="AM110" i="94"/>
  <c r="AR33" i="94"/>
  <c r="AQ34" i="94"/>
  <c r="G13" i="111"/>
  <c r="K13" i="111" s="1"/>
  <c r="AM35" i="111"/>
  <c r="AN34" i="111"/>
  <c r="AX36" i="111"/>
  <c r="M14" i="111"/>
  <c r="AW12" i="111"/>
  <c r="E35" i="111"/>
  <c r="J34" i="111"/>
  <c r="F34" i="111"/>
  <c r="AZ34" i="111" s="1"/>
  <c r="G13" i="110"/>
  <c r="BM60" i="109"/>
  <c r="BM154" i="109" s="1"/>
  <c r="AV15" i="109"/>
  <c r="AZ15" i="109" s="1"/>
  <c r="AX15" i="109" s="1"/>
  <c r="AW15" i="109" s="1"/>
  <c r="BH15" i="109" s="1"/>
  <c r="M14" i="110"/>
  <c r="X51" i="94"/>
  <c r="AR13" i="103"/>
  <c r="K16" i="94"/>
  <c r="Y51" i="94" s="1"/>
  <c r="AU30" i="94"/>
  <c r="AP29" i="94"/>
  <c r="AN68" i="94"/>
  <c r="AV14" i="94"/>
  <c r="M12" i="61"/>
  <c r="K12" i="61" s="1"/>
  <c r="U34" i="94" l="1"/>
  <c r="V33" i="94"/>
  <c r="Q32" i="94"/>
  <c r="R32" i="94"/>
  <c r="Y51" i="109"/>
  <c r="BL16" i="109"/>
  <c r="J16" i="109"/>
  <c r="Z67" i="109"/>
  <c r="AM109" i="109"/>
  <c r="AV13" i="110"/>
  <c r="AU13" i="110"/>
  <c r="AT13" i="110" s="1"/>
  <c r="AR13" i="110" s="1"/>
  <c r="L17" i="109"/>
  <c r="AU27" i="109"/>
  <c r="AT26" i="109"/>
  <c r="AN65" i="109"/>
  <c r="AP26" i="109"/>
  <c r="V54" i="112"/>
  <c r="U53" i="112"/>
  <c r="AX36" i="112"/>
  <c r="P13" i="112"/>
  <c r="O13" i="112"/>
  <c r="N13" i="112" s="1"/>
  <c r="L13" i="112" s="1"/>
  <c r="J36" i="112"/>
  <c r="E37" i="112"/>
  <c r="F36" i="112"/>
  <c r="AZ36" i="112" s="1"/>
  <c r="AR12" i="112"/>
  <c r="AS13" i="112" s="1"/>
  <c r="AM38" i="112"/>
  <c r="AN37" i="112"/>
  <c r="I13" i="112"/>
  <c r="BA27" i="94"/>
  <c r="AT27" i="94" s="1"/>
  <c r="BB27" i="94"/>
  <c r="BJ34" i="94"/>
  <c r="BI35" i="94"/>
  <c r="AQ35" i="94"/>
  <c r="AR34" i="94"/>
  <c r="Z69" i="94"/>
  <c r="AM111" i="94"/>
  <c r="W34" i="94"/>
  <c r="G35" i="94"/>
  <c r="H34" i="94"/>
  <c r="BK34" i="94" s="1"/>
  <c r="I34" i="94"/>
  <c r="Q13" i="111"/>
  <c r="AI54" i="111"/>
  <c r="AP13" i="111"/>
  <c r="BB59" i="111"/>
  <c r="AY13" i="111"/>
  <c r="AX37" i="111"/>
  <c r="BA13" i="111"/>
  <c r="E36" i="111"/>
  <c r="J35" i="111"/>
  <c r="F35" i="111"/>
  <c r="AZ35" i="111" s="1"/>
  <c r="AM36" i="111"/>
  <c r="AN35" i="111"/>
  <c r="AV16" i="109"/>
  <c r="AZ16" i="109" s="1"/>
  <c r="AX16" i="109" s="1"/>
  <c r="AW16" i="109" s="1"/>
  <c r="BH16" i="109" s="1"/>
  <c r="BM61" i="109"/>
  <c r="BA13" i="110"/>
  <c r="K13" i="110"/>
  <c r="J16" i="94"/>
  <c r="M16" i="94"/>
  <c r="S16" i="94" s="1"/>
  <c r="BL16" i="94"/>
  <c r="AS14" i="103"/>
  <c r="BC13" i="103"/>
  <c r="AO13" i="103"/>
  <c r="AQ13" i="103" s="1"/>
  <c r="AW13" i="103" s="1"/>
  <c r="AZ14" i="94"/>
  <c r="AX14" i="94" s="1"/>
  <c r="AW14" i="94" s="1"/>
  <c r="BH14" i="94" s="1"/>
  <c r="AN69" i="94"/>
  <c r="AU31" i="94"/>
  <c r="AP30" i="94"/>
  <c r="H12" i="61"/>
  <c r="J12" i="61" s="1"/>
  <c r="L13" i="61"/>
  <c r="Q33" i="94" l="1"/>
  <c r="R33" i="94"/>
  <c r="U35" i="94"/>
  <c r="V34" i="94"/>
  <c r="Z68" i="109"/>
  <c r="AM110" i="109"/>
  <c r="AS14" i="110"/>
  <c r="AO13" i="110"/>
  <c r="BC13" i="110"/>
  <c r="P17" i="109"/>
  <c r="N17" i="109" s="1"/>
  <c r="K17" i="109"/>
  <c r="AP27" i="109"/>
  <c r="AT27" i="109"/>
  <c r="AU28" i="109"/>
  <c r="AN66" i="109"/>
  <c r="AM39" i="112"/>
  <c r="AN38" i="112"/>
  <c r="G13" i="112"/>
  <c r="AO12" i="112"/>
  <c r="AQ12" i="112" s="1"/>
  <c r="BC12" i="112"/>
  <c r="E38" i="112"/>
  <c r="J37" i="112"/>
  <c r="F37" i="112"/>
  <c r="AZ37" i="112" s="1"/>
  <c r="M14" i="112"/>
  <c r="AX37" i="112"/>
  <c r="L17" i="94"/>
  <c r="P17" i="94" s="1"/>
  <c r="N17" i="94" s="1"/>
  <c r="BI36" i="94"/>
  <c r="BJ35" i="94"/>
  <c r="BA28" i="94"/>
  <c r="AT28" i="94" s="1"/>
  <c r="BB28" i="94"/>
  <c r="G36" i="94"/>
  <c r="W35" i="94"/>
  <c r="H35" i="94"/>
  <c r="BK35" i="94" s="1"/>
  <c r="I35" i="94"/>
  <c r="AM112" i="94"/>
  <c r="Z70" i="94"/>
  <c r="AR35" i="94"/>
  <c r="AQ36" i="94"/>
  <c r="AV13" i="111"/>
  <c r="AU13" i="111"/>
  <c r="AT13" i="111" s="1"/>
  <c r="AM37" i="111"/>
  <c r="AN36" i="111"/>
  <c r="E37" i="111"/>
  <c r="J36" i="111"/>
  <c r="F36" i="111"/>
  <c r="AZ36" i="111" s="1"/>
  <c r="AX38" i="111"/>
  <c r="S14" i="111"/>
  <c r="T55" i="111"/>
  <c r="H14" i="111"/>
  <c r="AK54" i="111"/>
  <c r="AJ54" i="103"/>
  <c r="AL13" i="103"/>
  <c r="BM62" i="109"/>
  <c r="AV17" i="109"/>
  <c r="AZ17" i="109" s="1"/>
  <c r="AX17" i="109" s="1"/>
  <c r="AW17" i="109" s="1"/>
  <c r="BH17" i="109" s="1"/>
  <c r="Q13" i="110"/>
  <c r="X52" i="94"/>
  <c r="K17" i="94"/>
  <c r="M17" i="94" s="1"/>
  <c r="S17" i="94" s="1"/>
  <c r="BB60" i="103"/>
  <c r="AP14" i="103"/>
  <c r="AI55" i="103"/>
  <c r="AY14" i="103"/>
  <c r="AP31" i="94"/>
  <c r="AU32" i="94"/>
  <c r="AN70" i="94"/>
  <c r="AV15" i="94"/>
  <c r="AZ15" i="94" s="1"/>
  <c r="AX15" i="94" s="1"/>
  <c r="AW15" i="94" s="1"/>
  <c r="BH15" i="94" s="1"/>
  <c r="BM60" i="94"/>
  <c r="BM154" i="94" s="1"/>
  <c r="P12" i="61"/>
  <c r="T42" i="61"/>
  <c r="Q34" i="94" l="1"/>
  <c r="R34" i="94"/>
  <c r="V35" i="94"/>
  <c r="U36" i="94"/>
  <c r="Z69" i="109"/>
  <c r="AM111" i="109"/>
  <c r="AQ13" i="110"/>
  <c r="AW13" i="110" s="1"/>
  <c r="AL13" i="110"/>
  <c r="AJ54" i="110"/>
  <c r="BL17" i="109"/>
  <c r="Y52" i="109"/>
  <c r="J17" i="109"/>
  <c r="M17" i="109"/>
  <c r="S17" i="109" s="1"/>
  <c r="AN67" i="109"/>
  <c r="AU29" i="109"/>
  <c r="AT28" i="109"/>
  <c r="AP28" i="109"/>
  <c r="AW12" i="112"/>
  <c r="AX38" i="112"/>
  <c r="AM40" i="112"/>
  <c r="AN39" i="112"/>
  <c r="BA13" i="112"/>
  <c r="K13" i="112"/>
  <c r="AL12" i="112"/>
  <c r="AJ53" i="112"/>
  <c r="E39" i="112"/>
  <c r="J38" i="112"/>
  <c r="F38" i="112"/>
  <c r="AZ38" i="112" s="1"/>
  <c r="X53" i="94"/>
  <c r="L18" i="94"/>
  <c r="K18" i="94" s="1"/>
  <c r="BA29" i="94"/>
  <c r="AT29" i="94" s="1"/>
  <c r="BB29" i="94"/>
  <c r="BI37" i="94"/>
  <c r="BJ36" i="94"/>
  <c r="AR13" i="111"/>
  <c r="BC13" i="111" s="1"/>
  <c r="AQ37" i="94"/>
  <c r="AR36" i="94"/>
  <c r="AM113" i="94"/>
  <c r="Z71" i="94"/>
  <c r="W36" i="94"/>
  <c r="G37" i="94"/>
  <c r="H36" i="94"/>
  <c r="BK36" i="94" s="1"/>
  <c r="I36" i="94"/>
  <c r="V55" i="111"/>
  <c r="U54" i="111"/>
  <c r="AX39" i="111"/>
  <c r="J37" i="111"/>
  <c r="E38" i="111"/>
  <c r="F37" i="111"/>
  <c r="AZ37" i="111" s="1"/>
  <c r="I14" i="111"/>
  <c r="AM38" i="111"/>
  <c r="AN37" i="111"/>
  <c r="P14" i="111"/>
  <c r="O14" i="111"/>
  <c r="N14" i="111" s="1"/>
  <c r="L14" i="111" s="1"/>
  <c r="BM63" i="109"/>
  <c r="AV18" i="109"/>
  <c r="AZ18" i="109" s="1"/>
  <c r="AX18" i="109" s="1"/>
  <c r="AW18" i="109" s="1"/>
  <c r="BH18" i="109" s="1"/>
  <c r="T55" i="110"/>
  <c r="H14" i="110"/>
  <c r="S14" i="110"/>
  <c r="P18" i="94"/>
  <c r="N18" i="94" s="1"/>
  <c r="BL17" i="94"/>
  <c r="J17" i="94"/>
  <c r="Y52" i="94"/>
  <c r="BM61" i="94"/>
  <c r="AV16" i="94"/>
  <c r="AZ16" i="94" s="1"/>
  <c r="AX16" i="94" s="1"/>
  <c r="AW16" i="94" s="1"/>
  <c r="BH16" i="94" s="1"/>
  <c r="AV14" i="103"/>
  <c r="AU14" i="103"/>
  <c r="AT14" i="103" s="1"/>
  <c r="AK55" i="103"/>
  <c r="AU33" i="94"/>
  <c r="AP32" i="94"/>
  <c r="AN71" i="94"/>
  <c r="I13" i="61"/>
  <c r="S43" i="61"/>
  <c r="R13" i="61"/>
  <c r="U37" i="94" l="1"/>
  <c r="V36" i="94"/>
  <c r="Q35" i="94"/>
  <c r="R35" i="94"/>
  <c r="AM112" i="109"/>
  <c r="Z70" i="109"/>
  <c r="BB60" i="110"/>
  <c r="AI55" i="110"/>
  <c r="AK55" i="110" s="1"/>
  <c r="AP14" i="110"/>
  <c r="AY14" i="110"/>
  <c r="L18" i="109"/>
  <c r="K18" i="109" s="1"/>
  <c r="X53" i="109"/>
  <c r="AU30" i="109"/>
  <c r="AP29" i="109"/>
  <c r="AN68" i="109"/>
  <c r="AT29" i="109"/>
  <c r="J39" i="112"/>
  <c r="E40" i="112"/>
  <c r="F39" i="112"/>
  <c r="AZ39" i="112" s="1"/>
  <c r="AX39" i="112"/>
  <c r="Q13" i="112"/>
  <c r="AM41" i="112"/>
  <c r="AN40" i="112"/>
  <c r="AI54" i="112"/>
  <c r="AP13" i="112"/>
  <c r="BB59" i="112"/>
  <c r="AY13" i="112"/>
  <c r="AS14" i="111"/>
  <c r="BB30" i="94"/>
  <c r="BA30" i="94"/>
  <c r="AT30" i="94" s="1"/>
  <c r="BI38" i="94"/>
  <c r="BJ37" i="94"/>
  <c r="AO13" i="111"/>
  <c r="AJ54" i="111" s="1"/>
  <c r="G38" i="94"/>
  <c r="W37" i="94"/>
  <c r="H37" i="94"/>
  <c r="BK37" i="94" s="1"/>
  <c r="I37" i="94"/>
  <c r="AM114" i="94"/>
  <c r="Z72" i="94"/>
  <c r="AQ38" i="94"/>
  <c r="AR37" i="94"/>
  <c r="G14" i="111"/>
  <c r="BA14" i="111" s="1"/>
  <c r="AX40" i="111"/>
  <c r="AM39" i="111"/>
  <c r="AN38" i="111"/>
  <c r="M15" i="111"/>
  <c r="E39" i="111"/>
  <c r="J38" i="111"/>
  <c r="F38" i="111"/>
  <c r="AZ38" i="111" s="1"/>
  <c r="AV19" i="109"/>
  <c r="AZ19" i="109" s="1"/>
  <c r="AX19" i="109" s="1"/>
  <c r="AW19" i="109" s="1"/>
  <c r="BH19" i="109" s="1"/>
  <c r="BM64" i="109"/>
  <c r="I14" i="110"/>
  <c r="V55" i="110"/>
  <c r="U54" i="110"/>
  <c r="P14" i="110"/>
  <c r="O14" i="110"/>
  <c r="AR14" i="103"/>
  <c r="AO14" i="103" s="1"/>
  <c r="AQ14" i="103" s="1"/>
  <c r="AW14" i="103" s="1"/>
  <c r="AV17" i="94"/>
  <c r="AZ17" i="94" s="1"/>
  <c r="AX17" i="94" s="1"/>
  <c r="AW17" i="94" s="1"/>
  <c r="BH17" i="94" s="1"/>
  <c r="BM62" i="94"/>
  <c r="BL18" i="94"/>
  <c r="J18" i="94"/>
  <c r="Y53" i="94"/>
  <c r="M18" i="94"/>
  <c r="S18" i="94" s="1"/>
  <c r="L19" i="94" s="1"/>
  <c r="AP33" i="94"/>
  <c r="AU34" i="94"/>
  <c r="AN72" i="94"/>
  <c r="O13" i="61"/>
  <c r="N13" i="61"/>
  <c r="M13" i="61" s="1"/>
  <c r="K13" i="61" s="1"/>
  <c r="AL13" i="111" l="1"/>
  <c r="Q36" i="94"/>
  <c r="R36" i="94"/>
  <c r="U38" i="94"/>
  <c r="V37" i="94"/>
  <c r="AM113" i="109"/>
  <c r="Z71" i="109"/>
  <c r="AV14" i="110"/>
  <c r="AU14" i="110"/>
  <c r="BL18" i="109"/>
  <c r="J18" i="109"/>
  <c r="Y53" i="109"/>
  <c r="P18" i="109"/>
  <c r="N18" i="109" s="1"/>
  <c r="M18" i="109"/>
  <c r="S18" i="109" s="1"/>
  <c r="AN69" i="109"/>
  <c r="AT30" i="109"/>
  <c r="AP30" i="109"/>
  <c r="AU31" i="109"/>
  <c r="T55" i="112"/>
  <c r="H14" i="112"/>
  <c r="S14" i="112"/>
  <c r="J40" i="112"/>
  <c r="E41" i="112"/>
  <c r="F40" i="112"/>
  <c r="AZ40" i="112" s="1"/>
  <c r="AM42" i="112"/>
  <c r="AN41" i="112"/>
  <c r="AV13" i="112"/>
  <c r="AU13" i="112"/>
  <c r="AT13" i="112" s="1"/>
  <c r="AK54" i="112"/>
  <c r="AX40" i="112"/>
  <c r="AQ13" i="111"/>
  <c r="AW13" i="111" s="1"/>
  <c r="BA31" i="94"/>
  <c r="AT31" i="94" s="1"/>
  <c r="BB31" i="94"/>
  <c r="BJ38" i="94"/>
  <c r="BI39" i="94"/>
  <c r="Z73" i="94"/>
  <c r="AM115" i="94"/>
  <c r="W38" i="94"/>
  <c r="G39" i="94"/>
  <c r="H38" i="94"/>
  <c r="BK38" i="94" s="1"/>
  <c r="I38" i="94"/>
  <c r="AR38" i="94"/>
  <c r="AQ39" i="94"/>
  <c r="E40" i="111"/>
  <c r="J39" i="111"/>
  <c r="F39" i="111"/>
  <c r="AZ39" i="111" s="1"/>
  <c r="AX41" i="111"/>
  <c r="AM40" i="111"/>
  <c r="AN39" i="111"/>
  <c r="K14" i="111"/>
  <c r="Q14" i="111" s="1"/>
  <c r="BM65" i="109"/>
  <c r="AV20" i="109"/>
  <c r="AZ20" i="109" s="1"/>
  <c r="AX20" i="109" s="1"/>
  <c r="AW20" i="109" s="1"/>
  <c r="BH20" i="109" s="1"/>
  <c r="N14" i="110"/>
  <c r="L14" i="110" s="1"/>
  <c r="BC14" i="103"/>
  <c r="AS15" i="103"/>
  <c r="BB61" i="103"/>
  <c r="AP15" i="103"/>
  <c r="AI56" i="103"/>
  <c r="AY15" i="103"/>
  <c r="BM63" i="94"/>
  <c r="AV18" i="94"/>
  <c r="AZ18" i="94" s="1"/>
  <c r="AX18" i="94" s="1"/>
  <c r="AW18" i="94" s="1"/>
  <c r="BH18" i="94" s="1"/>
  <c r="P19" i="94"/>
  <c r="N19" i="94" s="1"/>
  <c r="X54" i="94"/>
  <c r="AP34" i="94"/>
  <c r="AU35" i="94"/>
  <c r="AN73" i="94"/>
  <c r="AL14" i="103"/>
  <c r="AJ55" i="103"/>
  <c r="H13" i="61"/>
  <c r="J13" i="61" s="1"/>
  <c r="L14" i="61"/>
  <c r="Q37" i="94" l="1"/>
  <c r="R37" i="94"/>
  <c r="U39" i="94"/>
  <c r="V38" i="94"/>
  <c r="Z72" i="109"/>
  <c r="AM114" i="109"/>
  <c r="AT14" i="110"/>
  <c r="AR14" i="110" s="1"/>
  <c r="AS15" i="110" s="1"/>
  <c r="X54" i="109"/>
  <c r="L19" i="109"/>
  <c r="AU32" i="109"/>
  <c r="AP31" i="109"/>
  <c r="AN70" i="109"/>
  <c r="AT31" i="109"/>
  <c r="AM43" i="112"/>
  <c r="AN42" i="112"/>
  <c r="E42" i="112"/>
  <c r="J41" i="112"/>
  <c r="F41" i="112"/>
  <c r="AZ41" i="112" s="1"/>
  <c r="I14" i="112"/>
  <c r="P14" i="112"/>
  <c r="O14" i="112"/>
  <c r="N14" i="112" s="1"/>
  <c r="L14" i="112" s="1"/>
  <c r="AX41" i="112"/>
  <c r="AR13" i="112"/>
  <c r="AS14" i="112" s="1"/>
  <c r="V55" i="112"/>
  <c r="U54" i="112"/>
  <c r="BI40" i="94"/>
  <c r="BJ39" i="94"/>
  <c r="BB32" i="94"/>
  <c r="BA32" i="94"/>
  <c r="AT32" i="94" s="1"/>
  <c r="AR39" i="94"/>
  <c r="AQ40" i="94"/>
  <c r="G40" i="94"/>
  <c r="W39" i="94"/>
  <c r="H39" i="94"/>
  <c r="BK39" i="94" s="1"/>
  <c r="I39" i="94"/>
  <c r="Z74" i="94"/>
  <c r="AM116" i="94"/>
  <c r="J40" i="111"/>
  <c r="E41" i="111"/>
  <c r="F40" i="111"/>
  <c r="AZ40" i="111" s="1"/>
  <c r="AM41" i="111"/>
  <c r="AN40" i="111"/>
  <c r="S15" i="111"/>
  <c r="T56" i="111"/>
  <c r="H15" i="111"/>
  <c r="AY14" i="111"/>
  <c r="AP14" i="111"/>
  <c r="AI55" i="111"/>
  <c r="BB60" i="111"/>
  <c r="AX42" i="111"/>
  <c r="AV21" i="109"/>
  <c r="AZ21" i="109" s="1"/>
  <c r="AX21" i="109" s="1"/>
  <c r="AW21" i="109" s="1"/>
  <c r="BH21" i="109" s="1"/>
  <c r="BM66" i="109"/>
  <c r="G14" i="110"/>
  <c r="K14" i="110" s="1"/>
  <c r="Q14" i="110" s="1"/>
  <c r="M15" i="110"/>
  <c r="K19" i="94"/>
  <c r="M19" i="94" s="1"/>
  <c r="S19" i="94" s="1"/>
  <c r="BM64" i="94"/>
  <c r="AV19" i="94"/>
  <c r="AZ19" i="94" s="1"/>
  <c r="AX19" i="94" s="1"/>
  <c r="AW19" i="94" s="1"/>
  <c r="BH19" i="94" s="1"/>
  <c r="AP35" i="94"/>
  <c r="AU36" i="94"/>
  <c r="AN74" i="94"/>
  <c r="AU15" i="103"/>
  <c r="AT15" i="103" s="1"/>
  <c r="AV15" i="103"/>
  <c r="AK56" i="103"/>
  <c r="P13" i="61"/>
  <c r="T43" i="61"/>
  <c r="Q38" i="94" l="1"/>
  <c r="R38" i="94"/>
  <c r="U40" i="94"/>
  <c r="V39" i="94"/>
  <c r="Z73" i="109"/>
  <c r="AM115" i="109"/>
  <c r="BC14" i="110"/>
  <c r="AO14" i="110"/>
  <c r="AQ14" i="110" s="1"/>
  <c r="AW14" i="110" s="1"/>
  <c r="P19" i="109"/>
  <c r="N19" i="109" s="1"/>
  <c r="K19" i="109"/>
  <c r="G14" i="112"/>
  <c r="BA14" i="112" s="1"/>
  <c r="AT32" i="109"/>
  <c r="AU33" i="109"/>
  <c r="AP32" i="109"/>
  <c r="AN71" i="109"/>
  <c r="AX42" i="112"/>
  <c r="E43" i="112"/>
  <c r="J42" i="112"/>
  <c r="F42" i="112"/>
  <c r="AZ42" i="112" s="1"/>
  <c r="AM44" i="112"/>
  <c r="AN43" i="112"/>
  <c r="BC13" i="112"/>
  <c r="AO13" i="112"/>
  <c r="AQ13" i="112" s="1"/>
  <c r="M15" i="112"/>
  <c r="L20" i="94"/>
  <c r="P20" i="94" s="1"/>
  <c r="N20" i="94" s="1"/>
  <c r="BB33" i="94"/>
  <c r="BA33" i="94"/>
  <c r="AT33" i="94" s="1"/>
  <c r="BI41" i="94"/>
  <c r="BJ40" i="94"/>
  <c r="AR40" i="94"/>
  <c r="AQ41" i="94"/>
  <c r="Z75" i="94"/>
  <c r="AM117" i="94"/>
  <c r="W40" i="94"/>
  <c r="G41" i="94"/>
  <c r="H40" i="94"/>
  <c r="BK40" i="94" s="1"/>
  <c r="I40" i="94"/>
  <c r="AK55" i="111"/>
  <c r="P15" i="111"/>
  <c r="O15" i="111"/>
  <c r="N15" i="111" s="1"/>
  <c r="L15" i="111" s="1"/>
  <c r="G15" i="111" s="1"/>
  <c r="BA15" i="111" s="1"/>
  <c r="E42" i="111"/>
  <c r="J41" i="111"/>
  <c r="F41" i="111"/>
  <c r="AZ41" i="111" s="1"/>
  <c r="I15" i="111"/>
  <c r="AX43" i="111"/>
  <c r="AV14" i="111"/>
  <c r="AU14" i="111"/>
  <c r="AM42" i="111"/>
  <c r="AN41" i="111"/>
  <c r="V56" i="111"/>
  <c r="U55" i="111"/>
  <c r="H15" i="110"/>
  <c r="T56" i="110"/>
  <c r="V56" i="110" s="1"/>
  <c r="S15" i="110"/>
  <c r="BM67" i="109"/>
  <c r="AV22" i="109"/>
  <c r="AZ22" i="109" s="1"/>
  <c r="AX22" i="109" s="1"/>
  <c r="AW22" i="109" s="1"/>
  <c r="BH22" i="109" s="1"/>
  <c r="BA14" i="110"/>
  <c r="J19" i="94"/>
  <c r="Y54" i="94"/>
  <c r="BL19" i="94"/>
  <c r="X55" i="94"/>
  <c r="AR15" i="103"/>
  <c r="AS16" i="103" s="1"/>
  <c r="BM65" i="94"/>
  <c r="AV20" i="94"/>
  <c r="AZ20" i="94" s="1"/>
  <c r="AX20" i="94" s="1"/>
  <c r="AW20" i="94" s="1"/>
  <c r="BH20" i="94" s="1"/>
  <c r="AN75" i="94"/>
  <c r="AP36" i="94"/>
  <c r="AU37" i="94"/>
  <c r="K20" i="94"/>
  <c r="I14" i="61"/>
  <c r="S44" i="61"/>
  <c r="R14" i="61"/>
  <c r="R39" i="94" l="1"/>
  <c r="Q39" i="94"/>
  <c r="V40" i="94"/>
  <c r="U41" i="94"/>
  <c r="AM116" i="109"/>
  <c r="Z74" i="109"/>
  <c r="AY15" i="110"/>
  <c r="AP15" i="110"/>
  <c r="BB61" i="110"/>
  <c r="AI56" i="110"/>
  <c r="AK56" i="110" s="1"/>
  <c r="AL14" i="110"/>
  <c r="AJ55" i="110"/>
  <c r="J19" i="109"/>
  <c r="Y54" i="109"/>
  <c r="BL19" i="109"/>
  <c r="M19" i="109"/>
  <c r="S19" i="109" s="1"/>
  <c r="K14" i="112"/>
  <c r="Q14" i="112" s="1"/>
  <c r="AN72" i="109"/>
  <c r="AP33" i="109"/>
  <c r="AU34" i="109"/>
  <c r="AT33" i="109"/>
  <c r="AW13" i="112"/>
  <c r="AM45" i="112"/>
  <c r="AN44" i="112"/>
  <c r="AL13" i="112"/>
  <c r="AJ54" i="112"/>
  <c r="E44" i="112"/>
  <c r="J43" i="112"/>
  <c r="F43" i="112"/>
  <c r="AZ43" i="112" s="1"/>
  <c r="AX43" i="112"/>
  <c r="BA34" i="94"/>
  <c r="AT34" i="94" s="1"/>
  <c r="BB34" i="94"/>
  <c r="BI42" i="94"/>
  <c r="BJ41" i="94"/>
  <c r="AR41" i="94"/>
  <c r="AQ42" i="94"/>
  <c r="Z76" i="94"/>
  <c r="AM118" i="94"/>
  <c r="G42" i="94"/>
  <c r="W41" i="94"/>
  <c r="H41" i="94"/>
  <c r="BK41" i="94" s="1"/>
  <c r="I41" i="94"/>
  <c r="AX44" i="111"/>
  <c r="AT14" i="111"/>
  <c r="AR14" i="111" s="1"/>
  <c r="AS15" i="111" s="1"/>
  <c r="J42" i="111"/>
  <c r="E43" i="111"/>
  <c r="F42" i="111"/>
  <c r="AZ42" i="111" s="1"/>
  <c r="M16" i="111"/>
  <c r="AM43" i="111"/>
  <c r="AN42" i="111"/>
  <c r="K15" i="111"/>
  <c r="Q15" i="111" s="1"/>
  <c r="AV23" i="109"/>
  <c r="AZ23" i="109" s="1"/>
  <c r="AX23" i="109" s="1"/>
  <c r="AW23" i="109" s="1"/>
  <c r="BH23" i="109" s="1"/>
  <c r="BM68" i="109"/>
  <c r="U55" i="110"/>
  <c r="P15" i="110"/>
  <c r="O15" i="110"/>
  <c r="I15" i="110"/>
  <c r="BC15" i="103"/>
  <c r="AO15" i="103"/>
  <c r="AL15" i="103" s="1"/>
  <c r="BM66" i="94"/>
  <c r="AV21" i="94"/>
  <c r="AZ21" i="94" s="1"/>
  <c r="AX21" i="94" s="1"/>
  <c r="AW21" i="94" s="1"/>
  <c r="BH21" i="94" s="1"/>
  <c r="AN76" i="94"/>
  <c r="AP37" i="94"/>
  <c r="AU38" i="94"/>
  <c r="J20" i="94"/>
  <c r="Y55" i="94"/>
  <c r="BL20" i="94"/>
  <c r="M20" i="94"/>
  <c r="S20" i="94" s="1"/>
  <c r="L21" i="94" s="1"/>
  <c r="O14" i="61"/>
  <c r="N14" i="61"/>
  <c r="M14" i="61" s="1"/>
  <c r="K14" i="61" s="1"/>
  <c r="U42" i="94" l="1"/>
  <c r="V41" i="94"/>
  <c r="Q40" i="94"/>
  <c r="R40" i="94"/>
  <c r="Z75" i="109"/>
  <c r="AM117" i="109"/>
  <c r="AT15" i="110"/>
  <c r="AV15" i="110"/>
  <c r="AU15" i="110"/>
  <c r="X55" i="109"/>
  <c r="L20" i="109"/>
  <c r="P20" i="109" s="1"/>
  <c r="N20" i="109" s="1"/>
  <c r="T56" i="112"/>
  <c r="H15" i="112"/>
  <c r="S15" i="112"/>
  <c r="AU35" i="109"/>
  <c r="AN73" i="109"/>
  <c r="AP34" i="109"/>
  <c r="AT34" i="109"/>
  <c r="AX44" i="112"/>
  <c r="AM46" i="112"/>
  <c r="AN45" i="112"/>
  <c r="J44" i="112"/>
  <c r="E45" i="112"/>
  <c r="F44" i="112"/>
  <c r="AZ44" i="112" s="1"/>
  <c r="AI55" i="112"/>
  <c r="AP14" i="112"/>
  <c r="BB60" i="112"/>
  <c r="AY14" i="112"/>
  <c r="BA35" i="94"/>
  <c r="AT35" i="94" s="1"/>
  <c r="BB35" i="94"/>
  <c r="BI43" i="94"/>
  <c r="BJ42" i="94"/>
  <c r="AQ43" i="94"/>
  <c r="AR42" i="94"/>
  <c r="Z77" i="94"/>
  <c r="AM119" i="94"/>
  <c r="W42" i="94"/>
  <c r="G43" i="94"/>
  <c r="H42" i="94"/>
  <c r="BK42" i="94" s="1"/>
  <c r="I42" i="94"/>
  <c r="AM44" i="111"/>
  <c r="AN43" i="111"/>
  <c r="AX45" i="111"/>
  <c r="S16" i="111"/>
  <c r="T57" i="111"/>
  <c r="H16" i="111"/>
  <c r="J43" i="111"/>
  <c r="E44" i="111"/>
  <c r="F43" i="111"/>
  <c r="AZ43" i="111" s="1"/>
  <c r="AO14" i="111"/>
  <c r="AQ14" i="111" s="1"/>
  <c r="AW14" i="111" s="1"/>
  <c r="BC14" i="111"/>
  <c r="AQ15" i="103"/>
  <c r="AW15" i="103" s="1"/>
  <c r="AP16" i="103" s="1"/>
  <c r="AJ56" i="103"/>
  <c r="AV24" i="109"/>
  <c r="AZ24" i="109" s="1"/>
  <c r="AX24" i="109" s="1"/>
  <c r="AW24" i="109" s="1"/>
  <c r="BH24" i="109" s="1"/>
  <c r="BM69" i="109"/>
  <c r="N15" i="110"/>
  <c r="L15" i="110" s="1"/>
  <c r="BM67" i="94"/>
  <c r="AV22" i="94"/>
  <c r="AZ22" i="94" s="1"/>
  <c r="AX22" i="94" s="1"/>
  <c r="AW22" i="94" s="1"/>
  <c r="BH22" i="94" s="1"/>
  <c r="AN77" i="94"/>
  <c r="AU39" i="94"/>
  <c r="AP38" i="94"/>
  <c r="P21" i="94"/>
  <c r="N21" i="94" s="1"/>
  <c r="AH33" i="94"/>
  <c r="AG33" i="94" s="1"/>
  <c r="X56" i="94"/>
  <c r="H14" i="61"/>
  <c r="J14" i="61" s="1"/>
  <c r="L15" i="61"/>
  <c r="Q41" i="94" l="1"/>
  <c r="R41" i="94"/>
  <c r="U43" i="94"/>
  <c r="V42" i="94"/>
  <c r="AR15" i="110"/>
  <c r="AO15" i="110" s="1"/>
  <c r="Z76" i="109"/>
  <c r="AM118" i="109"/>
  <c r="AS16" i="110"/>
  <c r="K20" i="109"/>
  <c r="M20" i="109" s="1"/>
  <c r="S20" i="109" s="1"/>
  <c r="O15" i="112"/>
  <c r="N15" i="112" s="1"/>
  <c r="L15" i="112" s="1"/>
  <c r="P15" i="112"/>
  <c r="I15" i="112"/>
  <c r="V56" i="112"/>
  <c r="U55" i="112"/>
  <c r="AN74" i="109"/>
  <c r="AU36" i="109"/>
  <c r="AT35" i="109"/>
  <c r="AP35" i="109"/>
  <c r="AK55" i="112"/>
  <c r="J45" i="112"/>
  <c r="E46" i="112"/>
  <c r="F45" i="112"/>
  <c r="AZ45" i="112" s="1"/>
  <c r="AX45" i="112"/>
  <c r="AV14" i="112"/>
  <c r="AU14" i="112"/>
  <c r="AM47" i="112"/>
  <c r="AN46" i="112"/>
  <c r="BB36" i="94"/>
  <c r="BA36" i="94"/>
  <c r="AT36" i="94" s="1"/>
  <c r="BI44" i="94"/>
  <c r="BJ43" i="94"/>
  <c r="Z78" i="94"/>
  <c r="AM120" i="94"/>
  <c r="G44" i="94"/>
  <c r="W43" i="94"/>
  <c r="H43" i="94"/>
  <c r="BK43" i="94" s="1"/>
  <c r="I43" i="94"/>
  <c r="AR43" i="94"/>
  <c r="AQ44" i="94"/>
  <c r="AY15" i="111"/>
  <c r="BB61" i="111"/>
  <c r="AP15" i="111"/>
  <c r="AI56" i="111"/>
  <c r="AX46" i="111"/>
  <c r="V57" i="111"/>
  <c r="U56" i="111"/>
  <c r="AL14" i="111"/>
  <c r="AJ55" i="111"/>
  <c r="E45" i="111"/>
  <c r="J44" i="111"/>
  <c r="F44" i="111"/>
  <c r="AZ44" i="111" s="1"/>
  <c r="O16" i="111"/>
  <c r="P16" i="111"/>
  <c r="AM45" i="111"/>
  <c r="AN44" i="111"/>
  <c r="N16" i="111"/>
  <c r="L16" i="111" s="1"/>
  <c r="G16" i="111" s="1"/>
  <c r="BA16" i="111" s="1"/>
  <c r="I16" i="111"/>
  <c r="BB62" i="103"/>
  <c r="AY16" i="103"/>
  <c r="AU16" i="103" s="1"/>
  <c r="AI57" i="103"/>
  <c r="AK57" i="103" s="1"/>
  <c r="BM70" i="109"/>
  <c r="AV25" i="109"/>
  <c r="AZ25" i="109" s="1"/>
  <c r="AX25" i="109" s="1"/>
  <c r="AW25" i="109" s="1"/>
  <c r="BH25" i="109" s="1"/>
  <c r="G15" i="110"/>
  <c r="K15" i="110" s="1"/>
  <c r="Q15" i="110" s="1"/>
  <c r="M16" i="110"/>
  <c r="AV23" i="94"/>
  <c r="AZ23" i="94" s="1"/>
  <c r="AX23" i="94" s="1"/>
  <c r="AW23" i="94" s="1"/>
  <c r="BH23" i="94" s="1"/>
  <c r="BM68" i="94"/>
  <c r="AP39" i="94"/>
  <c r="AU40" i="94"/>
  <c r="AN78" i="94"/>
  <c r="K21" i="94"/>
  <c r="P14" i="61"/>
  <c r="T44" i="61"/>
  <c r="R42" i="94" l="1"/>
  <c r="Q42" i="94"/>
  <c r="V43" i="94"/>
  <c r="U44" i="94"/>
  <c r="BL20" i="109"/>
  <c r="Y55" i="109"/>
  <c r="BC15" i="110"/>
  <c r="J20" i="109"/>
  <c r="Z77" i="109"/>
  <c r="AM119" i="109"/>
  <c r="AQ15" i="110"/>
  <c r="AW15" i="110" s="1"/>
  <c r="AL15" i="110"/>
  <c r="AJ56" i="110"/>
  <c r="L21" i="109"/>
  <c r="P21" i="109" s="1"/>
  <c r="N21" i="109" s="1"/>
  <c r="X56" i="109"/>
  <c r="AH33" i="109"/>
  <c r="AG33" i="109" s="1"/>
  <c r="G15" i="112"/>
  <c r="BA15" i="112" s="1"/>
  <c r="M16" i="112"/>
  <c r="AT36" i="109"/>
  <c r="AN75" i="109"/>
  <c r="AP36" i="109"/>
  <c r="AU37" i="109"/>
  <c r="AM48" i="112"/>
  <c r="AN47" i="112"/>
  <c r="E47" i="112"/>
  <c r="J46" i="112"/>
  <c r="F46" i="112"/>
  <c r="AZ46" i="112" s="1"/>
  <c r="AX46" i="112"/>
  <c r="AT14" i="112"/>
  <c r="AR14" i="112" s="1"/>
  <c r="BB37" i="94"/>
  <c r="BA37" i="94"/>
  <c r="AT37" i="94" s="1"/>
  <c r="BJ44" i="94"/>
  <c r="BI45" i="94"/>
  <c r="AR44" i="94"/>
  <c r="AQ45" i="94"/>
  <c r="G45" i="94"/>
  <c r="H44" i="94"/>
  <c r="BK44" i="94" s="1"/>
  <c r="T44" i="94"/>
  <c r="W44" i="94"/>
  <c r="I44" i="94"/>
  <c r="Z79" i="94"/>
  <c r="AM121" i="94"/>
  <c r="E46" i="111"/>
  <c r="J45" i="111"/>
  <c r="F45" i="111"/>
  <c r="AZ45" i="111" s="1"/>
  <c r="AX47" i="111"/>
  <c r="AV15" i="111"/>
  <c r="AU15" i="111"/>
  <c r="AT15" i="111" s="1"/>
  <c r="AM46" i="111"/>
  <c r="AN45" i="111"/>
  <c r="AK56" i="111"/>
  <c r="K16" i="111"/>
  <c r="Q16" i="111" s="1"/>
  <c r="M17" i="111"/>
  <c r="AV16" i="103"/>
  <c r="BM71" i="109"/>
  <c r="AV26" i="109"/>
  <c r="AZ26" i="109" s="1"/>
  <c r="AX26" i="109" s="1"/>
  <c r="AW26" i="109" s="1"/>
  <c r="BH26" i="109" s="1"/>
  <c r="H16" i="110"/>
  <c r="T57" i="110"/>
  <c r="V57" i="110" s="1"/>
  <c r="S16" i="110"/>
  <c r="BA15" i="110"/>
  <c r="AV24" i="94"/>
  <c r="AZ24" i="94" s="1"/>
  <c r="AX24" i="94" s="1"/>
  <c r="AW24" i="94" s="1"/>
  <c r="BH24" i="94" s="1"/>
  <c r="BM69" i="94"/>
  <c r="Y56" i="94"/>
  <c r="J21" i="94"/>
  <c r="BL21" i="94"/>
  <c r="M21" i="94"/>
  <c r="S21" i="94" s="1"/>
  <c r="L22" i="94" s="1"/>
  <c r="AT16" i="103"/>
  <c r="AU41" i="94"/>
  <c r="AP40" i="94"/>
  <c r="AN79" i="94"/>
  <c r="I15" i="61"/>
  <c r="S45" i="61"/>
  <c r="R15" i="61"/>
  <c r="V44" i="94" l="1"/>
  <c r="U45" i="94"/>
  <c r="Q43" i="94"/>
  <c r="R43" i="94"/>
  <c r="K21" i="109"/>
  <c r="Y56" i="109" s="1"/>
  <c r="Z78" i="109"/>
  <c r="AM120" i="109"/>
  <c r="M21" i="109"/>
  <c r="S21" i="109" s="1"/>
  <c r="X57" i="109" s="1"/>
  <c r="BB62" i="110"/>
  <c r="AI57" i="110"/>
  <c r="AK57" i="110" s="1"/>
  <c r="AY16" i="110"/>
  <c r="AP16" i="110"/>
  <c r="J21" i="109"/>
  <c r="BL21" i="109"/>
  <c r="K15" i="112"/>
  <c r="Q15" i="112" s="1"/>
  <c r="AU38" i="109"/>
  <c r="AT37" i="109"/>
  <c r="AN76" i="109"/>
  <c r="AP37" i="109"/>
  <c r="J47" i="112"/>
  <c r="E48" i="112"/>
  <c r="F47" i="112"/>
  <c r="AZ47" i="112" s="1"/>
  <c r="BC14" i="112"/>
  <c r="AO14" i="112"/>
  <c r="AQ14" i="112" s="1"/>
  <c r="AW14" i="112" s="1"/>
  <c r="AM49" i="112"/>
  <c r="AN48" i="112"/>
  <c r="AX47" i="112"/>
  <c r="AS15" i="112"/>
  <c r="BI46" i="94"/>
  <c r="BJ45" i="94"/>
  <c r="BB38" i="94"/>
  <c r="BA38" i="94"/>
  <c r="AT38" i="94" s="1"/>
  <c r="AM122" i="94"/>
  <c r="Z80" i="94"/>
  <c r="G46" i="94"/>
  <c r="H45" i="94"/>
  <c r="BK45" i="94" s="1"/>
  <c r="T45" i="94"/>
  <c r="W45" i="94"/>
  <c r="I45" i="94"/>
  <c r="AR45" i="94"/>
  <c r="AQ46" i="94"/>
  <c r="AM47" i="111"/>
  <c r="AN46" i="111"/>
  <c r="AR15" i="111"/>
  <c r="AS16" i="111" s="1"/>
  <c r="E47" i="111"/>
  <c r="J46" i="111"/>
  <c r="F46" i="111"/>
  <c r="AZ46" i="111" s="1"/>
  <c r="S17" i="111"/>
  <c r="H17" i="111"/>
  <c r="T58" i="111"/>
  <c r="AX48" i="111"/>
  <c r="AR16" i="103"/>
  <c r="AO16" i="103" s="1"/>
  <c r="AQ16" i="103" s="1"/>
  <c r="AW16" i="103" s="1"/>
  <c r="AV27" i="109"/>
  <c r="AZ27" i="109" s="1"/>
  <c r="AX27" i="109" s="1"/>
  <c r="AW27" i="109" s="1"/>
  <c r="BH27" i="109" s="1"/>
  <c r="BM72" i="109"/>
  <c r="I16" i="110"/>
  <c r="O16" i="110"/>
  <c r="N16" i="110" s="1"/>
  <c r="L16" i="110" s="1"/>
  <c r="G16" i="110" s="1"/>
  <c r="BA16" i="110" s="1"/>
  <c r="P16" i="110"/>
  <c r="U56" i="110"/>
  <c r="AV25" i="94"/>
  <c r="AZ25" i="94" s="1"/>
  <c r="AX25" i="94" s="1"/>
  <c r="AW25" i="94" s="1"/>
  <c r="BH25" i="94" s="1"/>
  <c r="BM70" i="94"/>
  <c r="AU42" i="94"/>
  <c r="AN80" i="94"/>
  <c r="AP41" i="94"/>
  <c r="X57" i="94"/>
  <c r="P22" i="94"/>
  <c r="N22" i="94" s="1"/>
  <c r="N15" i="61"/>
  <c r="O15" i="61"/>
  <c r="V45" i="94" l="1"/>
  <c r="U46" i="94"/>
  <c r="R44" i="94"/>
  <c r="Q44" i="94"/>
  <c r="L22" i="109"/>
  <c r="P22" i="109" s="1"/>
  <c r="N22" i="109" s="1"/>
  <c r="Z79" i="109"/>
  <c r="AM121" i="109"/>
  <c r="AU16" i="110"/>
  <c r="AV16" i="110"/>
  <c r="H16" i="112"/>
  <c r="T57" i="112"/>
  <c r="S16" i="112"/>
  <c r="AU39" i="109"/>
  <c r="AN77" i="109"/>
  <c r="AT38" i="109"/>
  <c r="AP38" i="109"/>
  <c r="AL14" i="112"/>
  <c r="AJ55" i="112"/>
  <c r="AI56" i="112"/>
  <c r="BB61" i="112"/>
  <c r="AP15" i="112"/>
  <c r="AY15" i="112"/>
  <c r="J48" i="112"/>
  <c r="E49" i="112"/>
  <c r="F48" i="112"/>
  <c r="AZ48" i="112" s="1"/>
  <c r="AM50" i="112"/>
  <c r="AN49" i="112"/>
  <c r="AX48" i="112"/>
  <c r="BA39" i="94"/>
  <c r="AT39" i="94" s="1"/>
  <c r="BB39" i="94"/>
  <c r="BJ46" i="94"/>
  <c r="BI47" i="94"/>
  <c r="AR46" i="94"/>
  <c r="AQ47" i="94"/>
  <c r="AM123" i="94"/>
  <c r="Z81" i="94"/>
  <c r="G47" i="94"/>
  <c r="H46" i="94"/>
  <c r="BK46" i="94" s="1"/>
  <c r="T46" i="94"/>
  <c r="W46" i="94"/>
  <c r="I46" i="94"/>
  <c r="BC15" i="111"/>
  <c r="AO15" i="111"/>
  <c r="AQ15" i="111" s="1"/>
  <c r="AW15" i="111" s="1"/>
  <c r="V58" i="111"/>
  <c r="U57" i="111"/>
  <c r="E48" i="111"/>
  <c r="J47" i="111"/>
  <c r="F47" i="111"/>
  <c r="AZ47" i="111" s="1"/>
  <c r="I17" i="111"/>
  <c r="AM48" i="111"/>
  <c r="AN47" i="111"/>
  <c r="AX49" i="111"/>
  <c r="O17" i="111"/>
  <c r="P17" i="111"/>
  <c r="AS17" i="103"/>
  <c r="BC16" i="103"/>
  <c r="AV28" i="109"/>
  <c r="AZ28" i="109" s="1"/>
  <c r="AX28" i="109" s="1"/>
  <c r="AW28" i="109" s="1"/>
  <c r="BH28" i="109" s="1"/>
  <c r="BM73" i="109"/>
  <c r="K16" i="110"/>
  <c r="Q16" i="110" s="1"/>
  <c r="M17" i="110"/>
  <c r="AV26" i="94"/>
  <c r="AZ26" i="94" s="1"/>
  <c r="AX26" i="94" s="1"/>
  <c r="AW26" i="94" s="1"/>
  <c r="BH26" i="94" s="1"/>
  <c r="BM71" i="94"/>
  <c r="K22" i="94"/>
  <c r="M22" i="94" s="1"/>
  <c r="S22" i="94" s="1"/>
  <c r="L23" i="94" s="1"/>
  <c r="AU43" i="94"/>
  <c r="AP42" i="94"/>
  <c r="AN81" i="94"/>
  <c r="AL16" i="103"/>
  <c r="AJ57" i="103"/>
  <c r="AI58" i="103"/>
  <c r="BB63" i="103"/>
  <c r="AP17" i="103"/>
  <c r="AY17" i="103"/>
  <c r="M15" i="61"/>
  <c r="K15" i="61" s="1"/>
  <c r="U47" i="94" l="1"/>
  <c r="V46" i="94"/>
  <c r="Q45" i="94"/>
  <c r="R45" i="94"/>
  <c r="K22" i="109"/>
  <c r="Z80" i="109"/>
  <c r="AM122" i="109"/>
  <c r="AT16" i="110"/>
  <c r="AR16" i="110" s="1"/>
  <c r="AS17" i="110" s="1"/>
  <c r="P16" i="112"/>
  <c r="O16" i="112"/>
  <c r="V57" i="112"/>
  <c r="U56" i="112"/>
  <c r="I16" i="112"/>
  <c r="N16" i="112"/>
  <c r="L16" i="112" s="1"/>
  <c r="G16" i="112" s="1"/>
  <c r="BA16" i="112" s="1"/>
  <c r="AU40" i="109"/>
  <c r="AP39" i="109"/>
  <c r="AN78" i="109"/>
  <c r="AT39" i="109"/>
  <c r="AV15" i="112"/>
  <c r="AU15" i="112"/>
  <c r="AT15" i="112" s="1"/>
  <c r="AM51" i="112"/>
  <c r="AN50" i="112"/>
  <c r="AK56" i="112"/>
  <c r="AX49" i="112"/>
  <c r="J49" i="112"/>
  <c r="E50" i="112"/>
  <c r="F49" i="112"/>
  <c r="AZ49" i="112" s="1"/>
  <c r="BI48" i="94"/>
  <c r="BJ47" i="94"/>
  <c r="BA40" i="94"/>
  <c r="AT40" i="94" s="1"/>
  <c r="BB40" i="94"/>
  <c r="Z82" i="94"/>
  <c r="AM124" i="94"/>
  <c r="AQ48" i="94"/>
  <c r="AR47" i="94"/>
  <c r="G48" i="94"/>
  <c r="H47" i="94"/>
  <c r="BK47" i="94" s="1"/>
  <c r="T47" i="94"/>
  <c r="W47" i="94"/>
  <c r="I47" i="94"/>
  <c r="AM49" i="111"/>
  <c r="AN48" i="111"/>
  <c r="E49" i="111"/>
  <c r="J48" i="111"/>
  <c r="F48" i="111"/>
  <c r="AZ48" i="111" s="1"/>
  <c r="AY16" i="111"/>
  <c r="AI57" i="111"/>
  <c r="AP16" i="111"/>
  <c r="BB62" i="111"/>
  <c r="AL15" i="111"/>
  <c r="AJ56" i="111"/>
  <c r="AX50" i="111"/>
  <c r="N17" i="111"/>
  <c r="L17" i="111" s="1"/>
  <c r="BM74" i="109"/>
  <c r="AV29" i="109"/>
  <c r="AZ29" i="109" s="1"/>
  <c r="AX29" i="109" s="1"/>
  <c r="AW29" i="109" s="1"/>
  <c r="BH29" i="109" s="1"/>
  <c r="H17" i="110"/>
  <c r="S17" i="110"/>
  <c r="T58" i="110"/>
  <c r="BM72" i="94"/>
  <c r="AV27" i="94"/>
  <c r="AZ27" i="94" s="1"/>
  <c r="AX27" i="94" s="1"/>
  <c r="AW27" i="94" s="1"/>
  <c r="BH27" i="94" s="1"/>
  <c r="X58" i="94"/>
  <c r="P23" i="94"/>
  <c r="N23" i="94" s="1"/>
  <c r="AU44" i="94"/>
  <c r="AN82" i="94"/>
  <c r="AP43" i="94"/>
  <c r="AK58" i="103"/>
  <c r="J22" i="94"/>
  <c r="BL22" i="94"/>
  <c r="Y57" i="94"/>
  <c r="AV17" i="103"/>
  <c r="AU17" i="103"/>
  <c r="AT17" i="103" s="1"/>
  <c r="H15" i="61"/>
  <c r="J15" i="61" s="1"/>
  <c r="L16" i="61"/>
  <c r="Q46" i="94" l="1"/>
  <c r="R46" i="94"/>
  <c r="V47" i="94"/>
  <c r="U48" i="94"/>
  <c r="Y57" i="109"/>
  <c r="J22" i="109"/>
  <c r="BL22" i="109"/>
  <c r="M22" i="109"/>
  <c r="S22" i="109" s="1"/>
  <c r="Z81" i="109"/>
  <c r="AM123" i="109"/>
  <c r="AO16" i="110"/>
  <c r="BC16" i="110"/>
  <c r="AR15" i="112"/>
  <c r="K16" i="112"/>
  <c r="Q16" i="112" s="1"/>
  <c r="M17" i="112"/>
  <c r="AT40" i="109"/>
  <c r="AN79" i="109"/>
  <c r="AU41" i="109"/>
  <c r="AP40" i="109"/>
  <c r="AS16" i="112"/>
  <c r="AX50" i="112"/>
  <c r="E51" i="112"/>
  <c r="J50" i="112"/>
  <c r="F50" i="112"/>
  <c r="AZ50" i="112" s="1"/>
  <c r="AO15" i="112"/>
  <c r="BC15" i="112"/>
  <c r="AM52" i="112"/>
  <c r="AN51" i="112"/>
  <c r="BB41" i="94"/>
  <c r="BA41" i="94"/>
  <c r="AT41" i="94" s="1"/>
  <c r="BJ48" i="94"/>
  <c r="BI49" i="94"/>
  <c r="AQ49" i="94"/>
  <c r="AR48" i="94"/>
  <c r="G49" i="94"/>
  <c r="H48" i="94"/>
  <c r="BK48" i="94" s="1"/>
  <c r="T48" i="94"/>
  <c r="W48" i="94"/>
  <c r="I48" i="94"/>
  <c r="Z83" i="94"/>
  <c r="AM125" i="94"/>
  <c r="AK57" i="111"/>
  <c r="G17" i="111"/>
  <c r="K17" i="111" s="1"/>
  <c r="Q17" i="111" s="1"/>
  <c r="J49" i="111"/>
  <c r="E50" i="111"/>
  <c r="F49" i="111"/>
  <c r="AZ49" i="111" s="1"/>
  <c r="AM50" i="111"/>
  <c r="AN49" i="111"/>
  <c r="AV16" i="111"/>
  <c r="AU16" i="111"/>
  <c r="AT16" i="111" s="1"/>
  <c r="AX51" i="111"/>
  <c r="M18" i="111"/>
  <c r="AR17" i="103"/>
  <c r="AS18" i="103" s="1"/>
  <c r="BM75" i="109"/>
  <c r="AV30" i="109"/>
  <c r="AZ30" i="109" s="1"/>
  <c r="AX30" i="109" s="1"/>
  <c r="AW30" i="109" s="1"/>
  <c r="BH30" i="109" s="1"/>
  <c r="V58" i="110"/>
  <c r="U57" i="110"/>
  <c r="P17" i="110"/>
  <c r="O17" i="110"/>
  <c r="N17" i="110" s="1"/>
  <c r="L17" i="110" s="1"/>
  <c r="I17" i="110"/>
  <c r="BM73" i="94"/>
  <c r="AV28" i="94"/>
  <c r="AZ28" i="94" s="1"/>
  <c r="AX28" i="94" s="1"/>
  <c r="AW28" i="94" s="1"/>
  <c r="BH28" i="94" s="1"/>
  <c r="AN83" i="94"/>
  <c r="AU45" i="94"/>
  <c r="AP44" i="94"/>
  <c r="K23" i="94"/>
  <c r="P15" i="61"/>
  <c r="T45" i="61"/>
  <c r="V48" i="94" l="1"/>
  <c r="U49" i="94"/>
  <c r="R47" i="94"/>
  <c r="Q47" i="94"/>
  <c r="AR16" i="111"/>
  <c r="X58" i="109"/>
  <c r="L23" i="109"/>
  <c r="P23" i="109" s="1"/>
  <c r="N23" i="109" s="1"/>
  <c r="K23" i="109"/>
  <c r="Y58" i="109" s="1"/>
  <c r="Z82" i="109"/>
  <c r="AM124" i="109"/>
  <c r="AQ16" i="110"/>
  <c r="AW16" i="110" s="1"/>
  <c r="AL16" i="110"/>
  <c r="AJ57" i="110"/>
  <c r="T58" i="112"/>
  <c r="H17" i="112"/>
  <c r="S17" i="112"/>
  <c r="AU42" i="109"/>
  <c r="AN80" i="109"/>
  <c r="AT41" i="109"/>
  <c r="AP41" i="109"/>
  <c r="AL15" i="112"/>
  <c r="AQ15" i="112"/>
  <c r="AW15" i="112" s="1"/>
  <c r="AJ56" i="112"/>
  <c r="E52" i="112"/>
  <c r="J51" i="112"/>
  <c r="F51" i="112"/>
  <c r="AZ51" i="112" s="1"/>
  <c r="AX51" i="112"/>
  <c r="AM53" i="112"/>
  <c r="AN52" i="112"/>
  <c r="BJ49" i="94"/>
  <c r="BI50" i="94"/>
  <c r="BA42" i="94"/>
  <c r="AT42" i="94" s="1"/>
  <c r="BB42" i="94"/>
  <c r="AR49" i="94"/>
  <c r="AQ50" i="94"/>
  <c r="AM126" i="94"/>
  <c r="Z84" i="94"/>
  <c r="Z114" i="94"/>
  <c r="Z115" i="94" s="1"/>
  <c r="Z116" i="94" s="1"/>
  <c r="Z117" i="94" s="1"/>
  <c r="Z118" i="94" s="1"/>
  <c r="Z119" i="94" s="1"/>
  <c r="Z120" i="94" s="1"/>
  <c r="Z121" i="94" s="1"/>
  <c r="Z122" i="94" s="1"/>
  <c r="Z123" i="94" s="1"/>
  <c r="Z124" i="94" s="1"/>
  <c r="Z125" i="94" s="1"/>
  <c r="Z126" i="94" s="1"/>
  <c r="Z127" i="94" s="1"/>
  <c r="Z128" i="94" s="1"/>
  <c r="Z129" i="94" s="1"/>
  <c r="Z130" i="94" s="1"/>
  <c r="Z131" i="94" s="1"/>
  <c r="Z132" i="94" s="1"/>
  <c r="Z133" i="94" s="1"/>
  <c r="Z134" i="94" s="1"/>
  <c r="Z135" i="94" s="1"/>
  <c r="Z136" i="94" s="1"/>
  <c r="Z137" i="94" s="1"/>
  <c r="Z138" i="94" s="1"/>
  <c r="Z139" i="94" s="1"/>
  <c r="Z140" i="94" s="1"/>
  <c r="Z141" i="94" s="1"/>
  <c r="Z142" i="94" s="1"/>
  <c r="Z143" i="94" s="1"/>
  <c r="W49" i="94"/>
  <c r="G50" i="94"/>
  <c r="T49" i="94"/>
  <c r="H49" i="94"/>
  <c r="BK49" i="94" s="1"/>
  <c r="I49" i="94"/>
  <c r="S18" i="111"/>
  <c r="H18" i="111"/>
  <c r="T59" i="111"/>
  <c r="V59" i="111" s="1"/>
  <c r="AX52" i="111"/>
  <c r="J50" i="111"/>
  <c r="E51" i="111"/>
  <c r="F50" i="111"/>
  <c r="AZ50" i="111" s="1"/>
  <c r="BA17" i="111"/>
  <c r="BC16" i="111"/>
  <c r="AO16" i="111"/>
  <c r="AS17" i="111"/>
  <c r="AM51" i="111"/>
  <c r="AN50" i="111"/>
  <c r="BC17" i="103"/>
  <c r="AO17" i="103"/>
  <c r="AQ17" i="103" s="1"/>
  <c r="AW17" i="103" s="1"/>
  <c r="G17" i="110"/>
  <c r="BA17" i="110" s="1"/>
  <c r="AV31" i="109"/>
  <c r="AZ31" i="109" s="1"/>
  <c r="AX31" i="109" s="1"/>
  <c r="AW31" i="109" s="1"/>
  <c r="BH31" i="109" s="1"/>
  <c r="BM76" i="109"/>
  <c r="M18" i="110"/>
  <c r="BM74" i="94"/>
  <c r="AV29" i="94"/>
  <c r="AZ29" i="94" s="1"/>
  <c r="AX29" i="94" s="1"/>
  <c r="AW29" i="94" s="1"/>
  <c r="BH29" i="94" s="1"/>
  <c r="AP45" i="94"/>
  <c r="AN84" i="94"/>
  <c r="AU46" i="94"/>
  <c r="BL23" i="94"/>
  <c r="J23" i="94"/>
  <c r="Y58" i="94"/>
  <c r="M23" i="94"/>
  <c r="S23" i="94" s="1"/>
  <c r="L24" i="94" s="1"/>
  <c r="S46" i="61"/>
  <c r="I16" i="61"/>
  <c r="R16" i="61"/>
  <c r="U50" i="94" l="1"/>
  <c r="V49" i="94"/>
  <c r="R48" i="94"/>
  <c r="Q48" i="94"/>
  <c r="M23" i="109"/>
  <c r="S23" i="109" s="1"/>
  <c r="L24" i="109" s="1"/>
  <c r="P24" i="109" s="1"/>
  <c r="N24" i="109" s="1"/>
  <c r="BL23" i="109"/>
  <c r="J23" i="109"/>
  <c r="AM125" i="109"/>
  <c r="Z83" i="109"/>
  <c r="AY17" i="110"/>
  <c r="BB63" i="110"/>
  <c r="AI58" i="110"/>
  <c r="AP17" i="110"/>
  <c r="X59" i="109"/>
  <c r="P17" i="112"/>
  <c r="O17" i="112"/>
  <c r="I17" i="112"/>
  <c r="V58" i="112"/>
  <c r="U57" i="112"/>
  <c r="AT42" i="109"/>
  <c r="AN81" i="109"/>
  <c r="AP42" i="109"/>
  <c r="AU43" i="109"/>
  <c r="AX52" i="112"/>
  <c r="AM54" i="112"/>
  <c r="AN53" i="112"/>
  <c r="E53" i="112"/>
  <c r="J52" i="112"/>
  <c r="F52" i="112"/>
  <c r="AZ52" i="112" s="1"/>
  <c r="AI57" i="112"/>
  <c r="BB62" i="112"/>
  <c r="AP16" i="112"/>
  <c r="AY16" i="112"/>
  <c r="BI51" i="94"/>
  <c r="BJ50" i="94"/>
  <c r="BB43" i="94"/>
  <c r="BA43" i="94"/>
  <c r="AT43" i="94" s="1"/>
  <c r="Z85" i="94"/>
  <c r="AM127" i="94"/>
  <c r="AR50" i="94"/>
  <c r="AQ51" i="94"/>
  <c r="G51" i="94"/>
  <c r="H50" i="94"/>
  <c r="BK50" i="94" s="1"/>
  <c r="T50" i="94"/>
  <c r="W50" i="94"/>
  <c r="I50" i="94"/>
  <c r="U58" i="111"/>
  <c r="J51" i="111"/>
  <c r="E52" i="111"/>
  <c r="F51" i="111"/>
  <c r="AZ51" i="111" s="1"/>
  <c r="I18" i="111"/>
  <c r="AL16" i="111"/>
  <c r="AJ57" i="111"/>
  <c r="AQ16" i="111"/>
  <c r="AW16" i="111" s="1"/>
  <c r="AM52" i="111"/>
  <c r="AN51" i="111"/>
  <c r="AX53" i="111"/>
  <c r="P18" i="111"/>
  <c r="O18" i="111"/>
  <c r="N18" i="111" s="1"/>
  <c r="L18" i="111" s="1"/>
  <c r="AJ58" i="103"/>
  <c r="AL17" i="103"/>
  <c r="BM77" i="109"/>
  <c r="AV32" i="109"/>
  <c r="AZ32" i="109" s="1"/>
  <c r="AX32" i="109" s="1"/>
  <c r="AW32" i="109" s="1"/>
  <c r="BH32" i="109" s="1"/>
  <c r="K17" i="110"/>
  <c r="Q17" i="110" s="1"/>
  <c r="AV30" i="94"/>
  <c r="AZ30" i="94" s="1"/>
  <c r="AX30" i="94" s="1"/>
  <c r="AW30" i="94" s="1"/>
  <c r="BH30" i="94" s="1"/>
  <c r="BM75" i="94"/>
  <c r="AP46" i="94"/>
  <c r="AN85" i="94"/>
  <c r="AU47" i="94"/>
  <c r="BB64" i="103"/>
  <c r="AI59" i="103"/>
  <c r="AP18" i="103"/>
  <c r="AY18" i="103"/>
  <c r="X59" i="94"/>
  <c r="P24" i="94"/>
  <c r="N24" i="94" s="1"/>
  <c r="N16" i="61"/>
  <c r="M16" i="61" s="1"/>
  <c r="K16" i="61" s="1"/>
  <c r="O16" i="61"/>
  <c r="R49" i="94" l="1"/>
  <c r="Q49" i="94"/>
  <c r="V50" i="94"/>
  <c r="U51" i="94"/>
  <c r="Z114" i="109"/>
  <c r="Z115" i="109" s="1"/>
  <c r="Z116" i="109" s="1"/>
  <c r="Z117" i="109" s="1"/>
  <c r="Z118" i="109" s="1"/>
  <c r="Z119" i="109" s="1"/>
  <c r="Z120" i="109" s="1"/>
  <c r="Z121" i="109" s="1"/>
  <c r="Z122" i="109" s="1"/>
  <c r="Z123" i="109" s="1"/>
  <c r="Z124" i="109" s="1"/>
  <c r="Z125" i="109" s="1"/>
  <c r="Z126" i="109" s="1"/>
  <c r="Z127" i="109" s="1"/>
  <c r="Z128" i="109" s="1"/>
  <c r="Z129" i="109" s="1"/>
  <c r="Z130" i="109" s="1"/>
  <c r="Z131" i="109" s="1"/>
  <c r="Z132" i="109" s="1"/>
  <c r="Z133" i="109" s="1"/>
  <c r="Z134" i="109" s="1"/>
  <c r="Z135" i="109" s="1"/>
  <c r="Z136" i="109" s="1"/>
  <c r="Z137" i="109" s="1"/>
  <c r="Z138" i="109" s="1"/>
  <c r="Z139" i="109" s="1"/>
  <c r="Z140" i="109" s="1"/>
  <c r="Z141" i="109" s="1"/>
  <c r="Z142" i="109" s="1"/>
  <c r="Z143" i="109" s="1"/>
  <c r="Z84" i="109"/>
  <c r="AM126" i="109"/>
  <c r="AK58" i="110"/>
  <c r="K24" i="109"/>
  <c r="M24" i="109" s="1"/>
  <c r="S24" i="109" s="1"/>
  <c r="L25" i="109" s="1"/>
  <c r="P25" i="109" s="1"/>
  <c r="N25" i="109" s="1"/>
  <c r="AU17" i="110"/>
  <c r="AV17" i="110"/>
  <c r="BL24" i="109"/>
  <c r="N17" i="112"/>
  <c r="L17" i="112" s="1"/>
  <c r="AU44" i="109"/>
  <c r="AN82" i="109"/>
  <c r="AT43" i="109"/>
  <c r="AP43" i="109"/>
  <c r="E54" i="112"/>
  <c r="J53" i="112"/>
  <c r="F53" i="112"/>
  <c r="AZ53" i="112" s="1"/>
  <c r="AM55" i="112"/>
  <c r="AN54" i="112"/>
  <c r="AV16" i="112"/>
  <c r="AU16" i="112"/>
  <c r="AK57" i="112"/>
  <c r="AX53" i="112"/>
  <c r="BA44" i="94"/>
  <c r="AT44" i="94" s="1"/>
  <c r="BB44" i="94"/>
  <c r="BJ51" i="94"/>
  <c r="BI52" i="94"/>
  <c r="AQ52" i="94"/>
  <c r="AR51" i="94"/>
  <c r="G52" i="94"/>
  <c r="H51" i="94"/>
  <c r="BK51" i="94" s="1"/>
  <c r="T51" i="94"/>
  <c r="W51" i="94"/>
  <c r="I51" i="94"/>
  <c r="Z86" i="94"/>
  <c r="AM128" i="94"/>
  <c r="G18" i="111"/>
  <c r="BA18" i="111" s="1"/>
  <c r="AM53" i="111"/>
  <c r="AN52" i="111"/>
  <c r="AX54" i="111"/>
  <c r="M19" i="111"/>
  <c r="AY17" i="111"/>
  <c r="AP17" i="111"/>
  <c r="BB63" i="111"/>
  <c r="AI58" i="111"/>
  <c r="J52" i="111"/>
  <c r="E53" i="111"/>
  <c r="F52" i="111"/>
  <c r="AZ52" i="111" s="1"/>
  <c r="AV33" i="109"/>
  <c r="AZ33" i="109" s="1"/>
  <c r="AX33" i="109" s="1"/>
  <c r="AW33" i="109" s="1"/>
  <c r="BH33" i="109" s="1"/>
  <c r="BM78" i="109"/>
  <c r="T59" i="110"/>
  <c r="H18" i="110"/>
  <c r="S18" i="110"/>
  <c r="K24" i="94"/>
  <c r="M24" i="94" s="1"/>
  <c r="S24" i="94" s="1"/>
  <c r="L25" i="94" s="1"/>
  <c r="AP47" i="94"/>
  <c r="AU48" i="94"/>
  <c r="AN86" i="94"/>
  <c r="AV18" i="103"/>
  <c r="AU18" i="103"/>
  <c r="BM76" i="94"/>
  <c r="AV31" i="94"/>
  <c r="AZ31" i="94" s="1"/>
  <c r="AX31" i="94" s="1"/>
  <c r="AW31" i="94" s="1"/>
  <c r="BH31" i="94" s="1"/>
  <c r="AK59" i="103"/>
  <c r="H16" i="61"/>
  <c r="J16" i="61" s="1"/>
  <c r="L17" i="61"/>
  <c r="R50" i="94" l="1"/>
  <c r="Q50" i="94"/>
  <c r="V51" i="94"/>
  <c r="U52" i="94"/>
  <c r="X60" i="109"/>
  <c r="Z85" i="109"/>
  <c r="AM127" i="109"/>
  <c r="AT17" i="110"/>
  <c r="AR17" i="110" s="1"/>
  <c r="AS18" i="110" s="1"/>
  <c r="J24" i="109"/>
  <c r="Y59" i="109"/>
  <c r="K25" i="109"/>
  <c r="G17" i="112"/>
  <c r="K17" i="112" s="1"/>
  <c r="Q17" i="112" s="1"/>
  <c r="M18" i="112"/>
  <c r="AT44" i="109"/>
  <c r="AU45" i="109"/>
  <c r="AN83" i="109"/>
  <c r="AP44" i="109"/>
  <c r="J54" i="112"/>
  <c r="E55" i="112"/>
  <c r="F54" i="112"/>
  <c r="AZ54" i="112" s="1"/>
  <c r="AX54" i="112"/>
  <c r="AM56" i="112"/>
  <c r="AN55" i="112"/>
  <c r="AT16" i="112"/>
  <c r="AR16" i="112" s="1"/>
  <c r="BJ52" i="94"/>
  <c r="BI53" i="94"/>
  <c r="BA45" i="94"/>
  <c r="AT45" i="94" s="1"/>
  <c r="BB45" i="94"/>
  <c r="AQ53" i="94"/>
  <c r="AR52" i="94"/>
  <c r="Z87" i="94"/>
  <c r="AM129" i="94"/>
  <c r="G53" i="94"/>
  <c r="H52" i="94"/>
  <c r="BK52" i="94" s="1"/>
  <c r="T52" i="94"/>
  <c r="W52" i="94"/>
  <c r="I52" i="94"/>
  <c r="AM54" i="111"/>
  <c r="AN53" i="111"/>
  <c r="J53" i="111"/>
  <c r="E54" i="111"/>
  <c r="F53" i="111"/>
  <c r="AZ53" i="111" s="1"/>
  <c r="AX55" i="111"/>
  <c r="AK58" i="111"/>
  <c r="AU17" i="111"/>
  <c r="AV17" i="111"/>
  <c r="K18" i="111"/>
  <c r="Q18" i="111" s="1"/>
  <c r="BM79" i="109"/>
  <c r="AV34" i="109"/>
  <c r="AZ34" i="109" s="1"/>
  <c r="AX34" i="109" s="1"/>
  <c r="AW34" i="109" s="1"/>
  <c r="BH34" i="109" s="1"/>
  <c r="V59" i="110"/>
  <c r="U58" i="110"/>
  <c r="I18" i="110"/>
  <c r="O18" i="110"/>
  <c r="P18" i="110"/>
  <c r="BL24" i="94"/>
  <c r="J24" i="94"/>
  <c r="Y59" i="94"/>
  <c r="X60" i="94"/>
  <c r="P25" i="94"/>
  <c r="N25" i="94" s="1"/>
  <c r="BM77" i="94"/>
  <c r="AV32" i="94"/>
  <c r="AZ32" i="94" s="1"/>
  <c r="AX32" i="94" s="1"/>
  <c r="AW32" i="94" s="1"/>
  <c r="BH32" i="94" s="1"/>
  <c r="AU49" i="94"/>
  <c r="AN87" i="94"/>
  <c r="AP48" i="94"/>
  <c r="AT18" i="103"/>
  <c r="AR18" i="103" s="1"/>
  <c r="AS19" i="103" s="1"/>
  <c r="P16" i="61"/>
  <c r="T46" i="61"/>
  <c r="U53" i="94" l="1"/>
  <c r="V52" i="94"/>
  <c r="R51" i="94"/>
  <c r="Q51" i="94"/>
  <c r="Z86" i="109"/>
  <c r="AM128" i="109"/>
  <c r="BC17" i="110"/>
  <c r="AO17" i="110"/>
  <c r="M25" i="109"/>
  <c r="S25" i="109" s="1"/>
  <c r="J25" i="109"/>
  <c r="Y60" i="109"/>
  <c r="BL25" i="109"/>
  <c r="H18" i="112"/>
  <c r="S18" i="112"/>
  <c r="T59" i="112"/>
  <c r="V59" i="112" s="1"/>
  <c r="BA17" i="112"/>
  <c r="AN84" i="109"/>
  <c r="AP45" i="109"/>
  <c r="AU46" i="109"/>
  <c r="AT45" i="109"/>
  <c r="AM57" i="112"/>
  <c r="AN56" i="112"/>
  <c r="AX55" i="112"/>
  <c r="E56" i="112"/>
  <c r="J55" i="112"/>
  <c r="F55" i="112"/>
  <c r="AZ55" i="112" s="1"/>
  <c r="AO16" i="112"/>
  <c r="AQ16" i="112" s="1"/>
  <c r="AW16" i="112" s="1"/>
  <c r="BC16" i="112"/>
  <c r="AS17" i="112"/>
  <c r="BJ53" i="94"/>
  <c r="BI54" i="94"/>
  <c r="BB46" i="94"/>
  <c r="BA46" i="94"/>
  <c r="AT46" i="94" s="1"/>
  <c r="G54" i="94"/>
  <c r="H53" i="94"/>
  <c r="BK53" i="94" s="1"/>
  <c r="T53" i="94"/>
  <c r="W53" i="94"/>
  <c r="I53" i="94"/>
  <c r="AR53" i="94"/>
  <c r="AQ54" i="94"/>
  <c r="Z88" i="94"/>
  <c r="AM130" i="94"/>
  <c r="AM55" i="111"/>
  <c r="AN54" i="111"/>
  <c r="J54" i="111"/>
  <c r="E55" i="111"/>
  <c r="F54" i="111"/>
  <c r="AZ54" i="111" s="1"/>
  <c r="S19" i="111"/>
  <c r="H19" i="111"/>
  <c r="T60" i="111"/>
  <c r="AX56" i="111"/>
  <c r="AT17" i="111"/>
  <c r="AR17" i="111" s="1"/>
  <c r="AS18" i="111" s="1"/>
  <c r="BM80" i="109"/>
  <c r="AV35" i="109"/>
  <c r="AZ35" i="109" s="1"/>
  <c r="AX35" i="109" s="1"/>
  <c r="AW35" i="109" s="1"/>
  <c r="BH35" i="109" s="1"/>
  <c r="N18" i="110"/>
  <c r="L18" i="110" s="1"/>
  <c r="K25" i="94"/>
  <c r="M25" i="94" s="1"/>
  <c r="S25" i="94" s="1"/>
  <c r="L26" i="94" s="1"/>
  <c r="BM78" i="94"/>
  <c r="AV33" i="94"/>
  <c r="AZ33" i="94" s="1"/>
  <c r="AX33" i="94" s="1"/>
  <c r="AW33" i="94" s="1"/>
  <c r="BH33" i="94" s="1"/>
  <c r="AN88" i="94"/>
  <c r="AP49" i="94"/>
  <c r="AU50" i="94"/>
  <c r="BC18" i="103"/>
  <c r="AO18" i="103"/>
  <c r="AQ18" i="103" s="1"/>
  <c r="AW18" i="103" s="1"/>
  <c r="I17" i="61"/>
  <c r="S47" i="61"/>
  <c r="R17" i="61"/>
  <c r="Q52" i="94" l="1"/>
  <c r="R52" i="94"/>
  <c r="U54" i="94"/>
  <c r="V53" i="94"/>
  <c r="Z87" i="109"/>
  <c r="AM129" i="109"/>
  <c r="AQ17" i="110"/>
  <c r="AW17" i="110" s="1"/>
  <c r="AL17" i="110"/>
  <c r="AJ58" i="110"/>
  <c r="X61" i="109"/>
  <c r="L26" i="109"/>
  <c r="K26" i="109" s="1"/>
  <c r="U58" i="112"/>
  <c r="O18" i="112"/>
  <c r="N18" i="112" s="1"/>
  <c r="L18" i="112" s="1"/>
  <c r="P18" i="112"/>
  <c r="I18" i="112"/>
  <c r="AP46" i="109"/>
  <c r="AT46" i="109"/>
  <c r="AU47" i="109"/>
  <c r="AN85" i="109"/>
  <c r="E57" i="112"/>
  <c r="J56" i="112"/>
  <c r="F56" i="112"/>
  <c r="AZ56" i="112" s="1"/>
  <c r="AX56" i="112"/>
  <c r="AI58" i="112"/>
  <c r="AP17" i="112"/>
  <c r="AY17" i="112"/>
  <c r="BB63" i="112"/>
  <c r="AL16" i="112"/>
  <c r="AJ57" i="112"/>
  <c r="AM58" i="112"/>
  <c r="AN57" i="112"/>
  <c r="BI55" i="94"/>
  <c r="BJ54" i="94"/>
  <c r="BA47" i="94"/>
  <c r="AT47" i="94" s="1"/>
  <c r="BB47" i="94"/>
  <c r="W54" i="94"/>
  <c r="G55" i="94"/>
  <c r="T54" i="94"/>
  <c r="H54" i="94"/>
  <c r="BK54" i="94" s="1"/>
  <c r="I54" i="94"/>
  <c r="Z89" i="94"/>
  <c r="AM131" i="94"/>
  <c r="AR54" i="94"/>
  <c r="AQ55" i="94"/>
  <c r="O19" i="111"/>
  <c r="P19" i="111"/>
  <c r="E56" i="111"/>
  <c r="J55" i="111"/>
  <c r="F55" i="111"/>
  <c r="AZ55" i="111" s="1"/>
  <c r="BC17" i="111"/>
  <c r="AO17" i="111"/>
  <c r="AQ17" i="111" s="1"/>
  <c r="AW17" i="111" s="1"/>
  <c r="AX57" i="111"/>
  <c r="V60" i="111"/>
  <c r="U59" i="111"/>
  <c r="AM56" i="111"/>
  <c r="AN55" i="111"/>
  <c r="N19" i="111"/>
  <c r="L19" i="111" s="1"/>
  <c r="G19" i="111" s="1"/>
  <c r="BA19" i="111" s="1"/>
  <c r="I19" i="111"/>
  <c r="AV36" i="109"/>
  <c r="AZ36" i="109" s="1"/>
  <c r="AX36" i="109" s="1"/>
  <c r="AW36" i="109" s="1"/>
  <c r="BH36" i="109" s="1"/>
  <c r="BM81" i="109"/>
  <c r="G18" i="110"/>
  <c r="K18" i="110" s="1"/>
  <c r="Q18" i="110" s="1"/>
  <c r="M19" i="110"/>
  <c r="P26" i="94"/>
  <c r="N26" i="94" s="1"/>
  <c r="X61" i="94"/>
  <c r="BL25" i="94"/>
  <c r="J25" i="94"/>
  <c r="Y60" i="94"/>
  <c r="BB65" i="103"/>
  <c r="AP19" i="103"/>
  <c r="AI60" i="103"/>
  <c r="AY19" i="103"/>
  <c r="BM79" i="94"/>
  <c r="AV34" i="94"/>
  <c r="AZ34" i="94" s="1"/>
  <c r="AX34" i="94" s="1"/>
  <c r="AW34" i="94" s="1"/>
  <c r="BH34" i="94" s="1"/>
  <c r="AN89" i="94"/>
  <c r="AU51" i="94"/>
  <c r="AP50" i="94"/>
  <c r="AL18" i="103"/>
  <c r="AJ59" i="103"/>
  <c r="N17" i="61"/>
  <c r="O17" i="61"/>
  <c r="R53" i="94" l="1"/>
  <c r="Q53" i="94"/>
  <c r="U55" i="94"/>
  <c r="V54" i="94"/>
  <c r="AM130" i="109"/>
  <c r="Z88" i="109"/>
  <c r="AP18" i="110"/>
  <c r="AI59" i="110"/>
  <c r="AY18" i="110"/>
  <c r="BB64" i="110"/>
  <c r="BL26" i="109"/>
  <c r="Y61" i="109"/>
  <c r="J26" i="109"/>
  <c r="P26" i="109"/>
  <c r="N26" i="109" s="1"/>
  <c r="M26" i="109"/>
  <c r="S26" i="109" s="1"/>
  <c r="M19" i="112"/>
  <c r="G18" i="112"/>
  <c r="AN86" i="109"/>
  <c r="AU48" i="109"/>
  <c r="AP47" i="109"/>
  <c r="AT47" i="109"/>
  <c r="AK58" i="112"/>
  <c r="AV17" i="112"/>
  <c r="AU17" i="112"/>
  <c r="J57" i="112"/>
  <c r="E58" i="112"/>
  <c r="F57" i="112"/>
  <c r="AZ57" i="112" s="1"/>
  <c r="AT17" i="112"/>
  <c r="AM59" i="112"/>
  <c r="AN58" i="112"/>
  <c r="AX57" i="112"/>
  <c r="BB48" i="94"/>
  <c r="BA48" i="94"/>
  <c r="AT48" i="94" s="1"/>
  <c r="BI56" i="94"/>
  <c r="BJ55" i="94"/>
  <c r="Z90" i="94"/>
  <c r="AM132" i="94"/>
  <c r="G56" i="94"/>
  <c r="H55" i="94"/>
  <c r="BK55" i="94" s="1"/>
  <c r="T55" i="94"/>
  <c r="W55" i="94"/>
  <c r="I55" i="94"/>
  <c r="AQ56" i="94"/>
  <c r="AR55" i="94"/>
  <c r="AX58" i="111"/>
  <c r="AY18" i="111"/>
  <c r="AP18" i="111"/>
  <c r="BB64" i="111"/>
  <c r="AI59" i="111"/>
  <c r="E57" i="111"/>
  <c r="F56" i="111"/>
  <c r="AZ56" i="111" s="1"/>
  <c r="K19" i="111"/>
  <c r="Q19" i="111" s="1"/>
  <c r="AL17" i="111"/>
  <c r="AJ58" i="111"/>
  <c r="M20" i="111"/>
  <c r="AM57" i="111"/>
  <c r="AN56" i="111"/>
  <c r="T60" i="110"/>
  <c r="V60" i="110" s="1"/>
  <c r="H19" i="110"/>
  <c r="S19" i="110"/>
  <c r="AV37" i="109"/>
  <c r="AZ37" i="109" s="1"/>
  <c r="AX37" i="109" s="1"/>
  <c r="AW37" i="109" s="1"/>
  <c r="BH37" i="109" s="1"/>
  <c r="BM82" i="109"/>
  <c r="BA18" i="110"/>
  <c r="K26" i="94"/>
  <c r="BL26" i="94" s="1"/>
  <c r="AU19" i="103"/>
  <c r="AT19" i="103" s="1"/>
  <c r="AV19" i="103"/>
  <c r="AN90" i="94"/>
  <c r="AP51" i="94"/>
  <c r="AU52" i="94"/>
  <c r="AK60" i="103"/>
  <c r="AV35" i="94"/>
  <c r="AZ35" i="94" s="1"/>
  <c r="AX35" i="94" s="1"/>
  <c r="AW35" i="94" s="1"/>
  <c r="BH35" i="94" s="1"/>
  <c r="BM80" i="94"/>
  <c r="M17" i="61"/>
  <c r="K17" i="61" s="1"/>
  <c r="R54" i="94" l="1"/>
  <c r="Q54" i="94"/>
  <c r="U56" i="94"/>
  <c r="V55" i="94"/>
  <c r="AM131" i="109"/>
  <c r="Z89" i="109"/>
  <c r="AV18" i="110"/>
  <c r="AU18" i="110"/>
  <c r="AK59" i="110"/>
  <c r="L27" i="109"/>
  <c r="X62" i="109"/>
  <c r="K18" i="112"/>
  <c r="Q18" i="112" s="1"/>
  <c r="BA18" i="112"/>
  <c r="U59" i="110"/>
  <c r="AP48" i="109"/>
  <c r="AU49" i="109"/>
  <c r="AT48" i="109"/>
  <c r="AN87" i="109"/>
  <c r="AM60" i="112"/>
  <c r="AN59" i="112"/>
  <c r="AR17" i="112"/>
  <c r="AS18" i="112" s="1"/>
  <c r="AX58" i="112"/>
  <c r="J58" i="112"/>
  <c r="E59" i="112"/>
  <c r="F58" i="112"/>
  <c r="AZ58" i="112" s="1"/>
  <c r="BB49" i="94"/>
  <c r="BA49" i="94"/>
  <c r="AT49" i="94" s="1"/>
  <c r="BI57" i="94"/>
  <c r="BJ56" i="94"/>
  <c r="Z91" i="94"/>
  <c r="AM133" i="94"/>
  <c r="AQ57" i="94"/>
  <c r="AR56" i="94"/>
  <c r="G57" i="94"/>
  <c r="H56" i="94"/>
  <c r="BK56" i="94" s="1"/>
  <c r="T56" i="94"/>
  <c r="W56" i="94"/>
  <c r="I56" i="94"/>
  <c r="J57" i="111"/>
  <c r="E58" i="111"/>
  <c r="F57" i="111"/>
  <c r="AZ57" i="111" s="1"/>
  <c r="AM58" i="111"/>
  <c r="AN57" i="111"/>
  <c r="S20" i="111"/>
  <c r="T61" i="111"/>
  <c r="H20" i="111"/>
  <c r="AK59" i="111"/>
  <c r="AU18" i="111"/>
  <c r="AV18" i="111"/>
  <c r="AX59" i="111"/>
  <c r="M26" i="94"/>
  <c r="S26" i="94" s="1"/>
  <c r="J26" i="94"/>
  <c r="Y61" i="94"/>
  <c r="AV38" i="109"/>
  <c r="AZ38" i="109" s="1"/>
  <c r="AX38" i="109" s="1"/>
  <c r="AW38" i="109" s="1"/>
  <c r="BH38" i="109" s="1"/>
  <c r="BM83" i="109"/>
  <c r="O19" i="110"/>
  <c r="N19" i="110" s="1"/>
  <c r="L19" i="110" s="1"/>
  <c r="P19" i="110"/>
  <c r="I19" i="110"/>
  <c r="AR19" i="103"/>
  <c r="BC19" i="103" s="1"/>
  <c r="AV36" i="94"/>
  <c r="AZ36" i="94" s="1"/>
  <c r="AX36" i="94" s="1"/>
  <c r="AW36" i="94" s="1"/>
  <c r="BH36" i="94" s="1"/>
  <c r="BM81" i="94"/>
  <c r="AU53" i="94"/>
  <c r="AP52" i="94"/>
  <c r="AN91" i="94"/>
  <c r="H17" i="61"/>
  <c r="J17" i="61" s="1"/>
  <c r="L18" i="61"/>
  <c r="R55" i="94" l="1"/>
  <c r="Q55" i="94"/>
  <c r="U57" i="94"/>
  <c r="V56" i="94"/>
  <c r="Z90" i="109"/>
  <c r="AM132" i="109"/>
  <c r="AT18" i="110"/>
  <c r="AR18" i="110" s="1"/>
  <c r="AS19" i="110" s="1"/>
  <c r="P27" i="109"/>
  <c r="N27" i="109" s="1"/>
  <c r="K27" i="109"/>
  <c r="M27" i="109" s="1"/>
  <c r="S27" i="109" s="1"/>
  <c r="H19" i="112"/>
  <c r="T60" i="112"/>
  <c r="S19" i="112"/>
  <c r="AU50" i="109"/>
  <c r="AP49" i="109"/>
  <c r="AT49" i="109"/>
  <c r="AN88" i="109"/>
  <c r="AX59" i="112"/>
  <c r="AM61" i="112"/>
  <c r="AN60" i="112"/>
  <c r="AO17" i="112"/>
  <c r="AQ17" i="112" s="1"/>
  <c r="AW17" i="112" s="1"/>
  <c r="BC17" i="112"/>
  <c r="J59" i="112"/>
  <c r="E60" i="112"/>
  <c r="F59" i="112"/>
  <c r="AZ59" i="112" s="1"/>
  <c r="X62" i="94"/>
  <c r="L27" i="94"/>
  <c r="BA50" i="94"/>
  <c r="AT50" i="94" s="1"/>
  <c r="BB50" i="94"/>
  <c r="BI58" i="94"/>
  <c r="BJ57" i="94"/>
  <c r="W57" i="94"/>
  <c r="G58" i="94"/>
  <c r="T57" i="94"/>
  <c r="H57" i="94"/>
  <c r="BK57" i="94" s="1"/>
  <c r="I57" i="94"/>
  <c r="AR57" i="94"/>
  <c r="AQ58" i="94"/>
  <c r="Z92" i="94"/>
  <c r="AM134" i="94"/>
  <c r="I20" i="111"/>
  <c r="AX60" i="111"/>
  <c r="AM59" i="111"/>
  <c r="AN58" i="111"/>
  <c r="J58" i="111"/>
  <c r="E59" i="111"/>
  <c r="F58" i="111"/>
  <c r="AZ58" i="111" s="1"/>
  <c r="V61" i="111"/>
  <c r="U60" i="111"/>
  <c r="P20" i="111"/>
  <c r="O20" i="111"/>
  <c r="AT18" i="111"/>
  <c r="AR18" i="111" s="1"/>
  <c r="P27" i="94"/>
  <c r="N27" i="94" s="1"/>
  <c r="AS20" i="103"/>
  <c r="AO19" i="103"/>
  <c r="AJ60" i="103" s="1"/>
  <c r="G19" i="110"/>
  <c r="K19" i="110" s="1"/>
  <c r="Q19" i="110" s="1"/>
  <c r="AV39" i="109"/>
  <c r="AZ39" i="109" s="1"/>
  <c r="AX39" i="109" s="1"/>
  <c r="AW39" i="109" s="1"/>
  <c r="BH39" i="109" s="1"/>
  <c r="BM84" i="109"/>
  <c r="M20" i="110"/>
  <c r="AV37" i="94"/>
  <c r="AZ37" i="94" s="1"/>
  <c r="AX37" i="94" s="1"/>
  <c r="AW37" i="94" s="1"/>
  <c r="BH37" i="94" s="1"/>
  <c r="BM82" i="94"/>
  <c r="AN92" i="94"/>
  <c r="AU54" i="94"/>
  <c r="AP53" i="94"/>
  <c r="P17" i="61"/>
  <c r="T47" i="61"/>
  <c r="Q56" i="94" l="1"/>
  <c r="R56" i="94"/>
  <c r="U58" i="94"/>
  <c r="V57" i="94"/>
  <c r="Z91" i="109"/>
  <c r="AM133" i="109"/>
  <c r="AO18" i="110"/>
  <c r="BC18" i="110"/>
  <c r="L28" i="109"/>
  <c r="X63" i="109"/>
  <c r="J27" i="109"/>
  <c r="BL27" i="109"/>
  <c r="Y62" i="109"/>
  <c r="P19" i="112"/>
  <c r="O19" i="112"/>
  <c r="V60" i="112"/>
  <c r="U59" i="112"/>
  <c r="I19" i="112"/>
  <c r="N19" i="112"/>
  <c r="L19" i="112" s="1"/>
  <c r="G19" i="112" s="1"/>
  <c r="BA19" i="112" s="1"/>
  <c r="AU51" i="109"/>
  <c r="AP50" i="109"/>
  <c r="AT50" i="109"/>
  <c r="AN89" i="109"/>
  <c r="AM62" i="112"/>
  <c r="AN61" i="112"/>
  <c r="AL17" i="112"/>
  <c r="AJ58" i="112"/>
  <c r="AX60" i="112"/>
  <c r="AI59" i="112"/>
  <c r="AY18" i="112"/>
  <c r="AP18" i="112"/>
  <c r="BB64" i="112"/>
  <c r="J60" i="112"/>
  <c r="E61" i="112"/>
  <c r="F60" i="112"/>
  <c r="AZ60" i="112" s="1"/>
  <c r="BB51" i="94"/>
  <c r="BA51" i="94"/>
  <c r="AT51" i="94" s="1"/>
  <c r="BJ58" i="94"/>
  <c r="BI59" i="94"/>
  <c r="K27" i="94"/>
  <c r="J27" i="94" s="1"/>
  <c r="AM135" i="94"/>
  <c r="Z93" i="94"/>
  <c r="G59" i="94"/>
  <c r="H58" i="94"/>
  <c r="BK58" i="94" s="1"/>
  <c r="T58" i="94"/>
  <c r="W58" i="94"/>
  <c r="I58" i="94"/>
  <c r="AR58" i="94"/>
  <c r="AQ59" i="94"/>
  <c r="AX61" i="111"/>
  <c r="AO18" i="111"/>
  <c r="BC18" i="111"/>
  <c r="E60" i="111"/>
  <c r="J59" i="111"/>
  <c r="F59" i="111"/>
  <c r="AZ59" i="111" s="1"/>
  <c r="AM60" i="111"/>
  <c r="AN59" i="111"/>
  <c r="N20" i="111"/>
  <c r="L20" i="111" s="1"/>
  <c r="M21" i="111" s="1"/>
  <c r="AS19" i="111"/>
  <c r="AQ19" i="103"/>
  <c r="AW19" i="103" s="1"/>
  <c r="AI61" i="103" s="1"/>
  <c r="AL19" i="103"/>
  <c r="AV40" i="109"/>
  <c r="AZ40" i="109" s="1"/>
  <c r="AX40" i="109" s="1"/>
  <c r="AW40" i="109" s="1"/>
  <c r="BH40" i="109" s="1"/>
  <c r="BM85" i="109"/>
  <c r="H20" i="110"/>
  <c r="T61" i="110"/>
  <c r="V61" i="110" s="1"/>
  <c r="S20" i="110"/>
  <c r="BA19" i="110"/>
  <c r="AV38" i="94"/>
  <c r="AZ38" i="94" s="1"/>
  <c r="AX38" i="94" s="1"/>
  <c r="AW38" i="94" s="1"/>
  <c r="BH38" i="94" s="1"/>
  <c r="BM83" i="94"/>
  <c r="AN93" i="94"/>
  <c r="AU55" i="94"/>
  <c r="AP54" i="94"/>
  <c r="I18" i="61"/>
  <c r="S48" i="61"/>
  <c r="R18" i="61"/>
  <c r="R57" i="94" l="1"/>
  <c r="Q57" i="94"/>
  <c r="U59" i="94"/>
  <c r="V58" i="94"/>
  <c r="AM134" i="109"/>
  <c r="Z92" i="109"/>
  <c r="AQ18" i="110"/>
  <c r="AW18" i="110" s="1"/>
  <c r="AL18" i="110"/>
  <c r="AJ59" i="110"/>
  <c r="P28" i="109"/>
  <c r="N28" i="109" s="1"/>
  <c r="K28" i="109"/>
  <c r="M20" i="112"/>
  <c r="K19" i="112"/>
  <c r="Q19" i="112" s="1"/>
  <c r="AN90" i="109"/>
  <c r="AP51" i="109"/>
  <c r="AU52" i="109"/>
  <c r="AT51" i="109"/>
  <c r="E62" i="112"/>
  <c r="J61" i="112"/>
  <c r="F61" i="112"/>
  <c r="AZ61" i="112" s="1"/>
  <c r="AV18" i="112"/>
  <c r="AU18" i="112"/>
  <c r="AX61" i="112"/>
  <c r="AM63" i="112"/>
  <c r="AN62" i="112"/>
  <c r="AK59" i="112"/>
  <c r="BL27" i="94"/>
  <c r="Y62" i="94"/>
  <c r="M27" i="94"/>
  <c r="S27" i="94" s="1"/>
  <c r="L28" i="94" s="1"/>
  <c r="BI60" i="94"/>
  <c r="BJ59" i="94"/>
  <c r="BA52" i="94"/>
  <c r="AT52" i="94" s="1"/>
  <c r="BB52" i="94"/>
  <c r="AQ60" i="94"/>
  <c r="AR59" i="94"/>
  <c r="G60" i="94"/>
  <c r="W59" i="94"/>
  <c r="T59" i="94"/>
  <c r="H59" i="94"/>
  <c r="BK59" i="94" s="1"/>
  <c r="I59" i="94"/>
  <c r="Z94" i="94"/>
  <c r="AM136" i="94"/>
  <c r="AM61" i="111"/>
  <c r="AN60" i="111"/>
  <c r="AL18" i="111"/>
  <c r="AJ59" i="111"/>
  <c r="G20" i="111"/>
  <c r="K20" i="111" s="1"/>
  <c r="Q20" i="111" s="1"/>
  <c r="AQ18" i="111"/>
  <c r="AW18" i="111" s="1"/>
  <c r="AX62" i="111"/>
  <c r="E61" i="111"/>
  <c r="J60" i="111"/>
  <c r="F60" i="111"/>
  <c r="AZ60" i="111" s="1"/>
  <c r="AP20" i="103"/>
  <c r="AY20" i="103"/>
  <c r="AU20" i="103" s="1"/>
  <c r="BB66" i="103"/>
  <c r="AV41" i="109"/>
  <c r="AZ41" i="109" s="1"/>
  <c r="AX41" i="109" s="1"/>
  <c r="AW41" i="109" s="1"/>
  <c r="BH41" i="109" s="1"/>
  <c r="BM86" i="109"/>
  <c r="P20" i="110"/>
  <c r="O20" i="110"/>
  <c r="I20" i="110"/>
  <c r="U60" i="110"/>
  <c r="AN94" i="94"/>
  <c r="AU56" i="94"/>
  <c r="AP55" i="94"/>
  <c r="AV39" i="94"/>
  <c r="AZ39" i="94" s="1"/>
  <c r="AX39" i="94" s="1"/>
  <c r="AW39" i="94" s="1"/>
  <c r="BH39" i="94" s="1"/>
  <c r="BM84" i="94"/>
  <c r="X63" i="94"/>
  <c r="P28" i="94"/>
  <c r="N28" i="94" s="1"/>
  <c r="AK61" i="103"/>
  <c r="N18" i="61"/>
  <c r="M18" i="61" s="1"/>
  <c r="K18" i="61" s="1"/>
  <c r="O18" i="61"/>
  <c r="V59" i="94" l="1"/>
  <c r="U60" i="94"/>
  <c r="R58" i="94"/>
  <c r="Q58" i="94"/>
  <c r="Z93" i="109"/>
  <c r="AM135" i="109"/>
  <c r="AI60" i="110"/>
  <c r="AY19" i="110"/>
  <c r="BB65" i="110"/>
  <c r="AP19" i="110"/>
  <c r="M28" i="109"/>
  <c r="S28" i="109" s="1"/>
  <c r="BL28" i="109"/>
  <c r="J28" i="109"/>
  <c r="Y63" i="109"/>
  <c r="S20" i="112"/>
  <c r="T61" i="112"/>
  <c r="H20" i="112"/>
  <c r="I20" i="112" s="1"/>
  <c r="AT52" i="109"/>
  <c r="AP52" i="109"/>
  <c r="AU53" i="109"/>
  <c r="AN91" i="109"/>
  <c r="AX62" i="112"/>
  <c r="E63" i="112"/>
  <c r="J62" i="112"/>
  <c r="F62" i="112"/>
  <c r="AZ62" i="112" s="1"/>
  <c r="AM64" i="112"/>
  <c r="AN63" i="112"/>
  <c r="AT18" i="112"/>
  <c r="AR18" i="112" s="1"/>
  <c r="BA53" i="94"/>
  <c r="AT53" i="94" s="1"/>
  <c r="BB53" i="94"/>
  <c r="BJ60" i="94"/>
  <c r="BI61" i="94"/>
  <c r="AT20" i="103"/>
  <c r="Z95" i="94"/>
  <c r="AM137" i="94"/>
  <c r="AQ61" i="94"/>
  <c r="AR60" i="94"/>
  <c r="AV20" i="103"/>
  <c r="W60" i="94"/>
  <c r="G61" i="94"/>
  <c r="T60" i="94"/>
  <c r="H60" i="94"/>
  <c r="BK60" i="94" s="1"/>
  <c r="I60" i="94"/>
  <c r="AY19" i="111"/>
  <c r="AI60" i="111"/>
  <c r="BB65" i="111"/>
  <c r="AP19" i="111"/>
  <c r="S21" i="111"/>
  <c r="T62" i="111"/>
  <c r="V62" i="111" s="1"/>
  <c r="H21" i="111"/>
  <c r="BA20" i="111"/>
  <c r="AM62" i="111"/>
  <c r="AN61" i="111"/>
  <c r="J61" i="111"/>
  <c r="E62" i="111"/>
  <c r="F61" i="111"/>
  <c r="AZ61" i="111" s="1"/>
  <c r="AX63" i="111"/>
  <c r="AV42" i="109"/>
  <c r="AZ42" i="109" s="1"/>
  <c r="AX42" i="109" s="1"/>
  <c r="AW42" i="109" s="1"/>
  <c r="BH42" i="109" s="1"/>
  <c r="BM87" i="109"/>
  <c r="N20" i="110"/>
  <c r="L20" i="110" s="1"/>
  <c r="M21" i="110" s="1"/>
  <c r="AR20" i="103"/>
  <c r="BC20" i="103" s="1"/>
  <c r="AV40" i="94"/>
  <c r="AZ40" i="94" s="1"/>
  <c r="AX40" i="94" s="1"/>
  <c r="AW40" i="94" s="1"/>
  <c r="BH40" i="94" s="1"/>
  <c r="BM85" i="94"/>
  <c r="K28" i="94"/>
  <c r="M28" i="94" s="1"/>
  <c r="S28" i="94" s="1"/>
  <c r="L29" i="94" s="1"/>
  <c r="AU57" i="94"/>
  <c r="AP56" i="94"/>
  <c r="AN95" i="94"/>
  <c r="H18" i="61"/>
  <c r="J18" i="61" s="1"/>
  <c r="L19" i="61"/>
  <c r="U61" i="94" l="1"/>
  <c r="V60" i="94"/>
  <c r="Q59" i="94"/>
  <c r="R59" i="94"/>
  <c r="Z94" i="109"/>
  <c r="AM136" i="109"/>
  <c r="AU19" i="110"/>
  <c r="AT19" i="110" s="1"/>
  <c r="AV19" i="110"/>
  <c r="AK60" i="110"/>
  <c r="L29" i="109"/>
  <c r="P29" i="109" s="1"/>
  <c r="N29" i="109" s="1"/>
  <c r="X64" i="109"/>
  <c r="V61" i="112"/>
  <c r="U60" i="112"/>
  <c r="P20" i="112"/>
  <c r="O20" i="112"/>
  <c r="AU54" i="109"/>
  <c r="AT53" i="109"/>
  <c r="AN92" i="109"/>
  <c r="AP53" i="109"/>
  <c r="AM65" i="112"/>
  <c r="AN64" i="112"/>
  <c r="AX63" i="112"/>
  <c r="BC18" i="112"/>
  <c r="AO18" i="112"/>
  <c r="AQ18" i="112" s="1"/>
  <c r="AW18" i="112" s="1"/>
  <c r="J63" i="112"/>
  <c r="E64" i="112"/>
  <c r="F63" i="112"/>
  <c r="AZ63" i="112" s="1"/>
  <c r="AS19" i="112"/>
  <c r="BJ61" i="94"/>
  <c r="BI62" i="94"/>
  <c r="BA54" i="94"/>
  <c r="AT54" i="94" s="1"/>
  <c r="BB54" i="94"/>
  <c r="AM138" i="94"/>
  <c r="Z96" i="94"/>
  <c r="G62" i="94"/>
  <c r="W61" i="94"/>
  <c r="H61" i="94"/>
  <c r="BK61" i="94" s="1"/>
  <c r="T61" i="94"/>
  <c r="I61" i="94"/>
  <c r="AR61" i="94"/>
  <c r="AQ62" i="94"/>
  <c r="AK60" i="111"/>
  <c r="U61" i="111"/>
  <c r="J62" i="111"/>
  <c r="E63" i="111"/>
  <c r="F62" i="111"/>
  <c r="AZ62" i="111" s="1"/>
  <c r="O21" i="111"/>
  <c r="N21" i="111" s="1"/>
  <c r="L21" i="111" s="1"/>
  <c r="G21" i="111" s="1"/>
  <c r="BA21" i="111" s="1"/>
  <c r="P21" i="111"/>
  <c r="AX64" i="111"/>
  <c r="AM63" i="111"/>
  <c r="AN62" i="111"/>
  <c r="AV19" i="111"/>
  <c r="AU19" i="111"/>
  <c r="I21" i="111"/>
  <c r="BM88" i="109"/>
  <c r="AV43" i="109"/>
  <c r="AZ43" i="109" s="1"/>
  <c r="AX43" i="109" s="1"/>
  <c r="AW43" i="109" s="1"/>
  <c r="BH43" i="109" s="1"/>
  <c r="G20" i="110"/>
  <c r="K20" i="110" s="1"/>
  <c r="Q20" i="110" s="1"/>
  <c r="AO20" i="103"/>
  <c r="AQ20" i="103" s="1"/>
  <c r="AW20" i="103" s="1"/>
  <c r="AP21" i="103" s="1"/>
  <c r="AS21" i="103"/>
  <c r="AV41" i="94"/>
  <c r="AZ41" i="94" s="1"/>
  <c r="AX41" i="94" s="1"/>
  <c r="AW41" i="94" s="1"/>
  <c r="BH41" i="94" s="1"/>
  <c r="BM86" i="94"/>
  <c r="AN96" i="94"/>
  <c r="AU58" i="94"/>
  <c r="AP57" i="94"/>
  <c r="P29" i="94"/>
  <c r="N29" i="94" s="1"/>
  <c r="X64" i="94"/>
  <c r="BL28" i="94"/>
  <c r="J28" i="94"/>
  <c r="Y63" i="94"/>
  <c r="P18" i="61"/>
  <c r="T48" i="61"/>
  <c r="R60" i="94" l="1"/>
  <c r="Q60" i="94"/>
  <c r="U62" i="94"/>
  <c r="V61" i="94"/>
  <c r="AR19" i="110"/>
  <c r="BC19" i="110" s="1"/>
  <c r="Z95" i="109"/>
  <c r="AM137" i="109"/>
  <c r="AS20" i="110"/>
  <c r="AO19" i="110"/>
  <c r="AQ19" i="110" s="1"/>
  <c r="AW19" i="110" s="1"/>
  <c r="K29" i="109"/>
  <c r="N20" i="112"/>
  <c r="L20" i="112" s="1"/>
  <c r="M21" i="112" s="1"/>
  <c r="AN93" i="109"/>
  <c r="AU55" i="109"/>
  <c r="AT54" i="109"/>
  <c r="AP54" i="109"/>
  <c r="J64" i="112"/>
  <c r="E65" i="112"/>
  <c r="F64" i="112"/>
  <c r="AZ64" i="112" s="1"/>
  <c r="AL18" i="112"/>
  <c r="AJ59" i="112"/>
  <c r="AY19" i="112"/>
  <c r="AI60" i="112"/>
  <c r="BB65" i="112"/>
  <c r="AP19" i="112"/>
  <c r="AM66" i="112"/>
  <c r="AN65" i="112"/>
  <c r="AX64" i="112"/>
  <c r="BJ62" i="94"/>
  <c r="BI63" i="94"/>
  <c r="BB55" i="94"/>
  <c r="BA55" i="94"/>
  <c r="AT55" i="94" s="1"/>
  <c r="AQ63" i="94"/>
  <c r="AR62" i="94"/>
  <c r="W62" i="94"/>
  <c r="G63" i="94"/>
  <c r="T62" i="94"/>
  <c r="H62" i="94"/>
  <c r="BK62" i="94" s="1"/>
  <c r="I62" i="94"/>
  <c r="Z97" i="94"/>
  <c r="AM139" i="94"/>
  <c r="AX65" i="111"/>
  <c r="K21" i="111"/>
  <c r="Q21" i="111" s="1"/>
  <c r="AM64" i="111"/>
  <c r="AN63" i="111"/>
  <c r="AT19" i="111"/>
  <c r="AR19" i="111" s="1"/>
  <c r="M22" i="111"/>
  <c r="E64" i="111"/>
  <c r="J63" i="111"/>
  <c r="F63" i="111"/>
  <c r="AZ63" i="111" s="1"/>
  <c r="BB67" i="103"/>
  <c r="AY21" i="103"/>
  <c r="AU21" i="103" s="1"/>
  <c r="AT21" i="103" s="1"/>
  <c r="AJ61" i="103"/>
  <c r="AI62" i="103"/>
  <c r="AK62" i="103" s="1"/>
  <c r="AL20" i="103"/>
  <c r="S21" i="110"/>
  <c r="T62" i="110"/>
  <c r="V62" i="110" s="1"/>
  <c r="H21" i="110"/>
  <c r="AV44" i="109"/>
  <c r="AZ44" i="109" s="1"/>
  <c r="AX44" i="109" s="1"/>
  <c r="AW44" i="109" s="1"/>
  <c r="BH44" i="109" s="1"/>
  <c r="BM89" i="109"/>
  <c r="BA20" i="110"/>
  <c r="K29" i="94"/>
  <c r="BL29" i="94" s="1"/>
  <c r="AV42" i="94"/>
  <c r="AZ42" i="94" s="1"/>
  <c r="AX42" i="94" s="1"/>
  <c r="AW42" i="94" s="1"/>
  <c r="BH42" i="94" s="1"/>
  <c r="BM87" i="94"/>
  <c r="AP58" i="94"/>
  <c r="AN97" i="94"/>
  <c r="AU59" i="94"/>
  <c r="S49" i="61"/>
  <c r="R19" i="61"/>
  <c r="I19" i="61"/>
  <c r="R61" i="94" l="1"/>
  <c r="Q61" i="94"/>
  <c r="V62" i="94"/>
  <c r="U63" i="94"/>
  <c r="Z96" i="109"/>
  <c r="AM138" i="109"/>
  <c r="BB66" i="110"/>
  <c r="AP20" i="110"/>
  <c r="AI61" i="110"/>
  <c r="AY20" i="110"/>
  <c r="AL19" i="110"/>
  <c r="AJ60" i="110"/>
  <c r="J29" i="109"/>
  <c r="BL29" i="109"/>
  <c r="Y64" i="109"/>
  <c r="M29" i="109"/>
  <c r="S29" i="109" s="1"/>
  <c r="G20" i="112"/>
  <c r="K20" i="112" s="1"/>
  <c r="Q20" i="112" s="1"/>
  <c r="AN94" i="109"/>
  <c r="AP55" i="109"/>
  <c r="AU56" i="109"/>
  <c r="AT55" i="109"/>
  <c r="AU19" i="112"/>
  <c r="AT19" i="112" s="1"/>
  <c r="AV19" i="112"/>
  <c r="E66" i="112"/>
  <c r="J65" i="112"/>
  <c r="F65" i="112"/>
  <c r="AZ65" i="112" s="1"/>
  <c r="AX65" i="112"/>
  <c r="AM67" i="112"/>
  <c r="AN66" i="112"/>
  <c r="AK60" i="112"/>
  <c r="BJ63" i="94"/>
  <c r="BI64" i="94"/>
  <c r="BB56" i="94"/>
  <c r="BA56" i="94"/>
  <c r="AT56" i="94" s="1"/>
  <c r="AQ64" i="94"/>
  <c r="AR63" i="94"/>
  <c r="AM140" i="94"/>
  <c r="Z98" i="94"/>
  <c r="G64" i="94"/>
  <c r="W63" i="94"/>
  <c r="T63" i="94"/>
  <c r="H63" i="94"/>
  <c r="BK63" i="94" s="1"/>
  <c r="I63" i="94"/>
  <c r="S22" i="111"/>
  <c r="T63" i="111"/>
  <c r="H22" i="111"/>
  <c r="AM65" i="111"/>
  <c r="AN64" i="111"/>
  <c r="AX66" i="111"/>
  <c r="E65" i="111"/>
  <c r="J64" i="111"/>
  <c r="F64" i="111"/>
  <c r="AZ64" i="111" s="1"/>
  <c r="BC19" i="111"/>
  <c r="AO19" i="111"/>
  <c r="AQ19" i="111" s="1"/>
  <c r="AW19" i="111" s="1"/>
  <c r="AS20" i="111"/>
  <c r="AV21" i="103"/>
  <c r="AR21" i="103" s="1"/>
  <c r="AO21" i="103" s="1"/>
  <c r="AL21" i="103" s="1"/>
  <c r="BM90" i="109"/>
  <c r="AV45" i="109"/>
  <c r="AZ45" i="109" s="1"/>
  <c r="AX45" i="109" s="1"/>
  <c r="AW45" i="109" s="1"/>
  <c r="BH45" i="109" s="1"/>
  <c r="I21" i="110"/>
  <c r="O21" i="110"/>
  <c r="N21" i="110" s="1"/>
  <c r="L21" i="110" s="1"/>
  <c r="G21" i="110" s="1"/>
  <c r="BA21" i="110" s="1"/>
  <c r="P21" i="110"/>
  <c r="U61" i="110"/>
  <c r="Y64" i="94"/>
  <c r="M29" i="94"/>
  <c r="S29" i="94" s="1"/>
  <c r="J29" i="94"/>
  <c r="AV43" i="94"/>
  <c r="AZ43" i="94" s="1"/>
  <c r="AX43" i="94" s="1"/>
  <c r="AW43" i="94" s="1"/>
  <c r="BH43" i="94" s="1"/>
  <c r="BM88" i="94"/>
  <c r="AP59" i="94"/>
  <c r="AU60" i="94"/>
  <c r="AN98" i="94"/>
  <c r="N19" i="61"/>
  <c r="M19" i="61" s="1"/>
  <c r="K19" i="61" s="1"/>
  <c r="O19" i="61"/>
  <c r="V63" i="94" l="1"/>
  <c r="U64" i="94"/>
  <c r="Q62" i="94"/>
  <c r="R62" i="94"/>
  <c r="AM139" i="109"/>
  <c r="Z97" i="109"/>
  <c r="AU20" i="110"/>
  <c r="AT20" i="110" s="1"/>
  <c r="AV20" i="110"/>
  <c r="AK61" i="110"/>
  <c r="X65" i="109"/>
  <c r="L30" i="109"/>
  <c r="P30" i="109" s="1"/>
  <c r="N30" i="109" s="1"/>
  <c r="S21" i="112"/>
  <c r="T62" i="112"/>
  <c r="V62" i="112" s="1"/>
  <c r="H21" i="112"/>
  <c r="BA20" i="112"/>
  <c r="AN95" i="109"/>
  <c r="AT56" i="109"/>
  <c r="AP56" i="109"/>
  <c r="AU57" i="109"/>
  <c r="AR19" i="112"/>
  <c r="E67" i="112"/>
  <c r="J66" i="112"/>
  <c r="F66" i="112"/>
  <c r="AZ66" i="112" s="1"/>
  <c r="AX66" i="112"/>
  <c r="AM68" i="112"/>
  <c r="AN67" i="112"/>
  <c r="X65" i="94"/>
  <c r="L30" i="94"/>
  <c r="P30" i="94" s="1"/>
  <c r="N30" i="94" s="1"/>
  <c r="BJ64" i="94"/>
  <c r="BI65" i="94"/>
  <c r="BA57" i="94"/>
  <c r="AT57" i="94" s="1"/>
  <c r="BB57" i="94"/>
  <c r="W64" i="94"/>
  <c r="G65" i="94"/>
  <c r="H64" i="94"/>
  <c r="BK64" i="94" s="1"/>
  <c r="T64" i="94"/>
  <c r="I64" i="94"/>
  <c r="AR64" i="94"/>
  <c r="AQ65" i="94"/>
  <c r="AM141" i="94"/>
  <c r="Z99" i="94"/>
  <c r="AY20" i="111"/>
  <c r="AP20" i="111"/>
  <c r="AI61" i="111"/>
  <c r="BB66" i="111"/>
  <c r="J65" i="111"/>
  <c r="E66" i="111"/>
  <c r="F65" i="111"/>
  <c r="AZ65" i="111" s="1"/>
  <c r="I22" i="111"/>
  <c r="AX67" i="111"/>
  <c r="AL19" i="111"/>
  <c r="AJ60" i="111"/>
  <c r="AM66" i="111"/>
  <c r="AN65" i="111"/>
  <c r="V63" i="111"/>
  <c r="U62" i="111"/>
  <c r="O22" i="111"/>
  <c r="P22" i="111"/>
  <c r="AS22" i="103"/>
  <c r="AQ21" i="103"/>
  <c r="AW21" i="103" s="1"/>
  <c r="AP22" i="103" s="1"/>
  <c r="AV46" i="109"/>
  <c r="AZ46" i="109" s="1"/>
  <c r="AX46" i="109" s="1"/>
  <c r="AW46" i="109" s="1"/>
  <c r="BH46" i="109" s="1"/>
  <c r="BM91" i="109"/>
  <c r="K21" i="110"/>
  <c r="Q21" i="110" s="1"/>
  <c r="M22" i="110"/>
  <c r="AJ62" i="103"/>
  <c r="AV44" i="94"/>
  <c r="AZ44" i="94" s="1"/>
  <c r="AX44" i="94" s="1"/>
  <c r="AW44" i="94" s="1"/>
  <c r="BH44" i="94" s="1"/>
  <c r="BM89" i="94"/>
  <c r="AN99" i="94"/>
  <c r="AU61" i="94"/>
  <c r="AP60" i="94"/>
  <c r="H19" i="61"/>
  <c r="J19" i="61" s="1"/>
  <c r="L20" i="61"/>
  <c r="U65" i="94" l="1"/>
  <c r="V64" i="94"/>
  <c r="Q63" i="94"/>
  <c r="R63" i="94"/>
  <c r="K30" i="109"/>
  <c r="M30" i="109" s="1"/>
  <c r="S30" i="109" s="1"/>
  <c r="AR20" i="110"/>
  <c r="AS21" i="110" s="1"/>
  <c r="Z98" i="109"/>
  <c r="AM140" i="109"/>
  <c r="I21" i="112"/>
  <c r="U61" i="112"/>
  <c r="P21" i="112"/>
  <c r="O21" i="112"/>
  <c r="N21" i="112" s="1"/>
  <c r="L21" i="112" s="1"/>
  <c r="G21" i="112" s="1"/>
  <c r="BA21" i="112" s="1"/>
  <c r="AT57" i="109"/>
  <c r="AU58" i="109"/>
  <c r="AP57" i="109"/>
  <c r="AN96" i="109"/>
  <c r="AM69" i="112"/>
  <c r="AN68" i="112"/>
  <c r="J67" i="112"/>
  <c r="E68" i="112"/>
  <c r="F67" i="112"/>
  <c r="AZ67" i="112" s="1"/>
  <c r="AO19" i="112"/>
  <c r="AQ19" i="112" s="1"/>
  <c r="AW19" i="112" s="1"/>
  <c r="BC19" i="112"/>
  <c r="AX67" i="112"/>
  <c r="AS20" i="112"/>
  <c r="BJ65" i="94"/>
  <c r="BI66" i="94"/>
  <c r="BB58" i="94"/>
  <c r="BA58" i="94"/>
  <c r="AT58" i="94" s="1"/>
  <c r="AR65" i="94"/>
  <c r="AQ66" i="94"/>
  <c r="G66" i="94"/>
  <c r="W65" i="94"/>
  <c r="T65" i="94"/>
  <c r="H65" i="94"/>
  <c r="BK65" i="94" s="1"/>
  <c r="I65" i="94"/>
  <c r="AM142" i="94"/>
  <c r="Z100" i="94"/>
  <c r="N22" i="111"/>
  <c r="L22" i="111" s="1"/>
  <c r="J66" i="111"/>
  <c r="E67" i="111"/>
  <c r="F66" i="111"/>
  <c r="AZ66" i="111" s="1"/>
  <c r="AU20" i="111"/>
  <c r="AV20" i="111"/>
  <c r="AM67" i="111"/>
  <c r="AN66" i="111"/>
  <c r="AX68" i="111"/>
  <c r="AK61" i="111"/>
  <c r="AI63" i="103"/>
  <c r="AK63" i="103" s="1"/>
  <c r="BB68" i="103"/>
  <c r="AY22" i="103"/>
  <c r="AU22" i="103" s="1"/>
  <c r="BM92" i="109"/>
  <c r="AV47" i="109"/>
  <c r="AZ47" i="109" s="1"/>
  <c r="AX47" i="109" s="1"/>
  <c r="AW47" i="109" s="1"/>
  <c r="BH47" i="109" s="1"/>
  <c r="T63" i="110"/>
  <c r="H22" i="110"/>
  <c r="S22" i="110"/>
  <c r="K30" i="94"/>
  <c r="AV45" i="94"/>
  <c r="AZ45" i="94" s="1"/>
  <c r="AX45" i="94" s="1"/>
  <c r="AW45" i="94" s="1"/>
  <c r="BH45" i="94" s="1"/>
  <c r="BM90" i="94"/>
  <c r="AP61" i="94"/>
  <c r="AN100" i="94"/>
  <c r="AU62" i="94"/>
  <c r="P19" i="61"/>
  <c r="T49" i="61"/>
  <c r="R64" i="94" l="1"/>
  <c r="Q64" i="94"/>
  <c r="U66" i="94"/>
  <c r="V65" i="94"/>
  <c r="BC20" i="110"/>
  <c r="J30" i="109"/>
  <c r="BL30" i="109"/>
  <c r="Y65" i="109"/>
  <c r="AO20" i="110"/>
  <c r="AQ20" i="110" s="1"/>
  <c r="AW20" i="110" s="1"/>
  <c r="Z99" i="109"/>
  <c r="AM141" i="109"/>
  <c r="AJ61" i="110"/>
  <c r="X66" i="109"/>
  <c r="L31" i="109"/>
  <c r="P31" i="109" s="1"/>
  <c r="N31" i="109" s="1"/>
  <c r="K21" i="112"/>
  <c r="Q21" i="112" s="1"/>
  <c r="M22" i="112"/>
  <c r="AU59" i="109"/>
  <c r="AN97" i="109"/>
  <c r="AP58" i="109"/>
  <c r="AT58" i="109"/>
  <c r="AY20" i="112"/>
  <c r="AI61" i="112"/>
  <c r="BB66" i="112"/>
  <c r="AP20" i="112"/>
  <c r="J68" i="112"/>
  <c r="E69" i="112"/>
  <c r="F68" i="112"/>
  <c r="AZ68" i="112" s="1"/>
  <c r="AL19" i="112"/>
  <c r="AJ60" i="112"/>
  <c r="AM70" i="112"/>
  <c r="AN69" i="112"/>
  <c r="AX68" i="112"/>
  <c r="BI67" i="94"/>
  <c r="BJ66" i="94"/>
  <c r="BB59" i="94"/>
  <c r="BA59" i="94"/>
  <c r="AT59" i="94" s="1"/>
  <c r="Z101" i="94"/>
  <c r="AM143" i="94"/>
  <c r="W66" i="94"/>
  <c r="G67" i="94"/>
  <c r="T66" i="94"/>
  <c r="H66" i="94"/>
  <c r="BK66" i="94" s="1"/>
  <c r="I66" i="94"/>
  <c r="AR66" i="94"/>
  <c r="AQ67" i="94"/>
  <c r="AX69" i="111"/>
  <c r="G22" i="111"/>
  <c r="K22" i="111" s="1"/>
  <c r="Q22" i="111" s="1"/>
  <c r="M23" i="111"/>
  <c r="AM68" i="111"/>
  <c r="AN67" i="111"/>
  <c r="J67" i="111"/>
  <c r="E68" i="111"/>
  <c r="F67" i="111"/>
  <c r="AZ67" i="111" s="1"/>
  <c r="AT20" i="111"/>
  <c r="AR20" i="111" s="1"/>
  <c r="AV22" i="103"/>
  <c r="AV48" i="109"/>
  <c r="AZ48" i="109" s="1"/>
  <c r="AX48" i="109" s="1"/>
  <c r="AW48" i="109" s="1"/>
  <c r="BH48" i="109" s="1"/>
  <c r="BM93" i="109"/>
  <c r="O22" i="110"/>
  <c r="P22" i="110"/>
  <c r="I22" i="110"/>
  <c r="V63" i="110"/>
  <c r="U62" i="110"/>
  <c r="BL30" i="94"/>
  <c r="J30" i="94"/>
  <c r="Y65" i="94"/>
  <c r="M30" i="94"/>
  <c r="S30" i="94" s="1"/>
  <c r="L31" i="94" s="1"/>
  <c r="BM91" i="94"/>
  <c r="AV46" i="94"/>
  <c r="AZ46" i="94" s="1"/>
  <c r="AX46" i="94" s="1"/>
  <c r="AW46" i="94" s="1"/>
  <c r="BH46" i="94" s="1"/>
  <c r="AT22" i="103"/>
  <c r="AU63" i="94"/>
  <c r="AN101" i="94"/>
  <c r="AP62" i="94"/>
  <c r="I20" i="61"/>
  <c r="R20" i="61"/>
  <c r="S50" i="61"/>
  <c r="R65" i="94" l="1"/>
  <c r="Q65" i="94"/>
  <c r="V66" i="94"/>
  <c r="U67" i="94"/>
  <c r="AR22" i="103"/>
  <c r="AL20" i="110"/>
  <c r="Z100" i="109"/>
  <c r="AM142" i="109"/>
  <c r="AY21" i="110"/>
  <c r="AP21" i="110"/>
  <c r="AI62" i="110"/>
  <c r="BB67" i="110"/>
  <c r="K31" i="109"/>
  <c r="S22" i="112"/>
  <c r="H22" i="112"/>
  <c r="T63" i="112"/>
  <c r="AT59" i="109"/>
  <c r="AU60" i="109"/>
  <c r="AN98" i="109"/>
  <c r="AP59" i="109"/>
  <c r="AM71" i="112"/>
  <c r="AN70" i="112"/>
  <c r="AK61" i="112"/>
  <c r="AX69" i="112"/>
  <c r="AV20" i="112"/>
  <c r="AU20" i="112"/>
  <c r="AT20" i="112" s="1"/>
  <c r="J69" i="112"/>
  <c r="E70" i="112"/>
  <c r="F69" i="112"/>
  <c r="AZ69" i="112" s="1"/>
  <c r="BB60" i="94"/>
  <c r="BA60" i="94"/>
  <c r="AT60" i="94" s="1"/>
  <c r="BI68" i="94"/>
  <c r="BJ67" i="94"/>
  <c r="AR67" i="94"/>
  <c r="AQ68" i="94"/>
  <c r="G68" i="94"/>
  <c r="W67" i="94"/>
  <c r="H67" i="94"/>
  <c r="BK67" i="94" s="1"/>
  <c r="T67" i="94"/>
  <c r="I67" i="94"/>
  <c r="Z102" i="94"/>
  <c r="AM144" i="94"/>
  <c r="S23" i="111"/>
  <c r="H23" i="111"/>
  <c r="T64" i="111"/>
  <c r="V64" i="111" s="1"/>
  <c r="J68" i="111"/>
  <c r="E69" i="111"/>
  <c r="F68" i="111"/>
  <c r="AZ68" i="111" s="1"/>
  <c r="AM69" i="111"/>
  <c r="AN68" i="111"/>
  <c r="BA22" i="111"/>
  <c r="BC20" i="111"/>
  <c r="AO20" i="111"/>
  <c r="AQ20" i="111" s="1"/>
  <c r="AW20" i="111" s="1"/>
  <c r="AS21" i="111"/>
  <c r="AX70" i="111"/>
  <c r="AV49" i="109"/>
  <c r="AZ49" i="109" s="1"/>
  <c r="AX49" i="109" s="1"/>
  <c r="AW49" i="109" s="1"/>
  <c r="BH49" i="109" s="1"/>
  <c r="BM94" i="109"/>
  <c r="N22" i="110"/>
  <c r="L22" i="110" s="1"/>
  <c r="P31" i="94"/>
  <c r="N31" i="94" s="1"/>
  <c r="X66" i="94"/>
  <c r="AV47" i="94"/>
  <c r="AZ47" i="94" s="1"/>
  <c r="AX47" i="94" s="1"/>
  <c r="AW47" i="94" s="1"/>
  <c r="BH47" i="94" s="1"/>
  <c r="BM92" i="94"/>
  <c r="AU64" i="94"/>
  <c r="AN102" i="94"/>
  <c r="AP63" i="94"/>
  <c r="AO22" i="103"/>
  <c r="AQ22" i="103" s="1"/>
  <c r="AW22" i="103" s="1"/>
  <c r="AS23" i="103"/>
  <c r="O20" i="61"/>
  <c r="N20" i="61"/>
  <c r="V67" i="94" l="1"/>
  <c r="U68" i="94"/>
  <c r="Q66" i="94"/>
  <c r="R66" i="94"/>
  <c r="AM143" i="109"/>
  <c r="Z101" i="109"/>
  <c r="AK62" i="110"/>
  <c r="AV21" i="110"/>
  <c r="AU21" i="110"/>
  <c r="J31" i="109"/>
  <c r="Y66" i="109"/>
  <c r="BL31" i="109"/>
  <c r="M31" i="109"/>
  <c r="S31" i="109" s="1"/>
  <c r="V63" i="112"/>
  <c r="U62" i="112"/>
  <c r="AR20" i="112"/>
  <c r="AS21" i="112" s="1"/>
  <c r="I22" i="112"/>
  <c r="P22" i="112"/>
  <c r="O22" i="112"/>
  <c r="AP60" i="109"/>
  <c r="AN99" i="109"/>
  <c r="AU61" i="109"/>
  <c r="AT60" i="109"/>
  <c r="E71" i="112"/>
  <c r="J70" i="112"/>
  <c r="F70" i="112"/>
  <c r="AZ70" i="112" s="1"/>
  <c r="AM72" i="112"/>
  <c r="AN71" i="112"/>
  <c r="AX70" i="112"/>
  <c r="BB61" i="94"/>
  <c r="BA61" i="94"/>
  <c r="AT61" i="94" s="1"/>
  <c r="BI69" i="94"/>
  <c r="BJ68" i="94"/>
  <c r="Z103" i="94"/>
  <c r="AM145" i="94"/>
  <c r="AQ69" i="94"/>
  <c r="AR68" i="94"/>
  <c r="G69" i="94"/>
  <c r="H68" i="94"/>
  <c r="BK68" i="94" s="1"/>
  <c r="T68" i="94"/>
  <c r="W68" i="94"/>
  <c r="I68" i="94"/>
  <c r="AY21" i="111"/>
  <c r="AP21" i="111"/>
  <c r="BB67" i="111"/>
  <c r="AI62" i="111"/>
  <c r="J69" i="111"/>
  <c r="E70" i="111"/>
  <c r="F69" i="111"/>
  <c r="AZ69" i="111" s="1"/>
  <c r="I23" i="111"/>
  <c r="AL20" i="111"/>
  <c r="AJ61" i="111"/>
  <c r="AX71" i="111"/>
  <c r="AM70" i="111"/>
  <c r="AN69" i="111"/>
  <c r="U63" i="111"/>
  <c r="O23" i="111"/>
  <c r="P23" i="111"/>
  <c r="K31" i="94"/>
  <c r="M31" i="94" s="1"/>
  <c r="S31" i="94" s="1"/>
  <c r="AV50" i="109"/>
  <c r="AZ50" i="109" s="1"/>
  <c r="AX50" i="109" s="1"/>
  <c r="AW50" i="109" s="1"/>
  <c r="BH50" i="109" s="1"/>
  <c r="BM95" i="109"/>
  <c r="G22" i="110"/>
  <c r="K22" i="110" s="1"/>
  <c r="Q22" i="110" s="1"/>
  <c r="M23" i="110"/>
  <c r="BB69" i="103"/>
  <c r="AP23" i="103"/>
  <c r="AI64" i="103"/>
  <c r="AY23" i="103"/>
  <c r="AV48" i="94"/>
  <c r="AZ48" i="94" s="1"/>
  <c r="AX48" i="94" s="1"/>
  <c r="AW48" i="94" s="1"/>
  <c r="BH48" i="94" s="1"/>
  <c r="BM93" i="94"/>
  <c r="AU65" i="94"/>
  <c r="AP64" i="94"/>
  <c r="AN103" i="94"/>
  <c r="AL22" i="103"/>
  <c r="AJ63" i="103"/>
  <c r="M20" i="61"/>
  <c r="K20" i="61" s="1"/>
  <c r="U69" i="94" l="1"/>
  <c r="V68" i="94"/>
  <c r="R67" i="94"/>
  <c r="Q67" i="94"/>
  <c r="Z102" i="109"/>
  <c r="AM144" i="109"/>
  <c r="AT21" i="110"/>
  <c r="AR21" i="110" s="1"/>
  <c r="AS22" i="110" s="1"/>
  <c r="L32" i="109"/>
  <c r="P32" i="109" s="1"/>
  <c r="N32" i="109" s="1"/>
  <c r="X67" i="109"/>
  <c r="BC20" i="112"/>
  <c r="AO20" i="112"/>
  <c r="AL20" i="112" s="1"/>
  <c r="N22" i="112"/>
  <c r="L22" i="112" s="1"/>
  <c r="AT61" i="109"/>
  <c r="AP61" i="109"/>
  <c r="AU62" i="109"/>
  <c r="AN100" i="109"/>
  <c r="E72" i="112"/>
  <c r="J71" i="112"/>
  <c r="F71" i="112"/>
  <c r="AZ71" i="112" s="1"/>
  <c r="AX71" i="112"/>
  <c r="AM73" i="112"/>
  <c r="AN72" i="112"/>
  <c r="L32" i="94"/>
  <c r="P32" i="94" s="1"/>
  <c r="N32" i="94" s="1"/>
  <c r="BA62" i="94"/>
  <c r="AT62" i="94" s="1"/>
  <c r="BB62" i="94"/>
  <c r="BI70" i="94"/>
  <c r="BJ69" i="94"/>
  <c r="W69" i="94"/>
  <c r="G70" i="94"/>
  <c r="T69" i="94"/>
  <c r="H69" i="94"/>
  <c r="BK69" i="94" s="1"/>
  <c r="I69" i="94"/>
  <c r="AR69" i="94"/>
  <c r="AQ70" i="94"/>
  <c r="AM146" i="94"/>
  <c r="Z104" i="94"/>
  <c r="E71" i="111"/>
  <c r="J70" i="111"/>
  <c r="F70" i="111"/>
  <c r="AZ70" i="111" s="1"/>
  <c r="AX72" i="111"/>
  <c r="N23" i="111"/>
  <c r="L23" i="111" s="1"/>
  <c r="AM71" i="111"/>
  <c r="AN70" i="111"/>
  <c r="AK62" i="111"/>
  <c r="AV21" i="111"/>
  <c r="AU21" i="111"/>
  <c r="X67" i="94"/>
  <c r="J31" i="94"/>
  <c r="Y66" i="94"/>
  <c r="BL31" i="94"/>
  <c r="T64" i="110"/>
  <c r="V64" i="110" s="1"/>
  <c r="H23" i="110"/>
  <c r="S23" i="110"/>
  <c r="BM96" i="109"/>
  <c r="AV51" i="109"/>
  <c r="AZ51" i="109" s="1"/>
  <c r="AX51" i="109" s="1"/>
  <c r="AW51" i="109" s="1"/>
  <c r="BH51" i="109" s="1"/>
  <c r="BA22" i="110"/>
  <c r="AV49" i="94"/>
  <c r="AZ49" i="94" s="1"/>
  <c r="AX49" i="94" s="1"/>
  <c r="AW49" i="94" s="1"/>
  <c r="BH49" i="94" s="1"/>
  <c r="BM94" i="94"/>
  <c r="AU23" i="103"/>
  <c r="AV23" i="103"/>
  <c r="AK64" i="103"/>
  <c r="AN104" i="94"/>
  <c r="AP65" i="94"/>
  <c r="AU66" i="94"/>
  <c r="H20" i="61"/>
  <c r="J20" i="61" s="1"/>
  <c r="L21" i="61"/>
  <c r="Q68" i="94" l="1"/>
  <c r="R68" i="94"/>
  <c r="V69" i="94"/>
  <c r="U70" i="94"/>
  <c r="K32" i="94"/>
  <c r="M32" i="94" s="1"/>
  <c r="S32" i="94" s="1"/>
  <c r="L33" i="94" s="1"/>
  <c r="Z103" i="109"/>
  <c r="AM145" i="109"/>
  <c r="K32" i="109"/>
  <c r="M32" i="109" s="1"/>
  <c r="S32" i="109" s="1"/>
  <c r="AO21" i="110"/>
  <c r="AQ21" i="110" s="1"/>
  <c r="AW21" i="110" s="1"/>
  <c r="AJ61" i="112"/>
  <c r="AQ20" i="112"/>
  <c r="AW20" i="112" s="1"/>
  <c r="AY21" i="112" s="1"/>
  <c r="G22" i="112"/>
  <c r="K22" i="112" s="1"/>
  <c r="Q22" i="112" s="1"/>
  <c r="M23" i="112"/>
  <c r="U63" i="110"/>
  <c r="AT62" i="109"/>
  <c r="AN101" i="109"/>
  <c r="AP62" i="109"/>
  <c r="AU63" i="109"/>
  <c r="AI62" i="112"/>
  <c r="AX72" i="112"/>
  <c r="AM74" i="112"/>
  <c r="AN73" i="112"/>
  <c r="J72" i="112"/>
  <c r="E73" i="112"/>
  <c r="F72" i="112"/>
  <c r="AZ72" i="112" s="1"/>
  <c r="BB63" i="94"/>
  <c r="BA63" i="94"/>
  <c r="AT63" i="94" s="1"/>
  <c r="BJ70" i="94"/>
  <c r="BI71" i="94"/>
  <c r="AM147" i="94"/>
  <c r="Z105" i="94"/>
  <c r="Z106" i="94" s="1"/>
  <c r="Z107" i="94" s="1"/>
  <c r="Z108" i="94" s="1"/>
  <c r="Z109" i="94" s="1"/>
  <c r="Z110" i="94" s="1"/>
  <c r="Z111" i="94" s="1"/>
  <c r="Z112" i="94" s="1"/>
  <c r="Z113" i="94" s="1"/>
  <c r="AQ71" i="94"/>
  <c r="AR70" i="94"/>
  <c r="W70" i="94"/>
  <c r="G71" i="94"/>
  <c r="T70" i="94"/>
  <c r="H70" i="94"/>
  <c r="BK70" i="94" s="1"/>
  <c r="I70" i="94"/>
  <c r="AM72" i="111"/>
  <c r="AN71" i="111"/>
  <c r="E72" i="111"/>
  <c r="J71" i="111"/>
  <c r="F71" i="111"/>
  <c r="AZ71" i="111" s="1"/>
  <c r="AX73" i="111"/>
  <c r="G23" i="111"/>
  <c r="K23" i="111" s="1"/>
  <c r="Q23" i="111" s="1"/>
  <c r="M24" i="111"/>
  <c r="AT21" i="111"/>
  <c r="AR21" i="111" s="1"/>
  <c r="J32" i="94"/>
  <c r="AV52" i="109"/>
  <c r="AZ52" i="109" s="1"/>
  <c r="AX52" i="109" s="1"/>
  <c r="AW52" i="109" s="1"/>
  <c r="BH52" i="109" s="1"/>
  <c r="BM97" i="109"/>
  <c r="O23" i="110"/>
  <c r="P23" i="110"/>
  <c r="I23" i="110"/>
  <c r="Y67" i="94"/>
  <c r="BL32" i="94"/>
  <c r="BM95" i="94"/>
  <c r="AV50" i="94"/>
  <c r="AZ50" i="94" s="1"/>
  <c r="AX50" i="94" s="1"/>
  <c r="AW50" i="94" s="1"/>
  <c r="BH50" i="94" s="1"/>
  <c r="P33" i="94"/>
  <c r="N33" i="94" s="1"/>
  <c r="X68" i="94"/>
  <c r="AU67" i="94"/>
  <c r="AN105" i="94"/>
  <c r="AP66" i="94"/>
  <c r="AT23" i="103"/>
  <c r="AR23" i="103" s="1"/>
  <c r="AS24" i="103" s="1"/>
  <c r="P20" i="61"/>
  <c r="T50" i="61"/>
  <c r="V70" i="94" l="1"/>
  <c r="U71" i="94"/>
  <c r="R69" i="94"/>
  <c r="Q69" i="94"/>
  <c r="Y67" i="109"/>
  <c r="BB67" i="112"/>
  <c r="AP21" i="112"/>
  <c r="J32" i="109"/>
  <c r="AM146" i="109"/>
  <c r="Z104" i="109"/>
  <c r="L33" i="109"/>
  <c r="P33" i="109" s="1"/>
  <c r="N33" i="109" s="1"/>
  <c r="X68" i="109"/>
  <c r="BB68" i="110"/>
  <c r="AY22" i="110"/>
  <c r="AI63" i="110"/>
  <c r="AP22" i="110"/>
  <c r="AL21" i="110"/>
  <c r="AJ62" i="110"/>
  <c r="BL32" i="109"/>
  <c r="S23" i="112"/>
  <c r="H23" i="112"/>
  <c r="T64" i="112"/>
  <c r="V64" i="112" s="1"/>
  <c r="BA22" i="112"/>
  <c r="AU64" i="109"/>
  <c r="AT63" i="109"/>
  <c r="AP63" i="109"/>
  <c r="AN102" i="109"/>
  <c r="AK62" i="112"/>
  <c r="AX73" i="112"/>
  <c r="J73" i="112"/>
  <c r="E74" i="112"/>
  <c r="F73" i="112"/>
  <c r="AZ73" i="112" s="1"/>
  <c r="AM75" i="112"/>
  <c r="AN74" i="112"/>
  <c r="AU21" i="112"/>
  <c r="AV21" i="112"/>
  <c r="BI72" i="94"/>
  <c r="BJ71" i="94"/>
  <c r="BB64" i="94"/>
  <c r="BA64" i="94"/>
  <c r="AT64" i="94" s="1"/>
  <c r="AR71" i="94"/>
  <c r="AQ72" i="94"/>
  <c r="W71" i="94"/>
  <c r="G72" i="94"/>
  <c r="T71" i="94"/>
  <c r="H71" i="94"/>
  <c r="BK71" i="94" s="1"/>
  <c r="I71" i="94"/>
  <c r="AX74" i="111"/>
  <c r="S24" i="111"/>
  <c r="H24" i="111"/>
  <c r="T65" i="111"/>
  <c r="V65" i="111" s="1"/>
  <c r="AO21" i="111"/>
  <c r="AQ21" i="111" s="1"/>
  <c r="AW21" i="111" s="1"/>
  <c r="BA23" i="111"/>
  <c r="J72" i="111"/>
  <c r="E73" i="111"/>
  <c r="F72" i="111"/>
  <c r="AZ72" i="111" s="1"/>
  <c r="AM73" i="111"/>
  <c r="AN72" i="111"/>
  <c r="AS22" i="111"/>
  <c r="BM98" i="109"/>
  <c r="AV53" i="109"/>
  <c r="AZ53" i="109" s="1"/>
  <c r="AX53" i="109" s="1"/>
  <c r="AW53" i="109" s="1"/>
  <c r="BH53" i="109" s="1"/>
  <c r="N23" i="110"/>
  <c r="L23" i="110" s="1"/>
  <c r="M24" i="110" s="1"/>
  <c r="BM96" i="94"/>
  <c r="AV51" i="94"/>
  <c r="AZ51" i="94" s="1"/>
  <c r="AX51" i="94" s="1"/>
  <c r="AW51" i="94" s="1"/>
  <c r="BH51" i="94" s="1"/>
  <c r="AU68" i="94"/>
  <c r="AP67" i="94"/>
  <c r="AN106" i="94"/>
  <c r="AO23" i="103"/>
  <c r="AQ23" i="103" s="1"/>
  <c r="AW23" i="103" s="1"/>
  <c r="K33" i="94"/>
  <c r="I21" i="61"/>
  <c r="R21" i="61"/>
  <c r="S51" i="61"/>
  <c r="U72" i="94" l="1"/>
  <c r="V71" i="94"/>
  <c r="R70" i="94"/>
  <c r="Q70" i="94"/>
  <c r="K33" i="109"/>
  <c r="M33" i="109" s="1"/>
  <c r="S33" i="109" s="1"/>
  <c r="Z105" i="109"/>
  <c r="Z106" i="109" s="1"/>
  <c r="Z107" i="109" s="1"/>
  <c r="Z108" i="109" s="1"/>
  <c r="Z109" i="109" s="1"/>
  <c r="Z110" i="109" s="1"/>
  <c r="Z111" i="109" s="1"/>
  <c r="Z112" i="109" s="1"/>
  <c r="Z113" i="109" s="1"/>
  <c r="AM147" i="109"/>
  <c r="AK63" i="110"/>
  <c r="AU22" i="110"/>
  <c r="AV22" i="110"/>
  <c r="U63" i="112"/>
  <c r="I23" i="112"/>
  <c r="O23" i="112"/>
  <c r="P23" i="112"/>
  <c r="AN103" i="109"/>
  <c r="AP64" i="109"/>
  <c r="AU65" i="109"/>
  <c r="AT64" i="109"/>
  <c r="E75" i="112"/>
  <c r="J74" i="112"/>
  <c r="F74" i="112"/>
  <c r="AZ74" i="112" s="1"/>
  <c r="AX74" i="112"/>
  <c r="AM76" i="112"/>
  <c r="AN75" i="112"/>
  <c r="AT21" i="112"/>
  <c r="AR21" i="112" s="1"/>
  <c r="AS22" i="112" s="1"/>
  <c r="BB65" i="94"/>
  <c r="BA65" i="94"/>
  <c r="AT65" i="94" s="1"/>
  <c r="BI73" i="94"/>
  <c r="BJ72" i="94"/>
  <c r="U64" i="111"/>
  <c r="AR72" i="94"/>
  <c r="AQ73" i="94"/>
  <c r="W72" i="94"/>
  <c r="G73" i="94"/>
  <c r="T72" i="94"/>
  <c r="H72" i="94"/>
  <c r="BK72" i="94" s="1"/>
  <c r="I72" i="94"/>
  <c r="AM74" i="111"/>
  <c r="AN73" i="111"/>
  <c r="AY22" i="111"/>
  <c r="AP22" i="111"/>
  <c r="AI63" i="111"/>
  <c r="BB68" i="111"/>
  <c r="I24" i="111"/>
  <c r="E74" i="111"/>
  <c r="J73" i="111"/>
  <c r="F73" i="111"/>
  <c r="AZ73" i="111" s="1"/>
  <c r="AL21" i="111"/>
  <c r="AJ62" i="111"/>
  <c r="O24" i="111"/>
  <c r="P24" i="111"/>
  <c r="AX75" i="111"/>
  <c r="AV54" i="109"/>
  <c r="AZ54" i="109" s="1"/>
  <c r="AX54" i="109" s="1"/>
  <c r="AW54" i="109" s="1"/>
  <c r="BH54" i="109" s="1"/>
  <c r="BM99" i="109"/>
  <c r="G23" i="110"/>
  <c r="K23" i="110" s="1"/>
  <c r="Q23" i="110" s="1"/>
  <c r="BM97" i="94"/>
  <c r="AV52" i="94"/>
  <c r="AZ52" i="94" s="1"/>
  <c r="AX52" i="94" s="1"/>
  <c r="AW52" i="94" s="1"/>
  <c r="BH52" i="94" s="1"/>
  <c r="AP24" i="103"/>
  <c r="BB70" i="103"/>
  <c r="AI65" i="103"/>
  <c r="AY24" i="103"/>
  <c r="AN107" i="94"/>
  <c r="AP68" i="94"/>
  <c r="AU69" i="94"/>
  <c r="BL33" i="94"/>
  <c r="Y68" i="94"/>
  <c r="J33" i="94"/>
  <c r="M33" i="94"/>
  <c r="S33" i="94" s="1"/>
  <c r="L34" i="94" s="1"/>
  <c r="AL23" i="103"/>
  <c r="AJ64" i="103"/>
  <c r="N21" i="61"/>
  <c r="M21" i="61" s="1"/>
  <c r="K21" i="61" s="1"/>
  <c r="O21" i="61"/>
  <c r="R71" i="94" l="1"/>
  <c r="Q71" i="94"/>
  <c r="U73" i="94"/>
  <c r="V72" i="94"/>
  <c r="Y68" i="109"/>
  <c r="BL33" i="109"/>
  <c r="J33" i="109"/>
  <c r="X69" i="109"/>
  <c r="L34" i="109"/>
  <c r="P34" i="109" s="1"/>
  <c r="N34" i="109" s="1"/>
  <c r="AT22" i="110"/>
  <c r="AR22" i="110" s="1"/>
  <c r="AO22" i="110" s="1"/>
  <c r="N23" i="112"/>
  <c r="L23" i="112" s="1"/>
  <c r="AU66" i="109"/>
  <c r="AT65" i="109"/>
  <c r="AN104" i="109"/>
  <c r="AP65" i="109"/>
  <c r="E76" i="112"/>
  <c r="J75" i="112"/>
  <c r="F75" i="112"/>
  <c r="AZ75" i="112" s="1"/>
  <c r="AM77" i="112"/>
  <c r="AN76" i="112"/>
  <c r="AO21" i="112"/>
  <c r="AQ21" i="112" s="1"/>
  <c r="AW21" i="112" s="1"/>
  <c r="AX75" i="112"/>
  <c r="BB66" i="94"/>
  <c r="BA66" i="94"/>
  <c r="AT66" i="94" s="1"/>
  <c r="BI74" i="94"/>
  <c r="BJ73" i="94"/>
  <c r="W73" i="94"/>
  <c r="G74" i="94"/>
  <c r="H73" i="94"/>
  <c r="BK73" i="94" s="1"/>
  <c r="T73" i="94"/>
  <c r="I73" i="94"/>
  <c r="AR73" i="94"/>
  <c r="AQ74" i="94"/>
  <c r="AV22" i="111"/>
  <c r="AU22" i="111"/>
  <c r="AT22" i="111" s="1"/>
  <c r="AK63" i="111"/>
  <c r="AM75" i="111"/>
  <c r="AN74" i="111"/>
  <c r="AX76" i="111"/>
  <c r="E75" i="111"/>
  <c r="J74" i="111"/>
  <c r="F74" i="111"/>
  <c r="AZ74" i="111" s="1"/>
  <c r="N24" i="111"/>
  <c r="L24" i="111" s="1"/>
  <c r="T65" i="110"/>
  <c r="V65" i="110" s="1"/>
  <c r="H24" i="110"/>
  <c r="S24" i="110"/>
  <c r="BM100" i="109"/>
  <c r="AV55" i="109"/>
  <c r="AZ55" i="109" s="1"/>
  <c r="AX55" i="109" s="1"/>
  <c r="AW55" i="109" s="1"/>
  <c r="BH55" i="109" s="1"/>
  <c r="BA23" i="110"/>
  <c r="BM98" i="94"/>
  <c r="AV53" i="94"/>
  <c r="AZ53" i="94" s="1"/>
  <c r="AX53" i="94" s="1"/>
  <c r="AW53" i="94" s="1"/>
  <c r="BH53" i="94" s="1"/>
  <c r="AK65" i="103"/>
  <c r="AP69" i="94"/>
  <c r="AU70" i="94"/>
  <c r="AN108" i="94"/>
  <c r="P34" i="94"/>
  <c r="N34" i="94" s="1"/>
  <c r="X69" i="94"/>
  <c r="AU24" i="103"/>
  <c r="AT24" i="103" s="1"/>
  <c r="AV24" i="103"/>
  <c r="H21" i="61"/>
  <c r="J21" i="61" s="1"/>
  <c r="L22" i="61"/>
  <c r="V73" i="94" l="1"/>
  <c r="U74" i="94"/>
  <c r="Q72" i="94"/>
  <c r="R72" i="94"/>
  <c r="K34" i="109"/>
  <c r="M34" i="109" s="1"/>
  <c r="S34" i="109" s="1"/>
  <c r="L35" i="109" s="1"/>
  <c r="P35" i="109" s="1"/>
  <c r="N35" i="109" s="1"/>
  <c r="AS23" i="110"/>
  <c r="AQ22" i="110"/>
  <c r="AW22" i="110" s="1"/>
  <c r="AL22" i="110"/>
  <c r="AJ63" i="110"/>
  <c r="G23" i="112"/>
  <c r="K23" i="112" s="1"/>
  <c r="Q23" i="112" s="1"/>
  <c r="M24" i="112"/>
  <c r="U64" i="110"/>
  <c r="AP66" i="109"/>
  <c r="AU67" i="109"/>
  <c r="AN105" i="109"/>
  <c r="AT66" i="109"/>
  <c r="AY22" i="112"/>
  <c r="AI63" i="112"/>
  <c r="AP22" i="112"/>
  <c r="BB68" i="112"/>
  <c r="AL21" i="112"/>
  <c r="AJ62" i="112"/>
  <c r="AX76" i="112"/>
  <c r="AM78" i="112"/>
  <c r="AN77" i="112"/>
  <c r="J76" i="112"/>
  <c r="E77" i="112"/>
  <c r="F76" i="112"/>
  <c r="AZ76" i="112" s="1"/>
  <c r="BB67" i="94"/>
  <c r="BA67" i="94"/>
  <c r="AT67" i="94" s="1"/>
  <c r="BI75" i="94"/>
  <c r="BJ74" i="94"/>
  <c r="AR22" i="111"/>
  <c r="AO22" i="111" s="1"/>
  <c r="AL22" i="111" s="1"/>
  <c r="AR74" i="94"/>
  <c r="AQ75" i="94"/>
  <c r="W74" i="94"/>
  <c r="G75" i="94"/>
  <c r="T74" i="94"/>
  <c r="H74" i="94"/>
  <c r="BK74" i="94" s="1"/>
  <c r="I74" i="94"/>
  <c r="J75" i="111"/>
  <c r="E76" i="111"/>
  <c r="F75" i="111"/>
  <c r="AZ75" i="111" s="1"/>
  <c r="AX77" i="111"/>
  <c r="G24" i="111"/>
  <c r="M25" i="111"/>
  <c r="AM76" i="111"/>
  <c r="AN75" i="111"/>
  <c r="BM101" i="109"/>
  <c r="AV56" i="109"/>
  <c r="AZ56" i="109" s="1"/>
  <c r="AX56" i="109" s="1"/>
  <c r="AW56" i="109" s="1"/>
  <c r="BH56" i="109" s="1"/>
  <c r="O24" i="110"/>
  <c r="N24" i="110" s="1"/>
  <c r="L24" i="110" s="1"/>
  <c r="G24" i="110" s="1"/>
  <c r="BA24" i="110" s="1"/>
  <c r="P24" i="110"/>
  <c r="I24" i="110"/>
  <c r="AR24" i="103"/>
  <c r="AO24" i="103" s="1"/>
  <c r="AL24" i="103" s="1"/>
  <c r="AV54" i="94"/>
  <c r="AZ54" i="94" s="1"/>
  <c r="AX54" i="94" s="1"/>
  <c r="AW54" i="94" s="1"/>
  <c r="BH54" i="94" s="1"/>
  <c r="BM99" i="94"/>
  <c r="K34" i="94"/>
  <c r="AP70" i="94"/>
  <c r="AU71" i="94"/>
  <c r="AN109" i="94"/>
  <c r="P21" i="61"/>
  <c r="T51" i="61"/>
  <c r="V74" i="94" l="1"/>
  <c r="U75" i="94"/>
  <c r="Q73" i="94"/>
  <c r="R73" i="94"/>
  <c r="J34" i="109"/>
  <c r="BL34" i="109"/>
  <c r="Y69" i="109"/>
  <c r="AQ22" i="111"/>
  <c r="AW22" i="111" s="1"/>
  <c r="AY23" i="111" s="1"/>
  <c r="X70" i="109"/>
  <c r="K35" i="109"/>
  <c r="AI64" i="110"/>
  <c r="BB69" i="110"/>
  <c r="AP23" i="110"/>
  <c r="AY23" i="110"/>
  <c r="S24" i="112"/>
  <c r="T65" i="112"/>
  <c r="V65" i="112" s="1"/>
  <c r="H24" i="112"/>
  <c r="BA23" i="112"/>
  <c r="K24" i="110"/>
  <c r="Q24" i="110" s="1"/>
  <c r="T66" i="110" s="1"/>
  <c r="V66" i="110" s="1"/>
  <c r="AT67" i="109"/>
  <c r="AP67" i="109"/>
  <c r="AN106" i="109"/>
  <c r="AU68" i="109"/>
  <c r="AM79" i="112"/>
  <c r="AN78" i="112"/>
  <c r="AX77" i="112"/>
  <c r="AK63" i="112"/>
  <c r="J77" i="112"/>
  <c r="E78" i="112"/>
  <c r="F77" i="112"/>
  <c r="AZ77" i="112" s="1"/>
  <c r="AV22" i="112"/>
  <c r="AU22" i="112"/>
  <c r="AT22" i="112" s="1"/>
  <c r="BB68" i="94"/>
  <c r="BA68" i="94"/>
  <c r="AT68" i="94" s="1"/>
  <c r="BI76" i="94"/>
  <c r="BJ75" i="94"/>
  <c r="AS23" i="111"/>
  <c r="AJ63" i="111"/>
  <c r="W75" i="94"/>
  <c r="G76" i="94"/>
  <c r="T75" i="94"/>
  <c r="H75" i="94"/>
  <c r="BK75" i="94" s="1"/>
  <c r="I75" i="94"/>
  <c r="AQ76" i="94"/>
  <c r="AR75" i="94"/>
  <c r="J76" i="111"/>
  <c r="E77" i="111"/>
  <c r="F76" i="111"/>
  <c r="AZ76" i="111" s="1"/>
  <c r="BA24" i="111"/>
  <c r="AM77" i="111"/>
  <c r="AN76" i="111"/>
  <c r="K24" i="111"/>
  <c r="Q24" i="111" s="1"/>
  <c r="AX78" i="111"/>
  <c r="BM102" i="109"/>
  <c r="AV57" i="109"/>
  <c r="AZ57" i="109" s="1"/>
  <c r="AX57" i="109" s="1"/>
  <c r="AW57" i="109" s="1"/>
  <c r="BH57" i="109" s="1"/>
  <c r="S25" i="110"/>
  <c r="M25" i="110"/>
  <c r="AS25" i="103"/>
  <c r="AJ65" i="103"/>
  <c r="AQ24" i="103"/>
  <c r="AW24" i="103" s="1"/>
  <c r="BB71" i="103" s="1"/>
  <c r="BM100" i="94"/>
  <c r="AV55" i="94"/>
  <c r="AZ55" i="94" s="1"/>
  <c r="AX55" i="94" s="1"/>
  <c r="AW55" i="94" s="1"/>
  <c r="BH55" i="94" s="1"/>
  <c r="J34" i="94"/>
  <c r="Y69" i="94"/>
  <c r="BL34" i="94"/>
  <c r="AU72" i="94"/>
  <c r="AP71" i="94"/>
  <c r="AN110" i="94"/>
  <c r="M34" i="94"/>
  <c r="S34" i="94" s="1"/>
  <c r="L35" i="94" s="1"/>
  <c r="S52" i="61"/>
  <c r="I22" i="61"/>
  <c r="R22" i="61"/>
  <c r="V75" i="94" l="1"/>
  <c r="U76" i="94"/>
  <c r="R74" i="94"/>
  <c r="Q74" i="94"/>
  <c r="AP23" i="111"/>
  <c r="BB69" i="111"/>
  <c r="AI64" i="111"/>
  <c r="H25" i="110"/>
  <c r="I25" i="110" s="1"/>
  <c r="Y70" i="109"/>
  <c r="J35" i="109"/>
  <c r="BL35" i="109"/>
  <c r="M35" i="109"/>
  <c r="S35" i="109" s="1"/>
  <c r="AU23" i="110"/>
  <c r="AT23" i="110" s="1"/>
  <c r="AV23" i="110"/>
  <c r="AK64" i="110"/>
  <c r="I24" i="112"/>
  <c r="AR22" i="112"/>
  <c r="AO22" i="112" s="1"/>
  <c r="U64" i="112"/>
  <c r="O24" i="112"/>
  <c r="P24" i="112"/>
  <c r="AN107" i="109"/>
  <c r="AT68" i="109"/>
  <c r="AP68" i="109"/>
  <c r="AU69" i="109"/>
  <c r="AX78" i="112"/>
  <c r="AM80" i="112"/>
  <c r="AN79" i="112"/>
  <c r="E79" i="112"/>
  <c r="J78" i="112"/>
  <c r="F78" i="112"/>
  <c r="AZ78" i="112" s="1"/>
  <c r="BA69" i="94"/>
  <c r="AT69" i="94" s="1"/>
  <c r="BB69" i="94"/>
  <c r="BI77" i="94"/>
  <c r="BJ76" i="94"/>
  <c r="AR76" i="94"/>
  <c r="AQ77" i="94"/>
  <c r="W76" i="94"/>
  <c r="G77" i="94"/>
  <c r="T76" i="94"/>
  <c r="H76" i="94"/>
  <c r="BK76" i="94" s="1"/>
  <c r="I76" i="94"/>
  <c r="AX79" i="111"/>
  <c r="S25" i="111"/>
  <c r="T66" i="111"/>
  <c r="H25" i="111"/>
  <c r="AK64" i="111"/>
  <c r="E78" i="111"/>
  <c r="J77" i="111"/>
  <c r="F77" i="111"/>
  <c r="AZ77" i="111" s="1"/>
  <c r="AM78" i="111"/>
  <c r="AN77" i="111"/>
  <c r="AV23" i="111"/>
  <c r="AU23" i="111"/>
  <c r="AT23" i="111" s="1"/>
  <c r="AV58" i="109"/>
  <c r="AZ58" i="109" s="1"/>
  <c r="AX58" i="109" s="1"/>
  <c r="AW58" i="109" s="1"/>
  <c r="BH58" i="109" s="1"/>
  <c r="BM103" i="109"/>
  <c r="U65" i="110"/>
  <c r="O25" i="110"/>
  <c r="P25" i="110"/>
  <c r="AY25" i="103"/>
  <c r="AV25" i="103" s="1"/>
  <c r="AP25" i="103"/>
  <c r="AI66" i="103"/>
  <c r="AK66" i="103" s="1"/>
  <c r="AV56" i="94"/>
  <c r="AZ56" i="94" s="1"/>
  <c r="AX56" i="94" s="1"/>
  <c r="AW56" i="94" s="1"/>
  <c r="BH56" i="94" s="1"/>
  <c r="BM101" i="94"/>
  <c r="P35" i="94"/>
  <c r="N35" i="94" s="1"/>
  <c r="X70" i="94"/>
  <c r="AU73" i="94"/>
  <c r="AP72" i="94"/>
  <c r="AN111" i="94"/>
  <c r="O22" i="61"/>
  <c r="N22" i="61"/>
  <c r="M22" i="61" s="1"/>
  <c r="K22" i="61" s="1"/>
  <c r="U77" i="94" l="1"/>
  <c r="V76" i="94"/>
  <c r="Q75" i="94"/>
  <c r="R75" i="94"/>
  <c r="AR23" i="110"/>
  <c r="AO23" i="110" s="1"/>
  <c r="AL23" i="110" s="1"/>
  <c r="X71" i="109"/>
  <c r="L36" i="109"/>
  <c r="P36" i="109" s="1"/>
  <c r="N36" i="109" s="1"/>
  <c r="K36" i="109"/>
  <c r="AQ23" i="110"/>
  <c r="AW23" i="110" s="1"/>
  <c r="AJ64" i="110"/>
  <c r="AS24" i="110"/>
  <c r="AQ22" i="112"/>
  <c r="AW22" i="112" s="1"/>
  <c r="AY23" i="112" s="1"/>
  <c r="AS23" i="112"/>
  <c r="N24" i="112"/>
  <c r="L24" i="112" s="1"/>
  <c r="AT69" i="109"/>
  <c r="AU70" i="109"/>
  <c r="AN108" i="109"/>
  <c r="AP69" i="109"/>
  <c r="E80" i="112"/>
  <c r="J79" i="112"/>
  <c r="F79" i="112"/>
  <c r="AZ79" i="112" s="1"/>
  <c r="AM81" i="112"/>
  <c r="AN80" i="112"/>
  <c r="AX79" i="112"/>
  <c r="AL22" i="112"/>
  <c r="AJ63" i="112"/>
  <c r="BB70" i="94"/>
  <c r="BA70" i="94"/>
  <c r="AT70" i="94" s="1"/>
  <c r="BI78" i="94"/>
  <c r="BJ77" i="94"/>
  <c r="AR23" i="111"/>
  <c r="AS24" i="111" s="1"/>
  <c r="W77" i="94"/>
  <c r="G78" i="94"/>
  <c r="T77" i="94"/>
  <c r="H77" i="94"/>
  <c r="BK77" i="94" s="1"/>
  <c r="I77" i="94"/>
  <c r="AR77" i="94"/>
  <c r="AQ78" i="94"/>
  <c r="E79" i="111"/>
  <c r="J78" i="111"/>
  <c r="F78" i="111"/>
  <c r="AZ78" i="111" s="1"/>
  <c r="P25" i="111"/>
  <c r="O25" i="111"/>
  <c r="N25" i="111" s="1"/>
  <c r="L25" i="111" s="1"/>
  <c r="G25" i="111" s="1"/>
  <c r="BA25" i="111" s="1"/>
  <c r="AM79" i="111"/>
  <c r="AN78" i="111"/>
  <c r="I25" i="111"/>
  <c r="AX80" i="111"/>
  <c r="V66" i="111"/>
  <c r="U65" i="111"/>
  <c r="AU25" i="103"/>
  <c r="AT25" i="103" s="1"/>
  <c r="AR25" i="103" s="1"/>
  <c r="AS26" i="103" s="1"/>
  <c r="AV59" i="109"/>
  <c r="AZ59" i="109" s="1"/>
  <c r="AX59" i="109" s="1"/>
  <c r="AW59" i="109" s="1"/>
  <c r="BH59" i="109" s="1"/>
  <c r="BM104" i="109"/>
  <c r="N25" i="110"/>
  <c r="L25" i="110" s="1"/>
  <c r="K35" i="94"/>
  <c r="Y70" i="94" s="1"/>
  <c r="BM102" i="94"/>
  <c r="AV57" i="94"/>
  <c r="AZ57" i="94" s="1"/>
  <c r="AX57" i="94" s="1"/>
  <c r="AW57" i="94" s="1"/>
  <c r="BH57" i="94" s="1"/>
  <c r="AU74" i="94"/>
  <c r="AN112" i="94"/>
  <c r="AP73" i="94"/>
  <c r="L23" i="61"/>
  <c r="H22" i="61"/>
  <c r="J22" i="61" s="1"/>
  <c r="Q76" i="94" l="1"/>
  <c r="R76" i="94"/>
  <c r="U78" i="94"/>
  <c r="V77" i="94"/>
  <c r="AO23" i="111"/>
  <c r="AQ23" i="111" s="1"/>
  <c r="AW23" i="111" s="1"/>
  <c r="M36" i="109"/>
  <c r="S36" i="109" s="1"/>
  <c r="L37" i="109" s="1"/>
  <c r="J36" i="109"/>
  <c r="Y71" i="109"/>
  <c r="BL36" i="109"/>
  <c r="X72" i="109"/>
  <c r="AI65" i="110"/>
  <c r="AP24" i="110"/>
  <c r="BB70" i="110"/>
  <c r="AY24" i="110"/>
  <c r="AP23" i="112"/>
  <c r="BB69" i="112"/>
  <c r="AI64" i="112"/>
  <c r="AK64" i="112" s="1"/>
  <c r="G24" i="112"/>
  <c r="K24" i="112" s="1"/>
  <c r="Q24" i="112" s="1"/>
  <c r="M25" i="112"/>
  <c r="AN109" i="109"/>
  <c r="AP70" i="109"/>
  <c r="AT70" i="109"/>
  <c r="AU71" i="109"/>
  <c r="AX80" i="112"/>
  <c r="AU23" i="112"/>
  <c r="AV23" i="112"/>
  <c r="J80" i="112"/>
  <c r="E81" i="112"/>
  <c r="F80" i="112"/>
  <c r="AZ80" i="112" s="1"/>
  <c r="AM82" i="112"/>
  <c r="AN81" i="112"/>
  <c r="BA71" i="94"/>
  <c r="AT71" i="94" s="1"/>
  <c r="BB71" i="94"/>
  <c r="BJ78" i="94"/>
  <c r="BI79" i="94"/>
  <c r="AQ79" i="94"/>
  <c r="AR78" i="94"/>
  <c r="W78" i="94"/>
  <c r="G79" i="94"/>
  <c r="T78" i="94"/>
  <c r="H78" i="94"/>
  <c r="BK78" i="94" s="1"/>
  <c r="I78" i="94"/>
  <c r="AY24" i="111"/>
  <c r="BB70" i="111"/>
  <c r="AI65" i="111"/>
  <c r="AP24" i="111"/>
  <c r="K25" i="111"/>
  <c r="Q25" i="111" s="1"/>
  <c r="J79" i="111"/>
  <c r="E80" i="111"/>
  <c r="F79" i="111"/>
  <c r="AZ79" i="111" s="1"/>
  <c r="AX81" i="111"/>
  <c r="AM80" i="111"/>
  <c r="AN79" i="111"/>
  <c r="M26" i="111"/>
  <c r="AL23" i="111"/>
  <c r="AJ64" i="111"/>
  <c r="BL35" i="94"/>
  <c r="J35" i="94"/>
  <c r="AV60" i="109"/>
  <c r="AZ60" i="109" s="1"/>
  <c r="AX60" i="109" s="1"/>
  <c r="AW60" i="109" s="1"/>
  <c r="BH60" i="109" s="1"/>
  <c r="BM105" i="109"/>
  <c r="G25" i="110"/>
  <c r="K25" i="110" s="1"/>
  <c r="Q25" i="110" s="1"/>
  <c r="M26" i="110"/>
  <c r="M35" i="94"/>
  <c r="S35" i="94" s="1"/>
  <c r="AV58" i="94"/>
  <c r="AZ58" i="94" s="1"/>
  <c r="AX58" i="94" s="1"/>
  <c r="AW58" i="94" s="1"/>
  <c r="BH58" i="94" s="1"/>
  <c r="BM103" i="94"/>
  <c r="AO25" i="103"/>
  <c r="AQ25" i="103" s="1"/>
  <c r="AW25" i="103" s="1"/>
  <c r="AU75" i="94"/>
  <c r="AN113" i="94"/>
  <c r="AP74" i="94"/>
  <c r="P22" i="61"/>
  <c r="T52" i="61"/>
  <c r="Q77" i="94" l="1"/>
  <c r="R77" i="94"/>
  <c r="V78" i="94"/>
  <c r="U79" i="94"/>
  <c r="P37" i="109"/>
  <c r="N37" i="109" s="1"/>
  <c r="K37" i="109"/>
  <c r="M37" i="109" s="1"/>
  <c r="S37" i="109" s="1"/>
  <c r="L38" i="109" s="1"/>
  <c r="P38" i="109" s="1"/>
  <c r="N38" i="109" s="1"/>
  <c r="AT23" i="112"/>
  <c r="X73" i="109"/>
  <c r="AV24" i="110"/>
  <c r="AU24" i="110"/>
  <c r="AT24" i="110" s="1"/>
  <c r="AK65" i="110"/>
  <c r="AR23" i="112"/>
  <c r="AO23" i="112" s="1"/>
  <c r="AL23" i="112" s="1"/>
  <c r="H25" i="112"/>
  <c r="T66" i="112"/>
  <c r="V66" i="112" s="1"/>
  <c r="S25" i="112"/>
  <c r="BA24" i="112"/>
  <c r="AP71" i="109"/>
  <c r="AT71" i="109"/>
  <c r="AU72" i="109"/>
  <c r="AN110" i="109"/>
  <c r="J81" i="112"/>
  <c r="E82" i="112"/>
  <c r="F81" i="112"/>
  <c r="AZ81" i="112" s="1"/>
  <c r="AX81" i="112"/>
  <c r="AM83" i="112"/>
  <c r="AN82" i="112"/>
  <c r="L36" i="94"/>
  <c r="P36" i="94" s="1"/>
  <c r="N36" i="94" s="1"/>
  <c r="BJ79" i="94"/>
  <c r="BI80" i="94"/>
  <c r="BB72" i="94"/>
  <c r="BA72" i="94"/>
  <c r="AT72" i="94" s="1"/>
  <c r="AR79" i="94"/>
  <c r="AQ80" i="94"/>
  <c r="W79" i="94"/>
  <c r="G80" i="94"/>
  <c r="T79" i="94"/>
  <c r="H79" i="94"/>
  <c r="BK79" i="94" s="1"/>
  <c r="I79" i="94"/>
  <c r="AX82" i="111"/>
  <c r="AK65" i="111"/>
  <c r="AM81" i="111"/>
  <c r="AN80" i="111"/>
  <c r="J80" i="111"/>
  <c r="E81" i="111"/>
  <c r="F80" i="111"/>
  <c r="AZ80" i="111" s="1"/>
  <c r="S26" i="111"/>
  <c r="H26" i="111"/>
  <c r="T67" i="111"/>
  <c r="AV24" i="111"/>
  <c r="AU24" i="111"/>
  <c r="AT24" i="111" s="1"/>
  <c r="X71" i="94"/>
  <c r="AV61" i="109"/>
  <c r="AZ61" i="109" s="1"/>
  <c r="AX61" i="109" s="1"/>
  <c r="AW61" i="109" s="1"/>
  <c r="BH61" i="109" s="1"/>
  <c r="BM106" i="109"/>
  <c r="BA25" i="110"/>
  <c r="T67" i="110"/>
  <c r="V67" i="110" s="1"/>
  <c r="H26" i="110"/>
  <c r="S26" i="110"/>
  <c r="BM104" i="94"/>
  <c r="AV59" i="94"/>
  <c r="AZ59" i="94" s="1"/>
  <c r="AX59" i="94" s="1"/>
  <c r="AW59" i="94" s="1"/>
  <c r="BH59" i="94" s="1"/>
  <c r="BB72" i="103"/>
  <c r="AI67" i="103"/>
  <c r="AP26" i="103"/>
  <c r="AY26" i="103"/>
  <c r="AL25" i="103"/>
  <c r="AJ66" i="103"/>
  <c r="AU76" i="94"/>
  <c r="AP75" i="94"/>
  <c r="AN114" i="94"/>
  <c r="I23" i="61"/>
  <c r="R23" i="61"/>
  <c r="S53" i="61"/>
  <c r="U80" i="94" l="1"/>
  <c r="V79" i="94"/>
  <c r="Q78" i="94"/>
  <c r="R78" i="94"/>
  <c r="J37" i="109"/>
  <c r="BL37" i="109"/>
  <c r="Y72" i="109"/>
  <c r="K36" i="94"/>
  <c r="J36" i="94" s="1"/>
  <c r="AJ64" i="112"/>
  <c r="K38" i="109"/>
  <c r="Y73" i="109" s="1"/>
  <c r="AR24" i="110"/>
  <c r="AS25" i="110" s="1"/>
  <c r="AQ23" i="112"/>
  <c r="AW23" i="112" s="1"/>
  <c r="AP24" i="112" s="1"/>
  <c r="AS24" i="112"/>
  <c r="U65" i="112"/>
  <c r="O25" i="112"/>
  <c r="N25" i="112" s="1"/>
  <c r="L25" i="112" s="1"/>
  <c r="G25" i="112" s="1"/>
  <c r="P25" i="112"/>
  <c r="I25" i="112"/>
  <c r="AT72" i="109"/>
  <c r="AU73" i="109"/>
  <c r="AP72" i="109"/>
  <c r="AN111" i="109"/>
  <c r="J82" i="112"/>
  <c r="E83" i="112"/>
  <c r="F82" i="112"/>
  <c r="AZ82" i="112" s="1"/>
  <c r="AM84" i="112"/>
  <c r="AN83" i="112"/>
  <c r="AY24" i="112"/>
  <c r="AX82" i="112"/>
  <c r="BJ80" i="94"/>
  <c r="BI81" i="94"/>
  <c r="BA73" i="94"/>
  <c r="AT73" i="94" s="1"/>
  <c r="BB73" i="94"/>
  <c r="W80" i="94"/>
  <c r="G81" i="94"/>
  <c r="T80" i="94"/>
  <c r="H80" i="94"/>
  <c r="BK80" i="94" s="1"/>
  <c r="I80" i="94"/>
  <c r="AQ81" i="94"/>
  <c r="AR80" i="94"/>
  <c r="AR24" i="111"/>
  <c r="AS25" i="111" s="1"/>
  <c r="P26" i="111"/>
  <c r="O26" i="111"/>
  <c r="N26" i="111" s="1"/>
  <c r="L26" i="111" s="1"/>
  <c r="G26" i="111" s="1"/>
  <c r="BA26" i="111" s="1"/>
  <c r="J81" i="111"/>
  <c r="E82" i="111"/>
  <c r="F81" i="111"/>
  <c r="AZ81" i="111" s="1"/>
  <c r="V67" i="111"/>
  <c r="Z68" i="111" s="1"/>
  <c r="U66" i="111"/>
  <c r="AM82" i="111"/>
  <c r="AN81" i="111"/>
  <c r="I26" i="111"/>
  <c r="AX83" i="111"/>
  <c r="BM107" i="109"/>
  <c r="AV62" i="109"/>
  <c r="AZ62" i="109" s="1"/>
  <c r="AX62" i="109" s="1"/>
  <c r="AW62" i="109" s="1"/>
  <c r="BH62" i="109" s="1"/>
  <c r="O26" i="110"/>
  <c r="P26" i="110"/>
  <c r="I26" i="110"/>
  <c r="U66" i="110"/>
  <c r="AV60" i="94"/>
  <c r="AZ60" i="94" s="1"/>
  <c r="AX60" i="94" s="1"/>
  <c r="AW60" i="94" s="1"/>
  <c r="BH60" i="94" s="1"/>
  <c r="BM105" i="94"/>
  <c r="AK67" i="103"/>
  <c r="AN115" i="94"/>
  <c r="AP76" i="94"/>
  <c r="AU77" i="94"/>
  <c r="AV26" i="103"/>
  <c r="AU26" i="103"/>
  <c r="N23" i="61"/>
  <c r="M23" i="61" s="1"/>
  <c r="K23" i="61" s="1"/>
  <c r="O23" i="61"/>
  <c r="R79" i="94" l="1"/>
  <c r="Q79" i="94"/>
  <c r="Y71" i="94"/>
  <c r="U81" i="94"/>
  <c r="V80" i="94"/>
  <c r="AO24" i="110"/>
  <c r="BL36" i="94"/>
  <c r="M36" i="94"/>
  <c r="S36" i="94" s="1"/>
  <c r="X72" i="94" s="1"/>
  <c r="J38" i="109"/>
  <c r="BL38" i="109"/>
  <c r="M38" i="109"/>
  <c r="S38" i="109" s="1"/>
  <c r="L39" i="109" s="1"/>
  <c r="BB70" i="112"/>
  <c r="AI65" i="112"/>
  <c r="AK65" i="112" s="1"/>
  <c r="AQ24" i="110"/>
  <c r="AW24" i="110" s="1"/>
  <c r="AL24" i="110"/>
  <c r="AJ65" i="110"/>
  <c r="K25" i="112"/>
  <c r="Q25" i="112" s="1"/>
  <c r="BA25" i="112"/>
  <c r="M26" i="112"/>
  <c r="AN112" i="109"/>
  <c r="AP73" i="109"/>
  <c r="AU74" i="109"/>
  <c r="AT73" i="109"/>
  <c r="AV24" i="112"/>
  <c r="AU24" i="112"/>
  <c r="AM85" i="112"/>
  <c r="AN84" i="112"/>
  <c r="E84" i="112"/>
  <c r="J83" i="112"/>
  <c r="F83" i="112"/>
  <c r="AZ83" i="112" s="1"/>
  <c r="AX83" i="112"/>
  <c r="L37" i="94"/>
  <c r="P37" i="94" s="1"/>
  <c r="N37" i="94" s="1"/>
  <c r="BI82" i="94"/>
  <c r="BJ81" i="94"/>
  <c r="BB74" i="94"/>
  <c r="BA74" i="94"/>
  <c r="AT74" i="94" s="1"/>
  <c r="AR81" i="94"/>
  <c r="AQ82" i="94"/>
  <c r="W81" i="94"/>
  <c r="G82" i="94"/>
  <c r="H81" i="94"/>
  <c r="BK81" i="94" s="1"/>
  <c r="T81" i="94"/>
  <c r="I81" i="94"/>
  <c r="K26" i="111"/>
  <c r="Q26" i="111" s="1"/>
  <c r="E83" i="111"/>
  <c r="J82" i="111"/>
  <c r="F82" i="111"/>
  <c r="AZ82" i="111" s="1"/>
  <c r="M27" i="111"/>
  <c r="AX84" i="111"/>
  <c r="AM83" i="111"/>
  <c r="AN82" i="111"/>
  <c r="AO24" i="111"/>
  <c r="AQ24" i="111" s="1"/>
  <c r="AW24" i="111" s="1"/>
  <c r="BM108" i="109"/>
  <c r="AV63" i="109"/>
  <c r="AZ63" i="109" s="1"/>
  <c r="AX63" i="109" s="1"/>
  <c r="AW63" i="109" s="1"/>
  <c r="BH63" i="109" s="1"/>
  <c r="N26" i="110"/>
  <c r="L26" i="110" s="1"/>
  <c r="K37" i="94"/>
  <c r="M37" i="94" s="1"/>
  <c r="S37" i="94" s="1"/>
  <c r="AV61" i="94"/>
  <c r="AZ61" i="94" s="1"/>
  <c r="AX61" i="94" s="1"/>
  <c r="AW61" i="94" s="1"/>
  <c r="BH61" i="94" s="1"/>
  <c r="BM106" i="94"/>
  <c r="AT26" i="103"/>
  <c r="AR26" i="103" s="1"/>
  <c r="AU78" i="94"/>
  <c r="AN116" i="94"/>
  <c r="AP77" i="94"/>
  <c r="H23" i="61"/>
  <c r="J23" i="61" s="1"/>
  <c r="L24" i="61"/>
  <c r="U82" i="94" l="1"/>
  <c r="V81" i="94"/>
  <c r="Q80" i="94"/>
  <c r="R80" i="94"/>
  <c r="K39" i="109"/>
  <c r="X74" i="109"/>
  <c r="Y74" i="109"/>
  <c r="BL39" i="109"/>
  <c r="J39" i="109"/>
  <c r="P39" i="109"/>
  <c r="N39" i="109" s="1"/>
  <c r="M39" i="109"/>
  <c r="S39" i="109" s="1"/>
  <c r="AI66" i="110"/>
  <c r="AP25" i="110"/>
  <c r="AY25" i="110"/>
  <c r="BB71" i="110"/>
  <c r="S26" i="112"/>
  <c r="T67" i="112"/>
  <c r="H26" i="112"/>
  <c r="AN113" i="109"/>
  <c r="AT74" i="109"/>
  <c r="AP74" i="109"/>
  <c r="AU75" i="109"/>
  <c r="E85" i="112"/>
  <c r="J84" i="112"/>
  <c r="F84" i="112"/>
  <c r="AZ84" i="112" s="1"/>
  <c r="AM86" i="112"/>
  <c r="AN85" i="112"/>
  <c r="AX84" i="112"/>
  <c r="AT24" i="112"/>
  <c r="AR24" i="112" s="1"/>
  <c r="X73" i="94"/>
  <c r="L38" i="94"/>
  <c r="BA75" i="94"/>
  <c r="AT75" i="94" s="1"/>
  <c r="BB75" i="94"/>
  <c r="BJ82" i="94"/>
  <c r="BI83" i="94"/>
  <c r="W82" i="94"/>
  <c r="G83" i="94"/>
  <c r="T82" i="94"/>
  <c r="H82" i="94"/>
  <c r="BK82" i="94" s="1"/>
  <c r="I82" i="94"/>
  <c r="AQ83" i="94"/>
  <c r="AR82" i="94"/>
  <c r="AM84" i="111"/>
  <c r="AN83" i="111"/>
  <c r="AY25" i="111"/>
  <c r="BB71" i="111"/>
  <c r="AI66" i="111"/>
  <c r="AP25" i="111"/>
  <c r="AL24" i="111"/>
  <c r="AJ65" i="111"/>
  <c r="AX85" i="111"/>
  <c r="E84" i="111"/>
  <c r="J83" i="111"/>
  <c r="F83" i="111"/>
  <c r="AZ83" i="111" s="1"/>
  <c r="S27" i="111"/>
  <c r="T68" i="111"/>
  <c r="H27" i="111"/>
  <c r="BM109" i="109"/>
  <c r="AV64" i="109"/>
  <c r="AZ64" i="109" s="1"/>
  <c r="AX64" i="109" s="1"/>
  <c r="AW64" i="109" s="1"/>
  <c r="BH64" i="109" s="1"/>
  <c r="G26" i="110"/>
  <c r="M27" i="110"/>
  <c r="Y72" i="94"/>
  <c r="BL37" i="94"/>
  <c r="P38" i="94"/>
  <c r="N38" i="94" s="1"/>
  <c r="J37" i="94"/>
  <c r="BM107" i="94"/>
  <c r="AV62" i="94"/>
  <c r="AZ62" i="94" s="1"/>
  <c r="AX62" i="94" s="1"/>
  <c r="AW62" i="94" s="1"/>
  <c r="BH62" i="94" s="1"/>
  <c r="AU79" i="94"/>
  <c r="AN117" i="94"/>
  <c r="AP78" i="94"/>
  <c r="AO26" i="103"/>
  <c r="AQ26" i="103" s="1"/>
  <c r="AW26" i="103" s="1"/>
  <c r="AS27" i="103"/>
  <c r="P23" i="61"/>
  <c r="T53" i="61"/>
  <c r="R81" i="94" l="1"/>
  <c r="Q81" i="94"/>
  <c r="V82" i="94"/>
  <c r="U83" i="94"/>
  <c r="X75" i="109"/>
  <c r="L40" i="109"/>
  <c r="K40" i="109" s="1"/>
  <c r="AV25" i="110"/>
  <c r="AU25" i="110"/>
  <c r="AK66" i="110"/>
  <c r="I26" i="112"/>
  <c r="V67" i="112"/>
  <c r="Z68" i="112" s="1"/>
  <c r="U66" i="112"/>
  <c r="P26" i="112"/>
  <c r="O26" i="112"/>
  <c r="AP75" i="109"/>
  <c r="AN114" i="109"/>
  <c r="AU76" i="109"/>
  <c r="AX85" i="112"/>
  <c r="J85" i="112"/>
  <c r="E86" i="112"/>
  <c r="F85" i="112"/>
  <c r="AZ85" i="112" s="1"/>
  <c r="AO24" i="112"/>
  <c r="AQ24" i="112" s="1"/>
  <c r="AW24" i="112" s="1"/>
  <c r="AS25" i="112"/>
  <c r="AM87" i="112"/>
  <c r="AN86" i="112"/>
  <c r="BI84" i="94"/>
  <c r="BJ83" i="94"/>
  <c r="BA76" i="94"/>
  <c r="AT76" i="94" s="1"/>
  <c r="BB76" i="94"/>
  <c r="AQ84" i="94"/>
  <c r="AR83" i="94"/>
  <c r="W83" i="94"/>
  <c r="G84" i="94"/>
  <c r="T83" i="94"/>
  <c r="H83" i="94"/>
  <c r="BK83" i="94" s="1"/>
  <c r="I83" i="94"/>
  <c r="AX86" i="111"/>
  <c r="AV25" i="111"/>
  <c r="AU25" i="111"/>
  <c r="AT25" i="111" s="1"/>
  <c r="I27" i="111"/>
  <c r="AK66" i="111"/>
  <c r="J84" i="111"/>
  <c r="E85" i="111"/>
  <c r="E86" i="111" s="1"/>
  <c r="F86" i="111" s="1"/>
  <c r="F84" i="111"/>
  <c r="AZ84" i="111" s="1"/>
  <c r="AM85" i="111"/>
  <c r="AN84" i="111"/>
  <c r="V68" i="111"/>
  <c r="U67" i="111"/>
  <c r="P27" i="111"/>
  <c r="O27" i="111"/>
  <c r="N27" i="111" s="1"/>
  <c r="L27" i="111" s="1"/>
  <c r="BM110" i="109"/>
  <c r="AV65" i="109"/>
  <c r="AZ65" i="109" s="1"/>
  <c r="AX65" i="109" s="1"/>
  <c r="AW65" i="109" s="1"/>
  <c r="BH65" i="109" s="1"/>
  <c r="BA26" i="110"/>
  <c r="K26" i="110"/>
  <c r="Q26" i="110" s="1"/>
  <c r="K38" i="94"/>
  <c r="M38" i="94" s="1"/>
  <c r="S38" i="94" s="1"/>
  <c r="BM108" i="94"/>
  <c r="AV63" i="94"/>
  <c r="AZ63" i="94" s="1"/>
  <c r="AX63" i="94" s="1"/>
  <c r="AW63" i="94" s="1"/>
  <c r="BH63" i="94" s="1"/>
  <c r="AU80" i="94"/>
  <c r="AP79" i="94"/>
  <c r="AN118" i="94"/>
  <c r="AP27" i="103"/>
  <c r="BB73" i="103"/>
  <c r="AI68" i="103"/>
  <c r="AY27" i="103"/>
  <c r="AL26" i="103"/>
  <c r="AJ67" i="103"/>
  <c r="S54" i="61"/>
  <c r="I24" i="61"/>
  <c r="R24" i="61"/>
  <c r="V83" i="94" l="1"/>
  <c r="U84" i="94"/>
  <c r="R82" i="94"/>
  <c r="Q82" i="94"/>
  <c r="M40" i="109"/>
  <c r="S40" i="109" s="1"/>
  <c r="P40" i="109"/>
  <c r="N40" i="109" s="1"/>
  <c r="Y75" i="109"/>
  <c r="J40" i="109"/>
  <c r="BL40" i="109"/>
  <c r="AT25" i="110"/>
  <c r="AR25" i="110" s="1"/>
  <c r="AS26" i="110" s="1"/>
  <c r="N26" i="112"/>
  <c r="L26" i="112" s="1"/>
  <c r="AN115" i="109"/>
  <c r="AP76" i="109"/>
  <c r="AU77" i="109"/>
  <c r="AY25" i="112"/>
  <c r="AI66" i="112"/>
  <c r="BB71" i="112"/>
  <c r="AP25" i="112"/>
  <c r="J86" i="112"/>
  <c r="E87" i="112"/>
  <c r="F86" i="112"/>
  <c r="AZ86" i="112" s="1"/>
  <c r="AM88" i="112"/>
  <c r="AN87" i="112"/>
  <c r="AL24" i="112"/>
  <c r="AJ65" i="112"/>
  <c r="AX86" i="112"/>
  <c r="L39" i="94"/>
  <c r="P39" i="94" s="1"/>
  <c r="N39" i="94" s="1"/>
  <c r="BB77" i="94"/>
  <c r="BA77" i="94"/>
  <c r="AT77" i="94" s="1"/>
  <c r="BJ84" i="94"/>
  <c r="BI85" i="94"/>
  <c r="AR25" i="111"/>
  <c r="AO25" i="111" s="1"/>
  <c r="AQ25" i="111" s="1"/>
  <c r="AW25" i="111" s="1"/>
  <c r="W84" i="94"/>
  <c r="G85" i="94"/>
  <c r="T84" i="94"/>
  <c r="H84" i="94"/>
  <c r="BK84" i="94" s="1"/>
  <c r="I84" i="94"/>
  <c r="AQ85" i="94"/>
  <c r="AR84" i="94"/>
  <c r="G27" i="111"/>
  <c r="BA27" i="111" s="1"/>
  <c r="J85" i="111"/>
  <c r="F85" i="111"/>
  <c r="AZ85" i="111" s="1"/>
  <c r="AX87" i="111"/>
  <c r="M28" i="111"/>
  <c r="AM86" i="111"/>
  <c r="AN85" i="111"/>
  <c r="BM111" i="109"/>
  <c r="AV66" i="109"/>
  <c r="AZ66" i="109" s="1"/>
  <c r="AX66" i="109" s="1"/>
  <c r="AW66" i="109" s="1"/>
  <c r="BH66" i="109" s="1"/>
  <c r="H27" i="110"/>
  <c r="T68" i="110"/>
  <c r="S27" i="110"/>
  <c r="X74" i="94"/>
  <c r="J38" i="94"/>
  <c r="BL38" i="94"/>
  <c r="Y73" i="94"/>
  <c r="BM109" i="94"/>
  <c r="AV64" i="94"/>
  <c r="AZ64" i="94" s="1"/>
  <c r="AX64" i="94" s="1"/>
  <c r="AW64" i="94" s="1"/>
  <c r="BH64" i="94" s="1"/>
  <c r="AP80" i="94"/>
  <c r="AN119" i="94"/>
  <c r="AU81" i="94"/>
  <c r="AV27" i="103"/>
  <c r="AU27" i="103"/>
  <c r="AK68" i="103"/>
  <c r="O24" i="61"/>
  <c r="N24" i="61"/>
  <c r="V84" i="94" l="1"/>
  <c r="U85" i="94"/>
  <c r="Q83" i="94"/>
  <c r="R83" i="94"/>
  <c r="K39" i="94"/>
  <c r="X76" i="109"/>
  <c r="L41" i="109"/>
  <c r="AO25" i="110"/>
  <c r="AQ25" i="110" s="1"/>
  <c r="AW25" i="110" s="1"/>
  <c r="G26" i="112"/>
  <c r="K26" i="112" s="1"/>
  <c r="Q26" i="112" s="1"/>
  <c r="M27" i="112"/>
  <c r="AN116" i="109"/>
  <c r="AP77" i="109"/>
  <c r="AU78" i="109"/>
  <c r="AM89" i="112"/>
  <c r="AN88" i="112"/>
  <c r="J87" i="112"/>
  <c r="E88" i="112"/>
  <c r="F87" i="112"/>
  <c r="AZ87" i="112" s="1"/>
  <c r="AX87" i="112"/>
  <c r="AK66" i="112"/>
  <c r="AV25" i="112"/>
  <c r="AU25" i="112"/>
  <c r="AS26" i="111"/>
  <c r="BJ85" i="94"/>
  <c r="BI86" i="94"/>
  <c r="BA78" i="94"/>
  <c r="AT78" i="94" s="1"/>
  <c r="BB78" i="94"/>
  <c r="AP26" i="111"/>
  <c r="BB72" i="111"/>
  <c r="AY26" i="111"/>
  <c r="AV26" i="111" s="1"/>
  <c r="AI67" i="111"/>
  <c r="AK67" i="111" s="1"/>
  <c r="AL25" i="111"/>
  <c r="AJ66" i="111"/>
  <c r="AQ86" i="94"/>
  <c r="AR85" i="94"/>
  <c r="W85" i="94"/>
  <c r="G86" i="94"/>
  <c r="H85" i="94"/>
  <c r="BK85" i="94" s="1"/>
  <c r="T85" i="94"/>
  <c r="I85" i="94"/>
  <c r="AX88" i="111"/>
  <c r="AM87" i="111"/>
  <c r="AN86" i="111"/>
  <c r="K27" i="111"/>
  <c r="Q27" i="111" s="1"/>
  <c r="J86" i="111"/>
  <c r="E87" i="111"/>
  <c r="AZ86" i="111"/>
  <c r="AV67" i="109"/>
  <c r="AZ67" i="109" s="1"/>
  <c r="AX67" i="109" s="1"/>
  <c r="AW67" i="109" s="1"/>
  <c r="BH67" i="109" s="1"/>
  <c r="BM112" i="109"/>
  <c r="O27" i="110"/>
  <c r="N27" i="110" s="1"/>
  <c r="L27" i="110" s="1"/>
  <c r="G27" i="110" s="1"/>
  <c r="BA27" i="110" s="1"/>
  <c r="P27" i="110"/>
  <c r="V68" i="110"/>
  <c r="U67" i="110"/>
  <c r="I27" i="110"/>
  <c r="BM110" i="94"/>
  <c r="AV65" i="94"/>
  <c r="AZ65" i="94" s="1"/>
  <c r="AX65" i="94" s="1"/>
  <c r="AW65" i="94" s="1"/>
  <c r="BH65" i="94" s="1"/>
  <c r="AT27" i="103"/>
  <c r="AR27" i="103" s="1"/>
  <c r="AS28" i="103" s="1"/>
  <c r="BL39" i="94"/>
  <c r="Y74" i="94"/>
  <c r="J39" i="94"/>
  <c r="M39" i="94"/>
  <c r="S39" i="94" s="1"/>
  <c r="L40" i="94" s="1"/>
  <c r="AP81" i="94"/>
  <c r="AU82" i="94"/>
  <c r="AN120" i="94"/>
  <c r="M24" i="61"/>
  <c r="K24" i="61" s="1"/>
  <c r="V85" i="94" l="1"/>
  <c r="U86" i="94"/>
  <c r="Q84" i="94"/>
  <c r="R84" i="94"/>
  <c r="P41" i="109"/>
  <c r="N41" i="109" s="1"/>
  <c r="K41" i="109"/>
  <c r="BB72" i="110"/>
  <c r="AP26" i="110"/>
  <c r="AY26" i="110"/>
  <c r="AI67" i="110"/>
  <c r="AL25" i="110"/>
  <c r="AJ66" i="110"/>
  <c r="T68" i="112"/>
  <c r="V68" i="112" s="1"/>
  <c r="S27" i="112"/>
  <c r="H27" i="112"/>
  <c r="BA26" i="112"/>
  <c r="AN117" i="109"/>
  <c r="AP78" i="109"/>
  <c r="AU79" i="109"/>
  <c r="J88" i="112"/>
  <c r="E89" i="112"/>
  <c r="F88" i="112"/>
  <c r="AZ88" i="112" s="1"/>
  <c r="AM90" i="112"/>
  <c r="AN89" i="112"/>
  <c r="AT25" i="112"/>
  <c r="AR25" i="112" s="1"/>
  <c r="AX88" i="112"/>
  <c r="BJ86" i="94"/>
  <c r="BI87" i="94"/>
  <c r="BB79" i="94"/>
  <c r="BA79" i="94"/>
  <c r="AT79" i="94" s="1"/>
  <c r="AU26" i="111"/>
  <c r="AT26" i="111" s="1"/>
  <c r="AR26" i="111" s="1"/>
  <c r="W86" i="94"/>
  <c r="G87" i="94"/>
  <c r="T86" i="94"/>
  <c r="H86" i="94"/>
  <c r="BK86" i="94" s="1"/>
  <c r="I86" i="94"/>
  <c r="AQ87" i="94"/>
  <c r="AR86" i="94"/>
  <c r="J87" i="111"/>
  <c r="E88" i="111"/>
  <c r="F87" i="111"/>
  <c r="AZ87" i="111" s="1"/>
  <c r="AM88" i="111"/>
  <c r="AN87" i="111"/>
  <c r="AX89" i="111"/>
  <c r="S28" i="111"/>
  <c r="T69" i="111"/>
  <c r="H28" i="111"/>
  <c r="BM113" i="109"/>
  <c r="AV68" i="109"/>
  <c r="AZ68" i="109" s="1"/>
  <c r="AX68" i="109" s="1"/>
  <c r="AW68" i="109" s="1"/>
  <c r="BH68" i="109" s="1"/>
  <c r="M28" i="110"/>
  <c r="K27" i="110"/>
  <c r="Q27" i="110" s="1"/>
  <c r="BM111" i="94"/>
  <c r="AV66" i="94"/>
  <c r="AZ66" i="94" s="1"/>
  <c r="AX66" i="94" s="1"/>
  <c r="AW66" i="94" s="1"/>
  <c r="BH66" i="94" s="1"/>
  <c r="AP82" i="94"/>
  <c r="AN121" i="94"/>
  <c r="AU83" i="94"/>
  <c r="AO27" i="103"/>
  <c r="AQ27" i="103" s="1"/>
  <c r="AW27" i="103" s="1"/>
  <c r="X75" i="94"/>
  <c r="P40" i="94"/>
  <c r="N40" i="94" s="1"/>
  <c r="H24" i="61"/>
  <c r="J24" i="61" s="1"/>
  <c r="L25" i="61"/>
  <c r="V86" i="94" l="1"/>
  <c r="U87" i="94"/>
  <c r="Q85" i="94"/>
  <c r="R85" i="94"/>
  <c r="M41" i="109"/>
  <c r="S41" i="109" s="1"/>
  <c r="J41" i="109"/>
  <c r="Y76" i="109"/>
  <c r="BL41" i="109"/>
  <c r="AK67" i="110"/>
  <c r="AV26" i="110"/>
  <c r="AU26" i="110"/>
  <c r="AT26" i="110" s="1"/>
  <c r="AR26" i="110" s="1"/>
  <c r="U67" i="112"/>
  <c r="I27" i="112"/>
  <c r="P27" i="112"/>
  <c r="O27" i="112"/>
  <c r="AU80" i="109"/>
  <c r="AN118" i="109"/>
  <c r="AP79" i="109"/>
  <c r="J89" i="112"/>
  <c r="E90" i="112"/>
  <c r="F89" i="112"/>
  <c r="AZ89" i="112" s="1"/>
  <c r="AM91" i="112"/>
  <c r="AN90" i="112"/>
  <c r="AX89" i="112"/>
  <c r="AO25" i="112"/>
  <c r="AQ25" i="112" s="1"/>
  <c r="AW25" i="112" s="1"/>
  <c r="AS26" i="112"/>
  <c r="BJ87" i="94"/>
  <c r="BI88" i="94"/>
  <c r="BA80" i="94"/>
  <c r="AT80" i="94" s="1"/>
  <c r="BB80" i="94"/>
  <c r="AO26" i="111"/>
  <c r="AL26" i="111" s="1"/>
  <c r="AS27" i="111"/>
  <c r="AR87" i="94"/>
  <c r="AQ88" i="94"/>
  <c r="W87" i="94"/>
  <c r="G88" i="94"/>
  <c r="T87" i="94"/>
  <c r="H87" i="94"/>
  <c r="BK87" i="94" s="1"/>
  <c r="I87" i="94"/>
  <c r="I28" i="111"/>
  <c r="AX90" i="111"/>
  <c r="J88" i="111"/>
  <c r="E89" i="111"/>
  <c r="F88" i="111"/>
  <c r="AZ88" i="111" s="1"/>
  <c r="V69" i="111"/>
  <c r="U68" i="111"/>
  <c r="P28" i="111"/>
  <c r="O28" i="111"/>
  <c r="AM89" i="111"/>
  <c r="AN88" i="111"/>
  <c r="AV69" i="109"/>
  <c r="AZ69" i="109" s="1"/>
  <c r="AX69" i="109" s="1"/>
  <c r="AW69" i="109" s="1"/>
  <c r="BH69" i="109" s="1"/>
  <c r="BM114" i="109"/>
  <c r="T69" i="110"/>
  <c r="H28" i="110"/>
  <c r="S28" i="110"/>
  <c r="K40" i="94"/>
  <c r="J40" i="94" s="1"/>
  <c r="BM112" i="94"/>
  <c r="AV67" i="94"/>
  <c r="AZ67" i="94" s="1"/>
  <c r="AX67" i="94" s="1"/>
  <c r="AW67" i="94" s="1"/>
  <c r="BH67" i="94" s="1"/>
  <c r="AU84" i="94"/>
  <c r="AN122" i="94"/>
  <c r="AP83" i="94"/>
  <c r="BB74" i="103"/>
  <c r="AI69" i="103"/>
  <c r="AP28" i="103"/>
  <c r="AY28" i="103"/>
  <c r="AL27" i="103"/>
  <c r="AJ68" i="103"/>
  <c r="P24" i="61"/>
  <c r="T54" i="61"/>
  <c r="U88" i="94" l="1"/>
  <c r="V87" i="94"/>
  <c r="Q86" i="94"/>
  <c r="R86" i="94"/>
  <c r="L42" i="109"/>
  <c r="P42" i="109" s="1"/>
  <c r="N42" i="109" s="1"/>
  <c r="X77" i="109"/>
  <c r="AS27" i="110"/>
  <c r="AO26" i="110"/>
  <c r="N27" i="112"/>
  <c r="L27" i="112" s="1"/>
  <c r="AU81" i="109"/>
  <c r="AP80" i="109"/>
  <c r="AN119" i="109"/>
  <c r="J90" i="112"/>
  <c r="E91" i="112"/>
  <c r="F90" i="112"/>
  <c r="AZ90" i="112" s="1"/>
  <c r="AY26" i="112"/>
  <c r="AI67" i="112"/>
  <c r="BB72" i="112"/>
  <c r="AP26" i="112"/>
  <c r="AX90" i="112"/>
  <c r="AL25" i="112"/>
  <c r="AJ66" i="112"/>
  <c r="AM92" i="112"/>
  <c r="AN91" i="112"/>
  <c r="AJ67" i="111"/>
  <c r="BJ88" i="94"/>
  <c r="BI89" i="94"/>
  <c r="BA81" i="94"/>
  <c r="AT81" i="94" s="1"/>
  <c r="BB81" i="94"/>
  <c r="AQ26" i="111"/>
  <c r="AW26" i="111" s="1"/>
  <c r="W88" i="94"/>
  <c r="G89" i="94"/>
  <c r="T88" i="94"/>
  <c r="H88" i="94"/>
  <c r="BK88" i="94" s="1"/>
  <c r="I88" i="94"/>
  <c r="AR88" i="94"/>
  <c r="AQ89" i="94"/>
  <c r="AM90" i="111"/>
  <c r="AN89" i="111"/>
  <c r="AX91" i="111"/>
  <c r="E90" i="111"/>
  <c r="J89" i="111"/>
  <c r="F89" i="111"/>
  <c r="AZ89" i="111" s="1"/>
  <c r="N28" i="111"/>
  <c r="L28" i="111" s="1"/>
  <c r="BM115" i="109"/>
  <c r="AV70" i="109"/>
  <c r="AZ70" i="109" s="1"/>
  <c r="AX70" i="109" s="1"/>
  <c r="AW70" i="109" s="1"/>
  <c r="BH70" i="109" s="1"/>
  <c r="O28" i="110"/>
  <c r="P28" i="110"/>
  <c r="I28" i="110"/>
  <c r="V69" i="110"/>
  <c r="U68" i="110"/>
  <c r="M40" i="94"/>
  <c r="S40" i="94" s="1"/>
  <c r="BL40" i="94"/>
  <c r="Y75" i="94"/>
  <c r="AV68" i="94"/>
  <c r="AZ68" i="94" s="1"/>
  <c r="AX68" i="94" s="1"/>
  <c r="AW68" i="94" s="1"/>
  <c r="BH68" i="94" s="1"/>
  <c r="BM113" i="94"/>
  <c r="AK69" i="103"/>
  <c r="AV28" i="103"/>
  <c r="AU28" i="103"/>
  <c r="AT28" i="103" s="1"/>
  <c r="AU85" i="94"/>
  <c r="AN123" i="94"/>
  <c r="AP84" i="94"/>
  <c r="I25" i="61"/>
  <c r="S55" i="61"/>
  <c r="R25" i="61"/>
  <c r="Q87" i="94" l="1"/>
  <c r="R87" i="94"/>
  <c r="V88" i="94"/>
  <c r="U89" i="94"/>
  <c r="K42" i="109"/>
  <c r="M42" i="109" s="1"/>
  <c r="S42" i="109" s="1"/>
  <c r="L43" i="109" s="1"/>
  <c r="AQ26" i="110"/>
  <c r="AW26" i="110" s="1"/>
  <c r="AL26" i="110"/>
  <c r="AJ67" i="110"/>
  <c r="G27" i="112"/>
  <c r="K27" i="112" s="1"/>
  <c r="Q27" i="112" s="1"/>
  <c r="M28" i="112"/>
  <c r="AP81" i="109"/>
  <c r="AU82" i="109"/>
  <c r="AN120" i="109"/>
  <c r="AX91" i="112"/>
  <c r="AK67" i="112"/>
  <c r="AV26" i="112"/>
  <c r="AU26" i="112"/>
  <c r="AM93" i="112"/>
  <c r="AN92" i="112"/>
  <c r="E92" i="112"/>
  <c r="J91" i="112"/>
  <c r="F91" i="112"/>
  <c r="AZ91" i="112" s="1"/>
  <c r="L41" i="94"/>
  <c r="P41" i="94" s="1"/>
  <c r="N41" i="94" s="1"/>
  <c r="BI90" i="94"/>
  <c r="BJ89" i="94"/>
  <c r="BA82" i="94"/>
  <c r="AT82" i="94" s="1"/>
  <c r="BB82" i="94"/>
  <c r="BB73" i="111"/>
  <c r="AI68" i="111"/>
  <c r="AK68" i="111" s="1"/>
  <c r="AY27" i="111"/>
  <c r="AP27" i="111"/>
  <c r="AR89" i="94"/>
  <c r="AQ90" i="94"/>
  <c r="W89" i="94"/>
  <c r="G90" i="94"/>
  <c r="T89" i="94"/>
  <c r="H89" i="94"/>
  <c r="BK89" i="94" s="1"/>
  <c r="I89" i="94"/>
  <c r="G28" i="111"/>
  <c r="K28" i="111" s="1"/>
  <c r="Q28" i="111" s="1"/>
  <c r="AM91" i="111"/>
  <c r="AN90" i="111"/>
  <c r="M29" i="111"/>
  <c r="J90" i="111"/>
  <c r="E91" i="111"/>
  <c r="F90" i="111"/>
  <c r="AZ90" i="111" s="1"/>
  <c r="AX92" i="111"/>
  <c r="X76" i="94"/>
  <c r="BM116" i="109"/>
  <c r="AV71" i="109"/>
  <c r="AZ71" i="109" s="1"/>
  <c r="AX71" i="109" s="1"/>
  <c r="AW71" i="109" s="1"/>
  <c r="BH71" i="109" s="1"/>
  <c r="N28" i="110"/>
  <c r="L28" i="110" s="1"/>
  <c r="AR28" i="103"/>
  <c r="AO28" i="103" s="1"/>
  <c r="AL28" i="103" s="1"/>
  <c r="AV69" i="94"/>
  <c r="AZ69" i="94" s="1"/>
  <c r="AX69" i="94" s="1"/>
  <c r="AW69" i="94" s="1"/>
  <c r="BH69" i="94" s="1"/>
  <c r="BM114" i="94"/>
  <c r="AN124" i="94"/>
  <c r="AU86" i="94"/>
  <c r="AP85" i="94"/>
  <c r="O25" i="61"/>
  <c r="N25" i="61"/>
  <c r="M25" i="61" s="1"/>
  <c r="K25" i="61" s="1"/>
  <c r="V89" i="94" l="1"/>
  <c r="U90" i="94"/>
  <c r="Q88" i="94"/>
  <c r="R88" i="94"/>
  <c r="K41" i="94"/>
  <c r="J41" i="94" s="1"/>
  <c r="J42" i="109"/>
  <c r="Y77" i="109"/>
  <c r="BL42" i="109"/>
  <c r="X78" i="109"/>
  <c r="K43" i="109"/>
  <c r="P43" i="109"/>
  <c r="N43" i="109" s="1"/>
  <c r="AY27" i="110"/>
  <c r="BB73" i="110"/>
  <c r="AI68" i="110"/>
  <c r="AP27" i="110"/>
  <c r="S28" i="112"/>
  <c r="T69" i="112"/>
  <c r="V69" i="112" s="1"/>
  <c r="H28" i="112"/>
  <c r="BA27" i="112"/>
  <c r="AN121" i="109"/>
  <c r="AU83" i="109"/>
  <c r="AP82" i="109"/>
  <c r="E93" i="112"/>
  <c r="F92" i="112"/>
  <c r="AZ92" i="112" s="1"/>
  <c r="AM94" i="112"/>
  <c r="AN93" i="112"/>
  <c r="AT26" i="112"/>
  <c r="AR26" i="112" s="1"/>
  <c r="AX92" i="112"/>
  <c r="BA83" i="94"/>
  <c r="AT83" i="94" s="1"/>
  <c r="BB83" i="94"/>
  <c r="BJ90" i="94"/>
  <c r="BI91" i="94"/>
  <c r="AV27" i="111"/>
  <c r="AU27" i="111"/>
  <c r="AT27" i="111" s="1"/>
  <c r="G91" i="94"/>
  <c r="H90" i="94"/>
  <c r="BK90" i="94" s="1"/>
  <c r="T90" i="94"/>
  <c r="W90" i="94"/>
  <c r="I90" i="94"/>
  <c r="AQ91" i="94"/>
  <c r="AR90" i="94"/>
  <c r="S29" i="111"/>
  <c r="T70" i="111"/>
  <c r="V70" i="111" s="1"/>
  <c r="H29" i="111"/>
  <c r="AX93" i="111"/>
  <c r="E92" i="111"/>
  <c r="J91" i="111"/>
  <c r="F91" i="111"/>
  <c r="AZ91" i="111" s="1"/>
  <c r="AM92" i="111"/>
  <c r="AN91" i="111"/>
  <c r="BA28" i="111"/>
  <c r="AQ28" i="103"/>
  <c r="AW28" i="103" s="1"/>
  <c r="AP29" i="103" s="1"/>
  <c r="AJ69" i="103"/>
  <c r="AS29" i="103"/>
  <c r="BM117" i="109"/>
  <c r="AV72" i="109"/>
  <c r="AZ72" i="109" s="1"/>
  <c r="AX72" i="109" s="1"/>
  <c r="AW72" i="109" s="1"/>
  <c r="BH72" i="109" s="1"/>
  <c r="G28" i="110"/>
  <c r="K28" i="110" s="1"/>
  <c r="Q28" i="110" s="1"/>
  <c r="M29" i="110"/>
  <c r="M41" i="94"/>
  <c r="S41" i="94" s="1"/>
  <c r="Y76" i="94"/>
  <c r="BL41" i="94"/>
  <c r="AV70" i="94"/>
  <c r="AZ70" i="94" s="1"/>
  <c r="AX70" i="94" s="1"/>
  <c r="AW70" i="94" s="1"/>
  <c r="BH70" i="94" s="1"/>
  <c r="BM115" i="94"/>
  <c r="AU87" i="94"/>
  <c r="AP86" i="94"/>
  <c r="AN125" i="94"/>
  <c r="H25" i="61"/>
  <c r="J25" i="61" s="1"/>
  <c r="L26" i="61"/>
  <c r="V90" i="94" l="1"/>
  <c r="U91" i="94"/>
  <c r="R89" i="94"/>
  <c r="Q89" i="94"/>
  <c r="BL43" i="109"/>
  <c r="J43" i="109"/>
  <c r="Y78" i="109"/>
  <c r="M43" i="109"/>
  <c r="S43" i="109" s="1"/>
  <c r="AK68" i="110"/>
  <c r="AV27" i="110"/>
  <c r="AU27" i="110"/>
  <c r="I28" i="112"/>
  <c r="U68" i="112"/>
  <c r="P28" i="112"/>
  <c r="O28" i="112"/>
  <c r="N28" i="112" s="1"/>
  <c r="L28" i="112" s="1"/>
  <c r="G28" i="112" s="1"/>
  <c r="AN122" i="109"/>
  <c r="AU84" i="109"/>
  <c r="AP83" i="109"/>
  <c r="AO26" i="112"/>
  <c r="AQ26" i="112" s="1"/>
  <c r="AW26" i="112" s="1"/>
  <c r="AS27" i="112"/>
  <c r="E94" i="112"/>
  <c r="J93" i="112"/>
  <c r="F93" i="112"/>
  <c r="AZ93" i="112" s="1"/>
  <c r="AM95" i="112"/>
  <c r="AN94" i="112"/>
  <c r="AX93" i="112"/>
  <c r="L42" i="94"/>
  <c r="P42" i="94" s="1"/>
  <c r="N42" i="94" s="1"/>
  <c r="BA84" i="94"/>
  <c r="AT84" i="94" s="1"/>
  <c r="BB84" i="94"/>
  <c r="BJ91" i="94"/>
  <c r="BI92" i="94"/>
  <c r="AR27" i="111"/>
  <c r="AR91" i="94"/>
  <c r="AQ92" i="94"/>
  <c r="W91" i="94"/>
  <c r="G92" i="94"/>
  <c r="T91" i="94"/>
  <c r="H91" i="94"/>
  <c r="BK91" i="94" s="1"/>
  <c r="I91" i="94"/>
  <c r="E93" i="111"/>
  <c r="F92" i="111"/>
  <c r="AZ92" i="111" s="1"/>
  <c r="I29" i="111"/>
  <c r="AM93" i="111"/>
  <c r="AN92" i="111"/>
  <c r="AX94" i="111"/>
  <c r="U69" i="111"/>
  <c r="P29" i="111"/>
  <c r="O29" i="111"/>
  <c r="X77" i="94"/>
  <c r="AY29" i="103"/>
  <c r="AV29" i="103" s="1"/>
  <c r="AI70" i="103"/>
  <c r="AK70" i="103" s="1"/>
  <c r="BB75" i="103"/>
  <c r="AV73" i="109"/>
  <c r="AZ73" i="109" s="1"/>
  <c r="AX73" i="109" s="1"/>
  <c r="AW73" i="109" s="1"/>
  <c r="BH73" i="109" s="1"/>
  <c r="BM118" i="109"/>
  <c r="T70" i="110"/>
  <c r="V70" i="110" s="1"/>
  <c r="H29" i="110"/>
  <c r="S29" i="110"/>
  <c r="BA28" i="110"/>
  <c r="AV71" i="94"/>
  <c r="AZ71" i="94" s="1"/>
  <c r="AX71" i="94" s="1"/>
  <c r="AW71" i="94" s="1"/>
  <c r="BH71" i="94" s="1"/>
  <c r="BM116" i="94"/>
  <c r="AU88" i="94"/>
  <c r="AN126" i="94"/>
  <c r="AP87" i="94"/>
  <c r="P25" i="61"/>
  <c r="T55" i="61"/>
  <c r="V91" i="94" l="1"/>
  <c r="U92" i="94"/>
  <c r="R90" i="94"/>
  <c r="Q90" i="94"/>
  <c r="K42" i="94"/>
  <c r="Y77" i="94" s="1"/>
  <c r="L44" i="109"/>
  <c r="P44" i="109" s="1"/>
  <c r="N44" i="109" s="1"/>
  <c r="X79" i="109"/>
  <c r="K44" i="109"/>
  <c r="M44" i="109" s="1"/>
  <c r="S44" i="109" s="1"/>
  <c r="AT27" i="110"/>
  <c r="AR27" i="110" s="1"/>
  <c r="AS28" i="110" s="1"/>
  <c r="K28" i="112"/>
  <c r="Q28" i="112" s="1"/>
  <c r="BA28" i="112"/>
  <c r="M29" i="112"/>
  <c r="AP84" i="109"/>
  <c r="AN123" i="109"/>
  <c r="AU85" i="109"/>
  <c r="AM96" i="112"/>
  <c r="AN95" i="112"/>
  <c r="AX94" i="112"/>
  <c r="J94" i="112"/>
  <c r="E95" i="112"/>
  <c r="F94" i="112"/>
  <c r="AZ94" i="112" s="1"/>
  <c r="AY27" i="112"/>
  <c r="AI68" i="112"/>
  <c r="AP27" i="112"/>
  <c r="BB73" i="112"/>
  <c r="AL26" i="112"/>
  <c r="AJ67" i="112"/>
  <c r="BB85" i="94"/>
  <c r="BA85" i="94"/>
  <c r="AT85" i="94" s="1"/>
  <c r="BJ92" i="94"/>
  <c r="BI93" i="94"/>
  <c r="AS28" i="111"/>
  <c r="AO27" i="111"/>
  <c r="G93" i="94"/>
  <c r="H92" i="94"/>
  <c r="BK92" i="94" s="1"/>
  <c r="I92" i="94"/>
  <c r="AQ93" i="94"/>
  <c r="AR92" i="94"/>
  <c r="N29" i="111"/>
  <c r="L29" i="111" s="1"/>
  <c r="AX95" i="111"/>
  <c r="J93" i="111"/>
  <c r="E94" i="111"/>
  <c r="F93" i="111"/>
  <c r="AZ93" i="111" s="1"/>
  <c r="AM94" i="111"/>
  <c r="AN93" i="111"/>
  <c r="AU29" i="103"/>
  <c r="AT29" i="103" s="1"/>
  <c r="AR29" i="103" s="1"/>
  <c r="AO29" i="103" s="1"/>
  <c r="AQ29" i="103" s="1"/>
  <c r="AW29" i="103" s="1"/>
  <c r="BM119" i="109"/>
  <c r="AV74" i="109"/>
  <c r="AZ74" i="109" s="1"/>
  <c r="AX74" i="109" s="1"/>
  <c r="AW74" i="109" s="1"/>
  <c r="BH74" i="109" s="1"/>
  <c r="U69" i="110"/>
  <c r="O29" i="110"/>
  <c r="N29" i="110" s="1"/>
  <c r="L29" i="110" s="1"/>
  <c r="G29" i="110" s="1"/>
  <c r="BA29" i="110" s="1"/>
  <c r="P29" i="110"/>
  <c r="I29" i="110"/>
  <c r="AV72" i="94"/>
  <c r="AZ72" i="94" s="1"/>
  <c r="AX72" i="94" s="1"/>
  <c r="AW72" i="94" s="1"/>
  <c r="BH72" i="94" s="1"/>
  <c r="BM117" i="94"/>
  <c r="AN127" i="94"/>
  <c r="AU89" i="94"/>
  <c r="AP88" i="94"/>
  <c r="J42" i="94"/>
  <c r="BL42" i="94"/>
  <c r="M42" i="94"/>
  <c r="S42" i="94" s="1"/>
  <c r="L43" i="94" s="1"/>
  <c r="S56" i="61"/>
  <c r="R26" i="61"/>
  <c r="I26" i="61"/>
  <c r="V92" i="94" l="1"/>
  <c r="U93" i="94"/>
  <c r="R91" i="94"/>
  <c r="Q91" i="94"/>
  <c r="X80" i="109"/>
  <c r="L45" i="109"/>
  <c r="P45" i="109" s="1"/>
  <c r="N45" i="109" s="1"/>
  <c r="K45" i="109"/>
  <c r="J45" i="109" s="1"/>
  <c r="Y79" i="109"/>
  <c r="J44" i="109"/>
  <c r="BL44" i="109"/>
  <c r="AO27" i="110"/>
  <c r="AQ27" i="110" s="1"/>
  <c r="AW27" i="110" s="1"/>
  <c r="Y80" i="109"/>
  <c r="T70" i="112"/>
  <c r="S29" i="112"/>
  <c r="H29" i="112"/>
  <c r="I29" i="112" s="1"/>
  <c r="AN124" i="109"/>
  <c r="AP85" i="109"/>
  <c r="AU86" i="109"/>
  <c r="AK68" i="112"/>
  <c r="AV27" i="112"/>
  <c r="AU27" i="112"/>
  <c r="AT27" i="112" s="1"/>
  <c r="AM97" i="112"/>
  <c r="AN96" i="112"/>
  <c r="AX95" i="112"/>
  <c r="J95" i="112"/>
  <c r="E96" i="112"/>
  <c r="F95" i="112"/>
  <c r="AZ95" i="112" s="1"/>
  <c r="BJ93" i="94"/>
  <c r="BI94" i="94"/>
  <c r="BB86" i="94"/>
  <c r="BA86" i="94"/>
  <c r="AT86" i="94" s="1"/>
  <c r="AQ27" i="111"/>
  <c r="AW27" i="111" s="1"/>
  <c r="AL27" i="111"/>
  <c r="AJ68" i="111"/>
  <c r="AR93" i="94"/>
  <c r="AQ94" i="94"/>
  <c r="AU93" i="94"/>
  <c r="G94" i="94"/>
  <c r="W93" i="94"/>
  <c r="K93" i="94"/>
  <c r="H93" i="94"/>
  <c r="BK93" i="94" s="1"/>
  <c r="I93" i="94"/>
  <c r="J94" i="111"/>
  <c r="E95" i="111"/>
  <c r="F94" i="111"/>
  <c r="AZ94" i="111" s="1"/>
  <c r="AM95" i="111"/>
  <c r="AN94" i="111"/>
  <c r="G29" i="111"/>
  <c r="K29" i="111" s="1"/>
  <c r="Q29" i="111" s="1"/>
  <c r="AX96" i="111"/>
  <c r="M30" i="111"/>
  <c r="BM120" i="109"/>
  <c r="AV75" i="109"/>
  <c r="AZ75" i="109" s="1"/>
  <c r="AX75" i="109" s="1"/>
  <c r="AW75" i="109" s="1"/>
  <c r="BH75" i="109" s="1"/>
  <c r="M30" i="110"/>
  <c r="K29" i="110"/>
  <c r="Q29" i="110" s="1"/>
  <c r="AS30" i="103"/>
  <c r="BM118" i="94"/>
  <c r="AV73" i="94"/>
  <c r="AZ73" i="94" s="1"/>
  <c r="AX73" i="94" s="1"/>
  <c r="AW73" i="94" s="1"/>
  <c r="BH73" i="94" s="1"/>
  <c r="P43" i="94"/>
  <c r="N43" i="94" s="1"/>
  <c r="X78" i="94"/>
  <c r="AP30" i="103"/>
  <c r="AI71" i="103"/>
  <c r="BB76" i="103"/>
  <c r="AY30" i="103"/>
  <c r="AP89" i="94"/>
  <c r="AU90" i="94"/>
  <c r="AN128" i="94"/>
  <c r="AL29" i="103"/>
  <c r="AJ70" i="103"/>
  <c r="N26" i="61"/>
  <c r="O26" i="61"/>
  <c r="R92" i="94" l="1"/>
  <c r="Q92" i="94"/>
  <c r="V93" i="94"/>
  <c r="U94" i="94"/>
  <c r="M45" i="109"/>
  <c r="S45" i="109" s="1"/>
  <c r="L46" i="109" s="1"/>
  <c r="K46" i="109" s="1"/>
  <c r="BL45" i="109"/>
  <c r="AI69" i="110"/>
  <c r="AP28" i="110"/>
  <c r="BB74" i="110"/>
  <c r="AY28" i="110"/>
  <c r="AL27" i="110"/>
  <c r="AJ68" i="110"/>
  <c r="X81" i="109"/>
  <c r="AR27" i="112"/>
  <c r="AO27" i="112" s="1"/>
  <c r="AL27" i="112" s="1"/>
  <c r="P29" i="112"/>
  <c r="O29" i="112"/>
  <c r="V70" i="112"/>
  <c r="U69" i="112"/>
  <c r="AP86" i="109"/>
  <c r="AN125" i="109"/>
  <c r="AU87" i="109"/>
  <c r="E97" i="112"/>
  <c r="J96" i="112"/>
  <c r="F96" i="112"/>
  <c r="AZ96" i="112" s="1"/>
  <c r="AM98" i="112"/>
  <c r="AN97" i="112"/>
  <c r="AX96" i="112"/>
  <c r="BI95" i="94"/>
  <c r="BJ94" i="94"/>
  <c r="AW93" i="94"/>
  <c r="BB87" i="94"/>
  <c r="BA87" i="94"/>
  <c r="AT87" i="94" s="1"/>
  <c r="AI69" i="111"/>
  <c r="AK69" i="111" s="1"/>
  <c r="BB74" i="111"/>
  <c r="AY28" i="111"/>
  <c r="AP28" i="111"/>
  <c r="W94" i="94"/>
  <c r="G95" i="94"/>
  <c r="H94" i="94"/>
  <c r="BK94" i="94" s="1"/>
  <c r="K94" i="94"/>
  <c r="I94" i="94"/>
  <c r="AN132" i="94"/>
  <c r="AP93" i="94"/>
  <c r="Y128" i="94"/>
  <c r="BL93" i="94"/>
  <c r="AU94" i="94"/>
  <c r="AQ95" i="94"/>
  <c r="AR94" i="94"/>
  <c r="S30" i="111"/>
  <c r="H30" i="111"/>
  <c r="T71" i="111"/>
  <c r="V71" i="111" s="1"/>
  <c r="E96" i="111"/>
  <c r="J95" i="111"/>
  <c r="F95" i="111"/>
  <c r="AZ95" i="111" s="1"/>
  <c r="AM96" i="111"/>
  <c r="AN95" i="111"/>
  <c r="BA29" i="111"/>
  <c r="AX97" i="111"/>
  <c r="BM121" i="109"/>
  <c r="AV76" i="109"/>
  <c r="AZ76" i="109" s="1"/>
  <c r="AX76" i="109" s="1"/>
  <c r="AW76" i="109" s="1"/>
  <c r="BH76" i="109" s="1"/>
  <c r="H30" i="110"/>
  <c r="T71" i="110"/>
  <c r="S30" i="110"/>
  <c r="BM119" i="94"/>
  <c r="AV74" i="94"/>
  <c r="AZ74" i="94" s="1"/>
  <c r="AX74" i="94" s="1"/>
  <c r="AW74" i="94" s="1"/>
  <c r="BH74" i="94" s="1"/>
  <c r="K43" i="94"/>
  <c r="AU30" i="103"/>
  <c r="AT30" i="103" s="1"/>
  <c r="AV30" i="103"/>
  <c r="AP90" i="94"/>
  <c r="AU91" i="94"/>
  <c r="AN129" i="94"/>
  <c r="AK71" i="103"/>
  <c r="M26" i="61"/>
  <c r="K26" i="61" s="1"/>
  <c r="Q93" i="94" l="1"/>
  <c r="J93" i="94" s="1"/>
  <c r="R93" i="94"/>
  <c r="M93" i="94"/>
  <c r="U95" i="94"/>
  <c r="V94" i="94"/>
  <c r="AU28" i="110"/>
  <c r="AV28" i="110"/>
  <c r="AK69" i="110"/>
  <c r="AS28" i="112"/>
  <c r="AJ68" i="112"/>
  <c r="J46" i="109"/>
  <c r="Y81" i="109"/>
  <c r="BL46" i="109"/>
  <c r="P46" i="109"/>
  <c r="N46" i="109" s="1"/>
  <c r="M46" i="109"/>
  <c r="S46" i="109" s="1"/>
  <c r="AQ27" i="112"/>
  <c r="AW27" i="112" s="1"/>
  <c r="AY28" i="112" s="1"/>
  <c r="N29" i="112"/>
  <c r="L29" i="112" s="1"/>
  <c r="G29" i="112" s="1"/>
  <c r="AN126" i="109"/>
  <c r="AU88" i="109"/>
  <c r="AP87" i="109"/>
  <c r="AM99" i="112"/>
  <c r="AN98" i="112"/>
  <c r="AX97" i="112"/>
  <c r="E98" i="112"/>
  <c r="J97" i="112"/>
  <c r="F97" i="112"/>
  <c r="AZ97" i="112" s="1"/>
  <c r="AW94" i="94"/>
  <c r="BA88" i="94"/>
  <c r="AT88" i="94" s="1"/>
  <c r="BB88" i="94"/>
  <c r="BI96" i="94"/>
  <c r="BJ95" i="94"/>
  <c r="AV28" i="111"/>
  <c r="AU28" i="111"/>
  <c r="AN133" i="94"/>
  <c r="AP94" i="94"/>
  <c r="Y129" i="94"/>
  <c r="BL94" i="94"/>
  <c r="G96" i="94"/>
  <c r="W95" i="94"/>
  <c r="H95" i="94"/>
  <c r="BK95" i="94" s="1"/>
  <c r="K95" i="94"/>
  <c r="T95" i="94"/>
  <c r="I95" i="94"/>
  <c r="AU95" i="94"/>
  <c r="AR95" i="94"/>
  <c r="AQ96" i="94"/>
  <c r="I30" i="111"/>
  <c r="E97" i="111"/>
  <c r="J96" i="111"/>
  <c r="F96" i="111"/>
  <c r="AZ96" i="111" s="1"/>
  <c r="AM97" i="111"/>
  <c r="AN96" i="111"/>
  <c r="AX98" i="111"/>
  <c r="U70" i="111"/>
  <c r="P30" i="111"/>
  <c r="O30" i="111"/>
  <c r="N30" i="111" s="1"/>
  <c r="L30" i="111" s="1"/>
  <c r="BM122" i="109"/>
  <c r="AV77" i="109"/>
  <c r="AZ77" i="109" s="1"/>
  <c r="AX77" i="109" s="1"/>
  <c r="AW77" i="109" s="1"/>
  <c r="BH77" i="109" s="1"/>
  <c r="O30" i="110"/>
  <c r="N30" i="110" s="1"/>
  <c r="L30" i="110" s="1"/>
  <c r="G30" i="110" s="1"/>
  <c r="BA30" i="110" s="1"/>
  <c r="P30" i="110"/>
  <c r="V71" i="110"/>
  <c r="U70" i="110"/>
  <c r="I30" i="110"/>
  <c r="AR30" i="103"/>
  <c r="AO30" i="103" s="1"/>
  <c r="AL30" i="103" s="1"/>
  <c r="AV75" i="94"/>
  <c r="AZ75" i="94" s="1"/>
  <c r="AX75" i="94" s="1"/>
  <c r="AW75" i="94" s="1"/>
  <c r="BH75" i="94" s="1"/>
  <c r="BM120" i="94"/>
  <c r="AN130" i="94"/>
  <c r="AP91" i="94"/>
  <c r="AU92" i="94"/>
  <c r="Y78" i="94"/>
  <c r="J43" i="94"/>
  <c r="BL43" i="94"/>
  <c r="M43" i="94"/>
  <c r="S43" i="94" s="1"/>
  <c r="L44" i="94" s="1"/>
  <c r="H26" i="61"/>
  <c r="J26" i="61" s="1"/>
  <c r="L27" i="61"/>
  <c r="U96" i="94" l="1"/>
  <c r="V95" i="94"/>
  <c r="M94" i="94"/>
  <c r="R94" i="94"/>
  <c r="Q94" i="94"/>
  <c r="J94" i="94" s="1"/>
  <c r="AT28" i="110"/>
  <c r="AR28" i="110" s="1"/>
  <c r="AS29" i="110" s="1"/>
  <c r="AP28" i="112"/>
  <c r="AI69" i="112"/>
  <c r="AK69" i="112" s="1"/>
  <c r="BB74" i="112"/>
  <c r="X82" i="109"/>
  <c r="L47" i="109"/>
  <c r="M30" i="112"/>
  <c r="K29" i="112"/>
  <c r="Q29" i="112" s="1"/>
  <c r="BA29" i="112"/>
  <c r="AU89" i="109"/>
  <c r="AP88" i="109"/>
  <c r="AN127" i="109"/>
  <c r="E99" i="112"/>
  <c r="J98" i="112"/>
  <c r="F98" i="112"/>
  <c r="AZ98" i="112" s="1"/>
  <c r="AM100" i="112"/>
  <c r="AN99" i="112"/>
  <c r="AX98" i="112"/>
  <c r="AV28" i="112"/>
  <c r="AU28" i="112"/>
  <c r="BJ96" i="94"/>
  <c r="BI97" i="94"/>
  <c r="AW95" i="94"/>
  <c r="BB89" i="94"/>
  <c r="BA89" i="94"/>
  <c r="AT89" i="94" s="1"/>
  <c r="AT28" i="111"/>
  <c r="AR28" i="111" s="1"/>
  <c r="AO28" i="111" s="1"/>
  <c r="AU96" i="94"/>
  <c r="AR96" i="94"/>
  <c r="AQ97" i="94"/>
  <c r="W96" i="94"/>
  <c r="G97" i="94"/>
  <c r="T96" i="94"/>
  <c r="H96" i="94"/>
  <c r="BK96" i="94" s="1"/>
  <c r="K96" i="94"/>
  <c r="I96" i="94"/>
  <c r="Y130" i="94"/>
  <c r="BL95" i="94"/>
  <c r="AN134" i="94"/>
  <c r="AP95" i="94"/>
  <c r="G30" i="111"/>
  <c r="BA30" i="111" s="1"/>
  <c r="AM98" i="111"/>
  <c r="AN97" i="111"/>
  <c r="J97" i="111"/>
  <c r="E98" i="111"/>
  <c r="F97" i="111"/>
  <c r="AZ97" i="111" s="1"/>
  <c r="M31" i="111"/>
  <c r="AX99" i="111"/>
  <c r="AS31" i="103"/>
  <c r="AJ71" i="103"/>
  <c r="AV78" i="109"/>
  <c r="AZ78" i="109" s="1"/>
  <c r="AX78" i="109" s="1"/>
  <c r="AW78" i="109" s="1"/>
  <c r="BH78" i="109" s="1"/>
  <c r="BM123" i="109"/>
  <c r="M31" i="110"/>
  <c r="K30" i="110"/>
  <c r="Q30" i="110" s="1"/>
  <c r="AQ30" i="103"/>
  <c r="AW30" i="103" s="1"/>
  <c r="AP31" i="103" s="1"/>
  <c r="BM121" i="94"/>
  <c r="AV76" i="94"/>
  <c r="AZ76" i="94" s="1"/>
  <c r="AX76" i="94" s="1"/>
  <c r="AW76" i="94" s="1"/>
  <c r="BH76" i="94" s="1"/>
  <c r="P44" i="94"/>
  <c r="N44" i="94" s="1"/>
  <c r="X79" i="94"/>
  <c r="AP92" i="94"/>
  <c r="AN131" i="94"/>
  <c r="P26" i="61"/>
  <c r="T56" i="61"/>
  <c r="M95" i="94" l="1"/>
  <c r="R95" i="94"/>
  <c r="Q95" i="94"/>
  <c r="J95" i="94" s="1"/>
  <c r="U97" i="94"/>
  <c r="V96" i="94"/>
  <c r="AT28" i="112"/>
  <c r="AO28" i="110"/>
  <c r="AQ28" i="110" s="1"/>
  <c r="AW28" i="110" s="1"/>
  <c r="AR28" i="112"/>
  <c r="AO28" i="112" s="1"/>
  <c r="P47" i="109"/>
  <c r="N47" i="109" s="1"/>
  <c r="K47" i="109"/>
  <c r="H30" i="112"/>
  <c r="T71" i="112"/>
  <c r="S30" i="112"/>
  <c r="AN128" i="109"/>
  <c r="AU90" i="109"/>
  <c r="AP89" i="109"/>
  <c r="J99" i="112"/>
  <c r="E100" i="112"/>
  <c r="F99" i="112"/>
  <c r="AZ99" i="112" s="1"/>
  <c r="AS29" i="112"/>
  <c r="AX99" i="112"/>
  <c r="AM101" i="112"/>
  <c r="AN100" i="112"/>
  <c r="BJ97" i="94"/>
  <c r="BI98" i="94"/>
  <c r="AW96" i="94"/>
  <c r="BA90" i="94"/>
  <c r="AT90" i="94" s="1"/>
  <c r="BB90" i="94"/>
  <c r="AQ28" i="111"/>
  <c r="AW28" i="111" s="1"/>
  <c r="AJ69" i="111"/>
  <c r="AL28" i="111"/>
  <c r="AS29" i="111"/>
  <c r="Y131" i="94"/>
  <c r="BL96" i="94"/>
  <c r="AQ98" i="94"/>
  <c r="AU97" i="94"/>
  <c r="AR97" i="94"/>
  <c r="G98" i="94"/>
  <c r="W97" i="94"/>
  <c r="K97" i="94"/>
  <c r="T97" i="94"/>
  <c r="H97" i="94"/>
  <c r="BK97" i="94" s="1"/>
  <c r="I97" i="94"/>
  <c r="AP96" i="94"/>
  <c r="AN135" i="94"/>
  <c r="AX100" i="111"/>
  <c r="AM99" i="111"/>
  <c r="AN98" i="111"/>
  <c r="K30" i="111"/>
  <c r="Q30" i="111" s="1"/>
  <c r="J98" i="111"/>
  <c r="E99" i="111"/>
  <c r="F98" i="111"/>
  <c r="AZ98" i="111" s="1"/>
  <c r="AY31" i="103"/>
  <c r="AV31" i="103" s="1"/>
  <c r="BB77" i="103"/>
  <c r="AI72" i="103"/>
  <c r="AK72" i="103" s="1"/>
  <c r="AV79" i="109"/>
  <c r="AZ79" i="109" s="1"/>
  <c r="AX79" i="109" s="1"/>
  <c r="AW79" i="109" s="1"/>
  <c r="BH79" i="109" s="1"/>
  <c r="BM124" i="109"/>
  <c r="H31" i="110"/>
  <c r="T72" i="110"/>
  <c r="S31" i="110"/>
  <c r="K44" i="94"/>
  <c r="Y79" i="94" s="1"/>
  <c r="BM122" i="94"/>
  <c r="AV77" i="94"/>
  <c r="AZ77" i="94" s="1"/>
  <c r="AX77" i="94" s="1"/>
  <c r="AW77" i="94" s="1"/>
  <c r="BH77" i="94" s="1"/>
  <c r="I27" i="61"/>
  <c r="S57" i="61"/>
  <c r="R27" i="61"/>
  <c r="V97" i="94" l="1"/>
  <c r="U98" i="94"/>
  <c r="M96" i="94"/>
  <c r="Q96" i="94"/>
  <c r="J96" i="94" s="1"/>
  <c r="R96" i="94"/>
  <c r="AP29" i="110"/>
  <c r="AY29" i="110"/>
  <c r="AI70" i="110"/>
  <c r="BB75" i="110"/>
  <c r="AL28" i="110"/>
  <c r="AJ69" i="110"/>
  <c r="M47" i="109"/>
  <c r="S47" i="109" s="1"/>
  <c r="BL47" i="109"/>
  <c r="J47" i="109"/>
  <c r="Y82" i="109"/>
  <c r="P30" i="112"/>
  <c r="O30" i="112"/>
  <c r="N30" i="112" s="1"/>
  <c r="L30" i="112" s="1"/>
  <c r="G30" i="112" s="1"/>
  <c r="V71" i="112"/>
  <c r="U70" i="112"/>
  <c r="I30" i="112"/>
  <c r="AN129" i="109"/>
  <c r="AU91" i="109"/>
  <c r="AP90" i="109"/>
  <c r="AX100" i="112"/>
  <c r="J100" i="112"/>
  <c r="E101" i="112"/>
  <c r="F100" i="112"/>
  <c r="AZ100" i="112" s="1"/>
  <c r="AL28" i="112"/>
  <c r="AJ69" i="112"/>
  <c r="AM102" i="112"/>
  <c r="AN101" i="112"/>
  <c r="AQ28" i="112"/>
  <c r="AW28" i="112" s="1"/>
  <c r="BJ98" i="94"/>
  <c r="BI99" i="94"/>
  <c r="BB91" i="94"/>
  <c r="BA91" i="94"/>
  <c r="AT91" i="94" s="1"/>
  <c r="AW97" i="94"/>
  <c r="AP29" i="111"/>
  <c r="AI70" i="111"/>
  <c r="BB75" i="111"/>
  <c r="AY29" i="111"/>
  <c r="AU31" i="103"/>
  <c r="AT31" i="103" s="1"/>
  <c r="AR31" i="103" s="1"/>
  <c r="AO31" i="103" s="1"/>
  <c r="AQ31" i="103" s="1"/>
  <c r="AW31" i="103" s="1"/>
  <c r="Y132" i="94"/>
  <c r="BL97" i="94"/>
  <c r="AP97" i="94"/>
  <c r="AN136" i="94"/>
  <c r="W98" i="94"/>
  <c r="G99" i="94"/>
  <c r="H98" i="94"/>
  <c r="BK98" i="94" s="1"/>
  <c r="K98" i="94"/>
  <c r="T98" i="94"/>
  <c r="I98" i="94"/>
  <c r="AR98" i="94"/>
  <c r="AQ99" i="94"/>
  <c r="AU98" i="94"/>
  <c r="AX101" i="111"/>
  <c r="E100" i="111"/>
  <c r="J99" i="111"/>
  <c r="F99" i="111"/>
  <c r="AZ99" i="111" s="1"/>
  <c r="AM100" i="111"/>
  <c r="AN99" i="111"/>
  <c r="S31" i="111"/>
  <c r="T72" i="111"/>
  <c r="H31" i="111"/>
  <c r="BM125" i="109"/>
  <c r="AV80" i="109"/>
  <c r="AZ80" i="109" s="1"/>
  <c r="AX80" i="109" s="1"/>
  <c r="AW80" i="109" s="1"/>
  <c r="BH80" i="109" s="1"/>
  <c r="I31" i="110"/>
  <c r="V72" i="110"/>
  <c r="U71" i="110"/>
  <c r="O31" i="110"/>
  <c r="N31" i="110" s="1"/>
  <c r="L31" i="110" s="1"/>
  <c r="G31" i="110" s="1"/>
  <c r="BA31" i="110" s="1"/>
  <c r="P31" i="110"/>
  <c r="J44" i="94"/>
  <c r="M44" i="94"/>
  <c r="S44" i="94" s="1"/>
  <c r="BL44" i="94"/>
  <c r="BM123" i="94"/>
  <c r="AV78" i="94"/>
  <c r="AZ78" i="94" s="1"/>
  <c r="AX78" i="94" s="1"/>
  <c r="AW78" i="94" s="1"/>
  <c r="BH78" i="94" s="1"/>
  <c r="O27" i="61"/>
  <c r="N27" i="61"/>
  <c r="V98" i="94" l="1"/>
  <c r="U99" i="94"/>
  <c r="Q97" i="94"/>
  <c r="J97" i="94" s="1"/>
  <c r="R97" i="94"/>
  <c r="M97" i="94"/>
  <c r="AK70" i="110"/>
  <c r="AU29" i="110"/>
  <c r="AV29" i="110"/>
  <c r="L48" i="109"/>
  <c r="K48" i="109" s="1"/>
  <c r="X83" i="109"/>
  <c r="K30" i="112"/>
  <c r="Q30" i="112" s="1"/>
  <c r="BA30" i="112"/>
  <c r="M31" i="112"/>
  <c r="AP91" i="109"/>
  <c r="AN130" i="109"/>
  <c r="AU92" i="109"/>
  <c r="AM103" i="112"/>
  <c r="AN102" i="112"/>
  <c r="AY29" i="112"/>
  <c r="AI70" i="112"/>
  <c r="AP29" i="112"/>
  <c r="BB75" i="112"/>
  <c r="E102" i="112"/>
  <c r="J101" i="112"/>
  <c r="F101" i="112"/>
  <c r="AZ101" i="112" s="1"/>
  <c r="AX101" i="112"/>
  <c r="X80" i="94"/>
  <c r="L45" i="94"/>
  <c r="P45" i="94" s="1"/>
  <c r="N45" i="94" s="1"/>
  <c r="BI100" i="94"/>
  <c r="BJ99" i="94"/>
  <c r="AW98" i="94"/>
  <c r="BB92" i="94"/>
  <c r="BA92" i="94"/>
  <c r="AT92" i="94" s="1"/>
  <c r="AU29" i="111"/>
  <c r="AV29" i="111"/>
  <c r="AK70" i="111"/>
  <c r="AU99" i="94"/>
  <c r="AQ100" i="94"/>
  <c r="AR99" i="94"/>
  <c r="BL98" i="94"/>
  <c r="Y133" i="94"/>
  <c r="G100" i="94"/>
  <c r="W99" i="94"/>
  <c r="K99" i="94"/>
  <c r="T99" i="94"/>
  <c r="H99" i="94"/>
  <c r="BK99" i="94" s="1"/>
  <c r="I99" i="94"/>
  <c r="AN137" i="94"/>
  <c r="AP98" i="94"/>
  <c r="P31" i="111"/>
  <c r="O31" i="111"/>
  <c r="AM101" i="111"/>
  <c r="AN100" i="111"/>
  <c r="I31" i="111"/>
  <c r="AX102" i="111"/>
  <c r="V72" i="111"/>
  <c r="U71" i="111"/>
  <c r="E101" i="111"/>
  <c r="J100" i="111"/>
  <c r="F100" i="111"/>
  <c r="AZ100" i="111" s="1"/>
  <c r="BM126" i="109"/>
  <c r="AV81" i="109"/>
  <c r="AZ81" i="109" s="1"/>
  <c r="AX81" i="109" s="1"/>
  <c r="AW81" i="109" s="1"/>
  <c r="BH81" i="109" s="1"/>
  <c r="K31" i="110"/>
  <c r="Q31" i="110" s="1"/>
  <c r="M32" i="110"/>
  <c r="AS32" i="103"/>
  <c r="AV79" i="94"/>
  <c r="AZ79" i="94" s="1"/>
  <c r="AX79" i="94" s="1"/>
  <c r="AW79" i="94" s="1"/>
  <c r="BH79" i="94" s="1"/>
  <c r="BM124" i="94"/>
  <c r="AP32" i="103"/>
  <c r="BB78" i="103"/>
  <c r="AI73" i="103"/>
  <c r="AY32" i="103"/>
  <c r="AL31" i="103"/>
  <c r="AJ72" i="103"/>
  <c r="M27" i="61"/>
  <c r="K27" i="61" s="1"/>
  <c r="V99" i="94" l="1"/>
  <c r="U100" i="94"/>
  <c r="M98" i="94"/>
  <c r="R98" i="94"/>
  <c r="Q98" i="94"/>
  <c r="J98" i="94" s="1"/>
  <c r="AT29" i="110"/>
  <c r="AR29" i="110" s="1"/>
  <c r="AS30" i="110" s="1"/>
  <c r="BL48" i="109"/>
  <c r="Y83" i="109"/>
  <c r="J48" i="109"/>
  <c r="P48" i="109"/>
  <c r="N48" i="109" s="1"/>
  <c r="M48" i="109"/>
  <c r="S48" i="109" s="1"/>
  <c r="S31" i="112"/>
  <c r="T72" i="112"/>
  <c r="H31" i="112"/>
  <c r="AP92" i="109"/>
  <c r="AP7" i="109" s="1"/>
  <c r="AN131" i="109"/>
  <c r="AT109" i="109"/>
  <c r="AU109" i="109"/>
  <c r="AX102" i="112"/>
  <c r="AM104" i="112"/>
  <c r="AN103" i="112"/>
  <c r="AK70" i="112"/>
  <c r="AV29" i="112"/>
  <c r="AU29" i="112"/>
  <c r="AT29" i="112" s="1"/>
  <c r="E103" i="112"/>
  <c r="J102" i="112"/>
  <c r="F102" i="112"/>
  <c r="AZ102" i="112" s="1"/>
  <c r="BA93" i="94"/>
  <c r="AT93" i="94" s="1"/>
  <c r="BB93" i="94"/>
  <c r="AW99" i="94"/>
  <c r="BI101" i="94"/>
  <c r="BJ100" i="94"/>
  <c r="AT29" i="111"/>
  <c r="AR29" i="111" s="1"/>
  <c r="AS30" i="111" s="1"/>
  <c r="BL99" i="94"/>
  <c r="Y134" i="94"/>
  <c r="AU100" i="94"/>
  <c r="AR100" i="94"/>
  <c r="AQ101" i="94"/>
  <c r="W100" i="94"/>
  <c r="G101" i="94"/>
  <c r="T100" i="94"/>
  <c r="H100" i="94"/>
  <c r="BK100" i="94" s="1"/>
  <c r="K100" i="94"/>
  <c r="I100" i="94"/>
  <c r="AP99" i="94"/>
  <c r="AN138" i="94"/>
  <c r="AM102" i="111"/>
  <c r="AN101" i="111"/>
  <c r="AX103" i="111"/>
  <c r="J101" i="111"/>
  <c r="E102" i="111"/>
  <c r="F101" i="111"/>
  <c r="AZ101" i="111" s="1"/>
  <c r="N31" i="111"/>
  <c r="L31" i="111" s="1"/>
  <c r="BM127" i="109"/>
  <c r="AV82" i="109"/>
  <c r="AZ82" i="109" s="1"/>
  <c r="AX82" i="109" s="1"/>
  <c r="AW82" i="109" s="1"/>
  <c r="BH82" i="109" s="1"/>
  <c r="H32" i="110"/>
  <c r="T73" i="110"/>
  <c r="S32" i="110"/>
  <c r="K45" i="94"/>
  <c r="M45" i="94" s="1"/>
  <c r="S45" i="94" s="1"/>
  <c r="BM125" i="94"/>
  <c r="AV80" i="94"/>
  <c r="AZ80" i="94" s="1"/>
  <c r="AX80" i="94" s="1"/>
  <c r="AW80" i="94" s="1"/>
  <c r="BH80" i="94" s="1"/>
  <c r="AV32" i="103"/>
  <c r="AU32" i="103"/>
  <c r="AK73" i="103"/>
  <c r="H27" i="61"/>
  <c r="J27" i="61" s="1"/>
  <c r="L28" i="61"/>
  <c r="U101" i="94" l="1"/>
  <c r="V100" i="94"/>
  <c r="Q99" i="94"/>
  <c r="J99" i="94" s="1"/>
  <c r="M99" i="94"/>
  <c r="R99" i="94"/>
  <c r="AO29" i="110"/>
  <c r="AQ29" i="110" s="1"/>
  <c r="AW29" i="110" s="1"/>
  <c r="X84" i="109"/>
  <c r="L49" i="109"/>
  <c r="K49" i="109" s="1"/>
  <c r="I31" i="112"/>
  <c r="V72" i="112"/>
  <c r="U71" i="112"/>
  <c r="AR29" i="112"/>
  <c r="AO29" i="112" s="1"/>
  <c r="O31" i="112"/>
  <c r="P31" i="112"/>
  <c r="AO148" i="109"/>
  <c r="AN148" i="109"/>
  <c r="E104" i="112"/>
  <c r="J103" i="112"/>
  <c r="F103" i="112"/>
  <c r="AZ103" i="112" s="1"/>
  <c r="AM105" i="112"/>
  <c r="AN104" i="112"/>
  <c r="AX103" i="112"/>
  <c r="L46" i="94"/>
  <c r="P46" i="94" s="1"/>
  <c r="N46" i="94" s="1"/>
  <c r="BJ101" i="94"/>
  <c r="BI102" i="94"/>
  <c r="AW100" i="94"/>
  <c r="BA94" i="94"/>
  <c r="AT94" i="94" s="1"/>
  <c r="BB94" i="94"/>
  <c r="AO29" i="111"/>
  <c r="AQ29" i="111" s="1"/>
  <c r="AW29" i="111" s="1"/>
  <c r="AU101" i="94"/>
  <c r="AR101" i="94"/>
  <c r="AQ102" i="94"/>
  <c r="G102" i="94"/>
  <c r="W101" i="94"/>
  <c r="H101" i="94"/>
  <c r="BK101" i="94" s="1"/>
  <c r="K101" i="94"/>
  <c r="T101" i="94"/>
  <c r="I101" i="94"/>
  <c r="AN139" i="94"/>
  <c r="AP100" i="94"/>
  <c r="BL100" i="94"/>
  <c r="Y135" i="94"/>
  <c r="AX104" i="111"/>
  <c r="G31" i="111"/>
  <c r="K31" i="111" s="1"/>
  <c r="Q31" i="111" s="1"/>
  <c r="J102" i="111"/>
  <c r="E103" i="111"/>
  <c r="F102" i="111"/>
  <c r="AZ102" i="111" s="1"/>
  <c r="M32" i="111"/>
  <c r="AM103" i="111"/>
  <c r="AN102" i="111"/>
  <c r="AV83" i="109"/>
  <c r="AZ83" i="109" s="1"/>
  <c r="AX83" i="109" s="1"/>
  <c r="AW83" i="109" s="1"/>
  <c r="BH83" i="109" s="1"/>
  <c r="BM128" i="109"/>
  <c r="O32" i="110"/>
  <c r="P32" i="110"/>
  <c r="V73" i="110"/>
  <c r="U72" i="110"/>
  <c r="I32" i="110"/>
  <c r="X81" i="94"/>
  <c r="Y80" i="94"/>
  <c r="J45" i="94"/>
  <c r="BL45" i="94"/>
  <c r="K46" i="94"/>
  <c r="Y81" i="94" s="1"/>
  <c r="AV81" i="94"/>
  <c r="AZ81" i="94" s="1"/>
  <c r="AX81" i="94" s="1"/>
  <c r="AW81" i="94" s="1"/>
  <c r="BH81" i="94" s="1"/>
  <c r="BM126" i="94"/>
  <c r="AT32" i="103"/>
  <c r="AR32" i="103" s="1"/>
  <c r="AS33" i="103" s="1"/>
  <c r="P27" i="61"/>
  <c r="T57" i="61"/>
  <c r="R100" i="94" l="1"/>
  <c r="Q100" i="94"/>
  <c r="J100" i="94" s="1"/>
  <c r="M100" i="94"/>
  <c r="V101" i="94"/>
  <c r="U102" i="94"/>
  <c r="AI71" i="110"/>
  <c r="BB76" i="110"/>
  <c r="AP30" i="110"/>
  <c r="AY30" i="110"/>
  <c r="AL29" i="110"/>
  <c r="AJ70" i="110"/>
  <c r="P49" i="109"/>
  <c r="N49" i="109" s="1"/>
  <c r="M49" i="109"/>
  <c r="S49" i="109" s="1"/>
  <c r="BL49" i="109"/>
  <c r="J49" i="109"/>
  <c r="Y84" i="109"/>
  <c r="AS30" i="112"/>
  <c r="AQ29" i="112"/>
  <c r="AW29" i="112" s="1"/>
  <c r="AP30" i="112" s="1"/>
  <c r="N31" i="112"/>
  <c r="L31" i="112" s="1"/>
  <c r="G31" i="112" s="1"/>
  <c r="AM106" i="112"/>
  <c r="AN105" i="112"/>
  <c r="AX104" i="112"/>
  <c r="J104" i="112"/>
  <c r="E105" i="112"/>
  <c r="F104" i="112"/>
  <c r="AZ104" i="112" s="1"/>
  <c r="AY30" i="112"/>
  <c r="AL29" i="112"/>
  <c r="AJ70" i="112"/>
  <c r="BJ102" i="94"/>
  <c r="BI103" i="94"/>
  <c r="AW101" i="94"/>
  <c r="BB95" i="94"/>
  <c r="BA95" i="94"/>
  <c r="AT95" i="94" s="1"/>
  <c r="AP30" i="111"/>
  <c r="AY30" i="111"/>
  <c r="AI71" i="111"/>
  <c r="BB76" i="111"/>
  <c r="AL29" i="111"/>
  <c r="AJ70" i="111"/>
  <c r="BL101" i="94"/>
  <c r="Y136" i="94"/>
  <c r="AU102" i="94"/>
  <c r="AR102" i="94"/>
  <c r="AQ103" i="94"/>
  <c r="W102" i="94"/>
  <c r="G103" i="94"/>
  <c r="K102" i="94"/>
  <c r="T102" i="94"/>
  <c r="H102" i="94"/>
  <c r="BK102" i="94" s="1"/>
  <c r="I102" i="94"/>
  <c r="AP101" i="94"/>
  <c r="AN140" i="94"/>
  <c r="S32" i="111"/>
  <c r="T73" i="111"/>
  <c r="V73" i="111" s="1"/>
  <c r="H32" i="111"/>
  <c r="AM104" i="111"/>
  <c r="AN103" i="111"/>
  <c r="BA31" i="111"/>
  <c r="AX105" i="111"/>
  <c r="J103" i="111"/>
  <c r="E104" i="111"/>
  <c r="F103" i="111"/>
  <c r="AZ103" i="111" s="1"/>
  <c r="BM129" i="109"/>
  <c r="AV84" i="109"/>
  <c r="AZ84" i="109" s="1"/>
  <c r="AX84" i="109" s="1"/>
  <c r="AW84" i="109" s="1"/>
  <c r="BH84" i="109" s="1"/>
  <c r="N32" i="110"/>
  <c r="L32" i="110" s="1"/>
  <c r="M33" i="110" s="1"/>
  <c r="BL46" i="94"/>
  <c r="M46" i="94"/>
  <c r="S46" i="94" s="1"/>
  <c r="J46" i="94"/>
  <c r="BM127" i="94"/>
  <c r="AV82" i="94"/>
  <c r="AZ82" i="94" s="1"/>
  <c r="AX82" i="94" s="1"/>
  <c r="AW82" i="94" s="1"/>
  <c r="BH82" i="94" s="1"/>
  <c r="AO32" i="103"/>
  <c r="AQ32" i="103" s="1"/>
  <c r="AW32" i="103" s="1"/>
  <c r="I28" i="61"/>
  <c r="S58" i="61"/>
  <c r="R28" i="61"/>
  <c r="M101" i="94" l="1"/>
  <c r="Q101" i="94"/>
  <c r="J101" i="94" s="1"/>
  <c r="R101" i="94"/>
  <c r="U103" i="94"/>
  <c r="V102" i="94"/>
  <c r="AV30" i="110"/>
  <c r="AU30" i="110"/>
  <c r="AK71" i="110"/>
  <c r="AI71" i="112"/>
  <c r="AK71" i="112" s="1"/>
  <c r="BB76" i="112"/>
  <c r="L50" i="109"/>
  <c r="P50" i="109" s="1"/>
  <c r="N50" i="109" s="1"/>
  <c r="X85" i="109"/>
  <c r="K31" i="112"/>
  <c r="Q31" i="112" s="1"/>
  <c r="BA31" i="112"/>
  <c r="M32" i="112"/>
  <c r="AV30" i="112"/>
  <c r="AU30" i="112"/>
  <c r="J105" i="112"/>
  <c r="E106" i="112"/>
  <c r="F105" i="112"/>
  <c r="AZ105" i="112" s="1"/>
  <c r="AM107" i="112"/>
  <c r="AN106" i="112"/>
  <c r="AX105" i="112"/>
  <c r="L47" i="94"/>
  <c r="P47" i="94" s="1"/>
  <c r="N47" i="94" s="1"/>
  <c r="BI104" i="94"/>
  <c r="BJ103" i="94"/>
  <c r="BB96" i="94"/>
  <c r="AW102" i="94"/>
  <c r="BA96" i="94"/>
  <c r="AT96" i="94" s="1"/>
  <c r="AK71" i="111"/>
  <c r="AU30" i="111"/>
  <c r="AV30" i="111"/>
  <c r="U72" i="111"/>
  <c r="AU103" i="94"/>
  <c r="AR103" i="94"/>
  <c r="AQ104" i="94"/>
  <c r="BL102" i="94"/>
  <c r="Y137" i="94"/>
  <c r="G104" i="94"/>
  <c r="W103" i="94"/>
  <c r="H103" i="94"/>
  <c r="BK103" i="94" s="1"/>
  <c r="K103" i="94"/>
  <c r="T103" i="94"/>
  <c r="I103" i="94"/>
  <c r="AN141" i="94"/>
  <c r="AP102" i="94"/>
  <c r="AM105" i="111"/>
  <c r="AN104" i="111"/>
  <c r="I32" i="111"/>
  <c r="J104" i="111"/>
  <c r="E105" i="111"/>
  <c r="F104" i="111"/>
  <c r="AZ104" i="111" s="1"/>
  <c r="AX106" i="111"/>
  <c r="P32" i="111"/>
  <c r="O32" i="111"/>
  <c r="X82" i="94"/>
  <c r="BM130" i="109"/>
  <c r="AV85" i="109"/>
  <c r="AZ85" i="109" s="1"/>
  <c r="AX85" i="109" s="1"/>
  <c r="AW85" i="109" s="1"/>
  <c r="BH85" i="109" s="1"/>
  <c r="G32" i="110"/>
  <c r="K32" i="110" s="1"/>
  <c r="Q32" i="110" s="1"/>
  <c r="AP33" i="103"/>
  <c r="BB79" i="103"/>
  <c r="AI74" i="103"/>
  <c r="AY33" i="103"/>
  <c r="BM128" i="94"/>
  <c r="AV83" i="94"/>
  <c r="AZ83" i="94" s="1"/>
  <c r="AX83" i="94" s="1"/>
  <c r="AW83" i="94" s="1"/>
  <c r="BH83" i="94" s="1"/>
  <c r="AL32" i="103"/>
  <c r="AJ73" i="103"/>
  <c r="O28" i="61"/>
  <c r="N28" i="61"/>
  <c r="U104" i="94" l="1"/>
  <c r="V103" i="94"/>
  <c r="Q102" i="94"/>
  <c r="J102" i="94" s="1"/>
  <c r="M102" i="94"/>
  <c r="R102" i="94"/>
  <c r="AT30" i="110"/>
  <c r="AR30" i="110" s="1"/>
  <c r="AS31" i="110" s="1"/>
  <c r="K50" i="109"/>
  <c r="J50" i="109" s="1"/>
  <c r="S32" i="112"/>
  <c r="T73" i="112"/>
  <c r="H32" i="112"/>
  <c r="I32" i="112" s="1"/>
  <c r="AT30" i="112"/>
  <c r="AR30" i="112" s="1"/>
  <c r="AS31" i="112" s="1"/>
  <c r="AX106" i="112"/>
  <c r="AM108" i="112"/>
  <c r="AN107" i="112"/>
  <c r="E107" i="112"/>
  <c r="J106" i="112"/>
  <c r="F106" i="112"/>
  <c r="AZ106" i="112" s="1"/>
  <c r="K47" i="94"/>
  <c r="Y82" i="94" s="1"/>
  <c r="AW103" i="94"/>
  <c r="BB97" i="94"/>
  <c r="BA97" i="94"/>
  <c r="AT97" i="94" s="1"/>
  <c r="BJ104" i="94"/>
  <c r="BI105" i="94"/>
  <c r="AT30" i="111"/>
  <c r="AR30" i="111" s="1"/>
  <c r="AO30" i="111" s="1"/>
  <c r="W104" i="94"/>
  <c r="G105" i="94"/>
  <c r="T104" i="94"/>
  <c r="H104" i="94"/>
  <c r="BK104" i="94" s="1"/>
  <c r="K104" i="94"/>
  <c r="I104" i="94"/>
  <c r="AR104" i="94"/>
  <c r="AQ105" i="94"/>
  <c r="AU104" i="94"/>
  <c r="BL103" i="94"/>
  <c r="Y138" i="94"/>
  <c r="AN142" i="94"/>
  <c r="AP103" i="94"/>
  <c r="N32" i="111"/>
  <c r="L32" i="111" s="1"/>
  <c r="E106" i="111"/>
  <c r="J105" i="111"/>
  <c r="F105" i="111"/>
  <c r="AZ105" i="111" s="1"/>
  <c r="AM106" i="111"/>
  <c r="AN105" i="111"/>
  <c r="AX107" i="111"/>
  <c r="J47" i="94"/>
  <c r="BL47" i="94"/>
  <c r="M47" i="94"/>
  <c r="S47" i="94" s="1"/>
  <c r="S33" i="110"/>
  <c r="T74" i="110"/>
  <c r="V74" i="110" s="1"/>
  <c r="H33" i="110"/>
  <c r="AV86" i="109"/>
  <c r="AZ86" i="109" s="1"/>
  <c r="AX86" i="109" s="1"/>
  <c r="AW86" i="109" s="1"/>
  <c r="BH86" i="109" s="1"/>
  <c r="BM131" i="109"/>
  <c r="BA32" i="110"/>
  <c r="BM129" i="94"/>
  <c r="AV84" i="94"/>
  <c r="AZ84" i="94" s="1"/>
  <c r="AX84" i="94" s="1"/>
  <c r="AW84" i="94" s="1"/>
  <c r="BH84" i="94" s="1"/>
  <c r="AV33" i="103"/>
  <c r="AU33" i="103"/>
  <c r="AK74" i="103"/>
  <c r="M28" i="61"/>
  <c r="K28" i="61" s="1"/>
  <c r="M103" i="94" l="1"/>
  <c r="R103" i="94"/>
  <c r="Q103" i="94"/>
  <c r="J103" i="94" s="1"/>
  <c r="U105" i="94"/>
  <c r="V104" i="94"/>
  <c r="BL50" i="109"/>
  <c r="M50" i="109"/>
  <c r="S50" i="109" s="1"/>
  <c r="L51" i="109" s="1"/>
  <c r="P51" i="109" s="1"/>
  <c r="N51" i="109" s="1"/>
  <c r="Y85" i="109"/>
  <c r="AO30" i="110"/>
  <c r="AQ30" i="110" s="1"/>
  <c r="AW30" i="110" s="1"/>
  <c r="V73" i="112"/>
  <c r="U72" i="112"/>
  <c r="P32" i="112"/>
  <c r="O32" i="112"/>
  <c r="E108" i="112"/>
  <c r="J107" i="112"/>
  <c r="F107" i="112"/>
  <c r="AZ107" i="112" s="1"/>
  <c r="AM109" i="112"/>
  <c r="AN108" i="112"/>
  <c r="AO30" i="112"/>
  <c r="AX107" i="112"/>
  <c r="L48" i="94"/>
  <c r="P48" i="94" s="1"/>
  <c r="N48" i="94" s="1"/>
  <c r="AW104" i="94"/>
  <c r="BB98" i="94"/>
  <c r="BA98" i="94"/>
  <c r="AT98" i="94" s="1"/>
  <c r="BI106" i="94"/>
  <c r="BJ105" i="94"/>
  <c r="AQ30" i="111"/>
  <c r="AW30" i="111" s="1"/>
  <c r="AL30" i="111"/>
  <c r="AJ71" i="111"/>
  <c r="AS31" i="111"/>
  <c r="AQ106" i="94"/>
  <c r="AU105" i="94"/>
  <c r="AR105" i="94"/>
  <c r="G106" i="94"/>
  <c r="W105" i="94"/>
  <c r="K105" i="94"/>
  <c r="T105" i="94"/>
  <c r="H105" i="94"/>
  <c r="BK105" i="94" s="1"/>
  <c r="I105" i="94"/>
  <c r="AN143" i="94"/>
  <c r="AP104" i="94"/>
  <c r="BL104" i="94"/>
  <c r="Y139" i="94"/>
  <c r="E107" i="111"/>
  <c r="J106" i="111"/>
  <c r="F106" i="111"/>
  <c r="AZ106" i="111" s="1"/>
  <c r="AX108" i="111"/>
  <c r="AM107" i="111"/>
  <c r="AN106" i="111"/>
  <c r="G32" i="111"/>
  <c r="K32" i="111" s="1"/>
  <c r="Q32" i="111" s="1"/>
  <c r="M33" i="111"/>
  <c r="X83" i="94"/>
  <c r="AV87" i="109"/>
  <c r="AZ87" i="109" s="1"/>
  <c r="AX87" i="109" s="1"/>
  <c r="AW87" i="109" s="1"/>
  <c r="BH87" i="109" s="1"/>
  <c r="BM132" i="109"/>
  <c r="I33" i="110"/>
  <c r="U73" i="110"/>
  <c r="O33" i="110"/>
  <c r="N33" i="110" s="1"/>
  <c r="L33" i="110" s="1"/>
  <c r="P33" i="110"/>
  <c r="BM130" i="94"/>
  <c r="AV85" i="94"/>
  <c r="AZ85" i="94" s="1"/>
  <c r="AX85" i="94" s="1"/>
  <c r="AW85" i="94" s="1"/>
  <c r="BH85" i="94" s="1"/>
  <c r="AT33" i="103"/>
  <c r="AR33" i="103" s="1"/>
  <c r="H28" i="61"/>
  <c r="J28" i="61" s="1"/>
  <c r="L29" i="61"/>
  <c r="U106" i="94" l="1"/>
  <c r="V105" i="94"/>
  <c r="R104" i="94"/>
  <c r="Q104" i="94"/>
  <c r="J104" i="94" s="1"/>
  <c r="M104" i="94"/>
  <c r="K48" i="94"/>
  <c r="M48" i="94" s="1"/>
  <c r="S48" i="94" s="1"/>
  <c r="L49" i="94" s="1"/>
  <c r="X86" i="109"/>
  <c r="K51" i="109"/>
  <c r="M51" i="109" s="1"/>
  <c r="S51" i="109" s="1"/>
  <c r="AY31" i="110"/>
  <c r="BB77" i="110"/>
  <c r="AI72" i="110"/>
  <c r="AP31" i="110"/>
  <c r="AL30" i="110"/>
  <c r="AJ71" i="110"/>
  <c r="N32" i="112"/>
  <c r="L32" i="112" s="1"/>
  <c r="G32" i="112" s="1"/>
  <c r="AL30" i="112"/>
  <c r="AJ71" i="112"/>
  <c r="J108" i="112"/>
  <c r="E109" i="112"/>
  <c r="F108" i="112"/>
  <c r="AM110" i="112"/>
  <c r="AN109" i="112"/>
  <c r="AX108" i="112"/>
  <c r="AQ30" i="112"/>
  <c r="AW30" i="112" s="1"/>
  <c r="BI107" i="94"/>
  <c r="BJ106" i="94"/>
  <c r="AW105" i="94"/>
  <c r="BB99" i="94"/>
  <c r="BA99" i="94"/>
  <c r="AT99" i="94" s="1"/>
  <c r="BB77" i="111"/>
  <c r="AI72" i="111"/>
  <c r="AP31" i="111"/>
  <c r="AY31" i="111"/>
  <c r="W106" i="94"/>
  <c r="G107" i="94"/>
  <c r="K106" i="94"/>
  <c r="T106" i="94"/>
  <c r="H106" i="94"/>
  <c r="BK106" i="94" s="1"/>
  <c r="I106" i="94"/>
  <c r="BL105" i="94"/>
  <c r="Y140" i="94"/>
  <c r="AN144" i="94"/>
  <c r="AP105" i="94"/>
  <c r="AU106" i="94"/>
  <c r="AR106" i="94"/>
  <c r="AQ107" i="94"/>
  <c r="S33" i="111"/>
  <c r="H33" i="111"/>
  <c r="T74" i="111"/>
  <c r="V74" i="111" s="1"/>
  <c r="J107" i="111"/>
  <c r="E108" i="111"/>
  <c r="F107" i="111"/>
  <c r="AZ107" i="111" s="1"/>
  <c r="AX109" i="111"/>
  <c r="BA32" i="111"/>
  <c r="AM108" i="111"/>
  <c r="AN107" i="111"/>
  <c r="J48" i="94"/>
  <c r="BL48" i="94"/>
  <c r="Y83" i="94"/>
  <c r="G33" i="110"/>
  <c r="BA33" i="110" s="1"/>
  <c r="BM133" i="109"/>
  <c r="AV88" i="109"/>
  <c r="AZ88" i="109" s="1"/>
  <c r="AX88" i="109" s="1"/>
  <c r="AW88" i="109" s="1"/>
  <c r="BH88" i="109" s="1"/>
  <c r="M34" i="110"/>
  <c r="X84" i="94"/>
  <c r="BM131" i="94"/>
  <c r="AV86" i="94"/>
  <c r="AZ86" i="94" s="1"/>
  <c r="AX86" i="94" s="1"/>
  <c r="AW86" i="94" s="1"/>
  <c r="BH86" i="94" s="1"/>
  <c r="AO33" i="103"/>
  <c r="AQ33" i="103" s="1"/>
  <c r="AW33" i="103" s="1"/>
  <c r="AS34" i="103"/>
  <c r="P28" i="61"/>
  <c r="T58" i="61"/>
  <c r="P49" i="94" l="1"/>
  <c r="N49" i="94" s="1"/>
  <c r="K49" i="94"/>
  <c r="M105" i="94"/>
  <c r="Q105" i="94"/>
  <c r="J105" i="94" s="1"/>
  <c r="R105" i="94"/>
  <c r="V106" i="94"/>
  <c r="U107" i="94"/>
  <c r="BL51" i="109"/>
  <c r="J51" i="109"/>
  <c r="Y86" i="109"/>
  <c r="AK72" i="110"/>
  <c r="AV31" i="110"/>
  <c r="AU31" i="110"/>
  <c r="L52" i="109"/>
  <c r="P52" i="109" s="1"/>
  <c r="N52" i="109" s="1"/>
  <c r="X87" i="109"/>
  <c r="M33" i="112"/>
  <c r="K32" i="112"/>
  <c r="Q32" i="112" s="1"/>
  <c r="BA32" i="112"/>
  <c r="AY31" i="112"/>
  <c r="AI72" i="112"/>
  <c r="BB77" i="112"/>
  <c r="AP31" i="112"/>
  <c r="AX109" i="112"/>
  <c r="AM111" i="112"/>
  <c r="AN110" i="112"/>
  <c r="J109" i="112"/>
  <c r="E110" i="112"/>
  <c r="F109" i="112"/>
  <c r="AW106" i="94"/>
  <c r="BA100" i="94"/>
  <c r="AT100" i="94" s="1"/>
  <c r="BB100" i="94"/>
  <c r="BJ107" i="94"/>
  <c r="BI108" i="94"/>
  <c r="AU31" i="111"/>
  <c r="AT31" i="111" s="1"/>
  <c r="AV31" i="111"/>
  <c r="AK72" i="111"/>
  <c r="U73" i="111"/>
  <c r="AU107" i="94"/>
  <c r="AR107" i="94"/>
  <c r="AQ108" i="94"/>
  <c r="BL106" i="94"/>
  <c r="Y141" i="94"/>
  <c r="AN145" i="94"/>
  <c r="AP106" i="94"/>
  <c r="G108" i="94"/>
  <c r="W107" i="94"/>
  <c r="K107" i="94"/>
  <c r="T107" i="94"/>
  <c r="H107" i="94"/>
  <c r="BK107" i="94" s="1"/>
  <c r="I107" i="94"/>
  <c r="AM109" i="111"/>
  <c r="AN108" i="111"/>
  <c r="I33" i="111"/>
  <c r="J108" i="111"/>
  <c r="E109" i="111"/>
  <c r="F108" i="111"/>
  <c r="AX110" i="111"/>
  <c r="P33" i="111"/>
  <c r="O33" i="111"/>
  <c r="AV89" i="109"/>
  <c r="AZ89" i="109" s="1"/>
  <c r="AX89" i="109" s="1"/>
  <c r="AW89" i="109" s="1"/>
  <c r="BH89" i="109" s="1"/>
  <c r="BM134" i="109"/>
  <c r="K33" i="110"/>
  <c r="Q33" i="110" s="1"/>
  <c r="BM132" i="94"/>
  <c r="AV87" i="94"/>
  <c r="AZ87" i="94" s="1"/>
  <c r="AX87" i="94" s="1"/>
  <c r="AW87" i="94" s="1"/>
  <c r="BH87" i="94" s="1"/>
  <c r="AI75" i="103"/>
  <c r="AP34" i="103"/>
  <c r="BB80" i="103"/>
  <c r="AY34" i="103"/>
  <c r="AL33" i="103"/>
  <c r="AJ74" i="103"/>
  <c r="J49" i="94"/>
  <c r="BL49" i="94"/>
  <c r="Y84" i="94"/>
  <c r="M49" i="94"/>
  <c r="S49" i="94" s="1"/>
  <c r="L50" i="94" s="1"/>
  <c r="I29" i="61"/>
  <c r="R29" i="61"/>
  <c r="S59" i="61"/>
  <c r="V107" i="94" l="1"/>
  <c r="U108" i="94"/>
  <c r="R106" i="94"/>
  <c r="Q106" i="94"/>
  <c r="J106" i="94" s="1"/>
  <c r="M106" i="94"/>
  <c r="AT31" i="110"/>
  <c r="AR31" i="110" s="1"/>
  <c r="AS32" i="110" s="1"/>
  <c r="K52" i="109"/>
  <c r="M52" i="109" s="1"/>
  <c r="S52" i="109" s="1"/>
  <c r="S33" i="112"/>
  <c r="T74" i="112"/>
  <c r="H33" i="112"/>
  <c r="E111" i="112"/>
  <c r="J110" i="112"/>
  <c r="F110" i="112"/>
  <c r="AX110" i="112"/>
  <c r="AK72" i="112"/>
  <c r="AM112" i="112"/>
  <c r="AN111" i="112"/>
  <c r="AV31" i="112"/>
  <c r="AU31" i="112"/>
  <c r="AR31" i="111"/>
  <c r="AS32" i="111" s="1"/>
  <c r="BA101" i="94"/>
  <c r="AT101" i="94" s="1"/>
  <c r="AW107" i="94"/>
  <c r="BB101" i="94"/>
  <c r="BJ108" i="94"/>
  <c r="BI109" i="94"/>
  <c r="Y142" i="94"/>
  <c r="BL107" i="94"/>
  <c r="AU108" i="94"/>
  <c r="AR108" i="94"/>
  <c r="W108" i="94"/>
  <c r="T108" i="94"/>
  <c r="H108" i="94"/>
  <c r="BK108" i="94" s="1"/>
  <c r="K108" i="94"/>
  <c r="I108" i="94"/>
  <c r="AP107" i="94"/>
  <c r="AN146" i="94"/>
  <c r="AX111" i="111"/>
  <c r="AM110" i="111"/>
  <c r="AN109" i="111"/>
  <c r="E110" i="111"/>
  <c r="J109" i="111"/>
  <c r="F109" i="111"/>
  <c r="N33" i="111"/>
  <c r="L33" i="111" s="1"/>
  <c r="M34" i="111" s="1"/>
  <c r="H34" i="110"/>
  <c r="T75" i="110"/>
  <c r="S34" i="110"/>
  <c r="BM135" i="109"/>
  <c r="AV90" i="109"/>
  <c r="AZ90" i="109" s="1"/>
  <c r="AX90" i="109" s="1"/>
  <c r="AW90" i="109" s="1"/>
  <c r="BH90" i="109" s="1"/>
  <c r="BM133" i="94"/>
  <c r="AV88" i="94"/>
  <c r="AZ88" i="94" s="1"/>
  <c r="AX88" i="94" s="1"/>
  <c r="AW88" i="94" s="1"/>
  <c r="BH88" i="94" s="1"/>
  <c r="X85" i="94"/>
  <c r="P50" i="94"/>
  <c r="N50" i="94" s="1"/>
  <c r="AK75" i="103"/>
  <c r="AU34" i="103"/>
  <c r="AT34" i="103" s="1"/>
  <c r="AV34" i="103"/>
  <c r="O29" i="61"/>
  <c r="N29" i="61"/>
  <c r="M107" i="94" l="1"/>
  <c r="R107" i="94"/>
  <c r="Q107" i="94"/>
  <c r="J107" i="94" s="1"/>
  <c r="Y87" i="109"/>
  <c r="AO31" i="111"/>
  <c r="AQ31" i="111" s="1"/>
  <c r="AW31" i="111" s="1"/>
  <c r="AO31" i="110"/>
  <c r="AQ31" i="110" s="1"/>
  <c r="AW31" i="110" s="1"/>
  <c r="J52" i="109"/>
  <c r="BL52" i="109"/>
  <c r="L53" i="109"/>
  <c r="P53" i="109" s="1"/>
  <c r="N53" i="109" s="1"/>
  <c r="X88" i="109"/>
  <c r="I33" i="112"/>
  <c r="V74" i="112"/>
  <c r="U73" i="112"/>
  <c r="O33" i="112"/>
  <c r="N33" i="112" s="1"/>
  <c r="L33" i="112" s="1"/>
  <c r="P33" i="112"/>
  <c r="AM113" i="112"/>
  <c r="AN112" i="112"/>
  <c r="AT31" i="112"/>
  <c r="AR31" i="112" s="1"/>
  <c r="AS32" i="112" s="1"/>
  <c r="AX111" i="112"/>
  <c r="E112" i="112"/>
  <c r="J111" i="112"/>
  <c r="F111" i="112"/>
  <c r="BB102" i="94"/>
  <c r="AW108" i="94"/>
  <c r="BA102" i="94"/>
  <c r="AT102" i="94" s="1"/>
  <c r="BI110" i="94"/>
  <c r="BJ109" i="94"/>
  <c r="AJ72" i="111"/>
  <c r="AN147" i="94"/>
  <c r="AP108" i="94"/>
  <c r="AP7" i="94" s="1"/>
  <c r="AU109" i="94"/>
  <c r="BL108" i="94"/>
  <c r="Y143" i="94"/>
  <c r="AM111" i="111"/>
  <c r="AN110" i="111"/>
  <c r="AX112" i="111"/>
  <c r="G33" i="111"/>
  <c r="K33" i="111" s="1"/>
  <c r="Q33" i="111" s="1"/>
  <c r="J110" i="111"/>
  <c r="E111" i="111"/>
  <c r="F110" i="111"/>
  <c r="BM136" i="109"/>
  <c r="AV91" i="109"/>
  <c r="AZ91" i="109" s="1"/>
  <c r="AX91" i="109" s="1"/>
  <c r="AW91" i="109" s="1"/>
  <c r="BH91" i="109" s="1"/>
  <c r="O34" i="110"/>
  <c r="N34" i="110" s="1"/>
  <c r="L34" i="110" s="1"/>
  <c r="G34" i="110" s="1"/>
  <c r="BA34" i="110" s="1"/>
  <c r="P34" i="110"/>
  <c r="V75" i="110"/>
  <c r="U74" i="110"/>
  <c r="I34" i="110"/>
  <c r="K50" i="94"/>
  <c r="Y85" i="94" s="1"/>
  <c r="AR34" i="103"/>
  <c r="AO34" i="103" s="1"/>
  <c r="AL34" i="103" s="1"/>
  <c r="BM134" i="94"/>
  <c r="AV89" i="94"/>
  <c r="AZ89" i="94" s="1"/>
  <c r="AX89" i="94" s="1"/>
  <c r="AW89" i="94" s="1"/>
  <c r="BH89" i="94" s="1"/>
  <c r="M29" i="61"/>
  <c r="K29" i="61" s="1"/>
  <c r="AL31" i="111" l="1"/>
  <c r="BB78" i="110"/>
  <c r="AY32" i="110"/>
  <c r="AP32" i="110"/>
  <c r="AI73" i="110"/>
  <c r="AL31" i="110"/>
  <c r="AJ72" i="110"/>
  <c r="K53" i="109"/>
  <c r="M53" i="109" s="1"/>
  <c r="S53" i="109" s="1"/>
  <c r="M34" i="112"/>
  <c r="G33" i="112"/>
  <c r="E113" i="112"/>
  <c r="J112" i="112"/>
  <c r="F112" i="112"/>
  <c r="AM114" i="112"/>
  <c r="AN113" i="112"/>
  <c r="AO31" i="112"/>
  <c r="AQ31" i="112" s="1"/>
  <c r="AW31" i="112" s="1"/>
  <c r="AX112" i="112"/>
  <c r="BJ110" i="94"/>
  <c r="BI111" i="94"/>
  <c r="BA103" i="94"/>
  <c r="AT103" i="94" s="1"/>
  <c r="BB103" i="94"/>
  <c r="AP32" i="111"/>
  <c r="AY32" i="111"/>
  <c r="AI73" i="111"/>
  <c r="BB78" i="111"/>
  <c r="AO148" i="94"/>
  <c r="AN148" i="94"/>
  <c r="S34" i="111"/>
  <c r="T75" i="111"/>
  <c r="V75" i="111" s="1"/>
  <c r="H34" i="111"/>
  <c r="AX113" i="111"/>
  <c r="BA33" i="111"/>
  <c r="E112" i="111"/>
  <c r="J111" i="111"/>
  <c r="F111" i="111"/>
  <c r="AM112" i="111"/>
  <c r="AN111" i="111"/>
  <c r="K34" i="110"/>
  <c r="Q34" i="110" s="1"/>
  <c r="BH92" i="109"/>
  <c r="AW92" i="109"/>
  <c r="AW109" i="109" s="1"/>
  <c r="AV92" i="109"/>
  <c r="AZ92" i="109" s="1"/>
  <c r="AX92" i="109" s="1"/>
  <c r="BM137" i="109"/>
  <c r="M35" i="110"/>
  <c r="AQ34" i="103"/>
  <c r="AW34" i="103" s="1"/>
  <c r="BB81" i="103" s="1"/>
  <c r="AJ75" i="103"/>
  <c r="AS35" i="103"/>
  <c r="M50" i="94"/>
  <c r="S50" i="94" s="1"/>
  <c r="J50" i="94"/>
  <c r="BL50" i="94"/>
  <c r="BM135" i="94"/>
  <c r="AV90" i="94"/>
  <c r="AZ90" i="94" s="1"/>
  <c r="AX90" i="94" s="1"/>
  <c r="AW90" i="94" s="1"/>
  <c r="BH90" i="94" s="1"/>
  <c r="H29" i="61"/>
  <c r="J29" i="61" s="1"/>
  <c r="L30" i="61"/>
  <c r="Y88" i="109" l="1"/>
  <c r="BL53" i="109"/>
  <c r="AK73" i="110"/>
  <c r="J53" i="109"/>
  <c r="AU32" i="110"/>
  <c r="AV32" i="110"/>
  <c r="X89" i="109"/>
  <c r="L54" i="109"/>
  <c r="P54" i="109" s="1"/>
  <c r="N54" i="109" s="1"/>
  <c r="BA33" i="112"/>
  <c r="K33" i="112"/>
  <c r="Q33" i="112" s="1"/>
  <c r="AY32" i="112"/>
  <c r="AI73" i="112"/>
  <c r="AP32" i="112"/>
  <c r="BB78" i="112"/>
  <c r="AM115" i="112"/>
  <c r="AN114" i="112"/>
  <c r="E114" i="112"/>
  <c r="J113" i="112"/>
  <c r="F113" i="112"/>
  <c r="AX113" i="112"/>
  <c r="AL31" i="112"/>
  <c r="AJ72" i="112"/>
  <c r="X86" i="94"/>
  <c r="L51" i="94"/>
  <c r="P51" i="94" s="1"/>
  <c r="N51" i="94" s="1"/>
  <c r="BI112" i="94"/>
  <c r="BJ111" i="94"/>
  <c r="BA104" i="94"/>
  <c r="AT104" i="94" s="1"/>
  <c r="BB104" i="94"/>
  <c r="AK73" i="111"/>
  <c r="AV32" i="111"/>
  <c r="AU32" i="111"/>
  <c r="AX114" i="111"/>
  <c r="AM113" i="111"/>
  <c r="AN112" i="111"/>
  <c r="U74" i="111"/>
  <c r="P34" i="111"/>
  <c r="O34" i="111"/>
  <c r="N34" i="111" s="1"/>
  <c r="L34" i="111" s="1"/>
  <c r="G34" i="111" s="1"/>
  <c r="BA34" i="111" s="1"/>
  <c r="I34" i="111"/>
  <c r="E113" i="111"/>
  <c r="J112" i="111"/>
  <c r="F112" i="111"/>
  <c r="AY35" i="103"/>
  <c r="AV35" i="103" s="1"/>
  <c r="AP35" i="103"/>
  <c r="AI76" i="103"/>
  <c r="AK76" i="103" s="1"/>
  <c r="AV93" i="109"/>
  <c r="AZ93" i="109" s="1"/>
  <c r="AX93" i="109" s="1"/>
  <c r="BM138" i="109"/>
  <c r="BH93" i="109"/>
  <c r="H35" i="110"/>
  <c r="T76" i="110"/>
  <c r="S35" i="110"/>
  <c r="BM136" i="94"/>
  <c r="AV91" i="94"/>
  <c r="AZ91" i="94" s="1"/>
  <c r="AX91" i="94" s="1"/>
  <c r="AW91" i="94" s="1"/>
  <c r="BH91" i="94" s="1"/>
  <c r="P29" i="61"/>
  <c r="T59" i="61"/>
  <c r="AT32" i="110" l="1"/>
  <c r="AR32" i="110" s="1"/>
  <c r="AS33" i="110" s="1"/>
  <c r="K54" i="109"/>
  <c r="S34" i="112"/>
  <c r="T75" i="112"/>
  <c r="H34" i="112"/>
  <c r="J114" i="112"/>
  <c r="E115" i="112"/>
  <c r="F114" i="112"/>
  <c r="AX114" i="112"/>
  <c r="AM116" i="112"/>
  <c r="AN115" i="112"/>
  <c r="AK73" i="112"/>
  <c r="AV32" i="112"/>
  <c r="AU32" i="112"/>
  <c r="BB105" i="94"/>
  <c r="BA105" i="94"/>
  <c r="AT105" i="94" s="1"/>
  <c r="BJ112" i="94"/>
  <c r="BI113" i="94"/>
  <c r="AT32" i="111"/>
  <c r="AR32" i="111" s="1"/>
  <c r="AO32" i="111" s="1"/>
  <c r="K34" i="111"/>
  <c r="Q34" i="111" s="1"/>
  <c r="AX115" i="111"/>
  <c r="E114" i="111"/>
  <c r="J113" i="111"/>
  <c r="F113" i="111"/>
  <c r="M35" i="111"/>
  <c r="AM114" i="111"/>
  <c r="AN113" i="111"/>
  <c r="AU35" i="103"/>
  <c r="AT35" i="103" s="1"/>
  <c r="AR35" i="103" s="1"/>
  <c r="AO35" i="103" s="1"/>
  <c r="AJ76" i="103" s="1"/>
  <c r="K51" i="94"/>
  <c r="J51" i="94" s="1"/>
  <c r="O35" i="110"/>
  <c r="N35" i="110" s="1"/>
  <c r="L35" i="110" s="1"/>
  <c r="G35" i="110" s="1"/>
  <c r="BA35" i="110" s="1"/>
  <c r="P35" i="110"/>
  <c r="I35" i="110"/>
  <c r="AV94" i="109"/>
  <c r="AZ94" i="109" s="1"/>
  <c r="AX94" i="109" s="1"/>
  <c r="BM139" i="109"/>
  <c r="BH94" i="109"/>
  <c r="V76" i="110"/>
  <c r="U75" i="110"/>
  <c r="AW92" i="94"/>
  <c r="AW109" i="94" s="1"/>
  <c r="AV92" i="94"/>
  <c r="AZ92" i="94" s="1"/>
  <c r="AX92" i="94" s="1"/>
  <c r="BH92" i="94"/>
  <c r="BM137" i="94"/>
  <c r="I30" i="61"/>
  <c r="S60" i="61"/>
  <c r="R30" i="61"/>
  <c r="AO32" i="110" l="1"/>
  <c r="AQ32" i="110" s="1"/>
  <c r="AW32" i="110" s="1"/>
  <c r="BL54" i="109"/>
  <c r="Y89" i="109"/>
  <c r="J54" i="109"/>
  <c r="M54" i="109"/>
  <c r="S54" i="109" s="1"/>
  <c r="I34" i="112"/>
  <c r="V75" i="112"/>
  <c r="U74" i="112"/>
  <c r="P34" i="112"/>
  <c r="O34" i="112"/>
  <c r="AX115" i="112"/>
  <c r="AT32" i="112"/>
  <c r="AR32" i="112" s="1"/>
  <c r="AM117" i="112"/>
  <c r="AN116" i="112"/>
  <c r="E116" i="112"/>
  <c r="J115" i="112"/>
  <c r="F115" i="112"/>
  <c r="BI114" i="94"/>
  <c r="BJ114" i="94" s="1"/>
  <c r="BJ113" i="94"/>
  <c r="BB106" i="94"/>
  <c r="BA106" i="94"/>
  <c r="AT106" i="94" s="1"/>
  <c r="AS33" i="111"/>
  <c r="AQ32" i="111"/>
  <c r="AW32" i="111" s="1"/>
  <c r="AL32" i="111"/>
  <c r="AJ73" i="111"/>
  <c r="AM115" i="111"/>
  <c r="AN114" i="111"/>
  <c r="S35" i="111"/>
  <c r="T76" i="111"/>
  <c r="H35" i="111"/>
  <c r="E115" i="111"/>
  <c r="J114" i="111"/>
  <c r="F114" i="111"/>
  <c r="AX116" i="111"/>
  <c r="BL51" i="94"/>
  <c r="AL35" i="103"/>
  <c r="Y86" i="94"/>
  <c r="M51" i="94"/>
  <c r="S51" i="94" s="1"/>
  <c r="L52" i="94" s="1"/>
  <c r="AV95" i="109"/>
  <c r="AZ95" i="109" s="1"/>
  <c r="AX95" i="109" s="1"/>
  <c r="BM140" i="109"/>
  <c r="BH95" i="109"/>
  <c r="M36" i="110"/>
  <c r="K35" i="110"/>
  <c r="Q35" i="110" s="1"/>
  <c r="AQ35" i="103"/>
  <c r="AW35" i="103" s="1"/>
  <c r="BB82" i="103" s="1"/>
  <c r="AS36" i="103"/>
  <c r="BM138" i="94"/>
  <c r="BH93" i="94"/>
  <c r="AV93" i="94"/>
  <c r="AZ93" i="94" s="1"/>
  <c r="AX93" i="94" s="1"/>
  <c r="N30" i="61"/>
  <c r="M30" i="61" s="1"/>
  <c r="K30" i="61" s="1"/>
  <c r="O30" i="61"/>
  <c r="AP33" i="110" l="1"/>
  <c r="AI74" i="110"/>
  <c r="BB79" i="110"/>
  <c r="AY33" i="110"/>
  <c r="AL32" i="110"/>
  <c r="AJ73" i="110"/>
  <c r="L55" i="109"/>
  <c r="P55" i="109" s="1"/>
  <c r="N55" i="109" s="1"/>
  <c r="X90" i="109"/>
  <c r="N34" i="112"/>
  <c r="L34" i="112" s="1"/>
  <c r="M35" i="112" s="1"/>
  <c r="AM118" i="112"/>
  <c r="AN117" i="112"/>
  <c r="AO32" i="112"/>
  <c r="AQ32" i="112" s="1"/>
  <c r="AW32" i="112" s="1"/>
  <c r="AX116" i="112"/>
  <c r="E117" i="112"/>
  <c r="J116" i="112"/>
  <c r="F116" i="112"/>
  <c r="AS33" i="112"/>
  <c r="BA107" i="94"/>
  <c r="AT107" i="94" s="1"/>
  <c r="BB107" i="94"/>
  <c r="BB108" i="94"/>
  <c r="BA108" i="94"/>
  <c r="AI74" i="111"/>
  <c r="AP33" i="111"/>
  <c r="BB79" i="111"/>
  <c r="AY33" i="111"/>
  <c r="AM116" i="111"/>
  <c r="AN115" i="111"/>
  <c r="AX117" i="111"/>
  <c r="P35" i="111"/>
  <c r="O35" i="111"/>
  <c r="N35" i="111" s="1"/>
  <c r="L35" i="111" s="1"/>
  <c r="G35" i="111" s="1"/>
  <c r="BA35" i="111" s="1"/>
  <c r="V76" i="111"/>
  <c r="U75" i="111"/>
  <c r="E116" i="111"/>
  <c r="J115" i="111"/>
  <c r="F115" i="111"/>
  <c r="I35" i="111"/>
  <c r="AP36" i="103"/>
  <c r="AY36" i="103"/>
  <c r="AU36" i="103" s="1"/>
  <c r="AI77" i="103"/>
  <c r="AK77" i="103" s="1"/>
  <c r="X87" i="94"/>
  <c r="H36" i="110"/>
  <c r="T77" i="110"/>
  <c r="S36" i="110"/>
  <c r="AV96" i="109"/>
  <c r="AZ96" i="109" s="1"/>
  <c r="AX96" i="109" s="1"/>
  <c r="BM141" i="109"/>
  <c r="BH96" i="109"/>
  <c r="AV94" i="94"/>
  <c r="AZ94" i="94" s="1"/>
  <c r="AX94" i="94" s="1"/>
  <c r="BH94" i="94"/>
  <c r="BM139" i="94"/>
  <c r="H30" i="61"/>
  <c r="J30" i="61" s="1"/>
  <c r="L31" i="61"/>
  <c r="K55" i="109" l="1"/>
  <c r="J55" i="109" s="1"/>
  <c r="AV33" i="110"/>
  <c r="AU33" i="110"/>
  <c r="AK74" i="110"/>
  <c r="BL55" i="109"/>
  <c r="G34" i="112"/>
  <c r="K34" i="112" s="1"/>
  <c r="Q34" i="112" s="1"/>
  <c r="AY33" i="112"/>
  <c r="AI74" i="112"/>
  <c r="BB79" i="112"/>
  <c r="AP33" i="112"/>
  <c r="AL32" i="112"/>
  <c r="AJ73" i="112"/>
  <c r="J117" i="112"/>
  <c r="E118" i="112"/>
  <c r="F117" i="112"/>
  <c r="AX117" i="112"/>
  <c r="AM119" i="112"/>
  <c r="AN118" i="112"/>
  <c r="BA109" i="94"/>
  <c r="AT108" i="94"/>
  <c r="AT109" i="94" s="1"/>
  <c r="AV33" i="111"/>
  <c r="AU33" i="111"/>
  <c r="AK74" i="111"/>
  <c r="K35" i="111"/>
  <c r="Q35" i="111" s="1"/>
  <c r="S36" i="111" s="1"/>
  <c r="M36" i="111"/>
  <c r="AX118" i="111"/>
  <c r="E117" i="111"/>
  <c r="J116" i="111"/>
  <c r="F116" i="111"/>
  <c r="AM117" i="111"/>
  <c r="AN116" i="111"/>
  <c r="AV36" i="103"/>
  <c r="AT36" i="103"/>
  <c r="P52" i="94"/>
  <c r="N52" i="94" s="1"/>
  <c r="K52" i="94"/>
  <c r="O36" i="110"/>
  <c r="N36" i="110" s="1"/>
  <c r="L36" i="110" s="1"/>
  <c r="G36" i="110" s="1"/>
  <c r="BA36" i="110" s="1"/>
  <c r="P36" i="110"/>
  <c r="V77" i="110"/>
  <c r="U76" i="110"/>
  <c r="I36" i="110"/>
  <c r="BH97" i="109"/>
  <c r="AV97" i="109"/>
  <c r="AZ97" i="109" s="1"/>
  <c r="AX97" i="109" s="1"/>
  <c r="BM142" i="109"/>
  <c r="AV95" i="94"/>
  <c r="AZ95" i="94" s="1"/>
  <c r="AX95" i="94" s="1"/>
  <c r="BH95" i="94"/>
  <c r="BM140" i="94"/>
  <c r="P30" i="61"/>
  <c r="T60" i="61"/>
  <c r="M55" i="109" l="1"/>
  <c r="S55" i="109" s="1"/>
  <c r="Y90" i="109"/>
  <c r="AT33" i="110"/>
  <c r="AR33" i="110" s="1"/>
  <c r="AO33" i="110" s="1"/>
  <c r="L56" i="109"/>
  <c r="P56" i="109" s="1"/>
  <c r="N56" i="109" s="1"/>
  <c r="X91" i="109"/>
  <c r="S35" i="112"/>
  <c r="H35" i="112"/>
  <c r="I35" i="112" s="1"/>
  <c r="T76" i="112"/>
  <c r="V76" i="112" s="1"/>
  <c r="BA34" i="112"/>
  <c r="AM120" i="112"/>
  <c r="AN119" i="112"/>
  <c r="J118" i="112"/>
  <c r="E119" i="112"/>
  <c r="F118" i="112"/>
  <c r="AX118" i="112"/>
  <c r="AK74" i="112"/>
  <c r="AU33" i="112"/>
  <c r="AT33" i="112" s="1"/>
  <c r="AV33" i="112"/>
  <c r="AT33" i="111"/>
  <c r="AR33" i="111" s="1"/>
  <c r="AO33" i="111" s="1"/>
  <c r="T77" i="111"/>
  <c r="V77" i="111" s="1"/>
  <c r="H36" i="111"/>
  <c r="I36" i="111" s="1"/>
  <c r="AM118" i="111"/>
  <c r="AN117" i="111"/>
  <c r="J117" i="111"/>
  <c r="E118" i="111"/>
  <c r="F117" i="111"/>
  <c r="AX119" i="111"/>
  <c r="P36" i="111"/>
  <c r="O36" i="111"/>
  <c r="AR36" i="103"/>
  <c r="AO36" i="103" s="1"/>
  <c r="AQ36" i="103" s="1"/>
  <c r="AW36" i="103" s="1"/>
  <c r="AP37" i="103" s="1"/>
  <c r="Y87" i="94"/>
  <c r="J52" i="94"/>
  <c r="BL52" i="94"/>
  <c r="M52" i="94"/>
  <c r="S52" i="94" s="1"/>
  <c r="L53" i="94" s="1"/>
  <c r="AV98" i="109"/>
  <c r="AZ98" i="109" s="1"/>
  <c r="AX98" i="109" s="1"/>
  <c r="BM143" i="109"/>
  <c r="BH98" i="109"/>
  <c r="K36" i="110"/>
  <c r="Q36" i="110" s="1"/>
  <c r="M37" i="110"/>
  <c r="BM141" i="94"/>
  <c r="BH96" i="94"/>
  <c r="AV96" i="94"/>
  <c r="AZ96" i="94" s="1"/>
  <c r="AX96" i="94" s="1"/>
  <c r="I31" i="61"/>
  <c r="S61" i="61"/>
  <c r="R31" i="61"/>
  <c r="AS34" i="110" l="1"/>
  <c r="AQ33" i="110"/>
  <c r="AW33" i="110" s="1"/>
  <c r="AL33" i="110"/>
  <c r="AJ74" i="110"/>
  <c r="K56" i="109"/>
  <c r="J56" i="109" s="1"/>
  <c r="AR33" i="112"/>
  <c r="AO33" i="112" s="1"/>
  <c r="U75" i="112"/>
  <c r="O35" i="112"/>
  <c r="P35" i="112"/>
  <c r="AX119" i="112"/>
  <c r="J119" i="112"/>
  <c r="E120" i="112"/>
  <c r="F119" i="112"/>
  <c r="AM121" i="112"/>
  <c r="AN120" i="112"/>
  <c r="U76" i="111"/>
  <c r="AS34" i="111"/>
  <c r="AQ33" i="111"/>
  <c r="AW33" i="111" s="1"/>
  <c r="AL33" i="111"/>
  <c r="AJ74" i="111"/>
  <c r="AX120" i="111"/>
  <c r="N36" i="111"/>
  <c r="L36" i="111" s="1"/>
  <c r="J118" i="111"/>
  <c r="E119" i="111"/>
  <c r="F118" i="111"/>
  <c r="AM119" i="111"/>
  <c r="AN118" i="111"/>
  <c r="AJ77" i="103"/>
  <c r="AY37" i="103"/>
  <c r="AV37" i="103" s="1"/>
  <c r="AL36" i="103"/>
  <c r="AI78" i="103"/>
  <c r="AK78" i="103" s="1"/>
  <c r="BB83" i="103"/>
  <c r="AS37" i="103"/>
  <c r="P53" i="94"/>
  <c r="N53" i="94" s="1"/>
  <c r="X88" i="94"/>
  <c r="BH99" i="109"/>
  <c r="AV99" i="109"/>
  <c r="AZ99" i="109" s="1"/>
  <c r="AX99" i="109" s="1"/>
  <c r="BM144" i="109"/>
  <c r="T78" i="110"/>
  <c r="H37" i="110"/>
  <c r="S37" i="110"/>
  <c r="AV97" i="94"/>
  <c r="AZ97" i="94" s="1"/>
  <c r="AX97" i="94" s="1"/>
  <c r="BH97" i="94"/>
  <c r="BM142" i="94"/>
  <c r="O31" i="61"/>
  <c r="N31" i="61"/>
  <c r="M31" i="61" s="1"/>
  <c r="K31" i="61" s="1"/>
  <c r="BL56" i="109" l="1"/>
  <c r="M56" i="109"/>
  <c r="S56" i="109" s="1"/>
  <c r="L57" i="109" s="1"/>
  <c r="P57" i="109" s="1"/>
  <c r="N57" i="109" s="1"/>
  <c r="Y91" i="109"/>
  <c r="AI75" i="110"/>
  <c r="AY34" i="110"/>
  <c r="BB80" i="110"/>
  <c r="AP34" i="110"/>
  <c r="X92" i="109"/>
  <c r="AS34" i="112"/>
  <c r="AL33" i="112"/>
  <c r="AQ33" i="112"/>
  <c r="AW33" i="112" s="1"/>
  <c r="AP34" i="112" s="1"/>
  <c r="AJ74" i="112"/>
  <c r="N35" i="112"/>
  <c r="L35" i="112" s="1"/>
  <c r="M36" i="112" s="1"/>
  <c r="AM122" i="112"/>
  <c r="AN121" i="112"/>
  <c r="AX120" i="112"/>
  <c r="J120" i="112"/>
  <c r="E121" i="112"/>
  <c r="F120" i="112"/>
  <c r="AY34" i="111"/>
  <c r="BB80" i="111"/>
  <c r="AP34" i="111"/>
  <c r="AI75" i="111"/>
  <c r="J119" i="111"/>
  <c r="E120" i="111"/>
  <c r="F119" i="111"/>
  <c r="AM120" i="111"/>
  <c r="AN119" i="111"/>
  <c r="AX121" i="111"/>
  <c r="G36" i="111"/>
  <c r="K36" i="111" s="1"/>
  <c r="Q36" i="111" s="1"/>
  <c r="M37" i="111"/>
  <c r="AU37" i="103"/>
  <c r="AT37" i="103" s="1"/>
  <c r="AR37" i="103" s="1"/>
  <c r="K53" i="94"/>
  <c r="M53" i="94" s="1"/>
  <c r="S53" i="94" s="1"/>
  <c r="L54" i="94" s="1"/>
  <c r="O37" i="110"/>
  <c r="N37" i="110" s="1"/>
  <c r="L37" i="110" s="1"/>
  <c r="G37" i="110" s="1"/>
  <c r="BA37" i="110" s="1"/>
  <c r="P37" i="110"/>
  <c r="I37" i="110"/>
  <c r="V78" i="110"/>
  <c r="U77" i="110"/>
  <c r="BH100" i="109"/>
  <c r="AV100" i="109"/>
  <c r="AZ100" i="109" s="1"/>
  <c r="AX100" i="109" s="1"/>
  <c r="BM145" i="109"/>
  <c r="AV98" i="94"/>
  <c r="AZ98" i="94" s="1"/>
  <c r="AX98" i="94" s="1"/>
  <c r="BH98" i="94"/>
  <c r="BM143" i="94"/>
  <c r="H31" i="61"/>
  <c r="J31" i="61" s="1"/>
  <c r="L32" i="61"/>
  <c r="K57" i="109" l="1"/>
  <c r="M57" i="109" s="1"/>
  <c r="S57" i="109" s="1"/>
  <c r="X93" i="109" s="1"/>
  <c r="AU34" i="110"/>
  <c r="AV34" i="110"/>
  <c r="AK75" i="110"/>
  <c r="AT34" i="110"/>
  <c r="AI75" i="112"/>
  <c r="AK75" i="112" s="1"/>
  <c r="AY34" i="112"/>
  <c r="BB80" i="112"/>
  <c r="G35" i="112"/>
  <c r="K35" i="112" s="1"/>
  <c r="Q35" i="112" s="1"/>
  <c r="J121" i="112"/>
  <c r="E122" i="112"/>
  <c r="F121" i="112"/>
  <c r="AX121" i="112"/>
  <c r="AM123" i="112"/>
  <c r="AN122" i="112"/>
  <c r="AK75" i="111"/>
  <c r="AV34" i="111"/>
  <c r="AU34" i="111"/>
  <c r="AM121" i="111"/>
  <c r="AN120" i="111"/>
  <c r="BA36" i="111"/>
  <c r="AX122" i="111"/>
  <c r="E121" i="111"/>
  <c r="J120" i="111"/>
  <c r="F120" i="111"/>
  <c r="S37" i="111"/>
  <c r="T78" i="111"/>
  <c r="V78" i="111" s="1"/>
  <c r="H37" i="111"/>
  <c r="J53" i="94"/>
  <c r="BL53" i="94"/>
  <c r="Y88" i="94"/>
  <c r="P54" i="94"/>
  <c r="N54" i="94" s="1"/>
  <c r="X89" i="94"/>
  <c r="M38" i="110"/>
  <c r="K37" i="110"/>
  <c r="Q37" i="110" s="1"/>
  <c r="BM146" i="109"/>
  <c r="BH101" i="109"/>
  <c r="AV101" i="109"/>
  <c r="AZ101" i="109" s="1"/>
  <c r="AX101" i="109" s="1"/>
  <c r="AO37" i="103"/>
  <c r="AQ37" i="103" s="1"/>
  <c r="AW37" i="103" s="1"/>
  <c r="AS38" i="103"/>
  <c r="AV99" i="94"/>
  <c r="AZ99" i="94" s="1"/>
  <c r="AX99" i="94" s="1"/>
  <c r="BM144" i="94"/>
  <c r="BH99" i="94"/>
  <c r="P31" i="61"/>
  <c r="T61" i="61"/>
  <c r="Y92" i="109" l="1"/>
  <c r="L58" i="109"/>
  <c r="J57" i="109"/>
  <c r="BL57" i="109"/>
  <c r="AR34" i="110"/>
  <c r="AO34" i="110" s="1"/>
  <c r="AJ75" i="110" s="1"/>
  <c r="P58" i="109"/>
  <c r="N58" i="109" s="1"/>
  <c r="K58" i="109"/>
  <c r="AV34" i="112"/>
  <c r="AU34" i="112"/>
  <c r="S36" i="112"/>
  <c r="T77" i="112"/>
  <c r="V77" i="112" s="1"/>
  <c r="H36" i="112"/>
  <c r="I36" i="112" s="1"/>
  <c r="BA35" i="112"/>
  <c r="AX122" i="112"/>
  <c r="J122" i="112"/>
  <c r="E123" i="112"/>
  <c r="F122" i="112"/>
  <c r="AM124" i="112"/>
  <c r="AN123" i="112"/>
  <c r="AT34" i="111"/>
  <c r="AR34" i="111" s="1"/>
  <c r="AS35" i="111" s="1"/>
  <c r="I37" i="111"/>
  <c r="J121" i="111"/>
  <c r="E122" i="111"/>
  <c r="F121" i="111"/>
  <c r="AX123" i="111"/>
  <c r="AM122" i="111"/>
  <c r="AN121" i="111"/>
  <c r="U77" i="111"/>
  <c r="O37" i="111"/>
  <c r="P37" i="111"/>
  <c r="K54" i="94"/>
  <c r="J54" i="94" s="1"/>
  <c r="S38" i="110"/>
  <c r="T79" i="110"/>
  <c r="H38" i="110"/>
  <c r="AV102" i="109"/>
  <c r="AZ102" i="109" s="1"/>
  <c r="AX102" i="109" s="1"/>
  <c r="BM147" i="109"/>
  <c r="BH102" i="109"/>
  <c r="BB84" i="103"/>
  <c r="AI79" i="103"/>
  <c r="AP38" i="103"/>
  <c r="AY38" i="103"/>
  <c r="AL37" i="103"/>
  <c r="AJ78" i="103"/>
  <c r="AV100" i="94"/>
  <c r="AZ100" i="94" s="1"/>
  <c r="AX100" i="94" s="1"/>
  <c r="BH100" i="94"/>
  <c r="BM145" i="94"/>
  <c r="I32" i="61"/>
  <c r="S62" i="61"/>
  <c r="R32" i="61"/>
  <c r="AS35" i="110" l="1"/>
  <c r="AL34" i="110"/>
  <c r="AQ34" i="110"/>
  <c r="AW34" i="110" s="1"/>
  <c r="AI76" i="110" s="1"/>
  <c r="BB81" i="110"/>
  <c r="Y93" i="109"/>
  <c r="J58" i="109"/>
  <c r="M58" i="109"/>
  <c r="S58" i="109" s="1"/>
  <c r="BL58" i="109"/>
  <c r="AT34" i="112"/>
  <c r="AR34" i="112" s="1"/>
  <c r="AO34" i="112" s="1"/>
  <c r="U76" i="112"/>
  <c r="O36" i="112"/>
  <c r="P36" i="112"/>
  <c r="AX123" i="112"/>
  <c r="AM125" i="112"/>
  <c r="AN124" i="112"/>
  <c r="J123" i="112"/>
  <c r="E124" i="112"/>
  <c r="F123" i="112"/>
  <c r="AO34" i="111"/>
  <c r="AQ34" i="111" s="1"/>
  <c r="AW34" i="111" s="1"/>
  <c r="AM123" i="111"/>
  <c r="AN122" i="111"/>
  <c r="J122" i="111"/>
  <c r="E123" i="111"/>
  <c r="F122" i="111"/>
  <c r="AX124" i="111"/>
  <c r="N37" i="111"/>
  <c r="L37" i="111" s="1"/>
  <c r="M54" i="94"/>
  <c r="S54" i="94" s="1"/>
  <c r="Y89" i="94"/>
  <c r="BL54" i="94"/>
  <c r="I38" i="110"/>
  <c r="AV103" i="109"/>
  <c r="AZ103" i="109" s="1"/>
  <c r="AX103" i="109" s="1"/>
  <c r="BM148" i="109"/>
  <c r="BH103" i="109"/>
  <c r="V79" i="110"/>
  <c r="U78" i="110"/>
  <c r="O38" i="110"/>
  <c r="N38" i="110" s="1"/>
  <c r="L38" i="110" s="1"/>
  <c r="P38" i="110"/>
  <c r="AV38" i="103"/>
  <c r="AU38" i="103"/>
  <c r="AT38" i="103" s="1"/>
  <c r="AV101" i="94"/>
  <c r="AZ101" i="94" s="1"/>
  <c r="AX101" i="94" s="1"/>
  <c r="BH101" i="94"/>
  <c r="BM146" i="94"/>
  <c r="AK79" i="103"/>
  <c r="N32" i="61"/>
  <c r="M32" i="61" s="1"/>
  <c r="K32" i="61" s="1"/>
  <c r="O32" i="61"/>
  <c r="AY35" i="110" l="1"/>
  <c r="AV35" i="110" s="1"/>
  <c r="AP35" i="110"/>
  <c r="AK76" i="110"/>
  <c r="AU35" i="110"/>
  <c r="X94" i="109"/>
  <c r="L59" i="109"/>
  <c r="P59" i="109" s="1"/>
  <c r="N59" i="109" s="1"/>
  <c r="AS35" i="112"/>
  <c r="AQ34" i="112"/>
  <c r="AW34" i="112" s="1"/>
  <c r="AJ75" i="112"/>
  <c r="AL34" i="112"/>
  <c r="N36" i="112"/>
  <c r="L36" i="112" s="1"/>
  <c r="M37" i="112" s="1"/>
  <c r="J124" i="112"/>
  <c r="E125" i="112"/>
  <c r="F124" i="112"/>
  <c r="AM126" i="112"/>
  <c r="AN125" i="112"/>
  <c r="AX124" i="112"/>
  <c r="X90" i="94"/>
  <c r="L55" i="94"/>
  <c r="BB81" i="111"/>
  <c r="AI76" i="111"/>
  <c r="AP35" i="111"/>
  <c r="AY35" i="111"/>
  <c r="AL34" i="111"/>
  <c r="AJ75" i="111"/>
  <c r="AM124" i="111"/>
  <c r="AN123" i="111"/>
  <c r="G37" i="111"/>
  <c r="K37" i="111" s="1"/>
  <c r="Q37" i="111" s="1"/>
  <c r="AX125" i="111"/>
  <c r="J123" i="111"/>
  <c r="E124" i="111"/>
  <c r="F123" i="111"/>
  <c r="M38" i="111"/>
  <c r="K55" i="94"/>
  <c r="Y90" i="94" s="1"/>
  <c r="AR38" i="103"/>
  <c r="AO38" i="103" s="1"/>
  <c r="AL38" i="103" s="1"/>
  <c r="G38" i="110"/>
  <c r="BA38" i="110" s="1"/>
  <c r="AV104" i="109"/>
  <c r="AZ104" i="109" s="1"/>
  <c r="AX104" i="109" s="1"/>
  <c r="BM149" i="109"/>
  <c r="BH104" i="109"/>
  <c r="M39" i="110"/>
  <c r="BM147" i="94"/>
  <c r="AV102" i="94"/>
  <c r="AZ102" i="94" s="1"/>
  <c r="AX102" i="94" s="1"/>
  <c r="BH102" i="94"/>
  <c r="H32" i="61"/>
  <c r="J32" i="61" s="1"/>
  <c r="L33" i="61"/>
  <c r="AT35" i="110" l="1"/>
  <c r="AR35" i="110" s="1"/>
  <c r="AS36" i="110" s="1"/>
  <c r="K59" i="109"/>
  <c r="Y94" i="109" s="1"/>
  <c r="AO35" i="110"/>
  <c r="J59" i="109"/>
  <c r="AY35" i="112"/>
  <c r="AP35" i="112"/>
  <c r="AI76" i="112"/>
  <c r="AK76" i="112" s="1"/>
  <c r="BB81" i="112"/>
  <c r="G36" i="112"/>
  <c r="K36" i="112" s="1"/>
  <c r="Q36" i="112" s="1"/>
  <c r="J125" i="112"/>
  <c r="E126" i="112"/>
  <c r="F125" i="112"/>
  <c r="AM127" i="112"/>
  <c r="AN126" i="112"/>
  <c r="AX125" i="112"/>
  <c r="AV35" i="111"/>
  <c r="AU35" i="111"/>
  <c r="AK76" i="111"/>
  <c r="AS39" i="103"/>
  <c r="AQ38" i="103"/>
  <c r="AW38" i="103" s="1"/>
  <c r="AP39" i="103" s="1"/>
  <c r="S38" i="111"/>
  <c r="T79" i="111"/>
  <c r="V79" i="111" s="1"/>
  <c r="H38" i="111"/>
  <c r="AX126" i="111"/>
  <c r="AM125" i="111"/>
  <c r="AN124" i="111"/>
  <c r="J124" i="111"/>
  <c r="E125" i="111"/>
  <c r="F124" i="111"/>
  <c r="BA37" i="111"/>
  <c r="AJ79" i="103"/>
  <c r="M55" i="94"/>
  <c r="S55" i="94" s="1"/>
  <c r="L56" i="94" s="1"/>
  <c r="P55" i="94"/>
  <c r="N55" i="94" s="1"/>
  <c r="BL55" i="94"/>
  <c r="J55" i="94"/>
  <c r="BM150" i="109"/>
  <c r="BH105" i="109"/>
  <c r="AV105" i="109"/>
  <c r="AZ105" i="109" s="1"/>
  <c r="AX105" i="109" s="1"/>
  <c r="K38" i="110"/>
  <c r="Q38" i="110" s="1"/>
  <c r="BB85" i="103"/>
  <c r="BM148" i="94"/>
  <c r="AV103" i="94"/>
  <c r="AZ103" i="94" s="1"/>
  <c r="AX103" i="94" s="1"/>
  <c r="BH103" i="94"/>
  <c r="P32" i="61"/>
  <c r="T62" i="61"/>
  <c r="AY39" i="103" l="1"/>
  <c r="AI80" i="103"/>
  <c r="M59" i="109"/>
  <c r="S59" i="109" s="1"/>
  <c r="BL59" i="109"/>
  <c r="AQ35" i="110"/>
  <c r="AW35" i="110" s="1"/>
  <c r="AL35" i="110"/>
  <c r="AJ76" i="110"/>
  <c r="X95" i="109"/>
  <c r="L60" i="109"/>
  <c r="P60" i="109" s="1"/>
  <c r="N60" i="109" s="1"/>
  <c r="AU35" i="112"/>
  <c r="AT35" i="112" s="1"/>
  <c r="AV35" i="112"/>
  <c r="H37" i="112"/>
  <c r="S37" i="112"/>
  <c r="T78" i="112"/>
  <c r="V78" i="112" s="1"/>
  <c r="BA36" i="112"/>
  <c r="AX126" i="112"/>
  <c r="AM128" i="112"/>
  <c r="AN127" i="112"/>
  <c r="J126" i="112"/>
  <c r="E127" i="112"/>
  <c r="F126" i="112"/>
  <c r="AT35" i="111"/>
  <c r="AR35" i="111" s="1"/>
  <c r="AO35" i="111" s="1"/>
  <c r="U78" i="111"/>
  <c r="I38" i="111"/>
  <c r="J125" i="111"/>
  <c r="E126" i="111"/>
  <c r="F125" i="111"/>
  <c r="AX127" i="111"/>
  <c r="AM126" i="111"/>
  <c r="AN125" i="111"/>
  <c r="P38" i="111"/>
  <c r="O38" i="111"/>
  <c r="X91" i="94"/>
  <c r="P56" i="94"/>
  <c r="N56" i="94" s="1"/>
  <c r="K56" i="94"/>
  <c r="BM151" i="109"/>
  <c r="BH106" i="109"/>
  <c r="AV106" i="109"/>
  <c r="AZ106" i="109" s="1"/>
  <c r="AX106" i="109" s="1"/>
  <c r="S39" i="110"/>
  <c r="T80" i="110"/>
  <c r="H39" i="110"/>
  <c r="AV104" i="94"/>
  <c r="AZ104" i="94" s="1"/>
  <c r="AX104" i="94" s="1"/>
  <c r="BM149" i="94"/>
  <c r="BH104" i="94"/>
  <c r="AK80" i="103"/>
  <c r="AV39" i="103"/>
  <c r="AU39" i="103"/>
  <c r="AT39" i="103" s="1"/>
  <c r="I33" i="61"/>
  <c r="S63" i="61"/>
  <c r="R33" i="61"/>
  <c r="K60" i="109" l="1"/>
  <c r="M60" i="109" s="1"/>
  <c r="S60" i="109" s="1"/>
  <c r="BB82" i="110"/>
  <c r="AP36" i="110"/>
  <c r="AI77" i="110"/>
  <c r="AY36" i="110"/>
  <c r="AR35" i="112"/>
  <c r="AS36" i="112" s="1"/>
  <c r="O37" i="112"/>
  <c r="N37" i="112" s="1"/>
  <c r="L37" i="112" s="1"/>
  <c r="G37" i="112" s="1"/>
  <c r="BA37" i="112" s="1"/>
  <c r="P37" i="112"/>
  <c r="U77" i="112"/>
  <c r="I37" i="112"/>
  <c r="J127" i="112"/>
  <c r="E128" i="112"/>
  <c r="F127" i="112"/>
  <c r="AM129" i="112"/>
  <c r="AN129" i="112" s="1"/>
  <c r="AN128" i="112"/>
  <c r="AX127" i="112"/>
  <c r="AQ35" i="111"/>
  <c r="AW35" i="111" s="1"/>
  <c r="AL35" i="111"/>
  <c r="AJ76" i="111"/>
  <c r="AS36" i="111"/>
  <c r="AM127" i="111"/>
  <c r="AN126" i="111"/>
  <c r="AX128" i="111"/>
  <c r="J126" i="111"/>
  <c r="E127" i="111"/>
  <c r="F126" i="111"/>
  <c r="N38" i="111"/>
  <c r="L38" i="111" s="1"/>
  <c r="M39" i="111" s="1"/>
  <c r="J56" i="94"/>
  <c r="M56" i="94"/>
  <c r="S56" i="94" s="1"/>
  <c r="L57" i="94" s="1"/>
  <c r="Y91" i="94"/>
  <c r="BL56" i="94"/>
  <c r="I39" i="110"/>
  <c r="V80" i="110"/>
  <c r="U79" i="110"/>
  <c r="O39" i="110"/>
  <c r="P39" i="110"/>
  <c r="AV107" i="109"/>
  <c r="AZ107" i="109" s="1"/>
  <c r="AX107" i="109" s="1"/>
  <c r="BM152" i="109"/>
  <c r="BH107" i="109"/>
  <c r="AR39" i="103"/>
  <c r="AS40" i="103" s="1"/>
  <c r="BM150" i="94"/>
  <c r="BH105" i="94"/>
  <c r="AV105" i="94"/>
  <c r="AZ105" i="94" s="1"/>
  <c r="AX105" i="94" s="1"/>
  <c r="N33" i="61"/>
  <c r="M33" i="61" s="1"/>
  <c r="K33" i="61" s="1"/>
  <c r="O33" i="61"/>
  <c r="J60" i="109" l="1"/>
  <c r="Y95" i="109"/>
  <c r="BL60" i="109"/>
  <c r="L61" i="109"/>
  <c r="K61" i="109" s="1"/>
  <c r="J61" i="109" s="1"/>
  <c r="X96" i="109"/>
  <c r="AU36" i="110"/>
  <c r="AV36" i="110"/>
  <c r="AK77" i="110"/>
  <c r="AO35" i="112"/>
  <c r="AJ76" i="112" s="1"/>
  <c r="K37" i="112"/>
  <c r="Q37" i="112" s="1"/>
  <c r="M38" i="112"/>
  <c r="AX128" i="112"/>
  <c r="J128" i="112"/>
  <c r="E129" i="112"/>
  <c r="F128" i="112"/>
  <c r="BB82" i="111"/>
  <c r="AI77" i="111"/>
  <c r="AP36" i="111"/>
  <c r="AY36" i="111"/>
  <c r="AX129" i="111"/>
  <c r="G38" i="111"/>
  <c r="K38" i="111" s="1"/>
  <c r="Q38" i="111" s="1"/>
  <c r="AM128" i="111"/>
  <c r="AN127" i="111"/>
  <c r="J127" i="111"/>
  <c r="E128" i="111"/>
  <c r="F127" i="111"/>
  <c r="X92" i="94"/>
  <c r="AV108" i="109"/>
  <c r="BM153" i="109"/>
  <c r="BH108" i="109"/>
  <c r="N39" i="110"/>
  <c r="L39" i="110" s="1"/>
  <c r="BM151" i="94"/>
  <c r="BH106" i="94"/>
  <c r="AV106" i="94"/>
  <c r="AZ106" i="94" s="1"/>
  <c r="AX106" i="94" s="1"/>
  <c r="AO39" i="103"/>
  <c r="AQ39" i="103" s="1"/>
  <c r="AW39" i="103" s="1"/>
  <c r="H33" i="61"/>
  <c r="J33" i="61" s="1"/>
  <c r="L34" i="61"/>
  <c r="P61" i="109" l="1"/>
  <c r="N61" i="109" s="1"/>
  <c r="M61" i="109"/>
  <c r="S61" i="109" s="1"/>
  <c r="Y96" i="109"/>
  <c r="AL35" i="112"/>
  <c r="BL61" i="109"/>
  <c r="AQ35" i="112"/>
  <c r="AW35" i="112" s="1"/>
  <c r="AP36" i="112" s="1"/>
  <c r="AT36" i="110"/>
  <c r="AR36" i="110" s="1"/>
  <c r="AS37" i="110" s="1"/>
  <c r="L62" i="109"/>
  <c r="P62" i="109" s="1"/>
  <c r="N62" i="109" s="1"/>
  <c r="X97" i="109"/>
  <c r="AI77" i="112"/>
  <c r="AK77" i="112" s="1"/>
  <c r="H38" i="112"/>
  <c r="T79" i="112"/>
  <c r="S38" i="112"/>
  <c r="AX129" i="112"/>
  <c r="J129" i="112"/>
  <c r="E130" i="112"/>
  <c r="F129" i="112"/>
  <c r="AV36" i="111"/>
  <c r="AU36" i="111"/>
  <c r="AK77" i="111"/>
  <c r="BA38" i="111"/>
  <c r="S39" i="111"/>
  <c r="H39" i="111"/>
  <c r="T80" i="111"/>
  <c r="V80" i="111" s="1"/>
  <c r="J128" i="111"/>
  <c r="E129" i="111"/>
  <c r="F128" i="111"/>
  <c r="AM129" i="111"/>
  <c r="AN129" i="111" s="1"/>
  <c r="AN128" i="111"/>
  <c r="P57" i="94"/>
  <c r="N57" i="94" s="1"/>
  <c r="K57" i="94"/>
  <c r="G39" i="110"/>
  <c r="K39" i="110" s="1"/>
  <c r="Q39" i="110" s="1"/>
  <c r="AZ108" i="109"/>
  <c r="AX108" i="109" s="1"/>
  <c r="AX109" i="109" s="1"/>
  <c r="AV109" i="109"/>
  <c r="D28" i="109" s="1"/>
  <c r="D31" i="109" s="1"/>
  <c r="M40" i="110"/>
  <c r="BB86" i="103"/>
  <c r="AP40" i="103"/>
  <c r="AI81" i="103"/>
  <c r="AY40" i="103"/>
  <c r="AL39" i="103"/>
  <c r="AJ80" i="103"/>
  <c r="BM152" i="94"/>
  <c r="BH107" i="94"/>
  <c r="AV107" i="94"/>
  <c r="AZ107" i="94" s="1"/>
  <c r="AX107" i="94" s="1"/>
  <c r="P33" i="61"/>
  <c r="T63" i="61"/>
  <c r="AY36" i="112" l="1"/>
  <c r="BB82" i="112"/>
  <c r="AO36" i="110"/>
  <c r="AQ36" i="110" s="1"/>
  <c r="AW36" i="110" s="1"/>
  <c r="K62" i="109"/>
  <c r="AU36" i="112"/>
  <c r="AV36" i="112"/>
  <c r="P38" i="112"/>
  <c r="O38" i="112"/>
  <c r="N38" i="112" s="1"/>
  <c r="L38" i="112" s="1"/>
  <c r="G38" i="112" s="1"/>
  <c r="BA38" i="112" s="1"/>
  <c r="V79" i="112"/>
  <c r="U78" i="112"/>
  <c r="I38" i="112"/>
  <c r="J130" i="112"/>
  <c r="E131" i="112"/>
  <c r="F130" i="112"/>
  <c r="AT36" i="111"/>
  <c r="AR36" i="111" s="1"/>
  <c r="AS37" i="111" s="1"/>
  <c r="I39" i="111"/>
  <c r="P39" i="111"/>
  <c r="O39" i="111"/>
  <c r="N39" i="111" s="1"/>
  <c r="L39" i="111" s="1"/>
  <c r="G39" i="111" s="1"/>
  <c r="BA39" i="111" s="1"/>
  <c r="J129" i="111"/>
  <c r="E130" i="111"/>
  <c r="F129" i="111"/>
  <c r="U79" i="111"/>
  <c r="M57" i="94"/>
  <c r="S57" i="94" s="1"/>
  <c r="L58" i="94" s="1"/>
  <c r="J57" i="94"/>
  <c r="Y92" i="94"/>
  <c r="BL57" i="94"/>
  <c r="H40" i="110"/>
  <c r="T81" i="110"/>
  <c r="V81" i="110" s="1"/>
  <c r="S40" i="110"/>
  <c r="BA39" i="110"/>
  <c r="D33" i="109"/>
  <c r="AV108" i="94"/>
  <c r="BH108" i="94"/>
  <c r="BM153" i="94"/>
  <c r="AU40" i="103"/>
  <c r="AT40" i="103" s="1"/>
  <c r="AV40" i="103"/>
  <c r="AK81" i="103"/>
  <c r="S64" i="61"/>
  <c r="I34" i="61"/>
  <c r="R34" i="61"/>
  <c r="BB83" i="110" l="1"/>
  <c r="AI78" i="110"/>
  <c r="AP37" i="110"/>
  <c r="AY37" i="110"/>
  <c r="AL36" i="110"/>
  <c r="AJ77" i="110"/>
  <c r="M62" i="109"/>
  <c r="S62" i="109" s="1"/>
  <c r="BL62" i="109"/>
  <c r="Y97" i="109"/>
  <c r="J62" i="109"/>
  <c r="AT36" i="112"/>
  <c r="AR36" i="112" s="1"/>
  <c r="AO36" i="112" s="1"/>
  <c r="K38" i="112"/>
  <c r="Q38" i="112" s="1"/>
  <c r="M39" i="112"/>
  <c r="U80" i="110"/>
  <c r="E132" i="112"/>
  <c r="J131" i="112"/>
  <c r="F131" i="112"/>
  <c r="AO36" i="111"/>
  <c r="AQ36" i="111" s="1"/>
  <c r="AW36" i="111" s="1"/>
  <c r="K39" i="111"/>
  <c r="Q39" i="111" s="1"/>
  <c r="S40" i="111" s="1"/>
  <c r="M40" i="111"/>
  <c r="E131" i="111"/>
  <c r="J130" i="111"/>
  <c r="F130" i="111"/>
  <c r="AR40" i="103"/>
  <c r="AO40" i="103" s="1"/>
  <c r="AL40" i="103" s="1"/>
  <c r="X93" i="94"/>
  <c r="P58" i="94"/>
  <c r="N58" i="94" s="1"/>
  <c r="D35" i="109"/>
  <c r="D34" i="109"/>
  <c r="O40" i="110"/>
  <c r="P40" i="110"/>
  <c r="I40" i="110"/>
  <c r="AZ108" i="94"/>
  <c r="AX108" i="94" s="1"/>
  <c r="AX109" i="94" s="1"/>
  <c r="AV109" i="94"/>
  <c r="D28" i="94" s="1"/>
  <c r="D31" i="94" s="1"/>
  <c r="AS41" i="103"/>
  <c r="N34" i="61"/>
  <c r="M34" i="61" s="1"/>
  <c r="K34" i="61" s="1"/>
  <c r="O34" i="61"/>
  <c r="AQ40" i="103" l="1"/>
  <c r="AW40" i="103" s="1"/>
  <c r="AJ81" i="103"/>
  <c r="AV37" i="110"/>
  <c r="AU37" i="110"/>
  <c r="AT37" i="110"/>
  <c r="AR37" i="110" s="1"/>
  <c r="AO37" i="110" s="1"/>
  <c r="AK78" i="110"/>
  <c r="L63" i="109"/>
  <c r="X98" i="109"/>
  <c r="AQ36" i="112"/>
  <c r="AW36" i="112" s="1"/>
  <c r="AL36" i="112"/>
  <c r="AJ77" i="112"/>
  <c r="AS37" i="112"/>
  <c r="T80" i="112"/>
  <c r="H39" i="112"/>
  <c r="S39" i="112"/>
  <c r="J132" i="112"/>
  <c r="E133" i="112"/>
  <c r="F132" i="112"/>
  <c r="AY37" i="111"/>
  <c r="BB83" i="111"/>
  <c r="AI78" i="111"/>
  <c r="AP37" i="111"/>
  <c r="AL36" i="111"/>
  <c r="AJ77" i="111"/>
  <c r="H40" i="111"/>
  <c r="I40" i="111" s="1"/>
  <c r="T81" i="111"/>
  <c r="V81" i="111" s="1"/>
  <c r="E132" i="111"/>
  <c r="J131" i="111"/>
  <c r="F131" i="111"/>
  <c r="P40" i="111"/>
  <c r="O40" i="111"/>
  <c r="K58" i="94"/>
  <c r="BL58" i="94" s="1"/>
  <c r="N40" i="110"/>
  <c r="L40" i="110" s="1"/>
  <c r="M41" i="110" s="1"/>
  <c r="D36" i="109"/>
  <c r="D33" i="94"/>
  <c r="AI82" i="103"/>
  <c r="BB87" i="103"/>
  <c r="AP41" i="103"/>
  <c r="AY41" i="103"/>
  <c r="H34" i="61"/>
  <c r="J34" i="61" s="1"/>
  <c r="L35" i="61"/>
  <c r="AQ37" i="110" l="1"/>
  <c r="AW37" i="110" s="1"/>
  <c r="AL37" i="110"/>
  <c r="AS38" i="110"/>
  <c r="AJ78" i="110"/>
  <c r="P63" i="109"/>
  <c r="N63" i="109" s="1"/>
  <c r="K63" i="109"/>
  <c r="BB83" i="112"/>
  <c r="AY37" i="112"/>
  <c r="AI78" i="112"/>
  <c r="AK78" i="112" s="1"/>
  <c r="AP37" i="112"/>
  <c r="P39" i="112"/>
  <c r="O39" i="112"/>
  <c r="N39" i="112" s="1"/>
  <c r="L39" i="112" s="1"/>
  <c r="G39" i="112" s="1"/>
  <c r="BA39" i="112" s="1"/>
  <c r="I39" i="112"/>
  <c r="V80" i="112"/>
  <c r="U79" i="112"/>
  <c r="E134" i="112"/>
  <c r="J133" i="112"/>
  <c r="F133" i="112"/>
  <c r="AK78" i="111"/>
  <c r="N40" i="111"/>
  <c r="L40" i="111" s="1"/>
  <c r="G40" i="111" s="1"/>
  <c r="BA40" i="111" s="1"/>
  <c r="AU37" i="111"/>
  <c r="AV37" i="111"/>
  <c r="U80" i="111"/>
  <c r="E133" i="111"/>
  <c r="J132" i="111"/>
  <c r="F132" i="111"/>
  <c r="M58" i="94"/>
  <c r="S58" i="94" s="1"/>
  <c r="Y93" i="94"/>
  <c r="J58" i="94"/>
  <c r="G40" i="110"/>
  <c r="AK82" i="103"/>
  <c r="D34" i="94"/>
  <c r="D35" i="94"/>
  <c r="AV41" i="103"/>
  <c r="AU41" i="103"/>
  <c r="P34" i="61"/>
  <c r="T64" i="61"/>
  <c r="AP38" i="110" l="1"/>
  <c r="AI79" i="110"/>
  <c r="AY38" i="110"/>
  <c r="BB84" i="110"/>
  <c r="BL63" i="109"/>
  <c r="M63" i="109"/>
  <c r="S63" i="109" s="1"/>
  <c r="Y98" i="109"/>
  <c r="J63" i="109"/>
  <c r="AU37" i="112"/>
  <c r="AV37" i="112"/>
  <c r="K39" i="112"/>
  <c r="Q39" i="112" s="1"/>
  <c r="M40" i="112"/>
  <c r="E135" i="112"/>
  <c r="J134" i="112"/>
  <c r="F134" i="112"/>
  <c r="X94" i="94"/>
  <c r="L59" i="94"/>
  <c r="P59" i="94" s="1"/>
  <c r="N59" i="94" s="1"/>
  <c r="M41" i="111"/>
  <c r="AT37" i="111"/>
  <c r="AR37" i="111" s="1"/>
  <c r="AO37" i="111" s="1"/>
  <c r="K40" i="111"/>
  <c r="Q40" i="111" s="1"/>
  <c r="T82" i="111" s="1"/>
  <c r="J133" i="111"/>
  <c r="E134" i="111"/>
  <c r="F133" i="111"/>
  <c r="BA40" i="110"/>
  <c r="K40" i="110"/>
  <c r="Q40" i="110" s="1"/>
  <c r="D36" i="94"/>
  <c r="AT41" i="103"/>
  <c r="AR41" i="103" s="1"/>
  <c r="S65" i="61"/>
  <c r="I35" i="61"/>
  <c r="R35" i="61"/>
  <c r="S41" i="111" l="1"/>
  <c r="AU38" i="110"/>
  <c r="AT38" i="110" s="1"/>
  <c r="AV38" i="110"/>
  <c r="AK79" i="110"/>
  <c r="L64" i="109"/>
  <c r="X99" i="109"/>
  <c r="AT37" i="112"/>
  <c r="AR37" i="112" s="1"/>
  <c r="AO37" i="112" s="1"/>
  <c r="S40" i="112"/>
  <c r="T81" i="112"/>
  <c r="H40" i="112"/>
  <c r="J135" i="112"/>
  <c r="E136" i="112"/>
  <c r="F135" i="112"/>
  <c r="H41" i="111"/>
  <c r="I41" i="111" s="1"/>
  <c r="AQ37" i="111"/>
  <c r="AW37" i="111" s="1"/>
  <c r="AL37" i="111"/>
  <c r="AJ78" i="111"/>
  <c r="AS38" i="111"/>
  <c r="J134" i="111"/>
  <c r="E135" i="111"/>
  <c r="F134" i="111"/>
  <c r="O41" i="111"/>
  <c r="P41" i="111"/>
  <c r="V82" i="111"/>
  <c r="U81" i="111"/>
  <c r="K59" i="94"/>
  <c r="J59" i="94" s="1"/>
  <c r="H41" i="110"/>
  <c r="T82" i="110"/>
  <c r="S41" i="110"/>
  <c r="AO41" i="103"/>
  <c r="AQ41" i="103" s="1"/>
  <c r="AW41" i="103" s="1"/>
  <c r="AS42" i="103"/>
  <c r="N35" i="61"/>
  <c r="O35" i="61"/>
  <c r="AR38" i="110" l="1"/>
  <c r="P64" i="109"/>
  <c r="N64" i="109" s="1"/>
  <c r="K64" i="109"/>
  <c r="AQ37" i="112"/>
  <c r="AW37" i="112" s="1"/>
  <c r="AL37" i="112"/>
  <c r="AJ78" i="112"/>
  <c r="AS38" i="112"/>
  <c r="I40" i="112"/>
  <c r="V81" i="112"/>
  <c r="U80" i="112"/>
  <c r="O40" i="112"/>
  <c r="N40" i="112" s="1"/>
  <c r="L40" i="112" s="1"/>
  <c r="G40" i="112" s="1"/>
  <c r="BA40" i="112" s="1"/>
  <c r="P40" i="112"/>
  <c r="J136" i="112"/>
  <c r="E137" i="112"/>
  <c r="F136" i="112"/>
  <c r="AY38" i="111"/>
  <c r="AP38" i="111"/>
  <c r="BB84" i="111"/>
  <c r="AI79" i="111"/>
  <c r="E136" i="111"/>
  <c r="J135" i="111"/>
  <c r="F135" i="111"/>
  <c r="N41" i="111"/>
  <c r="L41" i="111" s="1"/>
  <c r="M59" i="94"/>
  <c r="S59" i="94" s="1"/>
  <c r="BL59" i="94"/>
  <c r="Y94" i="94"/>
  <c r="O41" i="110"/>
  <c r="N41" i="110" s="1"/>
  <c r="L41" i="110" s="1"/>
  <c r="G41" i="110" s="1"/>
  <c r="BA41" i="110" s="1"/>
  <c r="P41" i="110"/>
  <c r="V82" i="110"/>
  <c r="U81" i="110"/>
  <c r="I41" i="110"/>
  <c r="BB88" i="103"/>
  <c r="AP42" i="103"/>
  <c r="AI83" i="103"/>
  <c r="AY42" i="103"/>
  <c r="AL41" i="103"/>
  <c r="AJ82" i="103"/>
  <c r="M35" i="61"/>
  <c r="K35" i="61" s="1"/>
  <c r="AS39" i="110" l="1"/>
  <c r="AO38" i="110"/>
  <c r="BL64" i="109"/>
  <c r="M64" i="109"/>
  <c r="S64" i="109" s="1"/>
  <c r="J64" i="109"/>
  <c r="Y99" i="109"/>
  <c r="AP38" i="112"/>
  <c r="BB84" i="112"/>
  <c r="AY38" i="112"/>
  <c r="AI79" i="112"/>
  <c r="AK79" i="112" s="1"/>
  <c r="K40" i="112"/>
  <c r="Q40" i="112" s="1"/>
  <c r="M41" i="112"/>
  <c r="E138" i="112"/>
  <c r="J137" i="112"/>
  <c r="F137" i="112"/>
  <c r="X95" i="94"/>
  <c r="L60" i="94"/>
  <c r="AK79" i="111"/>
  <c r="AV38" i="111"/>
  <c r="AU38" i="111"/>
  <c r="P60" i="94"/>
  <c r="N60" i="94" s="1"/>
  <c r="E137" i="111"/>
  <c r="J136" i="111"/>
  <c r="F136" i="111"/>
  <c r="G41" i="111"/>
  <c r="K41" i="111" s="1"/>
  <c r="Q41" i="111" s="1"/>
  <c r="M42" i="111"/>
  <c r="M42" i="110"/>
  <c r="K41" i="110"/>
  <c r="Q41" i="110" s="1"/>
  <c r="AK83" i="103"/>
  <c r="AV42" i="103"/>
  <c r="AU42" i="103"/>
  <c r="H35" i="61"/>
  <c r="J35" i="61" s="1"/>
  <c r="L36" i="61"/>
  <c r="AQ38" i="110" l="1"/>
  <c r="AW38" i="110" s="1"/>
  <c r="AL38" i="110"/>
  <c r="AJ79" i="110"/>
  <c r="X100" i="109"/>
  <c r="L65" i="109"/>
  <c r="P65" i="109" s="1"/>
  <c r="N65" i="109" s="1"/>
  <c r="AU38" i="112"/>
  <c r="AT38" i="112" s="1"/>
  <c r="AV38" i="112"/>
  <c r="H41" i="112"/>
  <c r="T82" i="112"/>
  <c r="S41" i="112"/>
  <c r="E139" i="112"/>
  <c r="J138" i="112"/>
  <c r="F138" i="112"/>
  <c r="K60" i="94"/>
  <c r="M60" i="94" s="1"/>
  <c r="S60" i="94" s="1"/>
  <c r="AT38" i="111"/>
  <c r="AR38" i="111" s="1"/>
  <c r="AS39" i="111" s="1"/>
  <c r="S42" i="111"/>
  <c r="T83" i="111"/>
  <c r="V83" i="111" s="1"/>
  <c r="H42" i="111"/>
  <c r="J137" i="111"/>
  <c r="E138" i="111"/>
  <c r="F137" i="111"/>
  <c r="BA41" i="111"/>
  <c r="J60" i="94"/>
  <c r="BL60" i="94"/>
  <c r="X96" i="94"/>
  <c r="H42" i="110"/>
  <c r="S42" i="110"/>
  <c r="T83" i="110"/>
  <c r="AT42" i="103"/>
  <c r="AR42" i="103" s="1"/>
  <c r="P35" i="61"/>
  <c r="T65" i="61"/>
  <c r="K65" i="109" l="1"/>
  <c r="M65" i="109" s="1"/>
  <c r="S65" i="109" s="1"/>
  <c r="BB85" i="110"/>
  <c r="AI80" i="110"/>
  <c r="AP39" i="110"/>
  <c r="AY39" i="110"/>
  <c r="AR38" i="112"/>
  <c r="AO38" i="112" s="1"/>
  <c r="AL38" i="112" s="1"/>
  <c r="V82" i="112"/>
  <c r="U81" i="112"/>
  <c r="P41" i="112"/>
  <c r="O41" i="112"/>
  <c r="N41" i="112" s="1"/>
  <c r="L41" i="112" s="1"/>
  <c r="I41" i="112"/>
  <c r="J139" i="112"/>
  <c r="E140" i="112"/>
  <c r="F139" i="112"/>
  <c r="L61" i="94"/>
  <c r="P61" i="94" s="1"/>
  <c r="N61" i="94" s="1"/>
  <c r="Y95" i="94"/>
  <c r="AO38" i="111"/>
  <c r="AQ38" i="111" s="1"/>
  <c r="AW38" i="111" s="1"/>
  <c r="U82" i="111"/>
  <c r="J138" i="111"/>
  <c r="E139" i="111"/>
  <c r="F138" i="111"/>
  <c r="I42" i="111"/>
  <c r="P42" i="111"/>
  <c r="O42" i="111"/>
  <c r="O42" i="110"/>
  <c r="N42" i="110" s="1"/>
  <c r="L42" i="110" s="1"/>
  <c r="G42" i="110" s="1"/>
  <c r="BA42" i="110" s="1"/>
  <c r="P42" i="110"/>
  <c r="I42" i="110"/>
  <c r="V83" i="110"/>
  <c r="U82" i="110"/>
  <c r="AO42" i="103"/>
  <c r="AQ42" i="103" s="1"/>
  <c r="AW42" i="103" s="1"/>
  <c r="AS43" i="103"/>
  <c r="S66" i="61"/>
  <c r="I36" i="61"/>
  <c r="R36" i="61"/>
  <c r="BL65" i="109" l="1"/>
  <c r="Y100" i="109"/>
  <c r="AS39" i="112"/>
  <c r="AJ79" i="112"/>
  <c r="J65" i="109"/>
  <c r="L66" i="109"/>
  <c r="P66" i="109" s="1"/>
  <c r="N66" i="109" s="1"/>
  <c r="X101" i="109"/>
  <c r="AK80" i="110"/>
  <c r="AV39" i="110"/>
  <c r="AU39" i="110"/>
  <c r="AQ38" i="112"/>
  <c r="AW38" i="112" s="1"/>
  <c r="BB85" i="112" s="1"/>
  <c r="M42" i="112"/>
  <c r="G41" i="112"/>
  <c r="J140" i="112"/>
  <c r="E141" i="112"/>
  <c r="F140" i="112"/>
  <c r="K61" i="94"/>
  <c r="AP39" i="111"/>
  <c r="BB85" i="111"/>
  <c r="AY39" i="111"/>
  <c r="AI80" i="111"/>
  <c r="AL38" i="111"/>
  <c r="AJ79" i="111"/>
  <c r="E140" i="111"/>
  <c r="J139" i="111"/>
  <c r="F139" i="111"/>
  <c r="N42" i="111"/>
  <c r="L42" i="111" s="1"/>
  <c r="M43" i="110"/>
  <c r="K42" i="110"/>
  <c r="Q42" i="110" s="1"/>
  <c r="BB89" i="103"/>
  <c r="AP43" i="103"/>
  <c r="AI84" i="103"/>
  <c r="AY43" i="103"/>
  <c r="AL42" i="103"/>
  <c r="AJ83" i="103"/>
  <c r="N36" i="61"/>
  <c r="M36" i="61" s="1"/>
  <c r="K36" i="61" s="1"/>
  <c r="O36" i="61"/>
  <c r="K66" i="109" l="1"/>
  <c r="J66" i="109" s="1"/>
  <c r="AI80" i="112"/>
  <c r="AK80" i="112" s="1"/>
  <c r="M66" i="109"/>
  <c r="S66" i="109" s="1"/>
  <c r="L67" i="109" s="1"/>
  <c r="P67" i="109" s="1"/>
  <c r="N67" i="109" s="1"/>
  <c r="BL66" i="109"/>
  <c r="AY39" i="112"/>
  <c r="AU39" i="112" s="1"/>
  <c r="AT39" i="110"/>
  <c r="AR39" i="110" s="1"/>
  <c r="AS40" i="110" s="1"/>
  <c r="AP39" i="112"/>
  <c r="K41" i="112"/>
  <c r="Q41" i="112" s="1"/>
  <c r="BA41" i="112"/>
  <c r="E142" i="112"/>
  <c r="J141" i="112"/>
  <c r="F141" i="112"/>
  <c r="BL61" i="94"/>
  <c r="J61" i="94"/>
  <c r="Y96" i="94"/>
  <c r="M61" i="94"/>
  <c r="S61" i="94" s="1"/>
  <c r="AK80" i="111"/>
  <c r="AU39" i="111"/>
  <c r="AV39" i="111"/>
  <c r="E141" i="111"/>
  <c r="J140" i="111"/>
  <c r="F140" i="111"/>
  <c r="G42" i="111"/>
  <c r="K42" i="111" s="1"/>
  <c r="Q42" i="111" s="1"/>
  <c r="M43" i="111"/>
  <c r="H43" i="110"/>
  <c r="T84" i="110"/>
  <c r="S43" i="110"/>
  <c r="AK84" i="103"/>
  <c r="AV43" i="103"/>
  <c r="AU43" i="103"/>
  <c r="H36" i="61"/>
  <c r="J36" i="61" s="1"/>
  <c r="L37" i="61"/>
  <c r="Y101" i="109" l="1"/>
  <c r="X102" i="109"/>
  <c r="AV39" i="112"/>
  <c r="K67" i="109"/>
  <c r="M67" i="109" s="1"/>
  <c r="S67" i="109" s="1"/>
  <c r="L68" i="109" s="1"/>
  <c r="P68" i="109" s="1"/>
  <c r="N68" i="109" s="1"/>
  <c r="AO39" i="110"/>
  <c r="AQ39" i="110"/>
  <c r="AW39" i="110" s="1"/>
  <c r="AT39" i="112"/>
  <c r="AR39" i="112" s="1"/>
  <c r="T83" i="112"/>
  <c r="H42" i="112"/>
  <c r="S42" i="112"/>
  <c r="E143" i="112"/>
  <c r="J142" i="112"/>
  <c r="F142" i="112"/>
  <c r="L62" i="94"/>
  <c r="P62" i="94" s="1"/>
  <c r="N62" i="94" s="1"/>
  <c r="X97" i="94"/>
  <c r="AT39" i="111"/>
  <c r="AR39" i="111" s="1"/>
  <c r="S43" i="111"/>
  <c r="T84" i="111"/>
  <c r="V84" i="111" s="1"/>
  <c r="H43" i="111"/>
  <c r="BA42" i="111"/>
  <c r="E142" i="111"/>
  <c r="J141" i="111"/>
  <c r="F141" i="111"/>
  <c r="V84" i="110"/>
  <c r="U83" i="110"/>
  <c r="I43" i="110"/>
  <c r="O43" i="110"/>
  <c r="P43" i="110"/>
  <c r="AT43" i="103"/>
  <c r="AR43" i="103" s="1"/>
  <c r="P36" i="61"/>
  <c r="T66" i="61"/>
  <c r="X103" i="109" l="1"/>
  <c r="J67" i="109"/>
  <c r="BL67" i="109"/>
  <c r="Y102" i="109"/>
  <c r="AY40" i="110"/>
  <c r="BB86" i="110"/>
  <c r="AI81" i="110"/>
  <c r="AP40" i="110"/>
  <c r="AL39" i="110"/>
  <c r="AJ80" i="110"/>
  <c r="K68" i="109"/>
  <c r="M68" i="109" s="1"/>
  <c r="S68" i="109" s="1"/>
  <c r="X104" i="109" s="1"/>
  <c r="AO39" i="112"/>
  <c r="AS40" i="112"/>
  <c r="P42" i="112"/>
  <c r="O42" i="112"/>
  <c r="N42" i="112" s="1"/>
  <c r="L42" i="112" s="1"/>
  <c r="I42" i="112"/>
  <c r="V83" i="112"/>
  <c r="U82" i="112"/>
  <c r="J143" i="112"/>
  <c r="E144" i="112"/>
  <c r="F143" i="112"/>
  <c r="K62" i="94"/>
  <c r="M62" i="94" s="1"/>
  <c r="S62" i="94" s="1"/>
  <c r="AO39" i="111"/>
  <c r="AS40" i="111"/>
  <c r="U83" i="111"/>
  <c r="J142" i="111"/>
  <c r="E143" i="111"/>
  <c r="F142" i="111"/>
  <c r="O43" i="111"/>
  <c r="N43" i="111" s="1"/>
  <c r="L43" i="111" s="1"/>
  <c r="G43" i="111" s="1"/>
  <c r="BA43" i="111" s="1"/>
  <c r="P43" i="111"/>
  <c r="I43" i="111"/>
  <c r="N43" i="110"/>
  <c r="L43" i="110" s="1"/>
  <c r="AO43" i="103"/>
  <c r="AQ43" i="103" s="1"/>
  <c r="AW43" i="103" s="1"/>
  <c r="AS44" i="103"/>
  <c r="S67" i="61"/>
  <c r="I37" i="61"/>
  <c r="R37" i="61"/>
  <c r="J68" i="109" l="1"/>
  <c r="AK81" i="110"/>
  <c r="BL68" i="109"/>
  <c r="AV40" i="110"/>
  <c r="AU40" i="110"/>
  <c r="Y103" i="109"/>
  <c r="L69" i="109"/>
  <c r="P69" i="109" s="1"/>
  <c r="N69" i="109" s="1"/>
  <c r="AQ39" i="112"/>
  <c r="AW39" i="112" s="1"/>
  <c r="AL39" i="112"/>
  <c r="AJ80" i="112"/>
  <c r="M43" i="112"/>
  <c r="G42" i="112"/>
  <c r="J144" i="112"/>
  <c r="E145" i="112"/>
  <c r="F144" i="112"/>
  <c r="L63" i="94"/>
  <c r="P63" i="94" s="1"/>
  <c r="N63" i="94" s="1"/>
  <c r="X98" i="94"/>
  <c r="BL62" i="94"/>
  <c r="J62" i="94"/>
  <c r="Y97" i="94"/>
  <c r="AL39" i="111"/>
  <c r="AJ80" i="111"/>
  <c r="AQ39" i="111"/>
  <c r="AW39" i="111" s="1"/>
  <c r="M44" i="111"/>
  <c r="K43" i="111"/>
  <c r="Q43" i="111" s="1"/>
  <c r="J143" i="111"/>
  <c r="E144" i="111"/>
  <c r="F143" i="111"/>
  <c r="G43" i="110"/>
  <c r="K43" i="110" s="1"/>
  <c r="Q43" i="110" s="1"/>
  <c r="M44" i="110"/>
  <c r="BB90" i="103"/>
  <c r="AP44" i="103"/>
  <c r="AI85" i="103"/>
  <c r="AY44" i="103"/>
  <c r="AL43" i="103"/>
  <c r="AJ84" i="103"/>
  <c r="O37" i="61"/>
  <c r="N37" i="61"/>
  <c r="M37" i="61" s="1"/>
  <c r="K37" i="61" s="1"/>
  <c r="AT40" i="110" l="1"/>
  <c r="AR40" i="110" s="1"/>
  <c r="AS41" i="110" s="1"/>
  <c r="K69" i="109"/>
  <c r="BB86" i="112"/>
  <c r="AP40" i="112"/>
  <c r="AY40" i="112"/>
  <c r="AI81" i="112"/>
  <c r="K42" i="112"/>
  <c r="Q42" i="112" s="1"/>
  <c r="BA42" i="112"/>
  <c r="E146" i="112"/>
  <c r="J145" i="112"/>
  <c r="F145" i="112"/>
  <c r="K63" i="94"/>
  <c r="BB86" i="111"/>
  <c r="AP40" i="111"/>
  <c r="AI81" i="111"/>
  <c r="AY40" i="111"/>
  <c r="E145" i="111"/>
  <c r="J144" i="111"/>
  <c r="F144" i="111"/>
  <c r="S44" i="111"/>
  <c r="H44" i="111"/>
  <c r="T85" i="111"/>
  <c r="H44" i="110"/>
  <c r="T85" i="110"/>
  <c r="V85" i="110" s="1"/>
  <c r="S44" i="110"/>
  <c r="BA43" i="110"/>
  <c r="AK85" i="103"/>
  <c r="AV44" i="103"/>
  <c r="AU44" i="103"/>
  <c r="AT44" i="103" s="1"/>
  <c r="H37" i="61"/>
  <c r="J37" i="61" s="1"/>
  <c r="L38" i="61"/>
  <c r="AO40" i="110" l="1"/>
  <c r="AQ40" i="110"/>
  <c r="AW40" i="110" s="1"/>
  <c r="J69" i="109"/>
  <c r="M69" i="109"/>
  <c r="S69" i="109" s="1"/>
  <c r="BL69" i="109"/>
  <c r="Y104" i="109"/>
  <c r="AK81" i="112"/>
  <c r="AU40" i="112"/>
  <c r="AV40" i="112"/>
  <c r="H43" i="112"/>
  <c r="I43" i="112" s="1"/>
  <c r="T84" i="112"/>
  <c r="S43" i="112"/>
  <c r="U84" i="110"/>
  <c r="E147" i="112"/>
  <c r="J146" i="112"/>
  <c r="F146" i="112"/>
  <c r="M63" i="94"/>
  <c r="S63" i="94" s="1"/>
  <c r="Y98" i="94"/>
  <c r="BL63" i="94"/>
  <c r="J63" i="94"/>
  <c r="AV40" i="111"/>
  <c r="AU40" i="111"/>
  <c r="AT40" i="111" s="1"/>
  <c r="AK81" i="111"/>
  <c r="I44" i="111"/>
  <c r="P44" i="111"/>
  <c r="O44" i="111"/>
  <c r="E146" i="111"/>
  <c r="J145" i="111"/>
  <c r="F145" i="111"/>
  <c r="V85" i="111"/>
  <c r="U84" i="111"/>
  <c r="AR44" i="103"/>
  <c r="AO44" i="103" s="1"/>
  <c r="AL44" i="103" s="1"/>
  <c r="O44" i="110"/>
  <c r="N44" i="110" s="1"/>
  <c r="L44" i="110" s="1"/>
  <c r="G44" i="110" s="1"/>
  <c r="BA44" i="110" s="1"/>
  <c r="P44" i="110"/>
  <c r="I44" i="110"/>
  <c r="P37" i="61"/>
  <c r="T67" i="61"/>
  <c r="AR40" i="111" l="1"/>
  <c r="AO40" i="111" s="1"/>
  <c r="AJ81" i="111" s="1"/>
  <c r="BB87" i="110"/>
  <c r="AY41" i="110"/>
  <c r="AP41" i="110"/>
  <c r="AI82" i="110"/>
  <c r="AL40" i="110"/>
  <c r="AJ81" i="110"/>
  <c r="L70" i="109"/>
  <c r="K70" i="109" s="1"/>
  <c r="X105" i="109"/>
  <c r="AT40" i="112"/>
  <c r="AR40" i="112" s="1"/>
  <c r="V84" i="112"/>
  <c r="U83" i="112"/>
  <c r="O43" i="112"/>
  <c r="P43" i="112"/>
  <c r="J147" i="112"/>
  <c r="E148" i="112"/>
  <c r="F147" i="112"/>
  <c r="L64" i="94"/>
  <c r="K64" i="94" s="1"/>
  <c r="X99" i="94"/>
  <c r="AL40" i="111"/>
  <c r="AS41" i="111"/>
  <c r="J146" i="111"/>
  <c r="E147" i="111"/>
  <c r="F146" i="111"/>
  <c r="N44" i="111"/>
  <c r="L44" i="111" s="1"/>
  <c r="M45" i="111" s="1"/>
  <c r="AQ44" i="103"/>
  <c r="AW44" i="103" s="1"/>
  <c r="BB91" i="103" s="1"/>
  <c r="AS45" i="103"/>
  <c r="AJ85" i="103"/>
  <c r="K44" i="110"/>
  <c r="Q44" i="110" s="1"/>
  <c r="M45" i="110"/>
  <c r="S68" i="61"/>
  <c r="I38" i="61"/>
  <c r="R38" i="61"/>
  <c r="AQ40" i="111" l="1"/>
  <c r="AW40" i="111" s="1"/>
  <c r="AK82" i="110"/>
  <c r="AV41" i="110"/>
  <c r="AU41" i="110"/>
  <c r="Y105" i="109"/>
  <c r="J70" i="109"/>
  <c r="BL70" i="109"/>
  <c r="P70" i="109"/>
  <c r="N70" i="109" s="1"/>
  <c r="M70" i="109"/>
  <c r="S70" i="109" s="1"/>
  <c r="AO40" i="112"/>
  <c r="AQ40" i="112" s="1"/>
  <c r="AW40" i="112" s="1"/>
  <c r="AS41" i="112"/>
  <c r="N43" i="112"/>
  <c r="L43" i="112" s="1"/>
  <c r="M44" i="112" s="1"/>
  <c r="E149" i="112"/>
  <c r="J148" i="112"/>
  <c r="F148" i="112"/>
  <c r="J64" i="94"/>
  <c r="BL64" i="94"/>
  <c r="Y99" i="94"/>
  <c r="M64" i="94"/>
  <c r="S64" i="94" s="1"/>
  <c r="P64" i="94"/>
  <c r="N64" i="94" s="1"/>
  <c r="AI82" i="111"/>
  <c r="AY41" i="111"/>
  <c r="AP41" i="111"/>
  <c r="BB87" i="111"/>
  <c r="J147" i="111"/>
  <c r="E148" i="111"/>
  <c r="F147" i="111"/>
  <c r="G44" i="111"/>
  <c r="K44" i="111" s="1"/>
  <c r="Q44" i="111" s="1"/>
  <c r="AI86" i="103"/>
  <c r="AK86" i="103" s="1"/>
  <c r="AY45" i="103"/>
  <c r="AU45" i="103" s="1"/>
  <c r="AP45" i="103"/>
  <c r="H45" i="110"/>
  <c r="S45" i="110"/>
  <c r="T86" i="110"/>
  <c r="O38" i="61"/>
  <c r="N38" i="61"/>
  <c r="AT41" i="110" l="1"/>
  <c r="AR41" i="110" s="1"/>
  <c r="AS42" i="110"/>
  <c r="L71" i="109"/>
  <c r="P71" i="109" s="1"/>
  <c r="N71" i="109" s="1"/>
  <c r="X106" i="109"/>
  <c r="AP41" i="112"/>
  <c r="BB87" i="112"/>
  <c r="AY41" i="112"/>
  <c r="AI82" i="112"/>
  <c r="AL40" i="112"/>
  <c r="AJ81" i="112"/>
  <c r="G43" i="112"/>
  <c r="K43" i="112" s="1"/>
  <c r="Q43" i="112" s="1"/>
  <c r="E150" i="112"/>
  <c r="J149" i="112"/>
  <c r="F149" i="112"/>
  <c r="L65" i="94"/>
  <c r="X100" i="94"/>
  <c r="AU41" i="111"/>
  <c r="AT41" i="111" s="1"/>
  <c r="AV41" i="111"/>
  <c r="AK82" i="111"/>
  <c r="S45" i="111"/>
  <c r="H45" i="111"/>
  <c r="T86" i="111"/>
  <c r="V86" i="111" s="1"/>
  <c r="J148" i="111"/>
  <c r="E149" i="111"/>
  <c r="F148" i="111"/>
  <c r="BA44" i="111"/>
  <c r="AV45" i="103"/>
  <c r="O45" i="110"/>
  <c r="N45" i="110" s="1"/>
  <c r="L45" i="110" s="1"/>
  <c r="G45" i="110" s="1"/>
  <c r="BA45" i="110" s="1"/>
  <c r="P45" i="110"/>
  <c r="V86" i="110"/>
  <c r="U85" i="110"/>
  <c r="I45" i="110"/>
  <c r="AT45" i="103"/>
  <c r="M38" i="61"/>
  <c r="K38" i="61" s="1"/>
  <c r="AO41" i="110" l="1"/>
  <c r="AQ41" i="110"/>
  <c r="AW41" i="110" s="1"/>
  <c r="K71" i="109"/>
  <c r="BL71" i="109" s="1"/>
  <c r="AK82" i="112"/>
  <c r="AV41" i="112"/>
  <c r="AU41" i="112"/>
  <c r="S44" i="112"/>
  <c r="H44" i="112"/>
  <c r="T85" i="112"/>
  <c r="V85" i="112" s="1"/>
  <c r="BA43" i="112"/>
  <c r="E151" i="112"/>
  <c r="J150" i="112"/>
  <c r="F150" i="112"/>
  <c r="P65" i="94"/>
  <c r="N65" i="94" s="1"/>
  <c r="K65" i="94"/>
  <c r="AR41" i="111"/>
  <c r="AO41" i="111" s="1"/>
  <c r="AJ82" i="111" s="1"/>
  <c r="I45" i="111"/>
  <c r="U85" i="111"/>
  <c r="J149" i="111"/>
  <c r="E150" i="111"/>
  <c r="F149" i="111"/>
  <c r="P45" i="111"/>
  <c r="O45" i="111"/>
  <c r="N45" i="111" s="1"/>
  <c r="L45" i="111" s="1"/>
  <c r="AR45" i="103"/>
  <c r="AS46" i="103" s="1"/>
  <c r="M46" i="110"/>
  <c r="K45" i="110"/>
  <c r="Q45" i="110" s="1"/>
  <c r="H38" i="61"/>
  <c r="J38" i="61" s="1"/>
  <c r="L39" i="61"/>
  <c r="M71" i="109" l="1"/>
  <c r="S71" i="109" s="1"/>
  <c r="Y106" i="109"/>
  <c r="AP42" i="110"/>
  <c r="BB88" i="110"/>
  <c r="AI83" i="110"/>
  <c r="AY42" i="110"/>
  <c r="J71" i="109"/>
  <c r="AL41" i="110"/>
  <c r="AJ82" i="110"/>
  <c r="X107" i="109"/>
  <c r="L72" i="109"/>
  <c r="P72" i="109" s="1"/>
  <c r="N72" i="109" s="1"/>
  <c r="AT41" i="112"/>
  <c r="AR41" i="112" s="1"/>
  <c r="AS42" i="112" s="1"/>
  <c r="I44" i="112"/>
  <c r="U84" i="112"/>
  <c r="P44" i="112"/>
  <c r="O44" i="112"/>
  <c r="N44" i="112" s="1"/>
  <c r="L44" i="112" s="1"/>
  <c r="G44" i="112" s="1"/>
  <c r="BA44" i="112" s="1"/>
  <c r="J151" i="112"/>
  <c r="E152" i="112"/>
  <c r="F151" i="112"/>
  <c r="AO45" i="103"/>
  <c r="AQ45" i="103" s="1"/>
  <c r="AW45" i="103" s="1"/>
  <c r="AI87" i="103" s="1"/>
  <c r="M65" i="94"/>
  <c r="S65" i="94" s="1"/>
  <c r="BL65" i="94"/>
  <c r="Y100" i="94"/>
  <c r="J65" i="94"/>
  <c r="AL41" i="111"/>
  <c r="AQ41" i="111"/>
  <c r="AW41" i="111" s="1"/>
  <c r="AP42" i="111" s="1"/>
  <c r="AS42" i="111"/>
  <c r="G45" i="111"/>
  <c r="BA45" i="111" s="1"/>
  <c r="E151" i="111"/>
  <c r="J150" i="111"/>
  <c r="F150" i="111"/>
  <c r="M46" i="111"/>
  <c r="H46" i="110"/>
  <c r="T87" i="110"/>
  <c r="S46" i="110"/>
  <c r="BB92" i="103"/>
  <c r="AL45" i="103"/>
  <c r="AJ86" i="103"/>
  <c r="P38" i="61"/>
  <c r="T68" i="61"/>
  <c r="AY46" i="103" l="1"/>
  <c r="AP46" i="103"/>
  <c r="K72" i="109"/>
  <c r="BL72" i="109" s="1"/>
  <c r="AV42" i="110"/>
  <c r="AU42" i="110"/>
  <c r="AK83" i="110"/>
  <c r="Y107" i="109"/>
  <c r="M72" i="109"/>
  <c r="S72" i="109" s="1"/>
  <c r="AO41" i="112"/>
  <c r="AQ41" i="112" s="1"/>
  <c r="AW41" i="112" s="1"/>
  <c r="K44" i="112"/>
  <c r="Q44" i="112" s="1"/>
  <c r="M45" i="112"/>
  <c r="J152" i="112"/>
  <c r="E153" i="112"/>
  <c r="F152" i="112"/>
  <c r="X101" i="94"/>
  <c r="L66" i="94"/>
  <c r="K66" i="94" s="1"/>
  <c r="AI83" i="111"/>
  <c r="AK83" i="111" s="1"/>
  <c r="AY42" i="111"/>
  <c r="AV42" i="111" s="1"/>
  <c r="BB88" i="111"/>
  <c r="E152" i="111"/>
  <c r="J151" i="111"/>
  <c r="F151" i="111"/>
  <c r="K45" i="111"/>
  <c r="Q45" i="111" s="1"/>
  <c r="O46" i="110"/>
  <c r="N46" i="110" s="1"/>
  <c r="L46" i="110" s="1"/>
  <c r="G46" i="110" s="1"/>
  <c r="BA46" i="110" s="1"/>
  <c r="P46" i="110"/>
  <c r="V87" i="110"/>
  <c r="U86" i="110"/>
  <c r="I46" i="110"/>
  <c r="AK87" i="103"/>
  <c r="AU46" i="103"/>
  <c r="AT46" i="103" s="1"/>
  <c r="AV46" i="103"/>
  <c r="S69" i="61"/>
  <c r="I39" i="61"/>
  <c r="R39" i="61"/>
  <c r="J72" i="109" l="1"/>
  <c r="AT42" i="110"/>
  <c r="AR42" i="110" s="1"/>
  <c r="AS43" i="110" s="1"/>
  <c r="X108" i="109"/>
  <c r="L73" i="109"/>
  <c r="BB88" i="112"/>
  <c r="AY42" i="112"/>
  <c r="AI83" i="112"/>
  <c r="AP42" i="112"/>
  <c r="AL41" i="112"/>
  <c r="AJ82" i="112"/>
  <c r="S45" i="112"/>
  <c r="T86" i="112"/>
  <c r="H45" i="112"/>
  <c r="J153" i="112"/>
  <c r="E154" i="112"/>
  <c r="F153" i="112"/>
  <c r="J66" i="94"/>
  <c r="Y101" i="94"/>
  <c r="BL66" i="94"/>
  <c r="P66" i="94"/>
  <c r="N66" i="94" s="1"/>
  <c r="M66" i="94"/>
  <c r="S66" i="94" s="1"/>
  <c r="AU42" i="111"/>
  <c r="AT42" i="111" s="1"/>
  <c r="AR42" i="111" s="1"/>
  <c r="S46" i="111"/>
  <c r="T87" i="111"/>
  <c r="H46" i="111"/>
  <c r="E153" i="111"/>
  <c r="J152" i="111"/>
  <c r="F152" i="111"/>
  <c r="M47" i="110"/>
  <c r="K46" i="110"/>
  <c r="Q46" i="110" s="1"/>
  <c r="AR46" i="103"/>
  <c r="AO46" i="103" s="1"/>
  <c r="AL46" i="103" s="1"/>
  <c r="N39" i="61"/>
  <c r="M39" i="61" s="1"/>
  <c r="K39" i="61" s="1"/>
  <c r="O39" i="61"/>
  <c r="AO42" i="110" l="1"/>
  <c r="AQ42" i="110" s="1"/>
  <c r="AW42" i="110" s="1"/>
  <c r="K73" i="109"/>
  <c r="P73" i="109"/>
  <c r="N73" i="109" s="1"/>
  <c r="AK83" i="112"/>
  <c r="AU42" i="112"/>
  <c r="AV42" i="112"/>
  <c r="I45" i="112"/>
  <c r="V86" i="112"/>
  <c r="U85" i="112"/>
  <c r="P45" i="112"/>
  <c r="O45" i="112"/>
  <c r="J154" i="112"/>
  <c r="E155" i="112"/>
  <c r="F154" i="112"/>
  <c r="L67" i="94"/>
  <c r="X102" i="94"/>
  <c r="AO42" i="111"/>
  <c r="AQ42" i="111" s="1"/>
  <c r="AW42" i="111" s="1"/>
  <c r="AI84" i="111" s="1"/>
  <c r="AS43" i="111"/>
  <c r="V87" i="111"/>
  <c r="U86" i="111"/>
  <c r="P46" i="111"/>
  <c r="O46" i="111"/>
  <c r="N46" i="111" s="1"/>
  <c r="L46" i="111" s="1"/>
  <c r="G46" i="111" s="1"/>
  <c r="BA46" i="111" s="1"/>
  <c r="E154" i="111"/>
  <c r="J153" i="111"/>
  <c r="F153" i="111"/>
  <c r="I46" i="111"/>
  <c r="T88" i="110"/>
  <c r="H47" i="110"/>
  <c r="S47" i="110"/>
  <c r="AJ87" i="103"/>
  <c r="AS47" i="103"/>
  <c r="AQ46" i="103"/>
  <c r="AW46" i="103" s="1"/>
  <c r="AY47" i="103" s="1"/>
  <c r="H39" i="61"/>
  <c r="J39" i="61" s="1"/>
  <c r="L40" i="61"/>
  <c r="AY43" i="110" l="1"/>
  <c r="AI84" i="110"/>
  <c r="AP43" i="110"/>
  <c r="BB89" i="110"/>
  <c r="AL42" i="110"/>
  <c r="AJ83" i="110"/>
  <c r="J73" i="109"/>
  <c r="BL73" i="109"/>
  <c r="Y108" i="109"/>
  <c r="M73" i="109"/>
  <c r="S73" i="109" s="1"/>
  <c r="AT42" i="112"/>
  <c r="AR42" i="112" s="1"/>
  <c r="AS43" i="112" s="1"/>
  <c r="N45" i="112"/>
  <c r="L45" i="112" s="1"/>
  <c r="G45" i="112" s="1"/>
  <c r="J155" i="112"/>
  <c r="E156" i="112"/>
  <c r="F155" i="112"/>
  <c r="BB89" i="111"/>
  <c r="K67" i="94"/>
  <c r="P67" i="94"/>
  <c r="N67" i="94" s="1"/>
  <c r="AY43" i="111"/>
  <c r="AV43" i="111" s="1"/>
  <c r="AP43" i="111"/>
  <c r="AL42" i="111"/>
  <c r="AJ83" i="111"/>
  <c r="AK84" i="111"/>
  <c r="E155" i="111"/>
  <c r="J154" i="111"/>
  <c r="F154" i="111"/>
  <c r="K46" i="111"/>
  <c r="Q46" i="111" s="1"/>
  <c r="M47" i="111"/>
  <c r="BB93" i="103"/>
  <c r="AI88" i="103"/>
  <c r="AK88" i="103" s="1"/>
  <c r="AP47" i="103"/>
  <c r="O47" i="110"/>
  <c r="P47" i="110"/>
  <c r="I47" i="110"/>
  <c r="V88" i="110"/>
  <c r="U87" i="110"/>
  <c r="AV47" i="103"/>
  <c r="AU47" i="103"/>
  <c r="P39" i="61"/>
  <c r="T69" i="61"/>
  <c r="AU43" i="111" l="1"/>
  <c r="AK84" i="110"/>
  <c r="AV43" i="110"/>
  <c r="AU43" i="110"/>
  <c r="L74" i="109"/>
  <c r="P74" i="109" s="1"/>
  <c r="N74" i="109" s="1"/>
  <c r="X109" i="109"/>
  <c r="AO42" i="112"/>
  <c r="AQ42" i="112" s="1"/>
  <c r="AW42" i="112" s="1"/>
  <c r="M46" i="112"/>
  <c r="K45" i="112"/>
  <c r="Q45" i="112" s="1"/>
  <c r="BA45" i="112"/>
  <c r="J156" i="112"/>
  <c r="E157" i="112"/>
  <c r="F156" i="112"/>
  <c r="BL67" i="94"/>
  <c r="M67" i="94"/>
  <c r="S67" i="94" s="1"/>
  <c r="J67" i="94"/>
  <c r="Y102" i="94"/>
  <c r="AT43" i="111"/>
  <c r="AR43" i="111" s="1"/>
  <c r="AS44" i="111" s="1"/>
  <c r="S47" i="111"/>
  <c r="H47" i="111"/>
  <c r="T88" i="111"/>
  <c r="E156" i="111"/>
  <c r="J155" i="111"/>
  <c r="F155" i="111"/>
  <c r="AT47" i="103"/>
  <c r="AR47" i="103" s="1"/>
  <c r="AO47" i="103" s="1"/>
  <c r="AL47" i="103" s="1"/>
  <c r="N47" i="110"/>
  <c r="L47" i="110" s="1"/>
  <c r="I40" i="61"/>
  <c r="S70" i="61"/>
  <c r="R40" i="61"/>
  <c r="AT43" i="110" l="1"/>
  <c r="AR43" i="110" s="1"/>
  <c r="AS44" i="110"/>
  <c r="K74" i="109"/>
  <c r="Y109" i="109" s="1"/>
  <c r="BB89" i="112"/>
  <c r="AY43" i="112"/>
  <c r="AI84" i="112"/>
  <c r="AP43" i="112"/>
  <c r="AL42" i="112"/>
  <c r="AJ83" i="112"/>
  <c r="H46" i="112"/>
  <c r="I46" i="112" s="1"/>
  <c r="T87" i="112"/>
  <c r="S46" i="112"/>
  <c r="E158" i="112"/>
  <c r="J157" i="112"/>
  <c r="F157" i="112"/>
  <c r="L68" i="94"/>
  <c r="X103" i="94"/>
  <c r="AO43" i="111"/>
  <c r="AQ43" i="111" s="1"/>
  <c r="AW43" i="111" s="1"/>
  <c r="J156" i="111"/>
  <c r="E157" i="111"/>
  <c r="F156" i="111"/>
  <c r="I47" i="111"/>
  <c r="P47" i="111"/>
  <c r="O47" i="111"/>
  <c r="V88" i="111"/>
  <c r="U87" i="111"/>
  <c r="AQ47" i="103"/>
  <c r="AW47" i="103" s="1"/>
  <c r="AY48" i="103" s="1"/>
  <c r="AS48" i="103"/>
  <c r="G47" i="110"/>
  <c r="K47" i="110" s="1"/>
  <c r="Q47" i="110" s="1"/>
  <c r="M48" i="110"/>
  <c r="O40" i="61"/>
  <c r="N40" i="61"/>
  <c r="M40" i="61" s="1"/>
  <c r="K40" i="61" s="1"/>
  <c r="BL74" i="109" l="1"/>
  <c r="AO43" i="110"/>
  <c r="AQ43" i="110"/>
  <c r="AW43" i="110" s="1"/>
  <c r="J74" i="109"/>
  <c r="M74" i="109"/>
  <c r="S74" i="109" s="1"/>
  <c r="AK84" i="112"/>
  <c r="AU43" i="112"/>
  <c r="AV43" i="112"/>
  <c r="V87" i="112"/>
  <c r="U86" i="112"/>
  <c r="P46" i="112"/>
  <c r="O46" i="112"/>
  <c r="E159" i="112"/>
  <c r="J158" i="112"/>
  <c r="F158" i="112"/>
  <c r="AZ108" i="112" s="1"/>
  <c r="AL43" i="111"/>
  <c r="AJ84" i="111"/>
  <c r="P68" i="94"/>
  <c r="N68" i="94" s="1"/>
  <c r="K68" i="94"/>
  <c r="BB90" i="111"/>
  <c r="AI85" i="111"/>
  <c r="AP44" i="111"/>
  <c r="AY44" i="111"/>
  <c r="E158" i="111"/>
  <c r="J157" i="111"/>
  <c r="F157" i="111"/>
  <c r="N47" i="111"/>
  <c r="L47" i="111" s="1"/>
  <c r="AP48" i="103"/>
  <c r="H48" i="110"/>
  <c r="T89" i="110"/>
  <c r="V89" i="110" s="1"/>
  <c r="S48" i="110"/>
  <c r="BA47" i="110"/>
  <c r="AU48" i="103"/>
  <c r="AV48" i="103"/>
  <c r="H40" i="61"/>
  <c r="J40" i="61" s="1"/>
  <c r="L41" i="61"/>
  <c r="AI85" i="110" l="1"/>
  <c r="AY44" i="110"/>
  <c r="BB90" i="110"/>
  <c r="AP44" i="110"/>
  <c r="AL43" i="110"/>
  <c r="AJ84" i="110"/>
  <c r="X110" i="109"/>
  <c r="K75" i="109"/>
  <c r="M75" i="109" s="1"/>
  <c r="S75" i="109" s="1"/>
  <c r="L75" i="109"/>
  <c r="P75" i="109" s="1"/>
  <c r="N75" i="109" s="1"/>
  <c r="AT43" i="112"/>
  <c r="AR43" i="112" s="1"/>
  <c r="AS44" i="112" s="1"/>
  <c r="N46" i="112"/>
  <c r="L46" i="112" s="1"/>
  <c r="M47" i="112" s="1"/>
  <c r="J159" i="112"/>
  <c r="F159" i="112"/>
  <c r="AZ109" i="112" s="1"/>
  <c r="M68" i="94"/>
  <c r="S68" i="94" s="1"/>
  <c r="Y103" i="94"/>
  <c r="BL68" i="94"/>
  <c r="J68" i="94"/>
  <c r="AU44" i="111"/>
  <c r="AT44" i="111" s="1"/>
  <c r="AV44" i="111"/>
  <c r="AK85" i="111"/>
  <c r="G47" i="111"/>
  <c r="K47" i="111" s="1"/>
  <c r="Q47" i="111" s="1"/>
  <c r="E159" i="111"/>
  <c r="J158" i="111"/>
  <c r="F158" i="111"/>
  <c r="AZ108" i="111" s="1"/>
  <c r="M48" i="111"/>
  <c r="U88" i="110"/>
  <c r="O48" i="110"/>
  <c r="N48" i="110" s="1"/>
  <c r="L48" i="110" s="1"/>
  <c r="G48" i="110" s="1"/>
  <c r="BA48" i="110" s="1"/>
  <c r="P48" i="110"/>
  <c r="I48" i="110"/>
  <c r="AT48" i="103"/>
  <c r="AR48" i="103" s="1"/>
  <c r="P40" i="61"/>
  <c r="T70" i="61"/>
  <c r="AU44" i="110" l="1"/>
  <c r="AV44" i="110"/>
  <c r="AK85" i="110"/>
  <c r="X111" i="109"/>
  <c r="L76" i="109"/>
  <c r="P76" i="109" s="1"/>
  <c r="N76" i="109" s="1"/>
  <c r="J75" i="109"/>
  <c r="Y110" i="109"/>
  <c r="BL75" i="109"/>
  <c r="AO43" i="112"/>
  <c r="AQ43" i="112" s="1"/>
  <c r="AW43" i="112" s="1"/>
  <c r="G46" i="112"/>
  <c r="K46" i="112" s="1"/>
  <c r="Q46" i="112" s="1"/>
  <c r="L69" i="94"/>
  <c r="K69" i="94" s="1"/>
  <c r="X104" i="94"/>
  <c r="AR44" i="111"/>
  <c r="AO44" i="111" s="1"/>
  <c r="AL44" i="111" s="1"/>
  <c r="S48" i="111"/>
  <c r="H48" i="111"/>
  <c r="T89" i="111"/>
  <c r="V89" i="111" s="1"/>
  <c r="J159" i="111"/>
  <c r="F159" i="111"/>
  <c r="AZ109" i="111" s="1"/>
  <c r="BA47" i="111"/>
  <c r="K48" i="110"/>
  <c r="Q48" i="110" s="1"/>
  <c r="M49" i="110"/>
  <c r="AO48" i="103"/>
  <c r="AQ48" i="103" s="1"/>
  <c r="AW48" i="103" s="1"/>
  <c r="AS49" i="103"/>
  <c r="S71" i="61"/>
  <c r="R41" i="61"/>
  <c r="I41" i="61"/>
  <c r="AJ85" i="111" l="1"/>
  <c r="AT44" i="110"/>
  <c r="AR44" i="110" s="1"/>
  <c r="AS45" i="110" s="1"/>
  <c r="K76" i="109"/>
  <c r="AI85" i="112"/>
  <c r="BB90" i="112"/>
  <c r="AP44" i="112"/>
  <c r="AY44" i="112"/>
  <c r="AL43" i="112"/>
  <c r="AJ84" i="112"/>
  <c r="H47" i="112"/>
  <c r="S47" i="112"/>
  <c r="T88" i="112"/>
  <c r="V88" i="112" s="1"/>
  <c r="BA46" i="112"/>
  <c r="AS45" i="111"/>
  <c r="J69" i="94"/>
  <c r="BL69" i="94"/>
  <c r="Y104" i="94"/>
  <c r="P69" i="94"/>
  <c r="N69" i="94" s="1"/>
  <c r="M69" i="94"/>
  <c r="S69" i="94" s="1"/>
  <c r="AQ44" i="111"/>
  <c r="AW44" i="111" s="1"/>
  <c r="AP45" i="111" s="1"/>
  <c r="U88" i="111"/>
  <c r="I48" i="111"/>
  <c r="P48" i="111"/>
  <c r="O48" i="111"/>
  <c r="T90" i="110"/>
  <c r="H49" i="110"/>
  <c r="S49" i="110"/>
  <c r="AP49" i="103"/>
  <c r="AI89" i="103"/>
  <c r="BB94" i="103"/>
  <c r="AY49" i="103"/>
  <c r="AL48" i="103"/>
  <c r="AJ88" i="103"/>
  <c r="O41" i="61"/>
  <c r="N41" i="61"/>
  <c r="BB91" i="111" l="1"/>
  <c r="AO44" i="110"/>
  <c r="AQ44" i="110" s="1"/>
  <c r="AW44" i="110" s="1"/>
  <c r="J76" i="109"/>
  <c r="Y111" i="109"/>
  <c r="BL76" i="109"/>
  <c r="M76" i="109"/>
  <c r="S76" i="109" s="1"/>
  <c r="AU44" i="112"/>
  <c r="AT44" i="112" s="1"/>
  <c r="AV44" i="112"/>
  <c r="AK85" i="112"/>
  <c r="O47" i="112"/>
  <c r="N47" i="112" s="1"/>
  <c r="L47" i="112" s="1"/>
  <c r="G47" i="112" s="1"/>
  <c r="BA47" i="112" s="1"/>
  <c r="P47" i="112"/>
  <c r="U87" i="112"/>
  <c r="I47" i="112"/>
  <c r="AI86" i="111"/>
  <c r="AK86" i="111" s="1"/>
  <c r="L70" i="94"/>
  <c r="X105" i="94"/>
  <c r="AY45" i="111"/>
  <c r="AV45" i="111" s="1"/>
  <c r="N48" i="111"/>
  <c r="L48" i="111" s="1"/>
  <c r="O49" i="110"/>
  <c r="N49" i="110" s="1"/>
  <c r="L49" i="110" s="1"/>
  <c r="G49" i="110" s="1"/>
  <c r="BA49" i="110" s="1"/>
  <c r="P49" i="110"/>
  <c r="I49" i="110"/>
  <c r="V90" i="110"/>
  <c r="U89" i="110"/>
  <c r="AU49" i="103"/>
  <c r="AT49" i="103" s="1"/>
  <c r="AV49" i="103"/>
  <c r="AK89" i="103"/>
  <c r="M41" i="61"/>
  <c r="K41" i="61" s="1"/>
  <c r="AP45" i="110" l="1"/>
  <c r="BB91" i="110"/>
  <c r="AY45" i="110"/>
  <c r="AI86" i="110"/>
  <c r="AL44" i="110"/>
  <c r="AJ85" i="110"/>
  <c r="L77" i="109"/>
  <c r="P77" i="109" s="1"/>
  <c r="N77" i="109" s="1"/>
  <c r="X112" i="109"/>
  <c r="AR44" i="112"/>
  <c r="AO44" i="112" s="1"/>
  <c r="AL44" i="112" s="1"/>
  <c r="K47" i="112"/>
  <c r="Q47" i="112" s="1"/>
  <c r="M48" i="112"/>
  <c r="P70" i="94"/>
  <c r="N70" i="94" s="1"/>
  <c r="K70" i="94"/>
  <c r="AU45" i="111"/>
  <c r="AT45" i="111" s="1"/>
  <c r="AR45" i="111" s="1"/>
  <c r="G48" i="111"/>
  <c r="K48" i="111" s="1"/>
  <c r="Q48" i="111" s="1"/>
  <c r="M49" i="111"/>
  <c r="AR49" i="103"/>
  <c r="AO49" i="103" s="1"/>
  <c r="AL49" i="103" s="1"/>
  <c r="M50" i="110"/>
  <c r="K49" i="110"/>
  <c r="Q49" i="110" s="1"/>
  <c r="H41" i="61"/>
  <c r="J41" i="61" s="1"/>
  <c r="L42" i="61"/>
  <c r="K77" i="109" l="1"/>
  <c r="Y112" i="109" s="1"/>
  <c r="AK86" i="110"/>
  <c r="M77" i="109"/>
  <c r="S77" i="109" s="1"/>
  <c r="X113" i="109" s="1"/>
  <c r="AU45" i="110"/>
  <c r="AV45" i="110"/>
  <c r="J77" i="109"/>
  <c r="AS45" i="112"/>
  <c r="AQ44" i="112"/>
  <c r="AW44" i="112" s="1"/>
  <c r="BB91" i="112" s="1"/>
  <c r="AJ85" i="112"/>
  <c r="T89" i="112"/>
  <c r="H48" i="112"/>
  <c r="I48" i="112" s="1"/>
  <c r="S48" i="112"/>
  <c r="M70" i="94"/>
  <c r="S70" i="94" s="1"/>
  <c r="Y105" i="94"/>
  <c r="BL70" i="94"/>
  <c r="J70" i="94"/>
  <c r="AO45" i="111"/>
  <c r="AQ45" i="111" s="1"/>
  <c r="AW45" i="111" s="1"/>
  <c r="AS46" i="111"/>
  <c r="S49" i="111"/>
  <c r="T90" i="111"/>
  <c r="V90" i="111" s="1"/>
  <c r="H49" i="111"/>
  <c r="BA48" i="111"/>
  <c r="AQ49" i="103"/>
  <c r="AW49" i="103" s="1"/>
  <c r="AP50" i="103" s="1"/>
  <c r="AS50" i="103"/>
  <c r="AJ89" i="103"/>
  <c r="S50" i="110"/>
  <c r="H50" i="110"/>
  <c r="T91" i="110"/>
  <c r="P41" i="61"/>
  <c r="T71" i="61"/>
  <c r="BL77" i="109" l="1"/>
  <c r="L78" i="109"/>
  <c r="P78" i="109" s="1"/>
  <c r="N78" i="109" s="1"/>
  <c r="AT45" i="110"/>
  <c r="AR45" i="110" s="1"/>
  <c r="AO45" i="110" s="1"/>
  <c r="AY45" i="112"/>
  <c r="AV45" i="112" s="1"/>
  <c r="AP45" i="112"/>
  <c r="AI86" i="112"/>
  <c r="AK86" i="112" s="1"/>
  <c r="P48" i="112"/>
  <c r="O48" i="112"/>
  <c r="V89" i="112"/>
  <c r="U88" i="112"/>
  <c r="L71" i="94"/>
  <c r="P71" i="94" s="1"/>
  <c r="N71" i="94" s="1"/>
  <c r="X106" i="94"/>
  <c r="AY46" i="111"/>
  <c r="AP46" i="111"/>
  <c r="AI87" i="111"/>
  <c r="BB92" i="111"/>
  <c r="AL45" i="111"/>
  <c r="AJ86" i="111"/>
  <c r="U89" i="111"/>
  <c r="I49" i="111"/>
  <c r="P49" i="111"/>
  <c r="O49" i="111"/>
  <c r="AY50" i="103"/>
  <c r="AU50" i="103" s="1"/>
  <c r="AI90" i="103"/>
  <c r="AK90" i="103" s="1"/>
  <c r="BB95" i="103"/>
  <c r="V91" i="110"/>
  <c r="U90" i="110"/>
  <c r="I50" i="110"/>
  <c r="O50" i="110"/>
  <c r="P50" i="110"/>
  <c r="S72" i="61"/>
  <c r="R42" i="61"/>
  <c r="I42" i="61"/>
  <c r="K78" i="109" l="1"/>
  <c r="Y113" i="109" s="1"/>
  <c r="K71" i="94"/>
  <c r="M71" i="94" s="1"/>
  <c r="S71" i="94" s="1"/>
  <c r="L72" i="94" s="1"/>
  <c r="AU45" i="112"/>
  <c r="BL78" i="109"/>
  <c r="M78" i="109"/>
  <c r="S78" i="109" s="1"/>
  <c r="AQ45" i="110"/>
  <c r="AW45" i="110" s="1"/>
  <c r="AL45" i="110"/>
  <c r="AJ86" i="110"/>
  <c r="AS46" i="110"/>
  <c r="AT45" i="112"/>
  <c r="AR45" i="112" s="1"/>
  <c r="N48" i="112"/>
  <c r="L48" i="112" s="1"/>
  <c r="M49" i="112" s="1"/>
  <c r="X107" i="94"/>
  <c r="AK87" i="111"/>
  <c r="AV46" i="111"/>
  <c r="AU46" i="111"/>
  <c r="AT46" i="111" s="1"/>
  <c r="N49" i="111"/>
  <c r="L49" i="111" s="1"/>
  <c r="AV50" i="103"/>
  <c r="N50" i="110"/>
  <c r="L50" i="110" s="1"/>
  <c r="AT50" i="103"/>
  <c r="O42" i="61"/>
  <c r="N42" i="61"/>
  <c r="M42" i="61" s="1"/>
  <c r="K42" i="61" s="1"/>
  <c r="Y106" i="94" l="1"/>
  <c r="J78" i="109"/>
  <c r="BL71" i="94"/>
  <c r="J71" i="94"/>
  <c r="X114" i="109"/>
  <c r="L79" i="109"/>
  <c r="BB92" i="110"/>
  <c r="AP46" i="110"/>
  <c r="AY46" i="110"/>
  <c r="AI87" i="110"/>
  <c r="AO45" i="112"/>
  <c r="AQ45" i="112" s="1"/>
  <c r="AW45" i="112" s="1"/>
  <c r="AS46" i="112"/>
  <c r="G48" i="112"/>
  <c r="K48" i="112" s="1"/>
  <c r="Q48" i="112" s="1"/>
  <c r="AR46" i="111"/>
  <c r="AO46" i="111" s="1"/>
  <c r="AQ46" i="111" s="1"/>
  <c r="AW46" i="111" s="1"/>
  <c r="P72" i="94"/>
  <c r="N72" i="94" s="1"/>
  <c r="K72" i="94"/>
  <c r="G49" i="111"/>
  <c r="K49" i="111" s="1"/>
  <c r="Q49" i="111" s="1"/>
  <c r="M50" i="111"/>
  <c r="AR50" i="103"/>
  <c r="AS51" i="103" s="1"/>
  <c r="G50" i="110"/>
  <c r="K50" i="110" s="1"/>
  <c r="Q50" i="110" s="1"/>
  <c r="M51" i="110"/>
  <c r="H42" i="61"/>
  <c r="J42" i="61" s="1"/>
  <c r="L43" i="61"/>
  <c r="AL46" i="111" l="1"/>
  <c r="AJ87" i="111"/>
  <c r="AS47" i="111"/>
  <c r="P79" i="109"/>
  <c r="N79" i="109" s="1"/>
  <c r="K79" i="109"/>
  <c r="AK87" i="110"/>
  <c r="AU46" i="110"/>
  <c r="AV46" i="110"/>
  <c r="AP46" i="112"/>
  <c r="AY46" i="112"/>
  <c r="AI87" i="112"/>
  <c r="BB92" i="112"/>
  <c r="AL45" i="112"/>
  <c r="AJ86" i="112"/>
  <c r="S49" i="112"/>
  <c r="T90" i="112"/>
  <c r="V90" i="112" s="1"/>
  <c r="H49" i="112"/>
  <c r="BA48" i="112"/>
  <c r="M72" i="94"/>
  <c r="S72" i="94" s="1"/>
  <c r="BL72" i="94"/>
  <c r="J72" i="94"/>
  <c r="Y107" i="94"/>
  <c r="AI88" i="111"/>
  <c r="AK88" i="111" s="1"/>
  <c r="AP47" i="111"/>
  <c r="BB93" i="111"/>
  <c r="AY47" i="111"/>
  <c r="S50" i="111"/>
  <c r="T91" i="111"/>
  <c r="V91" i="111" s="1"/>
  <c r="H50" i="111"/>
  <c r="BA49" i="111"/>
  <c r="AO50" i="103"/>
  <c r="AL50" i="103" s="1"/>
  <c r="S51" i="110"/>
  <c r="T92" i="110"/>
  <c r="V92" i="110" s="1"/>
  <c r="H51" i="110"/>
  <c r="BA50" i="110"/>
  <c r="P42" i="61"/>
  <c r="T72" i="61"/>
  <c r="M79" i="109" l="1"/>
  <c r="S79" i="109" s="1"/>
  <c r="Y114" i="109"/>
  <c r="BL79" i="109"/>
  <c r="J79" i="109"/>
  <c r="AT46" i="110"/>
  <c r="AR46" i="110" s="1"/>
  <c r="AS47" i="110" s="1"/>
  <c r="AK87" i="112"/>
  <c r="AU46" i="112"/>
  <c r="AV46" i="112"/>
  <c r="I49" i="112"/>
  <c r="U89" i="112"/>
  <c r="O49" i="112"/>
  <c r="P49" i="112"/>
  <c r="L73" i="94"/>
  <c r="K73" i="94" s="1"/>
  <c r="X108" i="94"/>
  <c r="AU47" i="111"/>
  <c r="AT47" i="111" s="1"/>
  <c r="AV47" i="111"/>
  <c r="AQ50" i="103"/>
  <c r="AW50" i="103" s="1"/>
  <c r="AY51" i="103" s="1"/>
  <c r="AJ90" i="103"/>
  <c r="I50" i="111"/>
  <c r="U90" i="111"/>
  <c r="P50" i="111"/>
  <c r="O50" i="111"/>
  <c r="N50" i="111" s="1"/>
  <c r="L50" i="111" s="1"/>
  <c r="U91" i="110"/>
  <c r="I51" i="110"/>
  <c r="O51" i="110"/>
  <c r="N51" i="110" s="1"/>
  <c r="L51" i="110" s="1"/>
  <c r="G51" i="110" s="1"/>
  <c r="BA51" i="110" s="1"/>
  <c r="P51" i="110"/>
  <c r="S73" i="61"/>
  <c r="I43" i="61"/>
  <c r="R43" i="61"/>
  <c r="AP51" i="103" l="1"/>
  <c r="L80" i="109"/>
  <c r="X115" i="109"/>
  <c r="AO46" i="110"/>
  <c r="AQ46" i="110"/>
  <c r="AW46" i="110" s="1"/>
  <c r="AT46" i="112"/>
  <c r="AR46" i="112" s="1"/>
  <c r="AO46" i="112" s="1"/>
  <c r="N49" i="112"/>
  <c r="L49" i="112" s="1"/>
  <c r="BL73" i="94"/>
  <c r="J73" i="94"/>
  <c r="Y108" i="94"/>
  <c r="P73" i="94"/>
  <c r="N73" i="94" s="1"/>
  <c r="M73" i="94"/>
  <c r="S73" i="94" s="1"/>
  <c r="AI91" i="103"/>
  <c r="AK91" i="103" s="1"/>
  <c r="BB96" i="103"/>
  <c r="AR47" i="111"/>
  <c r="AS48" i="111" s="1"/>
  <c r="G50" i="111"/>
  <c r="BA50" i="111" s="1"/>
  <c r="M51" i="111"/>
  <c r="K51" i="110"/>
  <c r="Q51" i="110" s="1"/>
  <c r="M52" i="110"/>
  <c r="AU51" i="103"/>
  <c r="AV51" i="103"/>
  <c r="O43" i="61"/>
  <c r="N43" i="61"/>
  <c r="AT51" i="103" l="1"/>
  <c r="AR51" i="103" s="1"/>
  <c r="AO51" i="103" s="1"/>
  <c r="AL51" i="103" s="1"/>
  <c r="K80" i="109"/>
  <c r="P80" i="109"/>
  <c r="N80" i="109" s="1"/>
  <c r="AP47" i="110"/>
  <c r="AY47" i="110"/>
  <c r="AI88" i="110"/>
  <c r="BB93" i="110"/>
  <c r="AL46" i="110"/>
  <c r="AJ87" i="110"/>
  <c r="AQ46" i="112"/>
  <c r="AW46" i="112" s="1"/>
  <c r="AL46" i="112"/>
  <c r="AJ87" i="112"/>
  <c r="AS47" i="112"/>
  <c r="G49" i="112"/>
  <c r="K49" i="112" s="1"/>
  <c r="Q49" i="112" s="1"/>
  <c r="M50" i="112"/>
  <c r="L74" i="94"/>
  <c r="K74" i="94" s="1"/>
  <c r="X109" i="94"/>
  <c r="AO47" i="111"/>
  <c r="K50" i="111"/>
  <c r="Q50" i="111" s="1"/>
  <c r="S52" i="110"/>
  <c r="T93" i="110"/>
  <c r="H52" i="110"/>
  <c r="M43" i="61"/>
  <c r="K43" i="61" s="1"/>
  <c r="M80" i="109" l="1"/>
  <c r="S80" i="109" s="1"/>
  <c r="BL80" i="109"/>
  <c r="J80" i="109"/>
  <c r="Y115" i="109"/>
  <c r="AK88" i="110"/>
  <c r="AV47" i="110"/>
  <c r="AU47" i="110"/>
  <c r="AT47" i="110" s="1"/>
  <c r="AR47" i="110" s="1"/>
  <c r="AP47" i="112"/>
  <c r="AI88" i="112"/>
  <c r="AK88" i="112" s="1"/>
  <c r="BB93" i="112"/>
  <c r="AY47" i="112"/>
  <c r="H50" i="112"/>
  <c r="I50" i="112" s="1"/>
  <c r="S50" i="112"/>
  <c r="T91" i="112"/>
  <c r="V91" i="112" s="1"/>
  <c r="BA49" i="112"/>
  <c r="Y109" i="94"/>
  <c r="BL74" i="94"/>
  <c r="J74" i="94"/>
  <c r="P74" i="94"/>
  <c r="N74" i="94" s="1"/>
  <c r="M74" i="94"/>
  <c r="S74" i="94" s="1"/>
  <c r="AL47" i="111"/>
  <c r="AQ47" i="111"/>
  <c r="AW47" i="111" s="1"/>
  <c r="S51" i="111"/>
  <c r="T92" i="111"/>
  <c r="H51" i="111"/>
  <c r="AQ51" i="103"/>
  <c r="AW51" i="103" s="1"/>
  <c r="AY52" i="103" s="1"/>
  <c r="AJ91" i="103"/>
  <c r="AS52" i="103"/>
  <c r="O52" i="110"/>
  <c r="N52" i="110" s="1"/>
  <c r="L52" i="110" s="1"/>
  <c r="G52" i="110" s="1"/>
  <c r="BA52" i="110" s="1"/>
  <c r="P52" i="110"/>
  <c r="I52" i="110"/>
  <c r="V93" i="110"/>
  <c r="U92" i="110"/>
  <c r="H43" i="61"/>
  <c r="J43" i="61" s="1"/>
  <c r="L44" i="61"/>
  <c r="L81" i="109" l="1"/>
  <c r="P81" i="109" s="1"/>
  <c r="N81" i="109" s="1"/>
  <c r="X116" i="109"/>
  <c r="AO47" i="110"/>
  <c r="AL47" i="110" s="1"/>
  <c r="AS48" i="110"/>
  <c r="AU47" i="112"/>
  <c r="AT47" i="112" s="1"/>
  <c r="AV47" i="112"/>
  <c r="U90" i="112"/>
  <c r="P50" i="112"/>
  <c r="O50" i="112"/>
  <c r="L75" i="94"/>
  <c r="X110" i="94"/>
  <c r="AP48" i="111"/>
  <c r="AY48" i="111"/>
  <c r="I51" i="111"/>
  <c r="V92" i="111"/>
  <c r="U91" i="111"/>
  <c r="O51" i="111"/>
  <c r="P51" i="111"/>
  <c r="AI92" i="103"/>
  <c r="AK92" i="103" s="1"/>
  <c r="BB97" i="103"/>
  <c r="AP52" i="103"/>
  <c r="K52" i="110"/>
  <c r="Q52" i="110" s="1"/>
  <c r="M53" i="110"/>
  <c r="AU52" i="103"/>
  <c r="AV52" i="103"/>
  <c r="P43" i="61"/>
  <c r="T73" i="61"/>
  <c r="K81" i="109" l="1"/>
  <c r="J81" i="109" s="1"/>
  <c r="AQ47" i="110"/>
  <c r="AW47" i="110" s="1"/>
  <c r="M81" i="109"/>
  <c r="S81" i="109" s="1"/>
  <c r="BL81" i="109"/>
  <c r="Y116" i="109"/>
  <c r="AY48" i="110"/>
  <c r="AP48" i="110"/>
  <c r="AR47" i="112"/>
  <c r="AO47" i="112" s="1"/>
  <c r="AL47" i="112" s="1"/>
  <c r="N50" i="112"/>
  <c r="L50" i="112" s="1"/>
  <c r="M51" i="112" s="1"/>
  <c r="P75" i="94"/>
  <c r="N75" i="94" s="1"/>
  <c r="K75" i="94"/>
  <c r="AV48" i="111"/>
  <c r="AU48" i="111"/>
  <c r="N51" i="111"/>
  <c r="L51" i="111" s="1"/>
  <c r="AT52" i="103"/>
  <c r="AR52" i="103" s="1"/>
  <c r="AO52" i="103" s="1"/>
  <c r="AL52" i="103" s="1"/>
  <c r="H53" i="110"/>
  <c r="T94" i="110"/>
  <c r="S53" i="110"/>
  <c r="S74" i="61"/>
  <c r="I44" i="61"/>
  <c r="R44" i="61"/>
  <c r="X117" i="109" l="1"/>
  <c r="L82" i="109"/>
  <c r="P82" i="109" s="1"/>
  <c r="N82" i="109" s="1"/>
  <c r="AU48" i="110"/>
  <c r="AT48" i="110" s="1"/>
  <c r="AV48" i="110"/>
  <c r="AS48" i="112"/>
  <c r="AQ47" i="112"/>
  <c r="AW47" i="112" s="1"/>
  <c r="AP48" i="112" s="1"/>
  <c r="G50" i="112"/>
  <c r="K50" i="112" s="1"/>
  <c r="Q50" i="112" s="1"/>
  <c r="AQ52" i="103"/>
  <c r="AW52" i="103" s="1"/>
  <c r="BB98" i="103" s="1"/>
  <c r="J75" i="94"/>
  <c r="M75" i="94"/>
  <c r="S75" i="94" s="1"/>
  <c r="BL75" i="94"/>
  <c r="Y110" i="94"/>
  <c r="AJ92" i="103"/>
  <c r="AS53" i="103"/>
  <c r="AT48" i="111"/>
  <c r="AR48" i="111" s="1"/>
  <c r="AO48" i="111" s="1"/>
  <c r="G51" i="111"/>
  <c r="K51" i="111" s="1"/>
  <c r="Q51" i="111" s="1"/>
  <c r="M52" i="111"/>
  <c r="V94" i="110"/>
  <c r="U93" i="110"/>
  <c r="I53" i="110"/>
  <c r="O53" i="110"/>
  <c r="N53" i="110" s="1"/>
  <c r="L53" i="110" s="1"/>
  <c r="P53" i="110"/>
  <c r="N44" i="61"/>
  <c r="O44" i="61"/>
  <c r="AI93" i="103" l="1"/>
  <c r="AY53" i="103"/>
  <c r="AP53" i="103"/>
  <c r="K82" i="109"/>
  <c r="M82" i="109"/>
  <c r="S82" i="109" s="1"/>
  <c r="AR48" i="110"/>
  <c r="AS49" i="110" s="1"/>
  <c r="J82" i="109"/>
  <c r="BL82" i="109"/>
  <c r="Y117" i="109"/>
  <c r="AO48" i="110"/>
  <c r="AY48" i="112"/>
  <c r="AU48" i="112" s="1"/>
  <c r="AT48" i="112" s="1"/>
  <c r="S51" i="112"/>
  <c r="H51" i="112"/>
  <c r="I51" i="112" s="1"/>
  <c r="T92" i="112"/>
  <c r="V92" i="112" s="1"/>
  <c r="BA50" i="112"/>
  <c r="L76" i="94"/>
  <c r="X111" i="94"/>
  <c r="AS49" i="111"/>
  <c r="AQ48" i="111"/>
  <c r="AW48" i="111" s="1"/>
  <c r="AJ88" i="111"/>
  <c r="AL48" i="111"/>
  <c r="S52" i="111"/>
  <c r="T93" i="111"/>
  <c r="V93" i="111" s="1"/>
  <c r="H52" i="111"/>
  <c r="BA51" i="111"/>
  <c r="G53" i="110"/>
  <c r="BA53" i="110" s="1"/>
  <c r="M54" i="110"/>
  <c r="AK93" i="103"/>
  <c r="AU53" i="103"/>
  <c r="AV53" i="103"/>
  <c r="M44" i="61"/>
  <c r="K44" i="61" s="1"/>
  <c r="X118" i="109" l="1"/>
  <c r="L83" i="109"/>
  <c r="AQ48" i="110"/>
  <c r="AW48" i="110" s="1"/>
  <c r="AL48" i="110"/>
  <c r="AJ88" i="110"/>
  <c r="AV48" i="112"/>
  <c r="AR48" i="112" s="1"/>
  <c r="AS49" i="112" s="1"/>
  <c r="U91" i="112"/>
  <c r="P51" i="112"/>
  <c r="O51" i="112"/>
  <c r="P76" i="94"/>
  <c r="N76" i="94" s="1"/>
  <c r="K76" i="94"/>
  <c r="BB94" i="111"/>
  <c r="AI89" i="111"/>
  <c r="AK89" i="111" s="1"/>
  <c r="AP49" i="111"/>
  <c r="AY49" i="111"/>
  <c r="U92" i="111"/>
  <c r="I52" i="111"/>
  <c r="O52" i="111"/>
  <c r="P52" i="111"/>
  <c r="K53" i="110"/>
  <c r="Q53" i="110" s="1"/>
  <c r="AT53" i="103"/>
  <c r="AR53" i="103" s="1"/>
  <c r="AS54" i="103" s="1"/>
  <c r="H44" i="61"/>
  <c r="J44" i="61" s="1"/>
  <c r="L45" i="61"/>
  <c r="K83" i="109" l="1"/>
  <c r="P83" i="109"/>
  <c r="N83" i="109" s="1"/>
  <c r="AI89" i="110"/>
  <c r="AP49" i="110"/>
  <c r="AY49" i="110"/>
  <c r="BB94" i="110"/>
  <c r="AO48" i="112"/>
  <c r="AQ48" i="112" s="1"/>
  <c r="AW48" i="112" s="1"/>
  <c r="N51" i="112"/>
  <c r="L51" i="112" s="1"/>
  <c r="M52" i="112" s="1"/>
  <c r="M76" i="94"/>
  <c r="S76" i="94" s="1"/>
  <c r="Y111" i="94"/>
  <c r="BL76" i="94"/>
  <c r="J76" i="94"/>
  <c r="AU49" i="111"/>
  <c r="AT49" i="111" s="1"/>
  <c r="AV49" i="111"/>
  <c r="N52" i="111"/>
  <c r="L52" i="111" s="1"/>
  <c r="M53" i="111" s="1"/>
  <c r="H54" i="110"/>
  <c r="S54" i="110"/>
  <c r="T95" i="110"/>
  <c r="AO53" i="103"/>
  <c r="AQ53" i="103" s="1"/>
  <c r="AW53" i="103" s="1"/>
  <c r="P44" i="61"/>
  <c r="T74" i="61"/>
  <c r="AR49" i="111" l="1"/>
  <c r="AO49" i="111" s="1"/>
  <c r="AL49" i="111" s="1"/>
  <c r="M83" i="109"/>
  <c r="S83" i="109" s="1"/>
  <c r="J83" i="109"/>
  <c r="Y118" i="109"/>
  <c r="BL83" i="109"/>
  <c r="AU49" i="110"/>
  <c r="AV49" i="110"/>
  <c r="AK89" i="110"/>
  <c r="AJ88" i="112"/>
  <c r="AL48" i="112"/>
  <c r="BB94" i="112"/>
  <c r="AY49" i="112"/>
  <c r="AI89" i="112"/>
  <c r="AP49" i="112"/>
  <c r="G51" i="112"/>
  <c r="K51" i="112" s="1"/>
  <c r="Q51" i="112" s="1"/>
  <c r="L77" i="94"/>
  <c r="P77" i="94" s="1"/>
  <c r="N77" i="94" s="1"/>
  <c r="X112" i="94"/>
  <c r="G52" i="111"/>
  <c r="K52" i="111" s="1"/>
  <c r="Q52" i="111" s="1"/>
  <c r="V95" i="110"/>
  <c r="U94" i="110"/>
  <c r="O54" i="110"/>
  <c r="N54" i="110" s="1"/>
  <c r="L54" i="110" s="1"/>
  <c r="G54" i="110" s="1"/>
  <c r="BA54" i="110" s="1"/>
  <c r="P54" i="110"/>
  <c r="I54" i="110"/>
  <c r="AI94" i="103"/>
  <c r="BB99" i="103"/>
  <c r="AP54" i="103"/>
  <c r="AY54" i="103"/>
  <c r="AL53" i="103"/>
  <c r="AJ93" i="103"/>
  <c r="S75" i="61"/>
  <c r="I45" i="61"/>
  <c r="R45" i="61"/>
  <c r="AS50" i="111" l="1"/>
  <c r="AJ89" i="111"/>
  <c r="AQ49" i="111"/>
  <c r="AW49" i="111" s="1"/>
  <c r="AY50" i="111" s="1"/>
  <c r="X119" i="109"/>
  <c r="L84" i="109"/>
  <c r="K84" i="109"/>
  <c r="AT49" i="110"/>
  <c r="AR49" i="110" s="1"/>
  <c r="AO49" i="110" s="1"/>
  <c r="AK89" i="112"/>
  <c r="AV49" i="112"/>
  <c r="AU49" i="112"/>
  <c r="H52" i="112"/>
  <c r="T93" i="112"/>
  <c r="V93" i="112" s="1"/>
  <c r="S52" i="112"/>
  <c r="BA51" i="112"/>
  <c r="K77" i="94"/>
  <c r="M77" i="94" s="1"/>
  <c r="S77" i="94" s="1"/>
  <c r="S53" i="111"/>
  <c r="T94" i="111"/>
  <c r="V94" i="111" s="1"/>
  <c r="H53" i="111"/>
  <c r="BA52" i="111"/>
  <c r="M55" i="110"/>
  <c r="K54" i="110"/>
  <c r="Q54" i="110" s="1"/>
  <c r="AV54" i="103"/>
  <c r="AU54" i="103"/>
  <c r="AT54" i="103" s="1"/>
  <c r="AK94" i="103"/>
  <c r="N45" i="61"/>
  <c r="M45" i="61" s="1"/>
  <c r="K45" i="61" s="1"/>
  <c r="O45" i="61"/>
  <c r="AI90" i="111" l="1"/>
  <c r="AK90" i="111" s="1"/>
  <c r="BB95" i="111"/>
  <c r="AP50" i="111"/>
  <c r="J77" i="94"/>
  <c r="Y112" i="94"/>
  <c r="BL77" i="94"/>
  <c r="P84" i="109"/>
  <c r="N84" i="109" s="1"/>
  <c r="M84" i="109"/>
  <c r="S84" i="109" s="1"/>
  <c r="J84" i="109"/>
  <c r="BL84" i="109"/>
  <c r="Y119" i="109"/>
  <c r="AS50" i="110"/>
  <c r="AQ49" i="110"/>
  <c r="AW49" i="110" s="1"/>
  <c r="AL49" i="110"/>
  <c r="AJ89" i="110"/>
  <c r="AT49" i="112"/>
  <c r="AR49" i="112" s="1"/>
  <c r="AS50" i="112" s="1"/>
  <c r="U92" i="112"/>
  <c r="P52" i="112"/>
  <c r="O52" i="112"/>
  <c r="N52" i="112" s="1"/>
  <c r="L52" i="112" s="1"/>
  <c r="G52" i="112" s="1"/>
  <c r="BA52" i="112" s="1"/>
  <c r="I52" i="112"/>
  <c r="X113" i="94"/>
  <c r="L78" i="94"/>
  <c r="P78" i="94" s="1"/>
  <c r="N78" i="94" s="1"/>
  <c r="AV50" i="111"/>
  <c r="AU50" i="111"/>
  <c r="U93" i="111"/>
  <c r="I53" i="111"/>
  <c r="P53" i="111"/>
  <c r="O53" i="111"/>
  <c r="AR54" i="103"/>
  <c r="AO54" i="103" s="1"/>
  <c r="AL54" i="103" s="1"/>
  <c r="S55" i="110"/>
  <c r="H55" i="110"/>
  <c r="T96" i="110"/>
  <c r="H45" i="61"/>
  <c r="J45" i="61" s="1"/>
  <c r="L46" i="61"/>
  <c r="X120" i="109" l="1"/>
  <c r="L85" i="109"/>
  <c r="AY50" i="110"/>
  <c r="AP50" i="110"/>
  <c r="BB95" i="110"/>
  <c r="AI90" i="110"/>
  <c r="AO49" i="112"/>
  <c r="AQ49" i="112" s="1"/>
  <c r="AW49" i="112" s="1"/>
  <c r="K52" i="112"/>
  <c r="Q52" i="112" s="1"/>
  <c r="M53" i="112"/>
  <c r="K78" i="94"/>
  <c r="AT50" i="111"/>
  <c r="AR50" i="111" s="1"/>
  <c r="AS51" i="111" s="1"/>
  <c r="N53" i="111"/>
  <c r="L53" i="111" s="1"/>
  <c r="AQ54" i="103"/>
  <c r="AW54" i="103" s="1"/>
  <c r="AI95" i="103" s="1"/>
  <c r="AS55" i="103"/>
  <c r="AJ94" i="103"/>
  <c r="V96" i="110"/>
  <c r="U95" i="110"/>
  <c r="I55" i="110"/>
  <c r="O55" i="110"/>
  <c r="P55" i="110"/>
  <c r="P45" i="61"/>
  <c r="T75" i="61"/>
  <c r="P85" i="109" l="1"/>
  <c r="N85" i="109" s="1"/>
  <c r="K85" i="109"/>
  <c r="AK90" i="110"/>
  <c r="AU50" i="110"/>
  <c r="AV50" i="110"/>
  <c r="AI90" i="112"/>
  <c r="BB95" i="112"/>
  <c r="AP50" i="112"/>
  <c r="AY50" i="112"/>
  <c r="AL49" i="112"/>
  <c r="AJ89" i="112"/>
  <c r="S53" i="112"/>
  <c r="T94" i="112"/>
  <c r="H53" i="112"/>
  <c r="Y113" i="94"/>
  <c r="J78" i="94"/>
  <c r="BL78" i="94"/>
  <c r="M78" i="94"/>
  <c r="S78" i="94" s="1"/>
  <c r="AO50" i="111"/>
  <c r="AQ50" i="111" s="1"/>
  <c r="AW50" i="111" s="1"/>
  <c r="G53" i="111"/>
  <c r="K53" i="111" s="1"/>
  <c r="Q53" i="111" s="1"/>
  <c r="M54" i="111"/>
  <c r="AP55" i="103"/>
  <c r="AY55" i="103"/>
  <c r="BB100" i="103"/>
  <c r="N55" i="110"/>
  <c r="L55" i="110" s="1"/>
  <c r="AK95" i="103"/>
  <c r="AV55" i="103"/>
  <c r="AU55" i="103"/>
  <c r="S76" i="61"/>
  <c r="I46" i="61"/>
  <c r="R46" i="61"/>
  <c r="M85" i="109" l="1"/>
  <c r="S85" i="109" s="1"/>
  <c r="Y120" i="109"/>
  <c r="J85" i="109"/>
  <c r="BL85" i="109"/>
  <c r="AT50" i="110"/>
  <c r="AR50" i="110" s="1"/>
  <c r="AO50" i="110" s="1"/>
  <c r="AU50" i="112"/>
  <c r="AT50" i="112" s="1"/>
  <c r="AV50" i="112"/>
  <c r="AK90" i="112"/>
  <c r="I53" i="112"/>
  <c r="V94" i="112"/>
  <c r="U93" i="112"/>
  <c r="O53" i="112"/>
  <c r="N53" i="112" s="1"/>
  <c r="L53" i="112" s="1"/>
  <c r="P53" i="112"/>
  <c r="L79" i="94"/>
  <c r="P79" i="94" s="1"/>
  <c r="N79" i="94" s="1"/>
  <c r="X114" i="94"/>
  <c r="AY51" i="111"/>
  <c r="BB96" i="111"/>
  <c r="AP51" i="111"/>
  <c r="AI91" i="111"/>
  <c r="AK91" i="111" s="1"/>
  <c r="AL50" i="111"/>
  <c r="AJ90" i="111"/>
  <c r="S54" i="111"/>
  <c r="H54" i="111"/>
  <c r="T95" i="111"/>
  <c r="V95" i="111" s="1"/>
  <c r="BA53" i="111"/>
  <c r="G55" i="110"/>
  <c r="K55" i="110" s="1"/>
  <c r="Q55" i="110" s="1"/>
  <c r="M56" i="110"/>
  <c r="AT55" i="103"/>
  <c r="AR55" i="103" s="1"/>
  <c r="O46" i="61"/>
  <c r="N46" i="61"/>
  <c r="M46" i="61" s="1"/>
  <c r="K46" i="61" s="1"/>
  <c r="AR50" i="112" l="1"/>
  <c r="AO50" i="112" s="1"/>
  <c r="AL50" i="112" s="1"/>
  <c r="L86" i="109"/>
  <c r="K86" i="109"/>
  <c r="X121" i="109"/>
  <c r="AQ50" i="110"/>
  <c r="AW50" i="110" s="1"/>
  <c r="AL50" i="110"/>
  <c r="AJ90" i="110"/>
  <c r="AS51" i="110"/>
  <c r="AQ50" i="112"/>
  <c r="AW50" i="112" s="1"/>
  <c r="G53" i="112"/>
  <c r="BA53" i="112" s="1"/>
  <c r="M54" i="112"/>
  <c r="K79" i="94"/>
  <c r="AU51" i="111"/>
  <c r="AV51" i="111"/>
  <c r="U94" i="111"/>
  <c r="I54" i="111"/>
  <c r="O54" i="111"/>
  <c r="P54" i="111"/>
  <c r="S56" i="110"/>
  <c r="H56" i="110"/>
  <c r="T97" i="110"/>
  <c r="V97" i="110" s="1"/>
  <c r="BA55" i="110"/>
  <c r="AO55" i="103"/>
  <c r="AQ55" i="103" s="1"/>
  <c r="AW55" i="103" s="1"/>
  <c r="AS56" i="103"/>
  <c r="L47" i="61"/>
  <c r="H46" i="61"/>
  <c r="J46" i="61" s="1"/>
  <c r="AS51" i="112" l="1"/>
  <c r="AJ90" i="112"/>
  <c r="Y121" i="109"/>
  <c r="J86" i="109"/>
  <c r="BL86" i="109"/>
  <c r="P86" i="109"/>
  <c r="N86" i="109" s="1"/>
  <c r="M86" i="109"/>
  <c r="S86" i="109" s="1"/>
  <c r="AI91" i="110"/>
  <c r="AP51" i="110"/>
  <c r="BB96" i="110"/>
  <c r="AY51" i="110"/>
  <c r="AI91" i="112"/>
  <c r="BB96" i="112"/>
  <c r="AY51" i="112"/>
  <c r="AP51" i="112"/>
  <c r="K53" i="112"/>
  <c r="Q53" i="112" s="1"/>
  <c r="H54" i="112" s="1"/>
  <c r="M79" i="94"/>
  <c r="S79" i="94" s="1"/>
  <c r="Y114" i="94"/>
  <c r="BL79" i="94"/>
  <c r="J79" i="94"/>
  <c r="AT51" i="111"/>
  <c r="AR51" i="111" s="1"/>
  <c r="AO51" i="111" s="1"/>
  <c r="N54" i="111"/>
  <c r="L54" i="111" s="1"/>
  <c r="U96" i="110"/>
  <c r="I56" i="110"/>
  <c r="O56" i="110"/>
  <c r="P56" i="110"/>
  <c r="BB101" i="103"/>
  <c r="AP56" i="103"/>
  <c r="AI96" i="103"/>
  <c r="AY56" i="103"/>
  <c r="AL55" i="103"/>
  <c r="AJ95" i="103"/>
  <c r="P46" i="61"/>
  <c r="T76" i="61"/>
  <c r="X122" i="109" l="1"/>
  <c r="L87" i="109"/>
  <c r="AV51" i="110"/>
  <c r="AU51" i="110"/>
  <c r="AT51" i="110" s="1"/>
  <c r="AR51" i="110" s="1"/>
  <c r="AO51" i="110" s="1"/>
  <c r="AK91" i="110"/>
  <c r="AU51" i="112"/>
  <c r="AT51" i="112" s="1"/>
  <c r="AV51" i="112"/>
  <c r="AK91" i="112"/>
  <c r="S54" i="112"/>
  <c r="O54" i="112" s="1"/>
  <c r="N54" i="112" s="1"/>
  <c r="L54" i="112" s="1"/>
  <c r="G54" i="112" s="1"/>
  <c r="T95" i="112"/>
  <c r="U94" i="112" s="1"/>
  <c r="I54" i="112"/>
  <c r="X115" i="94"/>
  <c r="L80" i="94"/>
  <c r="P80" i="94" s="1"/>
  <c r="N80" i="94" s="1"/>
  <c r="AS52" i="111"/>
  <c r="AQ51" i="111"/>
  <c r="AW51" i="111" s="1"/>
  <c r="AJ91" i="111"/>
  <c r="AL51" i="111"/>
  <c r="G54" i="111"/>
  <c r="M55" i="111"/>
  <c r="N56" i="110"/>
  <c r="L56" i="110" s="1"/>
  <c r="M57" i="110" s="1"/>
  <c r="AU56" i="103"/>
  <c r="AT56" i="103" s="1"/>
  <c r="AV56" i="103"/>
  <c r="AK96" i="103"/>
  <c r="S77" i="61"/>
  <c r="I47" i="61"/>
  <c r="R47" i="61"/>
  <c r="P87" i="109" l="1"/>
  <c r="N87" i="109" s="1"/>
  <c r="K87" i="109"/>
  <c r="AQ51" i="110"/>
  <c r="AW51" i="110" s="1"/>
  <c r="AL51" i="110"/>
  <c r="AS52" i="110"/>
  <c r="AJ91" i="110"/>
  <c r="AR51" i="112"/>
  <c r="AS52" i="112" s="1"/>
  <c r="P54" i="112"/>
  <c r="V95" i="112"/>
  <c r="K54" i="112"/>
  <c r="Q54" i="112" s="1"/>
  <c r="BA54" i="112"/>
  <c r="M55" i="112"/>
  <c r="K80" i="94"/>
  <c r="AI92" i="111"/>
  <c r="AK92" i="111" s="1"/>
  <c r="BB97" i="111"/>
  <c r="AP52" i="111"/>
  <c r="AY52" i="111"/>
  <c r="BA54" i="111"/>
  <c r="K54" i="111"/>
  <c r="Q54" i="111" s="1"/>
  <c r="G56" i="110"/>
  <c r="K56" i="110" s="1"/>
  <c r="Q56" i="110" s="1"/>
  <c r="AR56" i="103"/>
  <c r="AS57" i="103" s="1"/>
  <c r="N47" i="61"/>
  <c r="M47" i="61" s="1"/>
  <c r="K47" i="61" s="1"/>
  <c r="O47" i="61"/>
  <c r="M87" i="109" l="1"/>
  <c r="S87" i="109" s="1"/>
  <c r="Y122" i="109"/>
  <c r="AI50" i="109" s="1"/>
  <c r="BL87" i="109"/>
  <c r="J87" i="109"/>
  <c r="AI92" i="110"/>
  <c r="AP52" i="110"/>
  <c r="BB97" i="110"/>
  <c r="AY52" i="110"/>
  <c r="AO51" i="112"/>
  <c r="AL51" i="112" s="1"/>
  <c r="H55" i="112"/>
  <c r="S55" i="112"/>
  <c r="T96" i="112"/>
  <c r="BL80" i="94"/>
  <c r="Y115" i="94"/>
  <c r="J80" i="94"/>
  <c r="M80" i="94"/>
  <c r="S80" i="94" s="1"/>
  <c r="AU52" i="111"/>
  <c r="AV52" i="111"/>
  <c r="AT52" i="111"/>
  <c r="S55" i="111"/>
  <c r="T96" i="111"/>
  <c r="H55" i="111"/>
  <c r="AO56" i="103"/>
  <c r="AQ56" i="103" s="1"/>
  <c r="AW56" i="103" s="1"/>
  <c r="AI97" i="103" s="1"/>
  <c r="T98" i="110"/>
  <c r="V98" i="110" s="1"/>
  <c r="S57" i="110"/>
  <c r="H57" i="110"/>
  <c r="BA56" i="110"/>
  <c r="H47" i="61"/>
  <c r="J47" i="61" s="1"/>
  <c r="L48" i="61"/>
  <c r="AR52" i="111" l="1"/>
  <c r="AS53" i="111" s="1"/>
  <c r="L88" i="109"/>
  <c r="P88" i="109" s="1"/>
  <c r="N88" i="109" s="1"/>
  <c r="X123" i="109"/>
  <c r="AK92" i="110"/>
  <c r="AU52" i="110"/>
  <c r="AV52" i="110"/>
  <c r="AQ51" i="112"/>
  <c r="AW51" i="112" s="1"/>
  <c r="AY52" i="112" s="1"/>
  <c r="AJ91" i="112"/>
  <c r="V96" i="112"/>
  <c r="U95" i="112"/>
  <c r="O55" i="112"/>
  <c r="P55" i="112"/>
  <c r="I55" i="112"/>
  <c r="U97" i="110"/>
  <c r="L81" i="94"/>
  <c r="P81" i="94" s="1"/>
  <c r="N81" i="94" s="1"/>
  <c r="X116" i="94"/>
  <c r="AO52" i="111"/>
  <c r="AQ52" i="111" s="1"/>
  <c r="AW52" i="111" s="1"/>
  <c r="I55" i="111"/>
  <c r="V96" i="111"/>
  <c r="U95" i="111"/>
  <c r="O55" i="111"/>
  <c r="N55" i="111" s="1"/>
  <c r="L55" i="111" s="1"/>
  <c r="G55" i="111" s="1"/>
  <c r="BA55" i="111" s="1"/>
  <c r="P55" i="111"/>
  <c r="AJ96" i="103"/>
  <c r="AL56" i="103"/>
  <c r="AY57" i="103"/>
  <c r="AV57" i="103" s="1"/>
  <c r="BB102" i="103"/>
  <c r="AP57" i="103"/>
  <c r="I57" i="110"/>
  <c r="O57" i="110"/>
  <c r="N57" i="110" s="1"/>
  <c r="L57" i="110" s="1"/>
  <c r="P57" i="110"/>
  <c r="AK97" i="103"/>
  <c r="P47" i="61"/>
  <c r="T77" i="61"/>
  <c r="AI92" i="112" l="1"/>
  <c r="AK92" i="112" s="1"/>
  <c r="AP52" i="112"/>
  <c r="K88" i="109"/>
  <c r="Y123" i="109" s="1"/>
  <c r="BB97" i="112"/>
  <c r="AT52" i="110"/>
  <c r="AR52" i="110" s="1"/>
  <c r="AS53" i="110" s="1"/>
  <c r="AU52" i="112"/>
  <c r="AV52" i="112"/>
  <c r="N55" i="112"/>
  <c r="L55" i="112" s="1"/>
  <c r="K81" i="94"/>
  <c r="AP53" i="111"/>
  <c r="AY53" i="111"/>
  <c r="BB98" i="111"/>
  <c r="AI93" i="111"/>
  <c r="AK93" i="111" s="1"/>
  <c r="AL52" i="111"/>
  <c r="AJ92" i="111"/>
  <c r="K55" i="111"/>
  <c r="Q55" i="111" s="1"/>
  <c r="M56" i="111"/>
  <c r="AU57" i="103"/>
  <c r="AT57" i="103" s="1"/>
  <c r="AR57" i="103" s="1"/>
  <c r="AO57" i="103" s="1"/>
  <c r="AL57" i="103" s="1"/>
  <c r="G57" i="110"/>
  <c r="K57" i="110" s="1"/>
  <c r="Q57" i="110" s="1"/>
  <c r="M58" i="110"/>
  <c r="S78" i="61"/>
  <c r="I48" i="61"/>
  <c r="R48" i="61"/>
  <c r="M88" i="109" l="1"/>
  <c r="S88" i="109" s="1"/>
  <c r="BL88" i="109"/>
  <c r="J88" i="109"/>
  <c r="X124" i="109"/>
  <c r="L89" i="109"/>
  <c r="P89" i="109" s="1"/>
  <c r="N89" i="109" s="1"/>
  <c r="AO52" i="110"/>
  <c r="AQ52" i="110" s="1"/>
  <c r="AW52" i="110" s="1"/>
  <c r="AT52" i="112"/>
  <c r="AR52" i="112" s="1"/>
  <c r="AS53" i="112" s="1"/>
  <c r="G55" i="112"/>
  <c r="BA55" i="112" s="1"/>
  <c r="M56" i="112"/>
  <c r="M81" i="94"/>
  <c r="S81" i="94" s="1"/>
  <c r="J81" i="94"/>
  <c r="BL81" i="94"/>
  <c r="Y116" i="94"/>
  <c r="AV53" i="111"/>
  <c r="AU53" i="111"/>
  <c r="AT53" i="111" s="1"/>
  <c r="S56" i="111"/>
  <c r="H56" i="111"/>
  <c r="T97" i="111"/>
  <c r="AJ97" i="103"/>
  <c r="AQ57" i="103"/>
  <c r="AW57" i="103" s="1"/>
  <c r="AY58" i="103" s="1"/>
  <c r="AS58" i="103"/>
  <c r="T99" i="110"/>
  <c r="V99" i="110" s="1"/>
  <c r="H58" i="110"/>
  <c r="S58" i="110"/>
  <c r="BA57" i="110"/>
  <c r="N48" i="61"/>
  <c r="M48" i="61" s="1"/>
  <c r="K48" i="61" s="1"/>
  <c r="O48" i="61"/>
  <c r="K89" i="109" l="1"/>
  <c r="M89" i="109" s="1"/>
  <c r="S89" i="109" s="1"/>
  <c r="J89" i="109"/>
  <c r="Y124" i="109"/>
  <c r="BL89" i="109"/>
  <c r="AY53" i="110"/>
  <c r="AI93" i="110"/>
  <c r="BB98" i="110"/>
  <c r="AP53" i="110"/>
  <c r="AL52" i="110"/>
  <c r="AJ92" i="110"/>
  <c r="AO52" i="112"/>
  <c r="AQ52" i="112" s="1"/>
  <c r="AW52" i="112" s="1"/>
  <c r="K55" i="112"/>
  <c r="Q55" i="112" s="1"/>
  <c r="L82" i="94"/>
  <c r="P82" i="94" s="1"/>
  <c r="N82" i="94" s="1"/>
  <c r="X117" i="94"/>
  <c r="AR53" i="111"/>
  <c r="AO53" i="111" s="1"/>
  <c r="AQ53" i="111" s="1"/>
  <c r="AW53" i="111" s="1"/>
  <c r="AY54" i="111" s="1"/>
  <c r="P56" i="111"/>
  <c r="O56" i="111"/>
  <c r="V97" i="111"/>
  <c r="U96" i="111"/>
  <c r="I56" i="111"/>
  <c r="J56" i="111" s="1"/>
  <c r="N56" i="111"/>
  <c r="L56" i="111" s="1"/>
  <c r="AP58" i="103"/>
  <c r="BB103" i="103"/>
  <c r="AI98" i="103"/>
  <c r="AK98" i="103" s="1"/>
  <c r="O58" i="110"/>
  <c r="N58" i="110" s="1"/>
  <c r="L58" i="110" s="1"/>
  <c r="G58" i="110" s="1"/>
  <c r="BA58" i="110" s="1"/>
  <c r="P58" i="110"/>
  <c r="I58" i="110"/>
  <c r="U98" i="110"/>
  <c r="AV58" i="103"/>
  <c r="AU58" i="103"/>
  <c r="H48" i="61"/>
  <c r="J48" i="61" s="1"/>
  <c r="L49" i="61"/>
  <c r="L90" i="109" l="1"/>
  <c r="P90" i="109" s="1"/>
  <c r="N90" i="109" s="1"/>
  <c r="X125" i="109"/>
  <c r="AK93" i="110"/>
  <c r="AV53" i="110"/>
  <c r="AU53" i="110"/>
  <c r="AP53" i="112"/>
  <c r="AY53" i="112"/>
  <c r="AI93" i="112"/>
  <c r="BB98" i="112"/>
  <c r="AL52" i="112"/>
  <c r="AJ92" i="112"/>
  <c r="S56" i="112"/>
  <c r="T97" i="112"/>
  <c r="H56" i="112"/>
  <c r="I56" i="112" s="1"/>
  <c r="BB99" i="111"/>
  <c r="AL53" i="111"/>
  <c r="AI94" i="111"/>
  <c r="AK94" i="111" s="1"/>
  <c r="AS54" i="111"/>
  <c r="AP54" i="111"/>
  <c r="AJ93" i="111"/>
  <c r="K82" i="94"/>
  <c r="M82" i="94" s="1"/>
  <c r="S82" i="94" s="1"/>
  <c r="G56" i="111"/>
  <c r="BA56" i="111" s="1"/>
  <c r="AU54" i="111"/>
  <c r="AV54" i="111"/>
  <c r="M57" i="111"/>
  <c r="K58" i="110"/>
  <c r="Q58" i="110" s="1"/>
  <c r="M59" i="110"/>
  <c r="AT58" i="103"/>
  <c r="AR58" i="103" s="1"/>
  <c r="P48" i="61"/>
  <c r="T78" i="61"/>
  <c r="K90" i="109" l="1"/>
  <c r="AT53" i="110"/>
  <c r="AR53" i="110" s="1"/>
  <c r="AS54" i="110" s="1"/>
  <c r="AK93" i="112"/>
  <c r="AV53" i="112"/>
  <c r="AU53" i="112"/>
  <c r="AT53" i="112" s="1"/>
  <c r="V97" i="112"/>
  <c r="U96" i="112"/>
  <c r="O56" i="112"/>
  <c r="P56" i="112"/>
  <c r="X118" i="94"/>
  <c r="L83" i="94"/>
  <c r="P83" i="94" s="1"/>
  <c r="N83" i="94" s="1"/>
  <c r="AT54" i="111"/>
  <c r="J82" i="94"/>
  <c r="Y117" i="94"/>
  <c r="BL82" i="94"/>
  <c r="AR54" i="111"/>
  <c r="AO54" i="111" s="1"/>
  <c r="AL54" i="111" s="1"/>
  <c r="K56" i="111"/>
  <c r="Q56" i="111" s="1"/>
  <c r="T98" i="111" s="1"/>
  <c r="H59" i="110"/>
  <c r="T100" i="110"/>
  <c r="S59" i="110"/>
  <c r="AO58" i="103"/>
  <c r="AQ58" i="103" s="1"/>
  <c r="AW58" i="103" s="1"/>
  <c r="AS59" i="103"/>
  <c r="S79" i="61"/>
  <c r="I49" i="61"/>
  <c r="R49" i="61"/>
  <c r="J90" i="109" l="1"/>
  <c r="BL90" i="109"/>
  <c r="M90" i="109"/>
  <c r="S90" i="109" s="1"/>
  <c r="Y125" i="109"/>
  <c r="AO53" i="110"/>
  <c r="AQ53" i="110" s="1"/>
  <c r="AW53" i="110" s="1"/>
  <c r="AR53" i="112"/>
  <c r="AO53" i="112" s="1"/>
  <c r="AL53" i="112" s="1"/>
  <c r="N56" i="112"/>
  <c r="L56" i="112" s="1"/>
  <c r="M57" i="112" s="1"/>
  <c r="K83" i="94"/>
  <c r="AS55" i="111"/>
  <c r="AJ94" i="111"/>
  <c r="AQ54" i="111"/>
  <c r="AW54" i="111" s="1"/>
  <c r="BB100" i="111" s="1"/>
  <c r="S57" i="111"/>
  <c r="P57" i="111" s="1"/>
  <c r="H57" i="111"/>
  <c r="I57" i="111" s="1"/>
  <c r="V98" i="111"/>
  <c r="I59" i="110"/>
  <c r="O59" i="110"/>
  <c r="N59" i="110" s="1"/>
  <c r="L59" i="110" s="1"/>
  <c r="G59" i="110" s="1"/>
  <c r="BA59" i="110" s="1"/>
  <c r="P59" i="110"/>
  <c r="V100" i="110"/>
  <c r="U99" i="110"/>
  <c r="AI99" i="103"/>
  <c r="BB104" i="103"/>
  <c r="AP59" i="103"/>
  <c r="AY59" i="103"/>
  <c r="AL58" i="103"/>
  <c r="AJ98" i="103"/>
  <c r="N49" i="61"/>
  <c r="M49" i="61" s="1"/>
  <c r="K49" i="61" s="1"/>
  <c r="O49" i="61"/>
  <c r="L91" i="109" l="1"/>
  <c r="P91" i="109" s="1"/>
  <c r="N91" i="109" s="1"/>
  <c r="X126" i="109"/>
  <c r="K91" i="109"/>
  <c r="AJ93" i="112"/>
  <c r="AS54" i="112"/>
  <c r="AQ53" i="112"/>
  <c r="AW53" i="112" s="1"/>
  <c r="AP54" i="112" s="1"/>
  <c r="AP54" i="110"/>
  <c r="BB99" i="110"/>
  <c r="AI94" i="110"/>
  <c r="AY54" i="110"/>
  <c r="AL53" i="110"/>
  <c r="AJ93" i="110"/>
  <c r="BB99" i="112"/>
  <c r="G56" i="112"/>
  <c r="K56" i="112" s="1"/>
  <c r="Q56" i="112" s="1"/>
  <c r="BL83" i="94"/>
  <c r="Y118" i="94"/>
  <c r="J83" i="94"/>
  <c r="M83" i="94"/>
  <c r="S83" i="94" s="1"/>
  <c r="O57" i="111"/>
  <c r="AI95" i="111"/>
  <c r="AK95" i="111" s="1"/>
  <c r="AP55" i="111"/>
  <c r="AY55" i="111"/>
  <c r="AU55" i="111" s="1"/>
  <c r="N57" i="111"/>
  <c r="L57" i="111" s="1"/>
  <c r="K59" i="110"/>
  <c r="Q59" i="110" s="1"/>
  <c r="M60" i="110"/>
  <c r="AV59" i="103"/>
  <c r="AU59" i="103"/>
  <c r="AT59" i="103" s="1"/>
  <c r="AK99" i="103"/>
  <c r="H49" i="61"/>
  <c r="J49" i="61" s="1"/>
  <c r="L50" i="61"/>
  <c r="M91" i="109" l="1"/>
  <c r="S91" i="109" s="1"/>
  <c r="J91" i="109"/>
  <c r="Y126" i="109"/>
  <c r="BL91" i="109"/>
  <c r="AY54" i="112"/>
  <c r="AI94" i="112"/>
  <c r="AK94" i="112" s="1"/>
  <c r="AU54" i="110"/>
  <c r="AV54" i="110"/>
  <c r="AK94" i="110"/>
  <c r="AV54" i="112"/>
  <c r="AU54" i="112"/>
  <c r="AT54" i="112" s="1"/>
  <c r="H57" i="112"/>
  <c r="I57" i="112" s="1"/>
  <c r="T98" i="112"/>
  <c r="V98" i="112" s="1"/>
  <c r="S57" i="112"/>
  <c r="BA56" i="112"/>
  <c r="L84" i="94"/>
  <c r="P84" i="94" s="1"/>
  <c r="N84" i="94" s="1"/>
  <c r="X119" i="94"/>
  <c r="AT55" i="111"/>
  <c r="G57" i="111"/>
  <c r="BA57" i="111" s="1"/>
  <c r="AV55" i="111"/>
  <c r="M58" i="111"/>
  <c r="T101" i="110"/>
  <c r="H60" i="110"/>
  <c r="S60" i="110"/>
  <c r="AR59" i="103"/>
  <c r="AO59" i="103" s="1"/>
  <c r="AL59" i="103" s="1"/>
  <c r="P49" i="61"/>
  <c r="T79" i="61"/>
  <c r="X127" i="109" l="1"/>
  <c r="S92" i="109"/>
  <c r="L92" i="109"/>
  <c r="P92" i="109" s="1"/>
  <c r="N92" i="109" s="1"/>
  <c r="K92" i="109"/>
  <c r="AT54" i="110"/>
  <c r="AR54" i="110" s="1"/>
  <c r="AR54" i="112"/>
  <c r="AO54" i="112" s="1"/>
  <c r="U97" i="112"/>
  <c r="O57" i="112"/>
  <c r="P57" i="112"/>
  <c r="K84" i="94"/>
  <c r="AR55" i="111"/>
  <c r="AS56" i="111" s="1"/>
  <c r="K57" i="111"/>
  <c r="Q57" i="111" s="1"/>
  <c r="O60" i="110"/>
  <c r="P60" i="110"/>
  <c r="I60" i="110"/>
  <c r="V101" i="110"/>
  <c r="U100" i="110"/>
  <c r="AJ99" i="103"/>
  <c r="AQ59" i="103"/>
  <c r="AW59" i="103" s="1"/>
  <c r="AI100" i="103" s="1"/>
  <c r="AS60" i="103"/>
  <c r="S80" i="61"/>
  <c r="R50" i="61"/>
  <c r="I50" i="61"/>
  <c r="M92" i="109" l="1"/>
  <c r="T92" i="109"/>
  <c r="W92" i="109" s="1"/>
  <c r="W109" i="109" s="1"/>
  <c r="Y127" i="109"/>
  <c r="J92" i="109"/>
  <c r="BL92" i="109"/>
  <c r="K109" i="109"/>
  <c r="BL109" i="109" s="1"/>
  <c r="L93" i="109"/>
  <c r="P93" i="109" s="1"/>
  <c r="N93" i="109" s="1"/>
  <c r="X128" i="109"/>
  <c r="S93" i="109"/>
  <c r="AO54" i="110"/>
  <c r="AQ54" i="110" s="1"/>
  <c r="AW54" i="110" s="1"/>
  <c r="AS55" i="110"/>
  <c r="AS55" i="112"/>
  <c r="AQ54" i="112"/>
  <c r="AW54" i="112" s="1"/>
  <c r="AL54" i="112"/>
  <c r="AJ94" i="112"/>
  <c r="N57" i="112"/>
  <c r="L57" i="112" s="1"/>
  <c r="M58" i="112" s="1"/>
  <c r="BL84" i="94"/>
  <c r="J84" i="94"/>
  <c r="Y119" i="94"/>
  <c r="M84" i="94"/>
  <c r="S84" i="94" s="1"/>
  <c r="AO55" i="111"/>
  <c r="AQ55" i="111" s="1"/>
  <c r="AW55" i="111" s="1"/>
  <c r="BB101" i="111" s="1"/>
  <c r="S58" i="111"/>
  <c r="H58" i="111"/>
  <c r="T99" i="111"/>
  <c r="V99" i="111" s="1"/>
  <c r="BB105" i="103"/>
  <c r="AY60" i="103"/>
  <c r="AU60" i="103" s="1"/>
  <c r="AP60" i="103"/>
  <c r="N60" i="110"/>
  <c r="L60" i="110" s="1"/>
  <c r="AK100" i="103"/>
  <c r="O50" i="61"/>
  <c r="N50" i="61"/>
  <c r="M50" i="61" s="1"/>
  <c r="K50" i="61" s="1"/>
  <c r="BL115" i="109" l="1"/>
  <c r="X129" i="109"/>
  <c r="L94" i="109"/>
  <c r="P94" i="109" s="1"/>
  <c r="N94" i="109" s="1"/>
  <c r="S94" i="109"/>
  <c r="Y144" i="109"/>
  <c r="Z144" i="109"/>
  <c r="BB100" i="110"/>
  <c r="AP55" i="110"/>
  <c r="AY55" i="110"/>
  <c r="AI95" i="110"/>
  <c r="AL54" i="110"/>
  <c r="AJ94" i="110"/>
  <c r="AI95" i="112"/>
  <c r="BB100" i="112"/>
  <c r="AP55" i="112"/>
  <c r="AY55" i="112"/>
  <c r="G57" i="112"/>
  <c r="K57" i="112" s="1"/>
  <c r="Q57" i="112" s="1"/>
  <c r="X120" i="94"/>
  <c r="L85" i="94"/>
  <c r="AP56" i="111"/>
  <c r="AI96" i="111"/>
  <c r="AK96" i="111" s="1"/>
  <c r="AJ95" i="111"/>
  <c r="AY56" i="111"/>
  <c r="AL55" i="111"/>
  <c r="P58" i="111"/>
  <c r="O58" i="111"/>
  <c r="N58" i="111" s="1"/>
  <c r="L58" i="111" s="1"/>
  <c r="G58" i="111" s="1"/>
  <c r="BA58" i="111" s="1"/>
  <c r="I58" i="111"/>
  <c r="AV60" i="103"/>
  <c r="G60" i="110"/>
  <c r="M61" i="110"/>
  <c r="AT60" i="103"/>
  <c r="H50" i="61"/>
  <c r="J50" i="61" s="1"/>
  <c r="L51" i="61"/>
  <c r="L95" i="109" l="1"/>
  <c r="P95" i="109" s="1"/>
  <c r="N95" i="109" s="1"/>
  <c r="X130" i="109"/>
  <c r="S95" i="109"/>
  <c r="AK95" i="110"/>
  <c r="AU55" i="110"/>
  <c r="AV55" i="110"/>
  <c r="AU55" i="112"/>
  <c r="AV55" i="112"/>
  <c r="AK95" i="112"/>
  <c r="S58" i="112"/>
  <c r="T99" i="112"/>
  <c r="V99" i="112" s="1"/>
  <c r="H58" i="112"/>
  <c r="BA57" i="112"/>
  <c r="K85" i="94"/>
  <c r="M85" i="94" s="1"/>
  <c r="S85" i="94" s="1"/>
  <c r="P85" i="94"/>
  <c r="N85" i="94" s="1"/>
  <c r="AU56" i="111"/>
  <c r="AT56" i="111" s="1"/>
  <c r="AV56" i="111"/>
  <c r="K58" i="111"/>
  <c r="Q58" i="111" s="1"/>
  <c r="M59" i="111"/>
  <c r="AR60" i="103"/>
  <c r="AO60" i="103" s="1"/>
  <c r="AQ60" i="103" s="1"/>
  <c r="AW60" i="103" s="1"/>
  <c r="BA60" i="110"/>
  <c r="K60" i="110"/>
  <c r="Q60" i="110" s="1"/>
  <c r="P50" i="61"/>
  <c r="T80" i="61"/>
  <c r="X131" i="109" l="1"/>
  <c r="S96" i="109"/>
  <c r="L96" i="109"/>
  <c r="P96" i="109" s="1"/>
  <c r="N96" i="109" s="1"/>
  <c r="AT55" i="110"/>
  <c r="AR55" i="110" s="1"/>
  <c r="AT55" i="112"/>
  <c r="AR55" i="112" s="1"/>
  <c r="AS56" i="112" s="1"/>
  <c r="I58" i="112"/>
  <c r="U98" i="112"/>
  <c r="P58" i="112"/>
  <c r="O58" i="112"/>
  <c r="N58" i="112" s="1"/>
  <c r="L58" i="112" s="1"/>
  <c r="G58" i="112" s="1"/>
  <c r="L86" i="94"/>
  <c r="P86" i="94" s="1"/>
  <c r="N86" i="94" s="1"/>
  <c r="X121" i="94"/>
  <c r="BL85" i="94"/>
  <c r="J85" i="94"/>
  <c r="Y120" i="94"/>
  <c r="AR56" i="111"/>
  <c r="AS57" i="111" s="1"/>
  <c r="S59" i="111"/>
  <c r="H59" i="111"/>
  <c r="T100" i="111"/>
  <c r="V100" i="111" s="1"/>
  <c r="AS61" i="103"/>
  <c r="H61" i="110"/>
  <c r="T102" i="110"/>
  <c r="S61" i="110"/>
  <c r="AI101" i="103"/>
  <c r="AP61" i="103"/>
  <c r="BB106" i="103"/>
  <c r="AY61" i="103"/>
  <c r="AL60" i="103"/>
  <c r="AJ100" i="103"/>
  <c r="S81" i="61"/>
  <c r="I51" i="61"/>
  <c r="R51" i="61"/>
  <c r="L97" i="109" l="1"/>
  <c r="P97" i="109" s="1"/>
  <c r="N97" i="109" s="1"/>
  <c r="X132" i="109"/>
  <c r="S97" i="109"/>
  <c r="AO55" i="110"/>
  <c r="AQ55" i="110" s="1"/>
  <c r="AW55" i="110" s="1"/>
  <c r="AS56" i="110"/>
  <c r="AO55" i="112"/>
  <c r="AQ55" i="112" s="1"/>
  <c r="AW55" i="112" s="1"/>
  <c r="K58" i="112"/>
  <c r="Q58" i="112" s="1"/>
  <c r="BA58" i="112"/>
  <c r="M59" i="112"/>
  <c r="K86" i="94"/>
  <c r="I59" i="111"/>
  <c r="P59" i="111"/>
  <c r="O59" i="111"/>
  <c r="O61" i="110"/>
  <c r="N61" i="110" s="1"/>
  <c r="L61" i="110" s="1"/>
  <c r="G61" i="110" s="1"/>
  <c r="BA61" i="110" s="1"/>
  <c r="P61" i="110"/>
  <c r="V102" i="110"/>
  <c r="U101" i="110"/>
  <c r="I61" i="110"/>
  <c r="AU61" i="103"/>
  <c r="AV61" i="103"/>
  <c r="AK101" i="103"/>
  <c r="N51" i="61"/>
  <c r="O51" i="61"/>
  <c r="S98" i="109" l="1"/>
  <c r="X133" i="109"/>
  <c r="L98" i="109"/>
  <c r="P98" i="109" s="1"/>
  <c r="N98" i="109" s="1"/>
  <c r="AY56" i="110"/>
  <c r="AI96" i="110"/>
  <c r="BB101" i="110"/>
  <c r="AP56" i="110"/>
  <c r="AL55" i="110"/>
  <c r="AJ95" i="110"/>
  <c r="BB101" i="112"/>
  <c r="AP56" i="112"/>
  <c r="AY56" i="112"/>
  <c r="AI96" i="112"/>
  <c r="AL55" i="112"/>
  <c r="AJ95" i="112"/>
  <c r="S59" i="112"/>
  <c r="H59" i="112"/>
  <c r="I59" i="112" s="1"/>
  <c r="T100" i="112"/>
  <c r="M86" i="94"/>
  <c r="S86" i="94" s="1"/>
  <c r="Y121" i="94"/>
  <c r="BL86" i="94"/>
  <c r="J86" i="94"/>
  <c r="N59" i="111"/>
  <c r="L59" i="111" s="1"/>
  <c r="M62" i="110"/>
  <c r="K61" i="110"/>
  <c r="Q61" i="110" s="1"/>
  <c r="AT61" i="103"/>
  <c r="AR61" i="103" s="1"/>
  <c r="M51" i="61"/>
  <c r="K51" i="61" s="1"/>
  <c r="X134" i="109" l="1"/>
  <c r="S99" i="109"/>
  <c r="L99" i="109"/>
  <c r="P99" i="109" s="1"/>
  <c r="N99" i="109" s="1"/>
  <c r="AK96" i="110"/>
  <c r="AV56" i="110"/>
  <c r="AU56" i="110"/>
  <c r="AK96" i="112"/>
  <c r="AU56" i="112"/>
  <c r="AV56" i="112"/>
  <c r="V100" i="112"/>
  <c r="U99" i="112"/>
  <c r="P59" i="112"/>
  <c r="O59" i="112"/>
  <c r="N59" i="112" s="1"/>
  <c r="L59" i="112" s="1"/>
  <c r="M60" i="112" s="1"/>
  <c r="L87" i="94"/>
  <c r="P87" i="94" s="1"/>
  <c r="N87" i="94" s="1"/>
  <c r="X122" i="94"/>
  <c r="G59" i="111"/>
  <c r="BA59" i="111" s="1"/>
  <c r="M60" i="111"/>
  <c r="T103" i="110"/>
  <c r="H62" i="110"/>
  <c r="S62" i="110"/>
  <c r="AO61" i="103"/>
  <c r="AQ61" i="103" s="1"/>
  <c r="AW61" i="103" s="1"/>
  <c r="AS62" i="103"/>
  <c r="H51" i="61"/>
  <c r="J51" i="61" s="1"/>
  <c r="L52" i="61"/>
  <c r="X135" i="109" l="1"/>
  <c r="S100" i="109"/>
  <c r="L100" i="109"/>
  <c r="P100" i="109" s="1"/>
  <c r="N100" i="109" s="1"/>
  <c r="K87" i="94"/>
  <c r="BL87" i="94" s="1"/>
  <c r="AT56" i="110"/>
  <c r="AR56" i="110" s="1"/>
  <c r="AT56" i="112"/>
  <c r="AR56" i="112" s="1"/>
  <c r="G59" i="112"/>
  <c r="BA59" i="112" s="1"/>
  <c r="K59" i="111"/>
  <c r="Q59" i="111" s="1"/>
  <c r="O62" i="110"/>
  <c r="N62" i="110" s="1"/>
  <c r="L62" i="110" s="1"/>
  <c r="G62" i="110" s="1"/>
  <c r="BA62" i="110" s="1"/>
  <c r="P62" i="110"/>
  <c r="I62" i="110"/>
  <c r="V103" i="110"/>
  <c r="U102" i="110"/>
  <c r="AI102" i="103"/>
  <c r="AP62" i="103"/>
  <c r="BB107" i="103"/>
  <c r="AY62" i="103"/>
  <c r="AL61" i="103"/>
  <c r="AJ101" i="103"/>
  <c r="P51" i="61"/>
  <c r="T81" i="61"/>
  <c r="J87" i="94" l="1"/>
  <c r="M87" i="94"/>
  <c r="S87" i="94" s="1"/>
  <c r="X123" i="94" s="1"/>
  <c r="Y122" i="94"/>
  <c r="AI50" i="94" s="1"/>
  <c r="X136" i="109"/>
  <c r="S101" i="109"/>
  <c r="L101" i="109"/>
  <c r="P101" i="109" s="1"/>
  <c r="N101" i="109" s="1"/>
  <c r="L88" i="94"/>
  <c r="P88" i="94" s="1"/>
  <c r="N88" i="94" s="1"/>
  <c r="AO56" i="110"/>
  <c r="AS57" i="110"/>
  <c r="AO56" i="112"/>
  <c r="AQ56" i="112" s="1"/>
  <c r="AW56" i="112" s="1"/>
  <c r="AS57" i="112"/>
  <c r="K59" i="112"/>
  <c r="Q59" i="112" s="1"/>
  <c r="S60" i="112" s="1"/>
  <c r="S60" i="111"/>
  <c r="H60" i="111"/>
  <c r="T101" i="111"/>
  <c r="V101" i="111" s="1"/>
  <c r="K62" i="110"/>
  <c r="Q62" i="110" s="1"/>
  <c r="M63" i="110"/>
  <c r="AK102" i="103"/>
  <c r="AV62" i="103"/>
  <c r="AU62" i="103"/>
  <c r="AT62" i="103" s="1"/>
  <c r="S82" i="61"/>
  <c r="I52" i="61"/>
  <c r="R52" i="61"/>
  <c r="L102" i="109" l="1"/>
  <c r="P102" i="109" s="1"/>
  <c r="N102" i="109" s="1"/>
  <c r="X137" i="109"/>
  <c r="S102" i="109"/>
  <c r="K88" i="94"/>
  <c r="AL56" i="110"/>
  <c r="AJ96" i="110"/>
  <c r="AQ56" i="110"/>
  <c r="AW56" i="110" s="1"/>
  <c r="AP57" i="112"/>
  <c r="BB102" i="112"/>
  <c r="AY57" i="112"/>
  <c r="AI97" i="112"/>
  <c r="AL56" i="112"/>
  <c r="AJ96" i="112"/>
  <c r="T101" i="112"/>
  <c r="V101" i="112" s="1"/>
  <c r="H60" i="112"/>
  <c r="I60" i="112" s="1"/>
  <c r="O60" i="112"/>
  <c r="P60" i="112"/>
  <c r="I60" i="111"/>
  <c r="P60" i="111"/>
  <c r="O60" i="111"/>
  <c r="H63" i="110"/>
  <c r="T104" i="110"/>
  <c r="S63" i="110"/>
  <c r="AR62" i="103"/>
  <c r="AO62" i="103" s="1"/>
  <c r="AQ62" i="103" s="1"/>
  <c r="AW62" i="103" s="1"/>
  <c r="O52" i="61"/>
  <c r="N52" i="61"/>
  <c r="M52" i="61" s="1"/>
  <c r="K52" i="61" s="1"/>
  <c r="L103" i="109" l="1"/>
  <c r="P103" i="109" s="1"/>
  <c r="N103" i="109" s="1"/>
  <c r="S103" i="109"/>
  <c r="X138" i="109"/>
  <c r="BL88" i="94"/>
  <c r="J88" i="94"/>
  <c r="Y123" i="94"/>
  <c r="M88" i="94"/>
  <c r="S88" i="94" s="1"/>
  <c r="AP57" i="110"/>
  <c r="AY57" i="110"/>
  <c r="BB102" i="110"/>
  <c r="AI97" i="110"/>
  <c r="AK97" i="112"/>
  <c r="AU57" i="112"/>
  <c r="AT57" i="112" s="1"/>
  <c r="AV57" i="112"/>
  <c r="U100" i="112"/>
  <c r="N60" i="112"/>
  <c r="L60" i="112" s="1"/>
  <c r="M61" i="112" s="1"/>
  <c r="N60" i="111"/>
  <c r="L60" i="111" s="1"/>
  <c r="I63" i="110"/>
  <c r="O63" i="110"/>
  <c r="P63" i="110"/>
  <c r="V104" i="110"/>
  <c r="U103" i="110"/>
  <c r="AS63" i="103"/>
  <c r="AP63" i="103"/>
  <c r="BB108" i="103"/>
  <c r="AI103" i="103"/>
  <c r="AY63" i="103"/>
  <c r="AL62" i="103"/>
  <c r="AJ102" i="103"/>
  <c r="H52" i="61"/>
  <c r="J52" i="61" s="1"/>
  <c r="L53" i="61"/>
  <c r="L104" i="109" l="1"/>
  <c r="P104" i="109" s="1"/>
  <c r="N104" i="109" s="1"/>
  <c r="S104" i="109"/>
  <c r="X139" i="109"/>
  <c r="X124" i="94"/>
  <c r="L89" i="94"/>
  <c r="P89" i="94" s="1"/>
  <c r="N89" i="94" s="1"/>
  <c r="AV57" i="110"/>
  <c r="AU57" i="110"/>
  <c r="AK97" i="110"/>
  <c r="AR57" i="112"/>
  <c r="AO57" i="112" s="1"/>
  <c r="AQ57" i="112" s="1"/>
  <c r="AW57" i="112" s="1"/>
  <c r="G60" i="112"/>
  <c r="G60" i="111"/>
  <c r="BA60" i="111" s="1"/>
  <c r="M61" i="111"/>
  <c r="N63" i="110"/>
  <c r="L63" i="110" s="1"/>
  <c r="AK103" i="103"/>
  <c r="AV63" i="103"/>
  <c r="AU63" i="103"/>
  <c r="AT63" i="103" s="1"/>
  <c r="P52" i="61"/>
  <c r="T82" i="61"/>
  <c r="X140" i="109" l="1"/>
  <c r="S105" i="109"/>
  <c r="L105" i="109"/>
  <c r="P105" i="109" s="1"/>
  <c r="N105" i="109" s="1"/>
  <c r="AJ97" i="112"/>
  <c r="K89" i="94"/>
  <c r="AL57" i="112"/>
  <c r="AS58" i="112"/>
  <c r="AT57" i="110"/>
  <c r="AR57" i="110" s="1"/>
  <c r="AO57" i="110" s="1"/>
  <c r="BB103" i="112"/>
  <c r="AP58" i="112"/>
  <c r="AY58" i="112"/>
  <c r="AI98" i="112"/>
  <c r="BA60" i="112"/>
  <c r="K60" i="112"/>
  <c r="Q60" i="112" s="1"/>
  <c r="K60" i="111"/>
  <c r="Q60" i="111" s="1"/>
  <c r="G63" i="110"/>
  <c r="K63" i="110" s="1"/>
  <c r="Q63" i="110" s="1"/>
  <c r="M64" i="110"/>
  <c r="AR63" i="103"/>
  <c r="AS64" i="103" s="1"/>
  <c r="S83" i="61"/>
  <c r="I53" i="61"/>
  <c r="R53" i="61"/>
  <c r="X141" i="109" l="1"/>
  <c r="S106" i="109"/>
  <c r="L106" i="109"/>
  <c r="P106" i="109" s="1"/>
  <c r="N106" i="109" s="1"/>
  <c r="M89" i="94"/>
  <c r="S89" i="94" s="1"/>
  <c r="Y124" i="94"/>
  <c r="J89" i="94"/>
  <c r="BL89" i="94"/>
  <c r="AQ57" i="110"/>
  <c r="AW57" i="110" s="1"/>
  <c r="AL57" i="110"/>
  <c r="AJ97" i="110"/>
  <c r="AS58" i="110"/>
  <c r="AU58" i="112"/>
  <c r="AV58" i="112"/>
  <c r="AK98" i="112"/>
  <c r="S61" i="112"/>
  <c r="T102" i="112"/>
  <c r="H61" i="112"/>
  <c r="S61" i="111"/>
  <c r="H61" i="111"/>
  <c r="I61" i="111" s="1"/>
  <c r="T102" i="111"/>
  <c r="V102" i="111" s="1"/>
  <c r="H64" i="110"/>
  <c r="T105" i="110"/>
  <c r="V105" i="110" s="1"/>
  <c r="S64" i="110"/>
  <c r="BA63" i="110"/>
  <c r="AO63" i="103"/>
  <c r="N53" i="61"/>
  <c r="M53" i="61" s="1"/>
  <c r="K53" i="61" s="1"/>
  <c r="O53" i="61"/>
  <c r="S107" i="109" l="1"/>
  <c r="L107" i="109"/>
  <c r="P107" i="109" s="1"/>
  <c r="X142" i="109"/>
  <c r="L90" i="94"/>
  <c r="X125" i="94"/>
  <c r="BB103" i="110"/>
  <c r="AI98" i="110"/>
  <c r="AY58" i="110"/>
  <c r="AP58" i="110"/>
  <c r="AT58" i="112"/>
  <c r="AR58" i="112" s="1"/>
  <c r="AO58" i="112" s="1"/>
  <c r="P61" i="112"/>
  <c r="O61" i="112"/>
  <c r="I61" i="112"/>
  <c r="V102" i="112"/>
  <c r="U101" i="112"/>
  <c r="P61" i="111"/>
  <c r="O61" i="111"/>
  <c r="U104" i="110"/>
  <c r="O64" i="110"/>
  <c r="N64" i="110" s="1"/>
  <c r="L64" i="110" s="1"/>
  <c r="G64" i="110" s="1"/>
  <c r="BA64" i="110" s="1"/>
  <c r="P64" i="110"/>
  <c r="I64" i="110"/>
  <c r="AL63" i="103"/>
  <c r="AJ103" i="103"/>
  <c r="AQ63" i="103"/>
  <c r="AW63" i="103" s="1"/>
  <c r="H53" i="61"/>
  <c r="J53" i="61" s="1"/>
  <c r="L54" i="61"/>
  <c r="N107" i="109" l="1"/>
  <c r="L108" i="109"/>
  <c r="X143" i="109"/>
  <c r="V108" i="109"/>
  <c r="P90" i="94"/>
  <c r="N90" i="94" s="1"/>
  <c r="K90" i="94"/>
  <c r="AV58" i="110"/>
  <c r="AU58" i="110"/>
  <c r="AK98" i="110"/>
  <c r="AS59" i="112"/>
  <c r="AQ58" i="112"/>
  <c r="AW58" i="112" s="1"/>
  <c r="AL58" i="112"/>
  <c r="AJ98" i="112"/>
  <c r="N61" i="112"/>
  <c r="L61" i="112" s="1"/>
  <c r="M62" i="112" s="1"/>
  <c r="N61" i="111"/>
  <c r="L61" i="111" s="1"/>
  <c r="M62" i="111" s="1"/>
  <c r="K64" i="110"/>
  <c r="Q64" i="110" s="1"/>
  <c r="M65" i="110"/>
  <c r="AP64" i="103"/>
  <c r="AI104" i="103"/>
  <c r="BB109" i="103"/>
  <c r="AY64" i="103"/>
  <c r="P53" i="61"/>
  <c r="T83" i="61"/>
  <c r="L109" i="109" l="1"/>
  <c r="C28" i="109" s="1"/>
  <c r="C31" i="109" s="1"/>
  <c r="S108" i="109"/>
  <c r="Q108" i="109"/>
  <c r="M108" i="109"/>
  <c r="M109" i="109" s="1"/>
  <c r="R108" i="109"/>
  <c r="R109" i="109" s="1"/>
  <c r="M90" i="94"/>
  <c r="S90" i="94" s="1"/>
  <c r="J90" i="94"/>
  <c r="Y125" i="94"/>
  <c r="BL90" i="94"/>
  <c r="AT58" i="110"/>
  <c r="AR58" i="110" s="1"/>
  <c r="AO58" i="110" s="1"/>
  <c r="AP59" i="112"/>
  <c r="AY59" i="112"/>
  <c r="AI99" i="112"/>
  <c r="BB104" i="112"/>
  <c r="G61" i="112"/>
  <c r="K61" i="112" s="1"/>
  <c r="Q61" i="112" s="1"/>
  <c r="G61" i="111"/>
  <c r="BA61" i="111" s="1"/>
  <c r="S65" i="110"/>
  <c r="H65" i="110"/>
  <c r="T106" i="110"/>
  <c r="AK104" i="103"/>
  <c r="AU64" i="103"/>
  <c r="AT64" i="103" s="1"/>
  <c r="AV64" i="103"/>
  <c r="I54" i="61"/>
  <c r="S84" i="61"/>
  <c r="R54" i="61"/>
  <c r="J108" i="109" l="1"/>
  <c r="J109" i="109" s="1"/>
  <c r="Q109" i="109"/>
  <c r="P108" i="109"/>
  <c r="E28" i="109"/>
  <c r="L91" i="94"/>
  <c r="P91" i="94" s="1"/>
  <c r="N91" i="94" s="1"/>
  <c r="X126" i="94"/>
  <c r="AQ58" i="110"/>
  <c r="AW58" i="110" s="1"/>
  <c r="AL58" i="110"/>
  <c r="AJ98" i="110"/>
  <c r="AS59" i="110"/>
  <c r="AK99" i="112"/>
  <c r="AV59" i="112"/>
  <c r="AU59" i="112"/>
  <c r="AT59" i="112" s="1"/>
  <c r="S62" i="112"/>
  <c r="T103" i="112"/>
  <c r="V103" i="112" s="1"/>
  <c r="H62" i="112"/>
  <c r="BA61" i="112"/>
  <c r="K61" i="111"/>
  <c r="Q61" i="111" s="1"/>
  <c r="I65" i="110"/>
  <c r="O65" i="110"/>
  <c r="P65" i="110"/>
  <c r="V106" i="110"/>
  <c r="U105" i="110"/>
  <c r="AR64" i="103"/>
  <c r="AO64" i="103" s="1"/>
  <c r="AQ64" i="103" s="1"/>
  <c r="AW64" i="103" s="1"/>
  <c r="O54" i="61"/>
  <c r="N54" i="61"/>
  <c r="M54" i="61" s="1"/>
  <c r="K54" i="61" s="1"/>
  <c r="E29" i="109" l="1"/>
  <c r="N108" i="109"/>
  <c r="N109" i="109" s="1"/>
  <c r="P109" i="109"/>
  <c r="AR59" i="112"/>
  <c r="K91" i="94"/>
  <c r="AY59" i="110"/>
  <c r="AP59" i="110"/>
  <c r="AI99" i="110"/>
  <c r="BB104" i="110"/>
  <c r="AS60" i="112"/>
  <c r="AO59" i="112"/>
  <c r="AQ59" i="112" s="1"/>
  <c r="AW59" i="112" s="1"/>
  <c r="I62" i="112"/>
  <c r="U102" i="112"/>
  <c r="P62" i="112"/>
  <c r="O62" i="112"/>
  <c r="S62" i="111"/>
  <c r="H62" i="111"/>
  <c r="T103" i="111"/>
  <c r="V103" i="111" s="1"/>
  <c r="N65" i="110"/>
  <c r="L65" i="110" s="1"/>
  <c r="M66" i="110" s="1"/>
  <c r="AS65" i="103"/>
  <c r="BB110" i="103"/>
  <c r="AP65" i="103"/>
  <c r="AI105" i="103"/>
  <c r="AY65" i="103"/>
  <c r="AL64" i="103"/>
  <c r="AJ104" i="103"/>
  <c r="H54" i="61"/>
  <c r="J54" i="61" s="1"/>
  <c r="L55" i="61"/>
  <c r="C33" i="109" l="1"/>
  <c r="E31" i="109"/>
  <c r="M91" i="94"/>
  <c r="S91" i="94" s="1"/>
  <c r="Y126" i="94"/>
  <c r="J91" i="94"/>
  <c r="BL91" i="94"/>
  <c r="AK99" i="110"/>
  <c r="AU59" i="110"/>
  <c r="AT59" i="110" s="1"/>
  <c r="AV59" i="110"/>
  <c r="AL59" i="112"/>
  <c r="AJ99" i="112"/>
  <c r="BB105" i="112"/>
  <c r="AP60" i="112"/>
  <c r="AI100" i="112"/>
  <c r="AY60" i="112"/>
  <c r="N62" i="112"/>
  <c r="L62" i="112" s="1"/>
  <c r="M63" i="112" s="1"/>
  <c r="I62" i="111"/>
  <c r="O62" i="111"/>
  <c r="N62" i="111" s="1"/>
  <c r="L62" i="111" s="1"/>
  <c r="P62" i="111"/>
  <c r="G65" i="110"/>
  <c r="K65" i="110" s="1"/>
  <c r="Q65" i="110" s="1"/>
  <c r="AU65" i="103"/>
  <c r="AV65" i="103"/>
  <c r="AK105" i="103"/>
  <c r="P54" i="61"/>
  <c r="T84" i="61"/>
  <c r="E33" i="109" l="1"/>
  <c r="C35" i="109"/>
  <c r="C34" i="109"/>
  <c r="L92" i="94"/>
  <c r="P92" i="94" s="1"/>
  <c r="N92" i="94" s="1"/>
  <c r="S92" i="94"/>
  <c r="X127" i="94"/>
  <c r="AR59" i="110"/>
  <c r="AS60" i="110" s="1"/>
  <c r="AV60" i="112"/>
  <c r="AU60" i="112"/>
  <c r="AT60" i="112" s="1"/>
  <c r="AK100" i="112"/>
  <c r="G62" i="112"/>
  <c r="G62" i="111"/>
  <c r="BA62" i="111" s="1"/>
  <c r="M63" i="111"/>
  <c r="H66" i="110"/>
  <c r="T107" i="110"/>
  <c r="V107" i="110" s="1"/>
  <c r="S66" i="110"/>
  <c r="BA65" i="110"/>
  <c r="AT65" i="103"/>
  <c r="AR65" i="103" s="1"/>
  <c r="I55" i="61"/>
  <c r="S85" i="61"/>
  <c r="R55" i="61"/>
  <c r="E35" i="109" l="1"/>
  <c r="C36" i="109"/>
  <c r="T93" i="109"/>
  <c r="K92" i="94"/>
  <c r="X128" i="94"/>
  <c r="L93" i="94"/>
  <c r="P93" i="94" s="1"/>
  <c r="N93" i="94" s="1"/>
  <c r="S93" i="94"/>
  <c r="AO59" i="110"/>
  <c r="AQ59" i="110" s="1"/>
  <c r="AW59" i="110" s="1"/>
  <c r="AR60" i="112"/>
  <c r="AS61" i="112" s="1"/>
  <c r="BA62" i="112"/>
  <c r="K62" i="112"/>
  <c r="Q62" i="112" s="1"/>
  <c r="K62" i="111"/>
  <c r="Q62" i="111" s="1"/>
  <c r="T104" i="111" s="1"/>
  <c r="V104" i="111" s="1"/>
  <c r="U106" i="110"/>
  <c r="O66" i="110"/>
  <c r="N66" i="110" s="1"/>
  <c r="L66" i="110" s="1"/>
  <c r="G66" i="110" s="1"/>
  <c r="BA66" i="110" s="1"/>
  <c r="P66" i="110"/>
  <c r="I66" i="110"/>
  <c r="AO65" i="103"/>
  <c r="AQ65" i="103" s="1"/>
  <c r="AW65" i="103" s="1"/>
  <c r="AS66" i="103"/>
  <c r="O55" i="61"/>
  <c r="N55" i="61"/>
  <c r="AJ99" i="110" l="1"/>
  <c r="AL59" i="110"/>
  <c r="E36" i="109"/>
  <c r="T94" i="109"/>
  <c r="L94" i="94"/>
  <c r="P94" i="94" s="1"/>
  <c r="N94" i="94" s="1"/>
  <c r="S94" i="94"/>
  <c r="X129" i="94"/>
  <c r="M92" i="94"/>
  <c r="BL92" i="94"/>
  <c r="Y127" i="94"/>
  <c r="J92" i="94"/>
  <c r="K109" i="94"/>
  <c r="BL109" i="94" s="1"/>
  <c r="T92" i="94"/>
  <c r="W92" i="94" s="1"/>
  <c r="W109" i="94" s="1"/>
  <c r="AO60" i="112"/>
  <c r="AQ60" i="112" s="1"/>
  <c r="AW60" i="112" s="1"/>
  <c r="AP60" i="110"/>
  <c r="AY60" i="110"/>
  <c r="AI100" i="110"/>
  <c r="BB105" i="110"/>
  <c r="AL60" i="112"/>
  <c r="AJ100" i="112"/>
  <c r="S63" i="112"/>
  <c r="T104" i="112"/>
  <c r="H63" i="112"/>
  <c r="S63" i="111"/>
  <c r="P63" i="111" s="1"/>
  <c r="H63" i="111"/>
  <c r="I63" i="111" s="1"/>
  <c r="K66" i="110"/>
  <c r="Q66" i="110" s="1"/>
  <c r="M67" i="110"/>
  <c r="AL65" i="103"/>
  <c r="AJ105" i="103"/>
  <c r="AP66" i="103"/>
  <c r="BB111" i="103"/>
  <c r="AI106" i="103"/>
  <c r="AY66" i="103"/>
  <c r="M55" i="61"/>
  <c r="K55" i="61" s="1"/>
  <c r="Y144" i="94" l="1"/>
  <c r="Z144" i="94"/>
  <c r="L95" i="94"/>
  <c r="P95" i="94" s="1"/>
  <c r="N95" i="94" s="1"/>
  <c r="S95" i="94"/>
  <c r="X130" i="94"/>
  <c r="BL115" i="94"/>
  <c r="AK100" i="110"/>
  <c r="AU60" i="110"/>
  <c r="AT60" i="110" s="1"/>
  <c r="AV60" i="110"/>
  <c r="AI101" i="112"/>
  <c r="BB106" i="112"/>
  <c r="AP61" i="112"/>
  <c r="AY61" i="112"/>
  <c r="I63" i="112"/>
  <c r="V104" i="112"/>
  <c r="U103" i="112"/>
  <c r="P63" i="112"/>
  <c r="O63" i="112"/>
  <c r="O63" i="111"/>
  <c r="N63" i="111" s="1"/>
  <c r="L63" i="111" s="1"/>
  <c r="T108" i="110"/>
  <c r="H67" i="110"/>
  <c r="S67" i="110"/>
  <c r="AU66" i="103"/>
  <c r="AT66" i="103" s="1"/>
  <c r="AV66" i="103"/>
  <c r="AK106" i="103"/>
  <c r="H55" i="61"/>
  <c r="J55" i="61" s="1"/>
  <c r="L56" i="61"/>
  <c r="S96" i="94" l="1"/>
  <c r="X131" i="94"/>
  <c r="L96" i="94"/>
  <c r="P96" i="94" s="1"/>
  <c r="N96" i="94" s="1"/>
  <c r="AR60" i="110"/>
  <c r="AS61" i="110" s="1"/>
  <c r="AU61" i="112"/>
  <c r="AV61" i="112"/>
  <c r="AK101" i="112"/>
  <c r="N63" i="112"/>
  <c r="L63" i="112" s="1"/>
  <c r="M64" i="112" s="1"/>
  <c r="G63" i="111"/>
  <c r="BA63" i="111" s="1"/>
  <c r="M64" i="111"/>
  <c r="I67" i="110"/>
  <c r="V108" i="110"/>
  <c r="U107" i="110"/>
  <c r="O67" i="110"/>
  <c r="P67" i="110"/>
  <c r="AR66" i="103"/>
  <c r="AO66" i="103" s="1"/>
  <c r="AL66" i="103" s="1"/>
  <c r="P55" i="61"/>
  <c r="T85" i="61"/>
  <c r="L97" i="94" l="1"/>
  <c r="P97" i="94" s="1"/>
  <c r="N97" i="94" s="1"/>
  <c r="X132" i="94"/>
  <c r="S97" i="94"/>
  <c r="AO60" i="110"/>
  <c r="AQ60" i="110" s="1"/>
  <c r="AW60" i="110" s="1"/>
  <c r="AT61" i="112"/>
  <c r="AR61" i="112" s="1"/>
  <c r="AS62" i="112" s="1"/>
  <c r="G63" i="112"/>
  <c r="K63" i="111"/>
  <c r="Q63" i="111" s="1"/>
  <c r="AS67" i="103"/>
  <c r="AJ106" i="103"/>
  <c r="AQ66" i="103"/>
  <c r="AW66" i="103" s="1"/>
  <c r="AP67" i="103" s="1"/>
  <c r="N67" i="110"/>
  <c r="L67" i="110" s="1"/>
  <c r="S86" i="61"/>
  <c r="R56" i="61"/>
  <c r="I56" i="61"/>
  <c r="AJ100" i="110" l="1"/>
  <c r="X133" i="94"/>
  <c r="S98" i="94"/>
  <c r="L98" i="94"/>
  <c r="P98" i="94" s="1"/>
  <c r="N98" i="94" s="1"/>
  <c r="AL60" i="110"/>
  <c r="AY61" i="110"/>
  <c r="AP61" i="110"/>
  <c r="BB106" i="110"/>
  <c r="AI101" i="110"/>
  <c r="AO61" i="112"/>
  <c r="AQ61" i="112" s="1"/>
  <c r="AW61" i="112" s="1"/>
  <c r="BA63" i="112"/>
  <c r="K63" i="112"/>
  <c r="Q63" i="112" s="1"/>
  <c r="S64" i="111"/>
  <c r="H64" i="111"/>
  <c r="I64" i="111" s="1"/>
  <c r="T105" i="111"/>
  <c r="V105" i="111" s="1"/>
  <c r="BB112" i="103"/>
  <c r="AI107" i="103"/>
  <c r="AK107" i="103" s="1"/>
  <c r="AY67" i="103"/>
  <c r="AV67" i="103" s="1"/>
  <c r="G67" i="110"/>
  <c r="M68" i="110"/>
  <c r="N56" i="61"/>
  <c r="O56" i="61"/>
  <c r="X134" i="94" l="1"/>
  <c r="S99" i="94"/>
  <c r="L99" i="94"/>
  <c r="P99" i="94" s="1"/>
  <c r="N99" i="94" s="1"/>
  <c r="AK101" i="110"/>
  <c r="AV61" i="110"/>
  <c r="AU61" i="110"/>
  <c r="AT61" i="110" s="1"/>
  <c r="AY62" i="112"/>
  <c r="BB107" i="112"/>
  <c r="AP62" i="112"/>
  <c r="AI102" i="112"/>
  <c r="AL61" i="112"/>
  <c r="AJ101" i="112"/>
  <c r="S64" i="112"/>
  <c r="T105" i="112"/>
  <c r="H64" i="112"/>
  <c r="P64" i="111"/>
  <c r="O64" i="111"/>
  <c r="AU67" i="103"/>
  <c r="AT67" i="103" s="1"/>
  <c r="AR67" i="103" s="1"/>
  <c r="BA67" i="110"/>
  <c r="K67" i="110"/>
  <c r="Q67" i="110" s="1"/>
  <c r="M56" i="61"/>
  <c r="K56" i="61" s="1"/>
  <c r="L100" i="94" l="1"/>
  <c r="P100" i="94" s="1"/>
  <c r="N100" i="94" s="1"/>
  <c r="S100" i="94"/>
  <c r="X135" i="94"/>
  <c r="AR61" i="110"/>
  <c r="AS62" i="110" s="1"/>
  <c r="AK102" i="112"/>
  <c r="AU62" i="112"/>
  <c r="AT62" i="112" s="1"/>
  <c r="AV62" i="112"/>
  <c r="V105" i="112"/>
  <c r="U104" i="112"/>
  <c r="I64" i="112"/>
  <c r="O64" i="112"/>
  <c r="N64" i="112" s="1"/>
  <c r="L64" i="112" s="1"/>
  <c r="G64" i="112" s="1"/>
  <c r="BA64" i="112" s="1"/>
  <c r="P64" i="112"/>
  <c r="N64" i="111"/>
  <c r="L64" i="111" s="1"/>
  <c r="M65" i="111" s="1"/>
  <c r="S68" i="110"/>
  <c r="H68" i="110"/>
  <c r="T109" i="110"/>
  <c r="AO67" i="103"/>
  <c r="AQ67" i="103" s="1"/>
  <c r="AW67" i="103" s="1"/>
  <c r="AS68" i="103"/>
  <c r="H56" i="61"/>
  <c r="J56" i="61" s="1"/>
  <c r="L57" i="61"/>
  <c r="S101" i="94" l="1"/>
  <c r="L101" i="94"/>
  <c r="P101" i="94" s="1"/>
  <c r="N101" i="94" s="1"/>
  <c r="X136" i="94"/>
  <c r="AO61" i="110"/>
  <c r="AQ61" i="110" s="1"/>
  <c r="AW61" i="110" s="1"/>
  <c r="AR62" i="112"/>
  <c r="K64" i="112"/>
  <c r="Q64" i="112" s="1"/>
  <c r="M65" i="112"/>
  <c r="G64" i="111"/>
  <c r="BA64" i="111" s="1"/>
  <c r="V109" i="110"/>
  <c r="U108" i="110"/>
  <c r="I68" i="110"/>
  <c r="O68" i="110"/>
  <c r="N68" i="110" s="1"/>
  <c r="L68" i="110" s="1"/>
  <c r="G68" i="110" s="1"/>
  <c r="BA68" i="110" s="1"/>
  <c r="P68" i="110"/>
  <c r="AI108" i="103"/>
  <c r="BB113" i="103"/>
  <c r="AP68" i="103"/>
  <c r="AY68" i="103"/>
  <c r="AL67" i="103"/>
  <c r="AJ107" i="103"/>
  <c r="P56" i="61"/>
  <c r="T86" i="61"/>
  <c r="X137" i="94" l="1"/>
  <c r="L102" i="94"/>
  <c r="P102" i="94" s="1"/>
  <c r="N102" i="94" s="1"/>
  <c r="S102" i="94"/>
  <c r="AP62" i="110"/>
  <c r="BB107" i="110"/>
  <c r="AY62" i="110"/>
  <c r="AI102" i="110"/>
  <c r="AL61" i="110"/>
  <c r="AJ101" i="110"/>
  <c r="AS63" i="112"/>
  <c r="AO62" i="112"/>
  <c r="S65" i="112"/>
  <c r="T106" i="112"/>
  <c r="H65" i="112"/>
  <c r="K64" i="111"/>
  <c r="Q64" i="111" s="1"/>
  <c r="K68" i="110"/>
  <c r="Q68" i="110" s="1"/>
  <c r="M69" i="110"/>
  <c r="AV68" i="103"/>
  <c r="AU68" i="103"/>
  <c r="AK108" i="103"/>
  <c r="I57" i="61"/>
  <c r="R57" i="61"/>
  <c r="S87" i="61"/>
  <c r="X138" i="94" l="1"/>
  <c r="S103" i="94"/>
  <c r="L103" i="94"/>
  <c r="P103" i="94" s="1"/>
  <c r="N103" i="94" s="1"/>
  <c r="AK102" i="110"/>
  <c r="AU62" i="110"/>
  <c r="AV62" i="110"/>
  <c r="AQ62" i="112"/>
  <c r="AW62" i="112" s="1"/>
  <c r="AL62" i="112"/>
  <c r="AJ102" i="112"/>
  <c r="V106" i="112"/>
  <c r="U105" i="112"/>
  <c r="I65" i="112"/>
  <c r="P65" i="112"/>
  <c r="O65" i="112"/>
  <c r="N65" i="112" s="1"/>
  <c r="L65" i="112" s="1"/>
  <c r="S65" i="111"/>
  <c r="H65" i="111"/>
  <c r="T106" i="111"/>
  <c r="V106" i="111" s="1"/>
  <c r="H69" i="110"/>
  <c r="T110" i="110"/>
  <c r="S69" i="110"/>
  <c r="AT68" i="103"/>
  <c r="AR68" i="103" s="1"/>
  <c r="O57" i="61"/>
  <c r="N57" i="61"/>
  <c r="M57" i="61" s="1"/>
  <c r="K57" i="61" s="1"/>
  <c r="X139" i="94" l="1"/>
  <c r="S104" i="94"/>
  <c r="L104" i="94"/>
  <c r="P104" i="94" s="1"/>
  <c r="N104" i="94" s="1"/>
  <c r="AT62" i="110"/>
  <c r="AR62" i="110" s="1"/>
  <c r="AS63" i="110" s="1"/>
  <c r="AY63" i="112"/>
  <c r="AP63" i="112"/>
  <c r="AI103" i="112"/>
  <c r="BB108" i="112"/>
  <c r="G65" i="112"/>
  <c r="BA65" i="112" s="1"/>
  <c r="M66" i="112"/>
  <c r="I65" i="111"/>
  <c r="P65" i="111"/>
  <c r="O65" i="111"/>
  <c r="O69" i="110"/>
  <c r="N69" i="110" s="1"/>
  <c r="L69" i="110" s="1"/>
  <c r="G69" i="110" s="1"/>
  <c r="BA69" i="110" s="1"/>
  <c r="P69" i="110"/>
  <c r="V110" i="110"/>
  <c r="U109" i="110"/>
  <c r="I69" i="110"/>
  <c r="AO68" i="103"/>
  <c r="AQ68" i="103" s="1"/>
  <c r="AW68" i="103" s="1"/>
  <c r="AS69" i="103"/>
  <c r="L58" i="61"/>
  <c r="H57" i="61"/>
  <c r="J57" i="61" s="1"/>
  <c r="L105" i="94" l="1"/>
  <c r="X140" i="94"/>
  <c r="S105" i="94"/>
  <c r="AO62" i="110"/>
  <c r="AQ62" i="110" s="1"/>
  <c r="AW62" i="110" s="1"/>
  <c r="AK103" i="112"/>
  <c r="AV63" i="112"/>
  <c r="AU63" i="112"/>
  <c r="AT63" i="112" s="1"/>
  <c r="K65" i="112"/>
  <c r="Q65" i="112" s="1"/>
  <c r="N65" i="111"/>
  <c r="L65" i="111" s="1"/>
  <c r="K69" i="110"/>
  <c r="Q69" i="110" s="1"/>
  <c r="M70" i="110"/>
  <c r="AI109" i="103"/>
  <c r="AP69" i="103"/>
  <c r="BB114" i="103"/>
  <c r="AY69" i="103"/>
  <c r="AL68" i="103"/>
  <c r="AJ108" i="103"/>
  <c r="P57" i="61"/>
  <c r="T87" i="61"/>
  <c r="P105" i="94" l="1"/>
  <c r="L106" i="94"/>
  <c r="P106" i="94" s="1"/>
  <c r="N106" i="94" s="1"/>
  <c r="S106" i="94"/>
  <c r="X141" i="94"/>
  <c r="AI103" i="110"/>
  <c r="AY63" i="110"/>
  <c r="BB108" i="110"/>
  <c r="AP63" i="110"/>
  <c r="AL62" i="110"/>
  <c r="AJ102" i="110"/>
  <c r="AR63" i="112"/>
  <c r="AS64" i="112" s="1"/>
  <c r="S66" i="112"/>
  <c r="H66" i="112"/>
  <c r="T107" i="112"/>
  <c r="G65" i="111"/>
  <c r="BA65" i="111" s="1"/>
  <c r="M66" i="111"/>
  <c r="H70" i="110"/>
  <c r="T111" i="110"/>
  <c r="S70" i="110"/>
  <c r="AV69" i="103"/>
  <c r="AU69" i="103"/>
  <c r="AT69" i="103" s="1"/>
  <c r="AK109" i="103"/>
  <c r="S88" i="61"/>
  <c r="I58" i="61"/>
  <c r="R58" i="61"/>
  <c r="S107" i="94" l="1"/>
  <c r="L107" i="94"/>
  <c r="P107" i="94" s="1"/>
  <c r="N107" i="94" s="1"/>
  <c r="X142" i="94"/>
  <c r="N105" i="94"/>
  <c r="AU63" i="110"/>
  <c r="AV63" i="110"/>
  <c r="AK103" i="110"/>
  <c r="AO63" i="112"/>
  <c r="AQ63" i="112" s="1"/>
  <c r="AW63" i="112" s="1"/>
  <c r="P66" i="112"/>
  <c r="O66" i="112"/>
  <c r="N66" i="112" s="1"/>
  <c r="L66" i="112" s="1"/>
  <c r="G66" i="112" s="1"/>
  <c r="BA66" i="112" s="1"/>
  <c r="V107" i="112"/>
  <c r="U106" i="112"/>
  <c r="I66" i="112"/>
  <c r="K65" i="111"/>
  <c r="Q65" i="111" s="1"/>
  <c r="AR69" i="103"/>
  <c r="AO69" i="103" s="1"/>
  <c r="AL69" i="103" s="1"/>
  <c r="V111" i="110"/>
  <c r="U110" i="110"/>
  <c r="O70" i="110"/>
  <c r="P70" i="110"/>
  <c r="I70" i="110"/>
  <c r="O58" i="61"/>
  <c r="N58" i="61"/>
  <c r="M58" i="61" s="1"/>
  <c r="K58" i="61" s="1"/>
  <c r="X143" i="94" l="1"/>
  <c r="L108" i="94"/>
  <c r="V108" i="94"/>
  <c r="AT63" i="110"/>
  <c r="AR63" i="110" s="1"/>
  <c r="AO63" i="110" s="1"/>
  <c r="AP64" i="112"/>
  <c r="BB109" i="112"/>
  <c r="AY64" i="112"/>
  <c r="AI104" i="112"/>
  <c r="AL63" i="112"/>
  <c r="AJ103" i="112"/>
  <c r="K66" i="112"/>
  <c r="Q66" i="112" s="1"/>
  <c r="M67" i="112"/>
  <c r="S66" i="111"/>
  <c r="T107" i="111"/>
  <c r="V107" i="111" s="1"/>
  <c r="H66" i="111"/>
  <c r="AS70" i="103"/>
  <c r="AQ69" i="103"/>
  <c r="AW69" i="103" s="1"/>
  <c r="AP70" i="103" s="1"/>
  <c r="AJ109" i="103"/>
  <c r="N70" i="110"/>
  <c r="L70" i="110" s="1"/>
  <c r="H58" i="61"/>
  <c r="J58" i="61" s="1"/>
  <c r="L59" i="61"/>
  <c r="S108" i="94" l="1"/>
  <c r="R108" i="94"/>
  <c r="R109" i="94" s="1"/>
  <c r="M108" i="94"/>
  <c r="M109" i="94" s="1"/>
  <c r="Q108" i="94"/>
  <c r="P108" i="94" s="1"/>
  <c r="L109" i="94"/>
  <c r="C28" i="94" s="1"/>
  <c r="E28" i="94" s="1"/>
  <c r="AQ63" i="110"/>
  <c r="AW63" i="110" s="1"/>
  <c r="AL63" i="110"/>
  <c r="AJ103" i="110"/>
  <c r="AS64" i="110"/>
  <c r="AK104" i="112"/>
  <c r="AU64" i="112"/>
  <c r="AV64" i="112"/>
  <c r="S67" i="112"/>
  <c r="T108" i="112"/>
  <c r="H67" i="112"/>
  <c r="I66" i="111"/>
  <c r="P66" i="111"/>
  <c r="O66" i="111"/>
  <c r="AY70" i="103"/>
  <c r="AU70" i="103" s="1"/>
  <c r="AT70" i="103" s="1"/>
  <c r="AI110" i="103"/>
  <c r="AK110" i="103" s="1"/>
  <c r="BB115" i="103"/>
  <c r="G70" i="110"/>
  <c r="K70" i="110" s="1"/>
  <c r="Q70" i="110" s="1"/>
  <c r="M71" i="110"/>
  <c r="P58" i="61"/>
  <c r="T88" i="61"/>
  <c r="N108" i="94" l="1"/>
  <c r="N109" i="94" s="1"/>
  <c r="P109" i="94"/>
  <c r="Q109" i="94"/>
  <c r="J108" i="94"/>
  <c r="J109" i="94" s="1"/>
  <c r="AI104" i="110"/>
  <c r="AY64" i="110"/>
  <c r="AP64" i="110"/>
  <c r="BB109" i="110"/>
  <c r="AT64" i="112"/>
  <c r="AR64" i="112" s="1"/>
  <c r="AS65" i="112" s="1"/>
  <c r="I67" i="112"/>
  <c r="V108" i="112"/>
  <c r="U107" i="112"/>
  <c r="P67" i="112"/>
  <c r="O67" i="112"/>
  <c r="N67" i="112" s="1"/>
  <c r="L67" i="112" s="1"/>
  <c r="AV70" i="103"/>
  <c r="AR70" i="103" s="1"/>
  <c r="AO70" i="103" s="1"/>
  <c r="AL70" i="103" s="1"/>
  <c r="N66" i="111"/>
  <c r="L66" i="111" s="1"/>
  <c r="T112" i="110"/>
  <c r="V112" i="110" s="1"/>
  <c r="H71" i="110"/>
  <c r="S71" i="110"/>
  <c r="BA70" i="110"/>
  <c r="I59" i="61"/>
  <c r="R59" i="61"/>
  <c r="S89" i="61"/>
  <c r="AU64" i="110" l="1"/>
  <c r="AV64" i="110"/>
  <c r="AK104" i="110"/>
  <c r="AO64" i="112"/>
  <c r="AQ64" i="112" s="1"/>
  <c r="AW64" i="112" s="1"/>
  <c r="G67" i="112"/>
  <c r="BA67" i="112" s="1"/>
  <c r="M68" i="112"/>
  <c r="G66" i="111"/>
  <c r="BA66" i="111" s="1"/>
  <c r="M67" i="111"/>
  <c r="AJ110" i="103"/>
  <c r="AQ70" i="103"/>
  <c r="AW70" i="103" s="1"/>
  <c r="AY71" i="103" s="1"/>
  <c r="AS71" i="103"/>
  <c r="O71" i="110"/>
  <c r="N71" i="110" s="1"/>
  <c r="L71" i="110" s="1"/>
  <c r="G71" i="110" s="1"/>
  <c r="BA71" i="110" s="1"/>
  <c r="P71" i="110"/>
  <c r="I71" i="110"/>
  <c r="U111" i="110"/>
  <c r="N59" i="61"/>
  <c r="M59" i="61" s="1"/>
  <c r="K59" i="61" s="1"/>
  <c r="O59" i="61"/>
  <c r="AT64" i="110" l="1"/>
  <c r="AR64" i="110" s="1"/>
  <c r="AO64" i="110" s="1"/>
  <c r="AP65" i="112"/>
  <c r="AI105" i="112"/>
  <c r="AY65" i="112"/>
  <c r="BB110" i="112"/>
  <c r="AL64" i="112"/>
  <c r="AJ104" i="112"/>
  <c r="K67" i="112"/>
  <c r="Q67" i="112" s="1"/>
  <c r="AP71" i="103"/>
  <c r="AI111" i="103"/>
  <c r="AK111" i="103" s="1"/>
  <c r="BB116" i="103"/>
  <c r="K66" i="111"/>
  <c r="Q66" i="111" s="1"/>
  <c r="K71" i="110"/>
  <c r="Q71" i="110" s="1"/>
  <c r="M72" i="110"/>
  <c r="AV71" i="103"/>
  <c r="AU71" i="103"/>
  <c r="H59" i="61"/>
  <c r="J59" i="61" s="1"/>
  <c r="L60" i="61"/>
  <c r="AQ64" i="110" l="1"/>
  <c r="AW64" i="110" s="1"/>
  <c r="AL64" i="110"/>
  <c r="AJ104" i="110"/>
  <c r="AS65" i="110"/>
  <c r="AU65" i="112"/>
  <c r="AV65" i="112"/>
  <c r="AK105" i="112"/>
  <c r="S68" i="112"/>
  <c r="T109" i="112"/>
  <c r="H68" i="112"/>
  <c r="H67" i="111"/>
  <c r="T108" i="111"/>
  <c r="V108" i="111" s="1"/>
  <c r="S67" i="111"/>
  <c r="T113" i="110"/>
  <c r="H72" i="110"/>
  <c r="S72" i="110"/>
  <c r="AT71" i="103"/>
  <c r="AR71" i="103" s="1"/>
  <c r="P59" i="61"/>
  <c r="T89" i="61"/>
  <c r="BB110" i="110" l="1"/>
  <c r="AY65" i="110"/>
  <c r="AP65" i="110"/>
  <c r="AI105" i="110"/>
  <c r="AT65" i="112"/>
  <c r="AR65" i="112" s="1"/>
  <c r="AO65" i="112" s="1"/>
  <c r="I68" i="112"/>
  <c r="V109" i="112"/>
  <c r="U108" i="112"/>
  <c r="P68" i="112"/>
  <c r="O68" i="112"/>
  <c r="P67" i="111"/>
  <c r="O67" i="111"/>
  <c r="I67" i="111"/>
  <c r="O72" i="110"/>
  <c r="N72" i="110" s="1"/>
  <c r="L72" i="110" s="1"/>
  <c r="G72" i="110" s="1"/>
  <c r="BA72" i="110" s="1"/>
  <c r="P72" i="110"/>
  <c r="I72" i="110"/>
  <c r="V113" i="110"/>
  <c r="U112" i="110"/>
  <c r="AO71" i="103"/>
  <c r="AQ71" i="103" s="1"/>
  <c r="AW71" i="103" s="1"/>
  <c r="AS72" i="103"/>
  <c r="S90" i="61"/>
  <c r="I60" i="61"/>
  <c r="R60" i="61"/>
  <c r="AK105" i="110" l="1"/>
  <c r="AV65" i="110"/>
  <c r="AU65" i="110"/>
  <c r="AT65" i="110" s="1"/>
  <c r="AS66" i="112"/>
  <c r="AQ65" i="112"/>
  <c r="AW65" i="112" s="1"/>
  <c r="AL65" i="112"/>
  <c r="AJ105" i="112"/>
  <c r="N68" i="112"/>
  <c r="L68" i="112" s="1"/>
  <c r="M69" i="112" s="1"/>
  <c r="N67" i="111"/>
  <c r="L67" i="111" s="1"/>
  <c r="K72" i="110"/>
  <c r="Q72" i="110" s="1"/>
  <c r="M73" i="110"/>
  <c r="AP72" i="103"/>
  <c r="BB117" i="103"/>
  <c r="AI112" i="103"/>
  <c r="AY72" i="103"/>
  <c r="AL71" i="103"/>
  <c r="AJ111" i="103"/>
  <c r="O60" i="61"/>
  <c r="N60" i="61"/>
  <c r="AR65" i="110" l="1"/>
  <c r="AO65" i="110" s="1"/>
  <c r="AP66" i="112"/>
  <c r="BB111" i="112"/>
  <c r="AI106" i="112"/>
  <c r="AY66" i="112"/>
  <c r="G68" i="112"/>
  <c r="K68" i="112" s="1"/>
  <c r="Q68" i="112" s="1"/>
  <c r="G67" i="111"/>
  <c r="BA67" i="111" s="1"/>
  <c r="M68" i="111"/>
  <c r="S73" i="110"/>
  <c r="H73" i="110"/>
  <c r="T114" i="110"/>
  <c r="AK112" i="103"/>
  <c r="AV72" i="103"/>
  <c r="AU72" i="103"/>
  <c r="AT72" i="103" s="1"/>
  <c r="M60" i="61"/>
  <c r="K60" i="61" s="1"/>
  <c r="AS66" i="110" l="1"/>
  <c r="AQ65" i="110"/>
  <c r="AW65" i="110" s="1"/>
  <c r="AL65" i="110"/>
  <c r="AJ105" i="110"/>
  <c r="AK106" i="112"/>
  <c r="AU66" i="112"/>
  <c r="AV66" i="112"/>
  <c r="S69" i="112"/>
  <c r="T110" i="112"/>
  <c r="V110" i="112" s="1"/>
  <c r="H69" i="112"/>
  <c r="BA68" i="112"/>
  <c r="K67" i="111"/>
  <c r="Q67" i="111" s="1"/>
  <c r="AR72" i="103"/>
  <c r="AS73" i="103" s="1"/>
  <c r="O73" i="110"/>
  <c r="N73" i="110" s="1"/>
  <c r="L73" i="110" s="1"/>
  <c r="G73" i="110" s="1"/>
  <c r="BA73" i="110" s="1"/>
  <c r="P73" i="110"/>
  <c r="V114" i="110"/>
  <c r="U113" i="110"/>
  <c r="I73" i="110"/>
  <c r="H60" i="61"/>
  <c r="J60" i="61" s="1"/>
  <c r="L61" i="61"/>
  <c r="AP66" i="110" l="1"/>
  <c r="AI106" i="110"/>
  <c r="BB111" i="110"/>
  <c r="AY66" i="110"/>
  <c r="AT66" i="112"/>
  <c r="AR66" i="112" s="1"/>
  <c r="AO66" i="112" s="1"/>
  <c r="P69" i="112"/>
  <c r="O69" i="112"/>
  <c r="N69" i="112" s="1"/>
  <c r="L69" i="112" s="1"/>
  <c r="G69" i="112" s="1"/>
  <c r="BA69" i="112" s="1"/>
  <c r="U109" i="112"/>
  <c r="I69" i="112"/>
  <c r="H68" i="111"/>
  <c r="T109" i="111"/>
  <c r="V109" i="111" s="1"/>
  <c r="S68" i="111"/>
  <c r="AO72" i="103"/>
  <c r="AL72" i="103" s="1"/>
  <c r="K73" i="110"/>
  <c r="Q73" i="110" s="1"/>
  <c r="M74" i="110"/>
  <c r="P60" i="61"/>
  <c r="T90" i="61"/>
  <c r="AU66" i="110" l="1"/>
  <c r="AV66" i="110"/>
  <c r="AK106" i="110"/>
  <c r="AT66" i="110"/>
  <c r="AR66" i="110" s="1"/>
  <c r="AO66" i="110" s="1"/>
  <c r="AL66" i="110" s="1"/>
  <c r="AQ66" i="112"/>
  <c r="AW66" i="112" s="1"/>
  <c r="AL66" i="112"/>
  <c r="AJ106" i="112"/>
  <c r="AS67" i="112"/>
  <c r="M70" i="112"/>
  <c r="K69" i="112"/>
  <c r="Q69" i="112" s="1"/>
  <c r="P68" i="111"/>
  <c r="O68" i="111"/>
  <c r="N68" i="111" s="1"/>
  <c r="L68" i="111" s="1"/>
  <c r="G68" i="111" s="1"/>
  <c r="BA68" i="111" s="1"/>
  <c r="I68" i="111"/>
  <c r="AQ72" i="103"/>
  <c r="AW72" i="103" s="1"/>
  <c r="AY73" i="103" s="1"/>
  <c r="AJ112" i="103"/>
  <c r="H74" i="110"/>
  <c r="T115" i="110"/>
  <c r="S74" i="110"/>
  <c r="S91" i="61"/>
  <c r="I61" i="61"/>
  <c r="R61" i="61"/>
  <c r="AQ66" i="110" l="1"/>
  <c r="AW66" i="110" s="1"/>
  <c r="AJ106" i="110"/>
  <c r="AS67" i="110"/>
  <c r="AI107" i="112"/>
  <c r="AP67" i="112"/>
  <c r="BB112" i="112"/>
  <c r="AY67" i="112"/>
  <c r="S70" i="112"/>
  <c r="H70" i="112"/>
  <c r="T111" i="112"/>
  <c r="BB118" i="103"/>
  <c r="AP73" i="103"/>
  <c r="AI113" i="103"/>
  <c r="AK113" i="103" s="1"/>
  <c r="K68" i="111"/>
  <c r="Q68" i="111" s="1"/>
  <c r="M69" i="111"/>
  <c r="I74" i="110"/>
  <c r="O74" i="110"/>
  <c r="N74" i="110" s="1"/>
  <c r="L74" i="110" s="1"/>
  <c r="P74" i="110"/>
  <c r="V115" i="110"/>
  <c r="U114" i="110"/>
  <c r="AU73" i="103"/>
  <c r="AV73" i="103"/>
  <c r="N61" i="61"/>
  <c r="M61" i="61" s="1"/>
  <c r="K61" i="61" s="1"/>
  <c r="O61" i="61"/>
  <c r="AP67" i="110" l="1"/>
  <c r="BB112" i="110"/>
  <c r="AY67" i="110"/>
  <c r="AI107" i="110"/>
  <c r="AV67" i="112"/>
  <c r="AU67" i="112"/>
  <c r="AT67" i="112" s="1"/>
  <c r="AR67" i="112" s="1"/>
  <c r="AO67" i="112" s="1"/>
  <c r="AK107" i="112"/>
  <c r="I70" i="112"/>
  <c r="V111" i="112"/>
  <c r="U110" i="112"/>
  <c r="P70" i="112"/>
  <c r="O70" i="112"/>
  <c r="N70" i="112" s="1"/>
  <c r="L70" i="112" s="1"/>
  <c r="H69" i="111"/>
  <c r="S69" i="111"/>
  <c r="T110" i="111"/>
  <c r="V110" i="111" s="1"/>
  <c r="G74" i="110"/>
  <c r="BA74" i="110" s="1"/>
  <c r="M75" i="110"/>
  <c r="AT73" i="103"/>
  <c r="AR73" i="103" s="1"/>
  <c r="H61" i="61"/>
  <c r="J61" i="61" s="1"/>
  <c r="L62" i="61"/>
  <c r="AK107" i="110" l="1"/>
  <c r="AU67" i="110"/>
  <c r="AV67" i="110"/>
  <c r="AS68" i="112"/>
  <c r="AQ67" i="112"/>
  <c r="AW67" i="112" s="1"/>
  <c r="AL67" i="112"/>
  <c r="AJ107" i="112"/>
  <c r="G70" i="112"/>
  <c r="BA70" i="112" s="1"/>
  <c r="M71" i="112"/>
  <c r="P69" i="111"/>
  <c r="O69" i="111"/>
  <c r="I69" i="111"/>
  <c r="K74" i="110"/>
  <c r="Q74" i="110" s="1"/>
  <c r="AO73" i="103"/>
  <c r="AQ73" i="103" s="1"/>
  <c r="AW73" i="103" s="1"/>
  <c r="AS74" i="103"/>
  <c r="P61" i="61"/>
  <c r="T91" i="61"/>
  <c r="AT67" i="110" l="1"/>
  <c r="AR67" i="110" s="1"/>
  <c r="AS68" i="110" s="1"/>
  <c r="AY68" i="112"/>
  <c r="BB113" i="112"/>
  <c r="AP68" i="112"/>
  <c r="AI108" i="112"/>
  <c r="K70" i="112"/>
  <c r="Q70" i="112" s="1"/>
  <c r="N69" i="111"/>
  <c r="L69" i="111" s="1"/>
  <c r="T116" i="110"/>
  <c r="H75" i="110"/>
  <c r="S75" i="110"/>
  <c r="AY74" i="103"/>
  <c r="BB119" i="103"/>
  <c r="AI114" i="103"/>
  <c r="AP74" i="103"/>
  <c r="AL73" i="103"/>
  <c r="AJ113" i="103"/>
  <c r="S92" i="61"/>
  <c r="I62" i="61"/>
  <c r="R62" i="61"/>
  <c r="AO67" i="110" l="1"/>
  <c r="AQ67" i="110" s="1"/>
  <c r="AW67" i="110" s="1"/>
  <c r="AK108" i="112"/>
  <c r="AU68" i="112"/>
  <c r="AV68" i="112"/>
  <c r="H71" i="112"/>
  <c r="I71" i="112" s="1"/>
  <c r="S71" i="112"/>
  <c r="T112" i="112"/>
  <c r="G69" i="111"/>
  <c r="BA69" i="111" s="1"/>
  <c r="M70" i="111"/>
  <c r="O75" i="110"/>
  <c r="N75" i="110" s="1"/>
  <c r="L75" i="110" s="1"/>
  <c r="G75" i="110" s="1"/>
  <c r="BA75" i="110" s="1"/>
  <c r="P75" i="110"/>
  <c r="V116" i="110"/>
  <c r="U115" i="110"/>
  <c r="I75" i="110"/>
  <c r="AK114" i="103"/>
  <c r="AU74" i="103"/>
  <c r="AV74" i="103"/>
  <c r="O62" i="61"/>
  <c r="N62" i="61"/>
  <c r="M62" i="61" s="1"/>
  <c r="K62" i="61" s="1"/>
  <c r="BB113" i="110" l="1"/>
  <c r="AI108" i="110"/>
  <c r="AP68" i="110"/>
  <c r="AY68" i="110"/>
  <c r="AL67" i="110"/>
  <c r="AJ107" i="110"/>
  <c r="AT68" i="112"/>
  <c r="AR68" i="112" s="1"/>
  <c r="V112" i="112"/>
  <c r="U111" i="112"/>
  <c r="P71" i="112"/>
  <c r="O71" i="112"/>
  <c r="K69" i="111"/>
  <c r="Q69" i="111" s="1"/>
  <c r="K75" i="110"/>
  <c r="Q75" i="110" s="1"/>
  <c r="M76" i="110"/>
  <c r="AT74" i="103"/>
  <c r="AR74" i="103" s="1"/>
  <c r="AS75" i="103" s="1"/>
  <c r="H62" i="61"/>
  <c r="J62" i="61" s="1"/>
  <c r="L63" i="61"/>
  <c r="AV68" i="110" l="1"/>
  <c r="AU68" i="110"/>
  <c r="AT68" i="110"/>
  <c r="AK108" i="110"/>
  <c r="AO68" i="112"/>
  <c r="AQ68" i="112" s="1"/>
  <c r="AW68" i="112" s="1"/>
  <c r="AS69" i="112"/>
  <c r="N71" i="112"/>
  <c r="L71" i="112" s="1"/>
  <c r="M72" i="112" s="1"/>
  <c r="T111" i="111"/>
  <c r="V111" i="111" s="1"/>
  <c r="H70" i="111"/>
  <c r="S70" i="111"/>
  <c r="T117" i="110"/>
  <c r="S76" i="110"/>
  <c r="H76" i="110"/>
  <c r="AO74" i="103"/>
  <c r="AQ74" i="103" s="1"/>
  <c r="AW74" i="103" s="1"/>
  <c r="P62" i="61"/>
  <c r="T92" i="61"/>
  <c r="AR68" i="110" l="1"/>
  <c r="AO68" i="110" s="1"/>
  <c r="AL68" i="110"/>
  <c r="AS69" i="110"/>
  <c r="AJ108" i="110"/>
  <c r="AP69" i="112"/>
  <c r="AY69" i="112"/>
  <c r="AI109" i="112"/>
  <c r="BB114" i="112"/>
  <c r="AL68" i="112"/>
  <c r="AJ108" i="112"/>
  <c r="G71" i="112"/>
  <c r="P70" i="111"/>
  <c r="O70" i="111"/>
  <c r="I70" i="111"/>
  <c r="O76" i="110"/>
  <c r="N76" i="110" s="1"/>
  <c r="L76" i="110" s="1"/>
  <c r="G76" i="110" s="1"/>
  <c r="BA76" i="110" s="1"/>
  <c r="P76" i="110"/>
  <c r="V117" i="110"/>
  <c r="U116" i="110"/>
  <c r="I76" i="110"/>
  <c r="AI115" i="103"/>
  <c r="AK115" i="103" s="1"/>
  <c r="AP75" i="103"/>
  <c r="BB120" i="103"/>
  <c r="AY75" i="103"/>
  <c r="AL74" i="103"/>
  <c r="AJ114" i="103"/>
  <c r="I63" i="61"/>
  <c r="S93" i="61"/>
  <c r="R63" i="61"/>
  <c r="AQ68" i="110" l="1"/>
  <c r="AW68" i="110" s="1"/>
  <c r="BB114" i="110"/>
  <c r="AI109" i="110"/>
  <c r="AY69" i="110"/>
  <c r="AP69" i="110"/>
  <c r="AK109" i="112"/>
  <c r="AV69" i="112"/>
  <c r="AU69" i="112"/>
  <c r="BA71" i="112"/>
  <c r="K71" i="112"/>
  <c r="Q71" i="112" s="1"/>
  <c r="N70" i="111"/>
  <c r="L70" i="111" s="1"/>
  <c r="K76" i="110"/>
  <c r="Q76" i="110" s="1"/>
  <c r="M77" i="110"/>
  <c r="AV75" i="103"/>
  <c r="AU75" i="103"/>
  <c r="AT75" i="103" s="1"/>
  <c r="N63" i="61"/>
  <c r="M63" i="61" s="1"/>
  <c r="K63" i="61" s="1"/>
  <c r="O63" i="61"/>
  <c r="AK109" i="110" l="1"/>
  <c r="AU69" i="110"/>
  <c r="AV69" i="110"/>
  <c r="AT69" i="112"/>
  <c r="AR69" i="112" s="1"/>
  <c r="AS70" i="112" s="1"/>
  <c r="S72" i="112"/>
  <c r="H72" i="112"/>
  <c r="T113" i="112"/>
  <c r="G70" i="111"/>
  <c r="BA70" i="111" s="1"/>
  <c r="M71" i="111"/>
  <c r="AR75" i="103"/>
  <c r="AO75" i="103" s="1"/>
  <c r="AJ115" i="103" s="1"/>
  <c r="H77" i="110"/>
  <c r="T118" i="110"/>
  <c r="S77" i="110"/>
  <c r="H63" i="61"/>
  <c r="J63" i="61" s="1"/>
  <c r="L64" i="61"/>
  <c r="AT69" i="110" l="1"/>
  <c r="AR69" i="110" s="1"/>
  <c r="AO69" i="112"/>
  <c r="AQ69" i="112" s="1"/>
  <c r="AW69" i="112" s="1"/>
  <c r="V113" i="112"/>
  <c r="U112" i="112"/>
  <c r="I72" i="112"/>
  <c r="P72" i="112"/>
  <c r="O72" i="112"/>
  <c r="N72" i="112" s="1"/>
  <c r="L72" i="112" s="1"/>
  <c r="G72" i="112" s="1"/>
  <c r="BA72" i="112" s="1"/>
  <c r="K70" i="111"/>
  <c r="Q70" i="111" s="1"/>
  <c r="AQ75" i="103"/>
  <c r="AW75" i="103" s="1"/>
  <c r="AI116" i="103" s="1"/>
  <c r="AL75" i="103"/>
  <c r="AS76" i="103"/>
  <c r="O77" i="110"/>
  <c r="P77" i="110"/>
  <c r="V118" i="110"/>
  <c r="U117" i="110"/>
  <c r="I77" i="110"/>
  <c r="P63" i="61"/>
  <c r="T93" i="61"/>
  <c r="AO69" i="110" l="1"/>
  <c r="AQ69" i="110"/>
  <c r="AW69" i="110" s="1"/>
  <c r="AS70" i="110"/>
  <c r="BB115" i="112"/>
  <c r="AP70" i="112"/>
  <c r="AI110" i="112"/>
  <c r="AY70" i="112"/>
  <c r="AL69" i="112"/>
  <c r="AJ109" i="112"/>
  <c r="K72" i="112"/>
  <c r="Q72" i="112" s="1"/>
  <c r="M73" i="112"/>
  <c r="T112" i="111"/>
  <c r="V112" i="111" s="1"/>
  <c r="S71" i="111"/>
  <c r="H71" i="111"/>
  <c r="AP76" i="103"/>
  <c r="AY76" i="103"/>
  <c r="AV76" i="103" s="1"/>
  <c r="BB121" i="103"/>
  <c r="N77" i="110"/>
  <c r="L77" i="110" s="1"/>
  <c r="AK116" i="103"/>
  <c r="S94" i="61"/>
  <c r="I64" i="61"/>
  <c r="R64" i="61"/>
  <c r="AI110" i="110" l="1"/>
  <c r="AY70" i="110"/>
  <c r="BB115" i="110"/>
  <c r="AP70" i="110"/>
  <c r="AL69" i="110"/>
  <c r="AJ109" i="110"/>
  <c r="AV70" i="112"/>
  <c r="AU70" i="112"/>
  <c r="AT70" i="112" s="1"/>
  <c r="AK110" i="112"/>
  <c r="S73" i="112"/>
  <c r="H73" i="112"/>
  <c r="I73" i="112" s="1"/>
  <c r="T114" i="112"/>
  <c r="AU76" i="103"/>
  <c r="I71" i="111"/>
  <c r="P71" i="111"/>
  <c r="O71" i="111"/>
  <c r="N71" i="111" s="1"/>
  <c r="L71" i="111" s="1"/>
  <c r="G77" i="110"/>
  <c r="K77" i="110" s="1"/>
  <c r="Q77" i="110" s="1"/>
  <c r="M78" i="110"/>
  <c r="AT76" i="103"/>
  <c r="AR76" i="103" s="1"/>
  <c r="O64" i="61"/>
  <c r="N64" i="61"/>
  <c r="M64" i="61" s="1"/>
  <c r="K64" i="61" s="1"/>
  <c r="AU70" i="110" l="1"/>
  <c r="AV70" i="110"/>
  <c r="AK110" i="110"/>
  <c r="AR70" i="112"/>
  <c r="V114" i="112"/>
  <c r="U113" i="112"/>
  <c r="O73" i="112"/>
  <c r="P73" i="112"/>
  <c r="G71" i="111"/>
  <c r="BA71" i="111" s="1"/>
  <c r="M72" i="111"/>
  <c r="H78" i="110"/>
  <c r="T119" i="110"/>
  <c r="V119" i="110" s="1"/>
  <c r="S78" i="110"/>
  <c r="BA77" i="110"/>
  <c r="AO76" i="103"/>
  <c r="AQ76" i="103" s="1"/>
  <c r="AW76" i="103" s="1"/>
  <c r="AS77" i="103"/>
  <c r="H64" i="61"/>
  <c r="J64" i="61" s="1"/>
  <c r="L65" i="61"/>
  <c r="AT70" i="110" l="1"/>
  <c r="AR70" i="110" s="1"/>
  <c r="AS71" i="112"/>
  <c r="AO70" i="112"/>
  <c r="N73" i="112"/>
  <c r="L73" i="112" s="1"/>
  <c r="M74" i="112" s="1"/>
  <c r="K71" i="111"/>
  <c r="Q71" i="111" s="1"/>
  <c r="U118" i="110"/>
  <c r="P78" i="110"/>
  <c r="O78" i="110"/>
  <c r="I78" i="110"/>
  <c r="AP77" i="103"/>
  <c r="AI117" i="103"/>
  <c r="AY77" i="103"/>
  <c r="BB122" i="103"/>
  <c r="AL76" i="103"/>
  <c r="AJ116" i="103"/>
  <c r="P64" i="61"/>
  <c r="T94" i="61"/>
  <c r="AO70" i="110" l="1"/>
  <c r="AQ70" i="110" s="1"/>
  <c r="AW70" i="110" s="1"/>
  <c r="AS71" i="110"/>
  <c r="AL70" i="112"/>
  <c r="AJ110" i="112"/>
  <c r="AQ70" i="112"/>
  <c r="AW70" i="112" s="1"/>
  <c r="G73" i="112"/>
  <c r="K73" i="112" s="1"/>
  <c r="Q73" i="112" s="1"/>
  <c r="T113" i="111"/>
  <c r="V113" i="111" s="1"/>
  <c r="H72" i="111"/>
  <c r="S72" i="111"/>
  <c r="N78" i="110"/>
  <c r="L78" i="110" s="1"/>
  <c r="AU77" i="103"/>
  <c r="AT77" i="103" s="1"/>
  <c r="AV77" i="103"/>
  <c r="AK117" i="103"/>
  <c r="S95" i="61"/>
  <c r="I65" i="61"/>
  <c r="R65" i="61"/>
  <c r="BB116" i="110" l="1"/>
  <c r="AY71" i="110"/>
  <c r="AI111" i="110"/>
  <c r="AP71" i="110"/>
  <c r="AL70" i="110"/>
  <c r="AJ110" i="110"/>
  <c r="AY71" i="112"/>
  <c r="AI111" i="112"/>
  <c r="BB116" i="112"/>
  <c r="AP71" i="112"/>
  <c r="S74" i="112"/>
  <c r="T115" i="112"/>
  <c r="V115" i="112" s="1"/>
  <c r="H74" i="112"/>
  <c r="BA73" i="112"/>
  <c r="P72" i="111"/>
  <c r="O72" i="111"/>
  <c r="N72" i="111" s="1"/>
  <c r="L72" i="111" s="1"/>
  <c r="G72" i="111" s="1"/>
  <c r="BA72" i="111" s="1"/>
  <c r="I72" i="111"/>
  <c r="AO56" i="111"/>
  <c r="AQ56" i="111" s="1"/>
  <c r="AW56" i="111" s="1"/>
  <c r="AR77" i="103"/>
  <c r="AO77" i="103" s="1"/>
  <c r="AL77" i="103" s="1"/>
  <c r="G78" i="110"/>
  <c r="M79" i="110"/>
  <c r="O65" i="61"/>
  <c r="N65" i="61"/>
  <c r="AK111" i="110" l="1"/>
  <c r="AU71" i="110"/>
  <c r="AV71" i="110"/>
  <c r="AK111" i="112"/>
  <c r="AU71" i="112"/>
  <c r="AV71" i="112"/>
  <c r="I74" i="112"/>
  <c r="U114" i="112"/>
  <c r="P74" i="112"/>
  <c r="O74" i="112"/>
  <c r="K72" i="111"/>
  <c r="Q72" i="111" s="1"/>
  <c r="M73" i="111"/>
  <c r="AP57" i="111"/>
  <c r="AY57" i="111"/>
  <c r="BB102" i="111"/>
  <c r="AI97" i="111"/>
  <c r="AJ96" i="111"/>
  <c r="AL56" i="111"/>
  <c r="AQ77" i="103"/>
  <c r="AW77" i="103" s="1"/>
  <c r="AY78" i="103" s="1"/>
  <c r="AJ117" i="103"/>
  <c r="AS78" i="103"/>
  <c r="BA78" i="110"/>
  <c r="K78" i="110"/>
  <c r="Q78" i="110" s="1"/>
  <c r="M65" i="61"/>
  <c r="K65" i="61" s="1"/>
  <c r="AT71" i="110" l="1"/>
  <c r="AR71" i="110" s="1"/>
  <c r="AO71" i="110" s="1"/>
  <c r="AT71" i="112"/>
  <c r="AR71" i="112" s="1"/>
  <c r="AS72" i="112" s="1"/>
  <c r="N74" i="112"/>
  <c r="L74" i="112" s="1"/>
  <c r="AU57" i="111"/>
  <c r="AT57" i="111" s="1"/>
  <c r="AV57" i="111"/>
  <c r="AK97" i="111"/>
  <c r="T114" i="111"/>
  <c r="V114" i="111" s="1"/>
  <c r="S73" i="111"/>
  <c r="H73" i="111"/>
  <c r="BB123" i="103"/>
  <c r="AP78" i="103"/>
  <c r="AI118" i="103"/>
  <c r="AK118" i="103" s="1"/>
  <c r="S79" i="110"/>
  <c r="T120" i="110"/>
  <c r="H79" i="110"/>
  <c r="AV78" i="103"/>
  <c r="AU78" i="103"/>
  <c r="H65" i="61"/>
  <c r="J65" i="61" s="1"/>
  <c r="L66" i="61"/>
  <c r="AS72" i="110" l="1"/>
  <c r="AQ71" i="110"/>
  <c r="AW71" i="110" s="1"/>
  <c r="AL71" i="110"/>
  <c r="AJ111" i="110"/>
  <c r="AO71" i="112"/>
  <c r="AQ71" i="112" s="1"/>
  <c r="AW71" i="112" s="1"/>
  <c r="G74" i="112"/>
  <c r="K74" i="112" s="1"/>
  <c r="Q74" i="112" s="1"/>
  <c r="M75" i="112"/>
  <c r="I73" i="111"/>
  <c r="P73" i="111"/>
  <c r="O73" i="111"/>
  <c r="AR57" i="111"/>
  <c r="I79" i="110"/>
  <c r="V120" i="110"/>
  <c r="U119" i="110"/>
  <c r="O79" i="110"/>
  <c r="N79" i="110" s="1"/>
  <c r="L79" i="110" s="1"/>
  <c r="P79" i="110"/>
  <c r="AT78" i="103"/>
  <c r="AR78" i="103" s="1"/>
  <c r="P65" i="61"/>
  <c r="T95" i="61"/>
  <c r="BB117" i="110" l="1"/>
  <c r="AI112" i="110"/>
  <c r="AP72" i="110"/>
  <c r="AY72" i="110"/>
  <c r="AY72" i="112"/>
  <c r="AI112" i="112"/>
  <c r="AP72" i="112"/>
  <c r="BB117" i="112"/>
  <c r="AL71" i="112"/>
  <c r="AJ111" i="112"/>
  <c r="T116" i="112"/>
  <c r="V116" i="112" s="1"/>
  <c r="S75" i="112"/>
  <c r="H75" i="112"/>
  <c r="BA74" i="112"/>
  <c r="AO57" i="111"/>
  <c r="AQ57" i="111" s="1"/>
  <c r="AW57" i="111" s="1"/>
  <c r="AS58" i="111"/>
  <c r="N73" i="111"/>
  <c r="L73" i="111" s="1"/>
  <c r="M74" i="111" s="1"/>
  <c r="G79" i="110"/>
  <c r="BA79" i="110" s="1"/>
  <c r="M80" i="110"/>
  <c r="AO78" i="103"/>
  <c r="AQ78" i="103" s="1"/>
  <c r="AW78" i="103" s="1"/>
  <c r="AS79" i="103"/>
  <c r="J66" i="61"/>
  <c r="I66" i="61"/>
  <c r="R66" i="61"/>
  <c r="P66" i="61"/>
  <c r="S96" i="61"/>
  <c r="AV72" i="110" l="1"/>
  <c r="AU72" i="110"/>
  <c r="AK112" i="110"/>
  <c r="AK112" i="112"/>
  <c r="AV72" i="112"/>
  <c r="AU72" i="112"/>
  <c r="I75" i="112"/>
  <c r="U115" i="112"/>
  <c r="P75" i="112"/>
  <c r="O75" i="112"/>
  <c r="N75" i="112" s="1"/>
  <c r="L75" i="112" s="1"/>
  <c r="AP58" i="111"/>
  <c r="AY58" i="111"/>
  <c r="BB103" i="111"/>
  <c r="AI98" i="111"/>
  <c r="G73" i="111"/>
  <c r="BA73" i="111" s="1"/>
  <c r="AL57" i="111"/>
  <c r="AJ97" i="111"/>
  <c r="K79" i="110"/>
  <c r="Q79" i="110" s="1"/>
  <c r="AY79" i="103"/>
  <c r="AI119" i="103"/>
  <c r="AK119" i="103" s="1"/>
  <c r="AP79" i="103"/>
  <c r="BB124" i="103"/>
  <c r="AL78" i="103"/>
  <c r="AJ118" i="103"/>
  <c r="N66" i="61"/>
  <c r="M66" i="61" s="1"/>
  <c r="K66" i="61" s="1"/>
  <c r="H66" i="61" s="1"/>
  <c r="O66" i="61"/>
  <c r="R67" i="61"/>
  <c r="S97" i="61"/>
  <c r="I67" i="61"/>
  <c r="P67" i="61"/>
  <c r="AT72" i="110" l="1"/>
  <c r="AR72" i="110" s="1"/>
  <c r="AS73" i="110" s="1"/>
  <c r="AT72" i="112"/>
  <c r="AR72" i="112" s="1"/>
  <c r="AS73" i="112" s="1"/>
  <c r="G75" i="112"/>
  <c r="BA75" i="112" s="1"/>
  <c r="M76" i="112"/>
  <c r="AK98" i="111"/>
  <c r="K73" i="111"/>
  <c r="Q73" i="111" s="1"/>
  <c r="AU58" i="111"/>
  <c r="AT58" i="111" s="1"/>
  <c r="AV58" i="111"/>
  <c r="H80" i="110"/>
  <c r="T121" i="110"/>
  <c r="S80" i="110"/>
  <c r="AU79" i="103"/>
  <c r="AV79" i="103"/>
  <c r="N67" i="61"/>
  <c r="M67" i="61" s="1"/>
  <c r="K67" i="61" s="1"/>
  <c r="H67" i="61" s="1"/>
  <c r="O67" i="61"/>
  <c r="T96" i="61"/>
  <c r="R68" i="61"/>
  <c r="I68" i="61"/>
  <c r="P68" i="61"/>
  <c r="S98" i="61"/>
  <c r="L67" i="61"/>
  <c r="AO72" i="110" l="1"/>
  <c r="AQ72" i="110"/>
  <c r="AW72" i="110" s="1"/>
  <c r="AO72" i="112"/>
  <c r="AQ72" i="112" s="1"/>
  <c r="AW72" i="112" s="1"/>
  <c r="K75" i="112"/>
  <c r="Q75" i="112" s="1"/>
  <c r="AR58" i="111"/>
  <c r="AO58" i="111" s="1"/>
  <c r="AL58" i="111" s="1"/>
  <c r="H74" i="111"/>
  <c r="S74" i="111"/>
  <c r="T115" i="111"/>
  <c r="V115" i="111" s="1"/>
  <c r="AQ58" i="111"/>
  <c r="AW58" i="111" s="1"/>
  <c r="AJ98" i="111"/>
  <c r="P80" i="110"/>
  <c r="O80" i="110"/>
  <c r="V121" i="110"/>
  <c r="U120" i="110"/>
  <c r="I80" i="110"/>
  <c r="AT79" i="103"/>
  <c r="AR79" i="103" s="1"/>
  <c r="N68" i="61"/>
  <c r="M68" i="61" s="1"/>
  <c r="K68" i="61" s="1"/>
  <c r="H68" i="61" s="1"/>
  <c r="O68" i="61"/>
  <c r="T97" i="61"/>
  <c r="P69" i="61"/>
  <c r="S99" i="61"/>
  <c r="I69" i="61"/>
  <c r="R69" i="61"/>
  <c r="L68" i="61"/>
  <c r="BB118" i="110" l="1"/>
  <c r="AI113" i="110"/>
  <c r="AP73" i="110"/>
  <c r="AY73" i="110"/>
  <c r="AL72" i="110"/>
  <c r="AJ112" i="110"/>
  <c r="AI113" i="112"/>
  <c r="AP73" i="112"/>
  <c r="BB118" i="112"/>
  <c r="AY73" i="112"/>
  <c r="AL72" i="112"/>
  <c r="AJ112" i="112"/>
  <c r="S76" i="112"/>
  <c r="H76" i="112"/>
  <c r="T117" i="112"/>
  <c r="AS59" i="111"/>
  <c r="P74" i="111"/>
  <c r="O74" i="111"/>
  <c r="I74" i="111"/>
  <c r="AI99" i="111"/>
  <c r="BB104" i="111"/>
  <c r="AY59" i="111"/>
  <c r="AP59" i="111"/>
  <c r="N80" i="110"/>
  <c r="L80" i="110" s="1"/>
  <c r="AO79" i="103"/>
  <c r="AQ79" i="103" s="1"/>
  <c r="AW79" i="103" s="1"/>
  <c r="AS80" i="103"/>
  <c r="P70" i="61"/>
  <c r="S100" i="61"/>
  <c r="R70" i="61"/>
  <c r="I70" i="61"/>
  <c r="N69" i="61"/>
  <c r="O69" i="61"/>
  <c r="T98" i="61"/>
  <c r="L69" i="61"/>
  <c r="AV73" i="110" l="1"/>
  <c r="AU73" i="110"/>
  <c r="AK113" i="110"/>
  <c r="AU73" i="112"/>
  <c r="AT73" i="112" s="1"/>
  <c r="AV73" i="112"/>
  <c r="AK113" i="112"/>
  <c r="V117" i="112"/>
  <c r="U116" i="112"/>
  <c r="I76" i="112"/>
  <c r="P76" i="112"/>
  <c r="O76" i="112"/>
  <c r="N76" i="112" s="1"/>
  <c r="L76" i="112" s="1"/>
  <c r="G76" i="112" s="1"/>
  <c r="AK99" i="111"/>
  <c r="N74" i="111"/>
  <c r="L74" i="111" s="1"/>
  <c r="AV59" i="111"/>
  <c r="AU59" i="111"/>
  <c r="AT59" i="111" s="1"/>
  <c r="G80" i="110"/>
  <c r="K80" i="110" s="1"/>
  <c r="Q80" i="110" s="1"/>
  <c r="M81" i="110"/>
  <c r="AP80" i="103"/>
  <c r="BB125" i="103"/>
  <c r="AY80" i="103"/>
  <c r="AI120" i="103"/>
  <c r="AJ119" i="103"/>
  <c r="AL79" i="103"/>
  <c r="N70" i="61"/>
  <c r="O70" i="61"/>
  <c r="S101" i="61"/>
  <c r="I71" i="61"/>
  <c r="R71" i="61"/>
  <c r="P71" i="61"/>
  <c r="M69" i="61"/>
  <c r="K69" i="61" s="1"/>
  <c r="AT73" i="110" l="1"/>
  <c r="AR73" i="110" s="1"/>
  <c r="AO73" i="110" s="1"/>
  <c r="AR73" i="112"/>
  <c r="AO73" i="112" s="1"/>
  <c r="AL73" i="112" s="1"/>
  <c r="M77" i="112"/>
  <c r="K76" i="112"/>
  <c r="Q76" i="112" s="1"/>
  <c r="BA76" i="112"/>
  <c r="AR59" i="111"/>
  <c r="AO59" i="111" s="1"/>
  <c r="AL59" i="111" s="1"/>
  <c r="G74" i="111"/>
  <c r="BA74" i="111" s="1"/>
  <c r="M75" i="111"/>
  <c r="T122" i="110"/>
  <c r="V122" i="110" s="1"/>
  <c r="H81" i="110"/>
  <c r="S81" i="110"/>
  <c r="BA80" i="110"/>
  <c r="AK120" i="103"/>
  <c r="AV80" i="103"/>
  <c r="AU80" i="103"/>
  <c r="AT80" i="103" s="1"/>
  <c r="H69" i="61"/>
  <c r="T99" i="61"/>
  <c r="L70" i="61"/>
  <c r="R72" i="61"/>
  <c r="S102" i="61"/>
  <c r="I72" i="61"/>
  <c r="P72" i="61"/>
  <c r="O71" i="61"/>
  <c r="N71" i="61"/>
  <c r="M70" i="61"/>
  <c r="K70" i="61" s="1"/>
  <c r="AS74" i="110" l="1"/>
  <c r="AQ73" i="110"/>
  <c r="AW73" i="110" s="1"/>
  <c r="AL73" i="110"/>
  <c r="AJ113" i="110"/>
  <c r="AS74" i="112"/>
  <c r="AJ113" i="112"/>
  <c r="AQ73" i="112"/>
  <c r="AW73" i="112" s="1"/>
  <c r="AY74" i="112" s="1"/>
  <c r="S77" i="112"/>
  <c r="H77" i="112"/>
  <c r="T118" i="112"/>
  <c r="AQ59" i="111"/>
  <c r="AW59" i="111" s="1"/>
  <c r="AY60" i="111" s="1"/>
  <c r="AJ99" i="111"/>
  <c r="AS60" i="111"/>
  <c r="K74" i="111"/>
  <c r="Q74" i="111" s="1"/>
  <c r="AR80" i="103"/>
  <c r="AO80" i="103" s="1"/>
  <c r="AL80" i="103" s="1"/>
  <c r="U121" i="110"/>
  <c r="O81" i="110"/>
  <c r="P81" i="110"/>
  <c r="I81" i="110"/>
  <c r="H70" i="61"/>
  <c r="T100" i="61"/>
  <c r="N72" i="61"/>
  <c r="M72" i="61" s="1"/>
  <c r="K72" i="61" s="1"/>
  <c r="O72" i="61"/>
  <c r="I73" i="61"/>
  <c r="R73" i="61"/>
  <c r="P73" i="61"/>
  <c r="S103" i="61"/>
  <c r="M71" i="61"/>
  <c r="K71" i="61" s="1"/>
  <c r="L71" i="61"/>
  <c r="AP60" i="111" l="1"/>
  <c r="BB105" i="111"/>
  <c r="BB119" i="112"/>
  <c r="AI114" i="110"/>
  <c r="BB119" i="110"/>
  <c r="AP74" i="110"/>
  <c r="AY74" i="110"/>
  <c r="AP74" i="112"/>
  <c r="AI114" i="112"/>
  <c r="AK114" i="112" s="1"/>
  <c r="AU74" i="112"/>
  <c r="AV74" i="112"/>
  <c r="V118" i="112"/>
  <c r="U117" i="112"/>
  <c r="I77" i="112"/>
  <c r="O77" i="112"/>
  <c r="N77" i="112" s="1"/>
  <c r="L77" i="112" s="1"/>
  <c r="P77" i="112"/>
  <c r="AI100" i="111"/>
  <c r="AK100" i="111" s="1"/>
  <c r="AQ80" i="103"/>
  <c r="AW80" i="103" s="1"/>
  <c r="AY81" i="103" s="1"/>
  <c r="AU60" i="111"/>
  <c r="AV60" i="111"/>
  <c r="S75" i="111"/>
  <c r="T116" i="111"/>
  <c r="V116" i="111" s="1"/>
  <c r="H75" i="111"/>
  <c r="AJ120" i="103"/>
  <c r="AS81" i="103"/>
  <c r="N81" i="110"/>
  <c r="L81" i="110" s="1"/>
  <c r="T102" i="61"/>
  <c r="O73" i="61"/>
  <c r="N73" i="61"/>
  <c r="H71" i="61"/>
  <c r="H72" i="61" s="1"/>
  <c r="T101" i="61"/>
  <c r="L72" i="61"/>
  <c r="L73" i="61"/>
  <c r="I74" i="61"/>
  <c r="P74" i="61"/>
  <c r="S104" i="61"/>
  <c r="R74" i="61"/>
  <c r="AI121" i="103" l="1"/>
  <c r="AK121" i="103" s="1"/>
  <c r="AP81" i="103"/>
  <c r="AT60" i="111"/>
  <c r="AV74" i="110"/>
  <c r="AU74" i="110"/>
  <c r="AT74" i="110"/>
  <c r="AR74" i="110" s="1"/>
  <c r="AO74" i="110" s="1"/>
  <c r="AL74" i="110" s="1"/>
  <c r="AK114" i="110"/>
  <c r="AT74" i="112"/>
  <c r="AR74" i="112" s="1"/>
  <c r="AO74" i="112" s="1"/>
  <c r="G77" i="112"/>
  <c r="BA77" i="112" s="1"/>
  <c r="M78" i="112"/>
  <c r="BB126" i="103"/>
  <c r="P75" i="111"/>
  <c r="O75" i="111"/>
  <c r="N75" i="111" s="1"/>
  <c r="L75" i="111" s="1"/>
  <c r="G75" i="111" s="1"/>
  <c r="BA75" i="111" s="1"/>
  <c r="AR60" i="111"/>
  <c r="AS61" i="111" s="1"/>
  <c r="I75" i="111"/>
  <c r="G81" i="110"/>
  <c r="K81" i="110" s="1"/>
  <c r="Q81" i="110" s="1"/>
  <c r="M82" i="110"/>
  <c r="AV81" i="103"/>
  <c r="AU81" i="103"/>
  <c r="AT81" i="103" s="1"/>
  <c r="O74" i="61"/>
  <c r="N74" i="61"/>
  <c r="M74" i="61" s="1"/>
  <c r="K74" i="61" s="1"/>
  <c r="S105" i="61"/>
  <c r="R75" i="61"/>
  <c r="I75" i="61"/>
  <c r="P75" i="61"/>
  <c r="M73" i="61"/>
  <c r="K73" i="61" s="1"/>
  <c r="AQ74" i="110" l="1"/>
  <c r="AW74" i="110" s="1"/>
  <c r="AJ114" i="110"/>
  <c r="AS75" i="110"/>
  <c r="AQ74" i="112"/>
  <c r="AW74" i="112" s="1"/>
  <c r="AL74" i="112"/>
  <c r="AJ114" i="112"/>
  <c r="AS75" i="112"/>
  <c r="K77" i="112"/>
  <c r="Q77" i="112" s="1"/>
  <c r="K75" i="111"/>
  <c r="Q75" i="111" s="1"/>
  <c r="M76" i="111"/>
  <c r="AO60" i="111"/>
  <c r="AQ60" i="111" s="1"/>
  <c r="AW60" i="111" s="1"/>
  <c r="T123" i="110"/>
  <c r="V123" i="110" s="1"/>
  <c r="H82" i="110"/>
  <c r="S82" i="110"/>
  <c r="BA81" i="110"/>
  <c r="AR81" i="103"/>
  <c r="AO81" i="103" s="1"/>
  <c r="AL81" i="103" s="1"/>
  <c r="I76" i="61"/>
  <c r="P76" i="61"/>
  <c r="S106" i="61"/>
  <c r="R76" i="61"/>
  <c r="N75" i="61"/>
  <c r="O75" i="61"/>
  <c r="L75" i="61"/>
  <c r="H73" i="61"/>
  <c r="H74" i="61" s="1"/>
  <c r="T103" i="61"/>
  <c r="L74" i="61"/>
  <c r="T104" i="61"/>
  <c r="AP75" i="110" l="1"/>
  <c r="AI115" i="110"/>
  <c r="AY75" i="110"/>
  <c r="BB120" i="110"/>
  <c r="AP75" i="112"/>
  <c r="AY75" i="112"/>
  <c r="AI115" i="112"/>
  <c r="BB120" i="112"/>
  <c r="S78" i="112"/>
  <c r="T119" i="112"/>
  <c r="H78" i="112"/>
  <c r="I78" i="112" s="1"/>
  <c r="BB106" i="111"/>
  <c r="AI101" i="111"/>
  <c r="AY61" i="111"/>
  <c r="AP61" i="111"/>
  <c r="AL60" i="111"/>
  <c r="AJ100" i="111"/>
  <c r="T117" i="111"/>
  <c r="V117" i="111" s="1"/>
  <c r="H76" i="111"/>
  <c r="S76" i="111"/>
  <c r="AS82" i="103"/>
  <c r="AQ81" i="103"/>
  <c r="AW81" i="103" s="1"/>
  <c r="AY82" i="103" s="1"/>
  <c r="U122" i="110"/>
  <c r="P82" i="110"/>
  <c r="O82" i="110"/>
  <c r="N82" i="110" s="1"/>
  <c r="L82" i="110" s="1"/>
  <c r="I82" i="110"/>
  <c r="AJ121" i="103"/>
  <c r="O76" i="61"/>
  <c r="N76" i="61"/>
  <c r="I77" i="61"/>
  <c r="S107" i="61"/>
  <c r="P77" i="61"/>
  <c r="R77" i="61"/>
  <c r="M75" i="61"/>
  <c r="K75" i="61" s="1"/>
  <c r="AU75" i="110" l="1"/>
  <c r="AV75" i="110"/>
  <c r="AK115" i="110"/>
  <c r="AU75" i="112"/>
  <c r="AT75" i="112" s="1"/>
  <c r="AV75" i="112"/>
  <c r="AK115" i="112"/>
  <c r="V119" i="112"/>
  <c r="U118" i="112"/>
  <c r="P78" i="112"/>
  <c r="O78" i="112"/>
  <c r="I76" i="111"/>
  <c r="AU61" i="111"/>
  <c r="AV61" i="111"/>
  <c r="AK101" i="111"/>
  <c r="P76" i="111"/>
  <c r="O76" i="111"/>
  <c r="AI122" i="103"/>
  <c r="AK122" i="103" s="1"/>
  <c r="AP82" i="103"/>
  <c r="BB127" i="103"/>
  <c r="G82" i="110"/>
  <c r="BA82" i="110" s="1"/>
  <c r="M83" i="110"/>
  <c r="AV82" i="103"/>
  <c r="AU82" i="103"/>
  <c r="I78" i="61"/>
  <c r="S108" i="61"/>
  <c r="R78" i="61"/>
  <c r="P78" i="61"/>
  <c r="O77" i="61"/>
  <c r="N77" i="61"/>
  <c r="H75" i="61"/>
  <c r="T105" i="61"/>
  <c r="M76" i="61"/>
  <c r="K76" i="61" s="1"/>
  <c r="L76" i="61"/>
  <c r="AT75" i="110" l="1"/>
  <c r="AR75" i="110" s="1"/>
  <c r="AS76" i="110" s="1"/>
  <c r="AR75" i="112"/>
  <c r="AO75" i="112" s="1"/>
  <c r="N78" i="112"/>
  <c r="L78" i="112" s="1"/>
  <c r="M79" i="112" s="1"/>
  <c r="AT61" i="111"/>
  <c r="AR61" i="111" s="1"/>
  <c r="N76" i="111"/>
  <c r="L76" i="111" s="1"/>
  <c r="K82" i="110"/>
  <c r="Q82" i="110" s="1"/>
  <c r="AT82" i="103"/>
  <c r="AR82" i="103" s="1"/>
  <c r="AS83" i="103" s="1"/>
  <c r="P79" i="61"/>
  <c r="S109" i="61"/>
  <c r="R79" i="61"/>
  <c r="I79" i="61"/>
  <c r="H76" i="61"/>
  <c r="T106" i="61"/>
  <c r="L77" i="61"/>
  <c r="N78" i="61"/>
  <c r="M78" i="61" s="1"/>
  <c r="K78" i="61" s="1"/>
  <c r="O78" i="61"/>
  <c r="M77" i="61"/>
  <c r="K77" i="61" s="1"/>
  <c r="AO75" i="110" l="1"/>
  <c r="AQ75" i="110" s="1"/>
  <c r="AW75" i="110" s="1"/>
  <c r="AS76" i="112"/>
  <c r="AQ75" i="112"/>
  <c r="AW75" i="112" s="1"/>
  <c r="AL75" i="112"/>
  <c r="AJ115" i="112"/>
  <c r="G78" i="112"/>
  <c r="K78" i="112" s="1"/>
  <c r="Q78" i="112" s="1"/>
  <c r="G76" i="111"/>
  <c r="BA76" i="111" s="1"/>
  <c r="AO61" i="111"/>
  <c r="AQ61" i="111" s="1"/>
  <c r="AW61" i="111" s="1"/>
  <c r="M77" i="111"/>
  <c r="AS62" i="111"/>
  <c r="H83" i="110"/>
  <c r="T124" i="110"/>
  <c r="S83" i="110"/>
  <c r="AO82" i="103"/>
  <c r="AQ82" i="103" s="1"/>
  <c r="AW82" i="103" s="1"/>
  <c r="N79" i="61"/>
  <c r="O79" i="61"/>
  <c r="I80" i="61"/>
  <c r="S110" i="61"/>
  <c r="P80" i="61"/>
  <c r="R80" i="61"/>
  <c r="T108" i="61"/>
  <c r="H77" i="61"/>
  <c r="H78" i="61" s="1"/>
  <c r="T107" i="61"/>
  <c r="L79" i="61"/>
  <c r="L78" i="61"/>
  <c r="AP76" i="110" l="1"/>
  <c r="AY76" i="110"/>
  <c r="BB121" i="110"/>
  <c r="AI116" i="110"/>
  <c r="AL75" i="110"/>
  <c r="AJ115" i="110"/>
  <c r="BB121" i="112"/>
  <c r="AY76" i="112"/>
  <c r="AP76" i="112"/>
  <c r="AI116" i="112"/>
  <c r="S79" i="112"/>
  <c r="H79" i="112"/>
  <c r="I79" i="112" s="1"/>
  <c r="T120" i="112"/>
  <c r="V120" i="112" s="1"/>
  <c r="BA78" i="112"/>
  <c r="AY62" i="111"/>
  <c r="AP62" i="111"/>
  <c r="AI102" i="111"/>
  <c r="BB107" i="111"/>
  <c r="AL61" i="111"/>
  <c r="AJ101" i="111"/>
  <c r="K76" i="111"/>
  <c r="Q76" i="111" s="1"/>
  <c r="O83" i="110"/>
  <c r="P83" i="110"/>
  <c r="V124" i="110"/>
  <c r="U123" i="110"/>
  <c r="N83" i="110"/>
  <c r="L83" i="110" s="1"/>
  <c r="G83" i="110" s="1"/>
  <c r="BA83" i="110" s="1"/>
  <c r="I83" i="110"/>
  <c r="AY83" i="103"/>
  <c r="AP83" i="103"/>
  <c r="BB128" i="103"/>
  <c r="AI123" i="103"/>
  <c r="AL82" i="103"/>
  <c r="AJ122" i="103"/>
  <c r="I81" i="61"/>
  <c r="R81" i="61"/>
  <c r="P81" i="61"/>
  <c r="S111" i="61"/>
  <c r="O80" i="61"/>
  <c r="N80" i="61"/>
  <c r="M80" i="61" s="1"/>
  <c r="K80" i="61" s="1"/>
  <c r="M79" i="61"/>
  <c r="K79" i="61" s="1"/>
  <c r="AK116" i="110" l="1"/>
  <c r="AV76" i="110"/>
  <c r="AU76" i="110"/>
  <c r="AV76" i="112"/>
  <c r="AU76" i="112"/>
  <c r="AT76" i="112" s="1"/>
  <c r="AK116" i="112"/>
  <c r="U119" i="112"/>
  <c r="O79" i="112"/>
  <c r="P79" i="112"/>
  <c r="H77" i="111"/>
  <c r="S77" i="111"/>
  <c r="T118" i="111"/>
  <c r="V118" i="111" s="1"/>
  <c r="AK102" i="111"/>
  <c r="AV62" i="111"/>
  <c r="AU62" i="111"/>
  <c r="K83" i="110"/>
  <c r="Q83" i="110" s="1"/>
  <c r="M84" i="110"/>
  <c r="AK123" i="103"/>
  <c r="T110" i="61"/>
  <c r="AU83" i="103"/>
  <c r="AV83" i="103"/>
  <c r="I82" i="61"/>
  <c r="R82" i="61"/>
  <c r="P82" i="61"/>
  <c r="S112" i="61"/>
  <c r="H79" i="61"/>
  <c r="H80" i="61" s="1"/>
  <c r="T109" i="61"/>
  <c r="N81" i="61"/>
  <c r="O81" i="61"/>
  <c r="L81" i="61"/>
  <c r="L80" i="61"/>
  <c r="AR76" i="112" l="1"/>
  <c r="AS77" i="112" s="1"/>
  <c r="AT76" i="110"/>
  <c r="AR76" i="110" s="1"/>
  <c r="AO76" i="110" s="1"/>
  <c r="N79" i="112"/>
  <c r="L79" i="112" s="1"/>
  <c r="M80" i="112" s="1"/>
  <c r="AT62" i="111"/>
  <c r="AR62" i="111" s="1"/>
  <c r="P77" i="111"/>
  <c r="O77" i="111"/>
  <c r="N77" i="111" s="1"/>
  <c r="L77" i="111" s="1"/>
  <c r="G77" i="111" s="1"/>
  <c r="BA77" i="111" s="1"/>
  <c r="I77" i="111"/>
  <c r="T125" i="110"/>
  <c r="H84" i="110"/>
  <c r="S84" i="110"/>
  <c r="AT83" i="103"/>
  <c r="AR83" i="103" s="1"/>
  <c r="AS84" i="103" s="1"/>
  <c r="N82" i="61"/>
  <c r="M82" i="61" s="1"/>
  <c r="K82" i="61" s="1"/>
  <c r="O82" i="61"/>
  <c r="I83" i="61"/>
  <c r="P83" i="61"/>
  <c r="S113" i="61"/>
  <c r="R83" i="61"/>
  <c r="M81" i="61"/>
  <c r="K81" i="61" s="1"/>
  <c r="AO76" i="112" l="1"/>
  <c r="AQ76" i="112" s="1"/>
  <c r="AW76" i="112" s="1"/>
  <c r="AQ76" i="110"/>
  <c r="AW76" i="110" s="1"/>
  <c r="AL76" i="110"/>
  <c r="AJ116" i="110"/>
  <c r="AS77" i="110"/>
  <c r="AY77" i="112"/>
  <c r="AI117" i="112"/>
  <c r="BB122" i="112"/>
  <c r="AP77" i="112"/>
  <c r="AL76" i="112"/>
  <c r="AJ116" i="112"/>
  <c r="G79" i="112"/>
  <c r="K79" i="112" s="1"/>
  <c r="Q79" i="112" s="1"/>
  <c r="K77" i="111"/>
  <c r="Q77" i="111" s="1"/>
  <c r="M78" i="111"/>
  <c r="AO62" i="111"/>
  <c r="AQ62" i="111" s="1"/>
  <c r="AW62" i="111" s="1"/>
  <c r="AS63" i="111"/>
  <c r="O84" i="110"/>
  <c r="N84" i="110" s="1"/>
  <c r="L84" i="110" s="1"/>
  <c r="G84" i="110" s="1"/>
  <c r="BA84" i="110" s="1"/>
  <c r="P84" i="110"/>
  <c r="I84" i="110"/>
  <c r="V125" i="110"/>
  <c r="U124" i="110"/>
  <c r="AO83" i="103"/>
  <c r="AQ83" i="103" s="1"/>
  <c r="AW83" i="103" s="1"/>
  <c r="T112" i="61"/>
  <c r="I84" i="61"/>
  <c r="S114" i="61"/>
  <c r="P84" i="61"/>
  <c r="R84" i="61"/>
  <c r="H81" i="61"/>
  <c r="H82" i="61" s="1"/>
  <c r="T111" i="61"/>
  <c r="L82" i="61"/>
  <c r="O83" i="61"/>
  <c r="N83" i="61"/>
  <c r="M83" i="61" s="1"/>
  <c r="K83" i="61" s="1"/>
  <c r="L83" i="61"/>
  <c r="AP77" i="110" l="1"/>
  <c r="AI117" i="110"/>
  <c r="AY77" i="110"/>
  <c r="BB122" i="110"/>
  <c r="AK117" i="112"/>
  <c r="AV77" i="112"/>
  <c r="AU77" i="112"/>
  <c r="AT77" i="112" s="1"/>
  <c r="H80" i="112"/>
  <c r="S80" i="112"/>
  <c r="T121" i="112"/>
  <c r="V121" i="112" s="1"/>
  <c r="BA79" i="112"/>
  <c r="AL62" i="111"/>
  <c r="AJ102" i="111"/>
  <c r="AY63" i="111"/>
  <c r="BB108" i="111"/>
  <c r="AP63" i="111"/>
  <c r="AI103" i="111"/>
  <c r="T119" i="111"/>
  <c r="V119" i="111" s="1"/>
  <c r="S78" i="111"/>
  <c r="H78" i="111"/>
  <c r="M85" i="110"/>
  <c r="K84" i="110"/>
  <c r="Q84" i="110" s="1"/>
  <c r="AP84" i="103"/>
  <c r="BB129" i="103"/>
  <c r="AI124" i="103"/>
  <c r="AY84" i="103"/>
  <c r="AL83" i="103"/>
  <c r="AJ123" i="103"/>
  <c r="N84" i="61"/>
  <c r="M84" i="61" s="1"/>
  <c r="K84" i="61" s="1"/>
  <c r="O84" i="61"/>
  <c r="H83" i="61"/>
  <c r="T113" i="61"/>
  <c r="L84" i="61"/>
  <c r="I85" i="61"/>
  <c r="P85" i="61"/>
  <c r="J85" i="61"/>
  <c r="J86" i="61" s="1"/>
  <c r="R85" i="61"/>
  <c r="S115" i="61"/>
  <c r="S116" i="61" s="1"/>
  <c r="AR77" i="112" l="1"/>
  <c r="AO77" i="112" s="1"/>
  <c r="AV77" i="110"/>
  <c r="AU77" i="110"/>
  <c r="AK117" i="110"/>
  <c r="AS78" i="112"/>
  <c r="U120" i="112"/>
  <c r="P80" i="112"/>
  <c r="O80" i="112"/>
  <c r="N80" i="112" s="1"/>
  <c r="L80" i="112" s="1"/>
  <c r="I80" i="112"/>
  <c r="O78" i="111"/>
  <c r="N78" i="111" s="1"/>
  <c r="L78" i="111" s="1"/>
  <c r="G78" i="111" s="1"/>
  <c r="BA78" i="111" s="1"/>
  <c r="P78" i="111"/>
  <c r="AU63" i="111"/>
  <c r="AT63" i="111" s="1"/>
  <c r="AV63" i="111"/>
  <c r="AK103" i="111"/>
  <c r="I78" i="111"/>
  <c r="T126" i="110"/>
  <c r="H85" i="110"/>
  <c r="S85" i="110"/>
  <c r="H84" i="61"/>
  <c r="AV84" i="103"/>
  <c r="AU84" i="103"/>
  <c r="AK124" i="103"/>
  <c r="T114" i="61"/>
  <c r="I86" i="61"/>
  <c r="N85" i="61"/>
  <c r="M85" i="61" s="1"/>
  <c r="K85" i="61" s="1"/>
  <c r="O85" i="61"/>
  <c r="L85" i="61"/>
  <c r="AT77" i="110" l="1"/>
  <c r="AR77" i="110" s="1"/>
  <c r="AO77" i="110" s="1"/>
  <c r="AQ77" i="112"/>
  <c r="AW77" i="112" s="1"/>
  <c r="AL77" i="112"/>
  <c r="AJ117" i="112"/>
  <c r="M81" i="112"/>
  <c r="G80" i="112"/>
  <c r="BA80" i="112" s="1"/>
  <c r="K78" i="111"/>
  <c r="Q78" i="111" s="1"/>
  <c r="AR63" i="111"/>
  <c r="AS64" i="111" s="1"/>
  <c r="M79" i="111"/>
  <c r="O85" i="110"/>
  <c r="N85" i="110" s="1"/>
  <c r="L85" i="110" s="1"/>
  <c r="G85" i="110" s="1"/>
  <c r="BA85" i="110" s="1"/>
  <c r="P85" i="110"/>
  <c r="I85" i="110"/>
  <c r="V126" i="110"/>
  <c r="U125" i="110"/>
  <c r="AT84" i="103"/>
  <c r="AR84" i="103" s="1"/>
  <c r="AS85" i="103" s="1"/>
  <c r="K86" i="61"/>
  <c r="H85" i="61"/>
  <c r="H86" i="61" s="1"/>
  <c r="D19" i="61" s="1"/>
  <c r="Y40" i="61" s="1"/>
  <c r="X40" i="61" s="1"/>
  <c r="T115" i="61"/>
  <c r="AQ77" i="110" l="1"/>
  <c r="AW77" i="110" s="1"/>
  <c r="AL77" i="110"/>
  <c r="AJ117" i="110"/>
  <c r="AS78" i="110"/>
  <c r="BB123" i="112"/>
  <c r="AI118" i="112"/>
  <c r="AP78" i="112"/>
  <c r="AY78" i="112"/>
  <c r="K80" i="112"/>
  <c r="Q80" i="112" s="1"/>
  <c r="AO63" i="111"/>
  <c r="AQ63" i="111" s="1"/>
  <c r="AW63" i="111" s="1"/>
  <c r="T120" i="111"/>
  <c r="V120" i="111" s="1"/>
  <c r="H79" i="111"/>
  <c r="S79" i="111"/>
  <c r="K85" i="110"/>
  <c r="Q85" i="110" s="1"/>
  <c r="M86" i="110"/>
  <c r="AO84" i="103"/>
  <c r="AQ84" i="103" s="1"/>
  <c r="AW84" i="103" s="1"/>
  <c r="AD39" i="61"/>
  <c r="C19" i="61" s="1"/>
  <c r="T116" i="61"/>
  <c r="AI118" i="110" l="1"/>
  <c r="AP78" i="110"/>
  <c r="BB123" i="110"/>
  <c r="AY78" i="110"/>
  <c r="AU78" i="112"/>
  <c r="AV78" i="112"/>
  <c r="AT78" i="112"/>
  <c r="AR78" i="112" s="1"/>
  <c r="AK118" i="112"/>
  <c r="H81" i="112"/>
  <c r="I81" i="112" s="1"/>
  <c r="S81" i="112"/>
  <c r="T122" i="112"/>
  <c r="I79" i="111"/>
  <c r="AI104" i="111"/>
  <c r="AP64" i="111"/>
  <c r="AY64" i="111"/>
  <c r="BB109" i="111"/>
  <c r="O79" i="111"/>
  <c r="P79" i="111"/>
  <c r="AL63" i="111"/>
  <c r="AJ103" i="111"/>
  <c r="H86" i="110"/>
  <c r="T127" i="110"/>
  <c r="S86" i="110"/>
  <c r="BB130" i="103"/>
  <c r="AY85" i="103"/>
  <c r="AI125" i="103"/>
  <c r="AP85" i="103"/>
  <c r="AL84" i="103"/>
  <c r="AJ124" i="103"/>
  <c r="AU78" i="110" l="1"/>
  <c r="AV78" i="110"/>
  <c r="AT78" i="110"/>
  <c r="AR78" i="110" s="1"/>
  <c r="AO78" i="110" s="1"/>
  <c r="AL78" i="110" s="1"/>
  <c r="AK118" i="110"/>
  <c r="AS79" i="112"/>
  <c r="AO78" i="112"/>
  <c r="V122" i="112"/>
  <c r="U121" i="112"/>
  <c r="O81" i="112"/>
  <c r="P81" i="112"/>
  <c r="AK104" i="111"/>
  <c r="N79" i="111"/>
  <c r="L79" i="111" s="1"/>
  <c r="M80" i="111" s="1"/>
  <c r="AU64" i="111"/>
  <c r="AV64" i="111"/>
  <c r="I86" i="110"/>
  <c r="P86" i="110"/>
  <c r="O86" i="110"/>
  <c r="V127" i="110"/>
  <c r="U126" i="110"/>
  <c r="AK125" i="103"/>
  <c r="AU85" i="103"/>
  <c r="AV85" i="103"/>
  <c r="AQ78" i="110" l="1"/>
  <c r="AW78" i="110" s="1"/>
  <c r="AJ118" i="110"/>
  <c r="AS79" i="110"/>
  <c r="AQ78" i="112"/>
  <c r="AW78" i="112" s="1"/>
  <c r="AL78" i="112"/>
  <c r="AJ118" i="112"/>
  <c r="N81" i="112"/>
  <c r="L81" i="112" s="1"/>
  <c r="M82" i="112" s="1"/>
  <c r="G79" i="111"/>
  <c r="BA79" i="111" s="1"/>
  <c r="AT64" i="111"/>
  <c r="AR64" i="111" s="1"/>
  <c r="N86" i="110"/>
  <c r="L86" i="110" s="1"/>
  <c r="AT85" i="103"/>
  <c r="AR85" i="103" s="1"/>
  <c r="AS86" i="103" s="1"/>
  <c r="AY79" i="110" l="1"/>
  <c r="BB124" i="110"/>
  <c r="AP79" i="110"/>
  <c r="AI119" i="110"/>
  <c r="AP79" i="112"/>
  <c r="AY79" i="112"/>
  <c r="AI119" i="112"/>
  <c r="BB124" i="112"/>
  <c r="G81" i="112"/>
  <c r="K81" i="112" s="1"/>
  <c r="Q81" i="112" s="1"/>
  <c r="AO64" i="111"/>
  <c r="AQ64" i="111" s="1"/>
  <c r="AW64" i="111" s="1"/>
  <c r="AS65" i="111"/>
  <c r="K79" i="111"/>
  <c r="Q79" i="111" s="1"/>
  <c r="G86" i="110"/>
  <c r="K86" i="110" s="1"/>
  <c r="Q86" i="110" s="1"/>
  <c r="M87" i="110"/>
  <c r="AO85" i="103"/>
  <c r="AQ85" i="103" s="1"/>
  <c r="AW85" i="103" s="1"/>
  <c r="AK119" i="110" l="1"/>
  <c r="AU79" i="110"/>
  <c r="AV79" i="110"/>
  <c r="AK119" i="112"/>
  <c r="AV79" i="112"/>
  <c r="AU79" i="112"/>
  <c r="T123" i="112"/>
  <c r="V123" i="112" s="1"/>
  <c r="H82" i="112"/>
  <c r="I82" i="112" s="1"/>
  <c r="S82" i="112"/>
  <c r="BA81" i="112"/>
  <c r="BB110" i="111"/>
  <c r="AP65" i="111"/>
  <c r="AY65" i="111"/>
  <c r="AI105" i="111"/>
  <c r="T121" i="111"/>
  <c r="V121" i="111" s="1"/>
  <c r="S80" i="111"/>
  <c r="H80" i="111"/>
  <c r="I80" i="111" s="1"/>
  <c r="AL64" i="111"/>
  <c r="AJ104" i="111"/>
  <c r="T128" i="110"/>
  <c r="V128" i="110" s="1"/>
  <c r="H87" i="110"/>
  <c r="S87" i="110"/>
  <c r="BA86" i="110"/>
  <c r="AI126" i="103"/>
  <c r="AP86" i="103"/>
  <c r="BB131" i="103"/>
  <c r="AY86" i="103"/>
  <c r="AL85" i="103"/>
  <c r="AJ125" i="103"/>
  <c r="AT79" i="110" l="1"/>
  <c r="AR79" i="110" s="1"/>
  <c r="AS80" i="110" s="1"/>
  <c r="U122" i="112"/>
  <c r="AT79" i="112"/>
  <c r="AR79" i="112" s="1"/>
  <c r="AO79" i="112" s="1"/>
  <c r="O82" i="112"/>
  <c r="P82" i="112"/>
  <c r="AV65" i="111"/>
  <c r="AU65" i="111"/>
  <c r="AT65" i="111" s="1"/>
  <c r="AK105" i="111"/>
  <c r="P80" i="111"/>
  <c r="O80" i="111"/>
  <c r="U127" i="110"/>
  <c r="O87" i="110"/>
  <c r="N87" i="110" s="1"/>
  <c r="L87" i="110" s="1"/>
  <c r="G87" i="110" s="1"/>
  <c r="BA87" i="110" s="1"/>
  <c r="P87" i="110"/>
  <c r="I87" i="110"/>
  <c r="AV86" i="103"/>
  <c r="AU86" i="103"/>
  <c r="AT86" i="103" s="1"/>
  <c r="AR86" i="103" s="1"/>
  <c r="AO86" i="103" s="1"/>
  <c r="AL86" i="103" s="1"/>
  <c r="AK126" i="103"/>
  <c r="AO79" i="110" l="1"/>
  <c r="AQ79" i="110" s="1"/>
  <c r="AW79" i="110" s="1"/>
  <c r="AS80" i="112"/>
  <c r="AQ79" i="112"/>
  <c r="AW79" i="112" s="1"/>
  <c r="AL79" i="112"/>
  <c r="AJ119" i="112"/>
  <c r="N82" i="112"/>
  <c r="L82" i="112" s="1"/>
  <c r="M83" i="112" s="1"/>
  <c r="AR65" i="111"/>
  <c r="AO65" i="111" s="1"/>
  <c r="AL65" i="111" s="1"/>
  <c r="N80" i="111"/>
  <c r="L80" i="111" s="1"/>
  <c r="K87" i="110"/>
  <c r="Q87" i="110" s="1"/>
  <c r="M88" i="110"/>
  <c r="AJ126" i="103"/>
  <c r="AS87" i="103"/>
  <c r="AQ86" i="103"/>
  <c r="AW86" i="103" s="1"/>
  <c r="AP80" i="110" l="1"/>
  <c r="AI120" i="110"/>
  <c r="AY80" i="110"/>
  <c r="BB125" i="110"/>
  <c r="AL79" i="110"/>
  <c r="AJ119" i="110"/>
  <c r="BB125" i="112"/>
  <c r="AP80" i="112"/>
  <c r="AY80" i="112"/>
  <c r="AI120" i="112"/>
  <c r="G82" i="112"/>
  <c r="K82" i="112" s="1"/>
  <c r="Q82" i="112" s="1"/>
  <c r="AQ65" i="111"/>
  <c r="AW65" i="111" s="1"/>
  <c r="AP66" i="111" s="1"/>
  <c r="AJ105" i="111"/>
  <c r="AS66" i="111"/>
  <c r="G80" i="111"/>
  <c r="BA80" i="111" s="1"/>
  <c r="M81" i="111"/>
  <c r="T129" i="110"/>
  <c r="H88" i="110"/>
  <c r="S88" i="110"/>
  <c r="BB132" i="103"/>
  <c r="AY87" i="103"/>
  <c r="AP87" i="103"/>
  <c r="AI127" i="103"/>
  <c r="AV80" i="110" l="1"/>
  <c r="AU80" i="110"/>
  <c r="AK120" i="110"/>
  <c r="AK120" i="112"/>
  <c r="AU80" i="112"/>
  <c r="AT80" i="112" s="1"/>
  <c r="AV80" i="112"/>
  <c r="S83" i="112"/>
  <c r="H83" i="112"/>
  <c r="I83" i="112" s="1"/>
  <c r="T124" i="112"/>
  <c r="V124" i="112" s="1"/>
  <c r="BA82" i="112"/>
  <c r="AY66" i="111"/>
  <c r="AV66" i="111" s="1"/>
  <c r="BB111" i="111"/>
  <c r="AI106" i="111"/>
  <c r="AK106" i="111" s="1"/>
  <c r="K80" i="111"/>
  <c r="Q80" i="111" s="1"/>
  <c r="I88" i="110"/>
  <c r="V129" i="110"/>
  <c r="U128" i="110"/>
  <c r="P88" i="110"/>
  <c r="O88" i="110"/>
  <c r="N88" i="110" s="1"/>
  <c r="L88" i="110" s="1"/>
  <c r="G88" i="110" s="1"/>
  <c r="BA88" i="110" s="1"/>
  <c r="AK127" i="103"/>
  <c r="AU87" i="103"/>
  <c r="AV87" i="103"/>
  <c r="AT80" i="110" l="1"/>
  <c r="AR80" i="110" s="1"/>
  <c r="AO80" i="110" s="1"/>
  <c r="AR80" i="112"/>
  <c r="AS81" i="112" s="1"/>
  <c r="U123" i="112"/>
  <c r="O83" i="112"/>
  <c r="P83" i="112"/>
  <c r="AU66" i="111"/>
  <c r="T122" i="111"/>
  <c r="V122" i="111" s="1"/>
  <c r="H81" i="111"/>
  <c r="S81" i="111"/>
  <c r="AT66" i="111"/>
  <c r="AR66" i="111" s="1"/>
  <c r="M89" i="110"/>
  <c r="K88" i="110"/>
  <c r="Q88" i="110" s="1"/>
  <c r="AT87" i="103"/>
  <c r="AR87" i="103" s="1"/>
  <c r="AQ80" i="110" l="1"/>
  <c r="AW80" i="110" s="1"/>
  <c r="AL80" i="110"/>
  <c r="AJ120" i="110"/>
  <c r="AS81" i="110"/>
  <c r="AO80" i="112"/>
  <c r="AQ80" i="112" s="1"/>
  <c r="AW80" i="112" s="1"/>
  <c r="N83" i="112"/>
  <c r="L83" i="112" s="1"/>
  <c r="G83" i="112" s="1"/>
  <c r="I81" i="111"/>
  <c r="O81" i="111"/>
  <c r="P81" i="111"/>
  <c r="AO66" i="111"/>
  <c r="AQ66" i="111" s="1"/>
  <c r="AW66" i="111" s="1"/>
  <c r="AS67" i="111"/>
  <c r="H89" i="110"/>
  <c r="T130" i="110"/>
  <c r="S89" i="110"/>
  <c r="AO87" i="103"/>
  <c r="AQ87" i="103" s="1"/>
  <c r="AW87" i="103" s="1"/>
  <c r="AS88" i="103"/>
  <c r="AP81" i="110" l="1"/>
  <c r="BB126" i="110"/>
  <c r="AY81" i="110"/>
  <c r="AI121" i="110"/>
  <c r="AJ120" i="112"/>
  <c r="AL80" i="112"/>
  <c r="AP81" i="112"/>
  <c r="BB126" i="112"/>
  <c r="AI121" i="112"/>
  <c r="AY81" i="112"/>
  <c r="M84" i="112"/>
  <c r="K83" i="112"/>
  <c r="Q83" i="112" s="1"/>
  <c r="BA83" i="112"/>
  <c r="AL66" i="111"/>
  <c r="AJ106" i="111"/>
  <c r="BB112" i="111"/>
  <c r="AP67" i="111"/>
  <c r="AY67" i="111"/>
  <c r="AI107" i="111"/>
  <c r="N81" i="111"/>
  <c r="L81" i="111" s="1"/>
  <c r="M82" i="111" s="1"/>
  <c r="O89" i="110"/>
  <c r="P89" i="110"/>
  <c r="V130" i="110"/>
  <c r="U129" i="110"/>
  <c r="I89" i="110"/>
  <c r="BB133" i="103"/>
  <c r="AP88" i="103"/>
  <c r="AY88" i="103"/>
  <c r="AI128" i="103"/>
  <c r="AL87" i="103"/>
  <c r="AJ127" i="103"/>
  <c r="AK121" i="110" l="1"/>
  <c r="AV81" i="110"/>
  <c r="AU81" i="110"/>
  <c r="AK121" i="112"/>
  <c r="AV81" i="112"/>
  <c r="AU81" i="112"/>
  <c r="AT81" i="112" s="1"/>
  <c r="T125" i="112"/>
  <c r="H84" i="112"/>
  <c r="I84" i="112" s="1"/>
  <c r="S84" i="112"/>
  <c r="AK107" i="111"/>
  <c r="AU67" i="111"/>
  <c r="AV67" i="111"/>
  <c r="G81" i="111"/>
  <c r="BA81" i="111" s="1"/>
  <c r="N89" i="110"/>
  <c r="L89" i="110" s="1"/>
  <c r="M90" i="110" s="1"/>
  <c r="AK128" i="103"/>
  <c r="AV88" i="103"/>
  <c r="AU88" i="103"/>
  <c r="AT88" i="103" s="1"/>
  <c r="AT81" i="110" l="1"/>
  <c r="AR81" i="110" s="1"/>
  <c r="AO81" i="110" s="1"/>
  <c r="AR81" i="112"/>
  <c r="AO81" i="112" s="1"/>
  <c r="AQ81" i="112" s="1"/>
  <c r="AW81" i="112" s="1"/>
  <c r="P84" i="112"/>
  <c r="O84" i="112"/>
  <c r="V125" i="112"/>
  <c r="U124" i="112"/>
  <c r="K81" i="111"/>
  <c r="Q81" i="111" s="1"/>
  <c r="AT67" i="111"/>
  <c r="AR67" i="111" s="1"/>
  <c r="AR88" i="103"/>
  <c r="AO88" i="103" s="1"/>
  <c r="AL88" i="103" s="1"/>
  <c r="AQ81" i="110" l="1"/>
  <c r="AW81" i="110" s="1"/>
  <c r="AL81" i="110"/>
  <c r="AJ121" i="110"/>
  <c r="AS82" i="110"/>
  <c r="AS82" i="112"/>
  <c r="AP82" i="112"/>
  <c r="BB127" i="112"/>
  <c r="AY82" i="112"/>
  <c r="AI122" i="112"/>
  <c r="AL81" i="112"/>
  <c r="AJ121" i="112"/>
  <c r="N84" i="112"/>
  <c r="L84" i="112" s="1"/>
  <c r="G84" i="112" s="1"/>
  <c r="AJ128" i="103"/>
  <c r="AS89" i="103"/>
  <c r="H82" i="111"/>
  <c r="T123" i="111"/>
  <c r="V123" i="111" s="1"/>
  <c r="S82" i="111"/>
  <c r="AO67" i="111"/>
  <c r="AS68" i="111"/>
  <c r="AQ88" i="103"/>
  <c r="AW88" i="103" s="1"/>
  <c r="AP89" i="103" s="1"/>
  <c r="AY82" i="110" l="1"/>
  <c r="AI122" i="110"/>
  <c r="AP82" i="110"/>
  <c r="BB127" i="110"/>
  <c r="AK122" i="112"/>
  <c r="AV82" i="112"/>
  <c r="AU82" i="112"/>
  <c r="M85" i="112"/>
  <c r="K84" i="112"/>
  <c r="Q84" i="112" s="1"/>
  <c r="BA84" i="112"/>
  <c r="BB134" i="103"/>
  <c r="AL67" i="111"/>
  <c r="AJ107" i="111"/>
  <c r="P82" i="111"/>
  <c r="O82" i="111"/>
  <c r="N82" i="111" s="1"/>
  <c r="L82" i="111" s="1"/>
  <c r="G82" i="111" s="1"/>
  <c r="BA82" i="111" s="1"/>
  <c r="AQ67" i="111"/>
  <c r="AW67" i="111" s="1"/>
  <c r="I82" i="111"/>
  <c r="AY89" i="103"/>
  <c r="AV89" i="103" s="1"/>
  <c r="AI129" i="103"/>
  <c r="AK129" i="103" s="1"/>
  <c r="AK122" i="110" l="1"/>
  <c r="AU82" i="110"/>
  <c r="AV82" i="110"/>
  <c r="AT82" i="112"/>
  <c r="AR82" i="112" s="1"/>
  <c r="AO82" i="112" s="1"/>
  <c r="H85" i="112"/>
  <c r="S85" i="112"/>
  <c r="T126" i="112"/>
  <c r="AU89" i="103"/>
  <c r="AT89" i="103" s="1"/>
  <c r="AR89" i="103" s="1"/>
  <c r="AY68" i="111"/>
  <c r="BB113" i="111"/>
  <c r="AI108" i="111"/>
  <c r="AP68" i="111"/>
  <c r="M83" i="111"/>
  <c r="K82" i="111"/>
  <c r="Q82" i="111" s="1"/>
  <c r="AT82" i="110" l="1"/>
  <c r="AR82" i="110" s="1"/>
  <c r="AS83" i="110" s="1"/>
  <c r="AQ82" i="112"/>
  <c r="AW82" i="112" s="1"/>
  <c r="AL82" i="112"/>
  <c r="AJ122" i="112"/>
  <c r="AS83" i="112"/>
  <c r="V126" i="112"/>
  <c r="U125" i="112"/>
  <c r="P85" i="112"/>
  <c r="O85" i="112"/>
  <c r="I85" i="112"/>
  <c r="AK108" i="111"/>
  <c r="S83" i="111"/>
  <c r="T124" i="111"/>
  <c r="V124" i="111" s="1"/>
  <c r="H83" i="111"/>
  <c r="I83" i="111" s="1"/>
  <c r="AU68" i="111"/>
  <c r="AV68" i="111"/>
  <c r="AO89" i="103"/>
  <c r="AQ89" i="103" s="1"/>
  <c r="AW89" i="103" s="1"/>
  <c r="AS90" i="103"/>
  <c r="AO82" i="110" l="1"/>
  <c r="AQ82" i="110" s="1"/>
  <c r="AW82" i="110" s="1"/>
  <c r="AP83" i="112"/>
  <c r="AY83" i="112"/>
  <c r="AI123" i="112"/>
  <c r="BB128" i="112"/>
  <c r="N85" i="112"/>
  <c r="L85" i="112" s="1"/>
  <c r="G85" i="112" s="1"/>
  <c r="AT68" i="111"/>
  <c r="AR68" i="111" s="1"/>
  <c r="O83" i="111"/>
  <c r="P83" i="111"/>
  <c r="AP90" i="103"/>
  <c r="AY90" i="103"/>
  <c r="BB135" i="103"/>
  <c r="AI130" i="103"/>
  <c r="AL89" i="103"/>
  <c r="AJ129" i="103"/>
  <c r="AI123" i="110" l="1"/>
  <c r="BB128" i="110"/>
  <c r="AP83" i="110"/>
  <c r="AY83" i="110"/>
  <c r="AL82" i="110"/>
  <c r="AJ122" i="110"/>
  <c r="AK123" i="112"/>
  <c r="AV83" i="112"/>
  <c r="AU83" i="112"/>
  <c r="K85" i="112"/>
  <c r="Q85" i="112" s="1"/>
  <c r="BA85" i="112"/>
  <c r="M86" i="112"/>
  <c r="AO68" i="111"/>
  <c r="AQ68" i="111" s="1"/>
  <c r="AW68" i="111" s="1"/>
  <c r="N83" i="111"/>
  <c r="L83" i="111" s="1"/>
  <c r="M84" i="111" s="1"/>
  <c r="AS69" i="111"/>
  <c r="AK130" i="103"/>
  <c r="AV90" i="103"/>
  <c r="AU90" i="103"/>
  <c r="AT90" i="103" s="1"/>
  <c r="AU83" i="110" l="1"/>
  <c r="AV83" i="110"/>
  <c r="AK123" i="110"/>
  <c r="AT83" i="112"/>
  <c r="AR83" i="112" s="1"/>
  <c r="AO83" i="112" s="1"/>
  <c r="S86" i="112"/>
  <c r="H86" i="112"/>
  <c r="I86" i="112" s="1"/>
  <c r="T127" i="112"/>
  <c r="AI109" i="111"/>
  <c r="AY69" i="111"/>
  <c r="AP69" i="111"/>
  <c r="BB114" i="111"/>
  <c r="G83" i="111"/>
  <c r="BA83" i="111" s="1"/>
  <c r="AL68" i="111"/>
  <c r="AJ108" i="111"/>
  <c r="AR90" i="103"/>
  <c r="AO90" i="103" s="1"/>
  <c r="AL90" i="103" s="1"/>
  <c r="AT83" i="110" l="1"/>
  <c r="AR83" i="110" s="1"/>
  <c r="AS84" i="110" s="1"/>
  <c r="AQ83" i="112"/>
  <c r="AW83" i="112" s="1"/>
  <c r="AL83" i="112"/>
  <c r="AJ123" i="112"/>
  <c r="AS84" i="112"/>
  <c r="V127" i="112"/>
  <c r="U126" i="112"/>
  <c r="P86" i="112"/>
  <c r="O86" i="112"/>
  <c r="AS91" i="103"/>
  <c r="K83" i="111"/>
  <c r="Q83" i="111" s="1"/>
  <c r="AU69" i="111"/>
  <c r="AV69" i="111"/>
  <c r="AK109" i="111"/>
  <c r="AJ130" i="103"/>
  <c r="AQ90" i="103"/>
  <c r="AW90" i="103" s="1"/>
  <c r="AP91" i="103" s="1"/>
  <c r="AO83" i="110" l="1"/>
  <c r="AQ83" i="110" s="1"/>
  <c r="AW83" i="110" s="1"/>
  <c r="AP84" i="112"/>
  <c r="BB129" i="112"/>
  <c r="AY84" i="112"/>
  <c r="AI124" i="112"/>
  <c r="N86" i="112"/>
  <c r="L86" i="112" s="1"/>
  <c r="M87" i="112" s="1"/>
  <c r="S84" i="111"/>
  <c r="T125" i="111"/>
  <c r="V125" i="111" s="1"/>
  <c r="H84" i="111"/>
  <c r="AT69" i="111"/>
  <c r="AR69" i="111" s="1"/>
  <c r="AS70" i="111" s="1"/>
  <c r="BB136" i="103"/>
  <c r="AY91" i="103"/>
  <c r="AU91" i="103" s="1"/>
  <c r="AT91" i="103" s="1"/>
  <c r="AI131" i="103"/>
  <c r="AK131" i="103" s="1"/>
  <c r="AY84" i="110" l="1"/>
  <c r="BB129" i="110"/>
  <c r="AI124" i="110"/>
  <c r="AP84" i="110"/>
  <c r="AL83" i="110"/>
  <c r="AJ123" i="110"/>
  <c r="AK124" i="112"/>
  <c r="AU84" i="112"/>
  <c r="AV84" i="112"/>
  <c r="G86" i="112"/>
  <c r="K86" i="112" s="1"/>
  <c r="Q86" i="112" s="1"/>
  <c r="AV91" i="103"/>
  <c r="AR91" i="103" s="1"/>
  <c r="AO91" i="103" s="1"/>
  <c r="AQ91" i="103" s="1"/>
  <c r="AW91" i="103" s="1"/>
  <c r="I84" i="111"/>
  <c r="AO69" i="111"/>
  <c r="AQ69" i="111" s="1"/>
  <c r="AW69" i="111" s="1"/>
  <c r="O84" i="111"/>
  <c r="P84" i="111"/>
  <c r="AK124" i="110" l="1"/>
  <c r="AV84" i="110"/>
  <c r="AU84" i="110"/>
  <c r="AT84" i="110" s="1"/>
  <c r="AT84" i="112"/>
  <c r="AR84" i="112" s="1"/>
  <c r="AO84" i="112" s="1"/>
  <c r="H87" i="112"/>
  <c r="T128" i="112"/>
  <c r="V128" i="112" s="1"/>
  <c r="S87" i="112"/>
  <c r="BA86" i="112"/>
  <c r="N84" i="111"/>
  <c r="L84" i="111" s="1"/>
  <c r="AI110" i="111"/>
  <c r="AY70" i="111"/>
  <c r="AP70" i="111"/>
  <c r="BB115" i="111"/>
  <c r="AL69" i="111"/>
  <c r="AJ109" i="111"/>
  <c r="AS92" i="103"/>
  <c r="AI132" i="103"/>
  <c r="AK132" i="103" s="1"/>
  <c r="AP92" i="103"/>
  <c r="BB137" i="103"/>
  <c r="AY92" i="103"/>
  <c r="AL91" i="103"/>
  <c r="AJ131" i="103"/>
  <c r="AR84" i="110" l="1"/>
  <c r="AS85" i="110" s="1"/>
  <c r="AS85" i="112"/>
  <c r="AQ84" i="112"/>
  <c r="AW84" i="112" s="1"/>
  <c r="AL84" i="112"/>
  <c r="AJ124" i="112"/>
  <c r="U127" i="112"/>
  <c r="O87" i="112"/>
  <c r="N87" i="112" s="1"/>
  <c r="L87" i="112" s="1"/>
  <c r="G87" i="112" s="1"/>
  <c r="BA87" i="112" s="1"/>
  <c r="P87" i="112"/>
  <c r="I87" i="112"/>
  <c r="B87" i="112"/>
  <c r="AK110" i="111"/>
  <c r="G84" i="111"/>
  <c r="BA84" i="111" s="1"/>
  <c r="AV70" i="111"/>
  <c r="AU70" i="111"/>
  <c r="AT70" i="111" s="1"/>
  <c r="AR70" i="111" s="1"/>
  <c r="M85" i="111"/>
  <c r="AV92" i="103"/>
  <c r="AQ92" i="103"/>
  <c r="AW92" i="103"/>
  <c r="AU92" i="103"/>
  <c r="AT92" i="103" s="1"/>
  <c r="AO84" i="110" l="1"/>
  <c r="AQ84" i="110" s="1"/>
  <c r="AW84" i="110" s="1"/>
  <c r="AY85" i="112"/>
  <c r="AP85" i="112"/>
  <c r="AI125" i="112"/>
  <c r="BB130" i="112"/>
  <c r="K87" i="112"/>
  <c r="M88" i="112"/>
  <c r="AO70" i="111"/>
  <c r="AQ70" i="111" s="1"/>
  <c r="AW70" i="111" s="1"/>
  <c r="AS71" i="111"/>
  <c r="K84" i="111"/>
  <c r="Q84" i="111" s="1"/>
  <c r="AR92" i="103"/>
  <c r="AS93" i="103" s="1"/>
  <c r="AI133" i="103"/>
  <c r="BB138" i="103"/>
  <c r="AY93" i="103"/>
  <c r="AP93" i="103"/>
  <c r="AI125" i="110" l="1"/>
  <c r="BB130" i="110"/>
  <c r="AY85" i="110"/>
  <c r="AP85" i="110"/>
  <c r="AL84" i="110"/>
  <c r="AJ124" i="110"/>
  <c r="AK125" i="112"/>
  <c r="AV85" i="112"/>
  <c r="AU85" i="112"/>
  <c r="AT85" i="112" s="1"/>
  <c r="C87" i="112"/>
  <c r="Q87" i="112"/>
  <c r="AI111" i="111"/>
  <c r="BB116" i="111"/>
  <c r="AY71" i="111"/>
  <c r="AP71" i="111"/>
  <c r="T126" i="111"/>
  <c r="V126" i="111" s="1"/>
  <c r="H85" i="111"/>
  <c r="I85" i="111" s="1"/>
  <c r="S85" i="111"/>
  <c r="AL70" i="111"/>
  <c r="AJ110" i="111"/>
  <c r="AU93" i="103"/>
  <c r="AW93" i="103"/>
  <c r="AQ93" i="103"/>
  <c r="AV93" i="103"/>
  <c r="AJ133" i="103"/>
  <c r="AK133" i="103"/>
  <c r="AU85" i="110" l="1"/>
  <c r="AV85" i="110"/>
  <c r="AK125" i="110"/>
  <c r="AR85" i="112"/>
  <c r="AS86" i="112" s="1"/>
  <c r="S88" i="112"/>
  <c r="H88" i="112"/>
  <c r="T129" i="112"/>
  <c r="P85" i="111"/>
  <c r="O85" i="111"/>
  <c r="AV71" i="111"/>
  <c r="AU71" i="111"/>
  <c r="AK111" i="111"/>
  <c r="AP94" i="103"/>
  <c r="AY94" i="103"/>
  <c r="AI134" i="103"/>
  <c r="BB139" i="103"/>
  <c r="AT93" i="103"/>
  <c r="AR93" i="103" s="1"/>
  <c r="AO93" i="103" s="1"/>
  <c r="AL93" i="103" s="1"/>
  <c r="AT85" i="110" l="1"/>
  <c r="AR85" i="110" s="1"/>
  <c r="AO85" i="110" s="1"/>
  <c r="AO85" i="112"/>
  <c r="AQ85" i="112" s="1"/>
  <c r="AW85" i="112" s="1"/>
  <c r="AP86" i="112" s="1"/>
  <c r="V129" i="112"/>
  <c r="U128" i="112"/>
  <c r="I88" i="112"/>
  <c r="O88" i="112"/>
  <c r="N88" i="112" s="1"/>
  <c r="L88" i="112" s="1"/>
  <c r="G88" i="112" s="1"/>
  <c r="BA88" i="112" s="1"/>
  <c r="P88" i="112"/>
  <c r="N85" i="111"/>
  <c r="L85" i="111" s="1"/>
  <c r="M86" i="111" s="1"/>
  <c r="AT71" i="111"/>
  <c r="AR71" i="111" s="1"/>
  <c r="AS94" i="103"/>
  <c r="AJ134" i="103"/>
  <c r="AK134" i="103"/>
  <c r="AW94" i="103"/>
  <c r="AV94" i="103"/>
  <c r="AU94" i="103"/>
  <c r="AQ94" i="103"/>
  <c r="AQ85" i="110" l="1"/>
  <c r="AW85" i="110" s="1"/>
  <c r="AL85" i="110"/>
  <c r="AJ125" i="110"/>
  <c r="AS86" i="110"/>
  <c r="AJ125" i="112"/>
  <c r="AL85" i="112"/>
  <c r="AI126" i="112"/>
  <c r="AK126" i="112" s="1"/>
  <c r="BB131" i="112"/>
  <c r="AY86" i="112"/>
  <c r="AU86" i="112" s="1"/>
  <c r="AT86" i="112" s="1"/>
  <c r="K88" i="112"/>
  <c r="Q88" i="112" s="1"/>
  <c r="M89" i="112"/>
  <c r="AO71" i="111"/>
  <c r="AQ71" i="111" s="1"/>
  <c r="AW71" i="111" s="1"/>
  <c r="AS72" i="111"/>
  <c r="AT94" i="103"/>
  <c r="AR94" i="103" s="1"/>
  <c r="AO94" i="103" s="1"/>
  <c r="AL94" i="103" s="1"/>
  <c r="AI135" i="103"/>
  <c r="AY95" i="103"/>
  <c r="AP95" i="103"/>
  <c r="BB140" i="103"/>
  <c r="BB131" i="110" l="1"/>
  <c r="AY86" i="110"/>
  <c r="AP86" i="110"/>
  <c r="AI126" i="110"/>
  <c r="AV86" i="112"/>
  <c r="AR86" i="112" s="1"/>
  <c r="T130" i="112"/>
  <c r="S89" i="112"/>
  <c r="H89" i="112"/>
  <c r="I89" i="112" s="1"/>
  <c r="AP72" i="111"/>
  <c r="BB117" i="111"/>
  <c r="AY72" i="111"/>
  <c r="AI112" i="111"/>
  <c r="AL71" i="111"/>
  <c r="AJ111" i="111"/>
  <c r="AU95" i="103"/>
  <c r="AT95" i="103" s="1"/>
  <c r="AR95" i="103" s="1"/>
  <c r="AO95" i="103" s="1"/>
  <c r="AL95" i="103" s="1"/>
  <c r="AQ95" i="103"/>
  <c r="AV95" i="103"/>
  <c r="AW95" i="103"/>
  <c r="AJ135" i="103"/>
  <c r="AK135" i="103"/>
  <c r="AS95" i="103"/>
  <c r="AK126" i="110" l="1"/>
  <c r="AU86" i="110"/>
  <c r="AV86" i="110"/>
  <c r="AS87" i="112"/>
  <c r="AO86" i="112"/>
  <c r="AJ126" i="112" s="1"/>
  <c r="P89" i="112"/>
  <c r="O89" i="112"/>
  <c r="V130" i="112"/>
  <c r="U129" i="112"/>
  <c r="AV72" i="111"/>
  <c r="AU72" i="111"/>
  <c r="AK112" i="111"/>
  <c r="AP96" i="103"/>
  <c r="BB141" i="103"/>
  <c r="AY96" i="103"/>
  <c r="AI136" i="103"/>
  <c r="AS96" i="103"/>
  <c r="AL86" i="112" l="1"/>
  <c r="AQ86" i="112"/>
  <c r="AW86" i="112" s="1"/>
  <c r="BB132" i="112" s="1"/>
  <c r="AT86" i="110"/>
  <c r="AR86" i="110" s="1"/>
  <c r="AP87" i="112"/>
  <c r="AY87" i="112"/>
  <c r="AI127" i="112"/>
  <c r="N89" i="112"/>
  <c r="L89" i="112" s="1"/>
  <c r="M90" i="112" s="1"/>
  <c r="AT72" i="111"/>
  <c r="AR72" i="111" s="1"/>
  <c r="AJ136" i="103"/>
  <c r="AK136" i="103"/>
  <c r="AU96" i="103"/>
  <c r="AT96" i="103" s="1"/>
  <c r="AR96" i="103" s="1"/>
  <c r="AO96" i="103" s="1"/>
  <c r="AL96" i="103" s="1"/>
  <c r="AQ96" i="103"/>
  <c r="AV96" i="103"/>
  <c r="AW96" i="103"/>
  <c r="AO86" i="110" l="1"/>
  <c r="AQ86" i="110" s="1"/>
  <c r="AW86" i="110" s="1"/>
  <c r="AS87" i="110"/>
  <c r="AK127" i="112"/>
  <c r="AV87" i="112"/>
  <c r="AU87" i="112"/>
  <c r="G89" i="112"/>
  <c r="K89" i="112" s="1"/>
  <c r="Q89" i="112" s="1"/>
  <c r="AO72" i="111"/>
  <c r="AQ72" i="111" s="1"/>
  <c r="AW72" i="111" s="1"/>
  <c r="AS73" i="111"/>
  <c r="AP97" i="103"/>
  <c r="AI137" i="103"/>
  <c r="BB142" i="103"/>
  <c r="AY97" i="103"/>
  <c r="AS97" i="103"/>
  <c r="AP87" i="110" l="1"/>
  <c r="AI127" i="110"/>
  <c r="AY87" i="110"/>
  <c r="BB132" i="110"/>
  <c r="AL86" i="110"/>
  <c r="AJ126" i="110"/>
  <c r="AT87" i="112"/>
  <c r="AR87" i="112" s="1"/>
  <c r="T131" i="112"/>
  <c r="V131" i="112" s="1"/>
  <c r="S90" i="112"/>
  <c r="H90" i="112"/>
  <c r="BA89" i="112"/>
  <c r="AI113" i="111"/>
  <c r="BB118" i="111"/>
  <c r="AP73" i="111"/>
  <c r="AY73" i="111"/>
  <c r="AL72" i="111"/>
  <c r="AJ112" i="111"/>
  <c r="AQ97" i="103"/>
  <c r="AU97" i="103"/>
  <c r="AT97" i="103" s="1"/>
  <c r="AR97" i="103" s="1"/>
  <c r="AO97" i="103" s="1"/>
  <c r="AL97" i="103" s="1"/>
  <c r="AV97" i="103"/>
  <c r="AW97" i="103"/>
  <c r="AJ137" i="103"/>
  <c r="AK137" i="103"/>
  <c r="AU87" i="110" l="1"/>
  <c r="AV87" i="110"/>
  <c r="AK127" i="110"/>
  <c r="AO87" i="112"/>
  <c r="AQ87" i="112" s="1"/>
  <c r="AW87" i="112" s="1"/>
  <c r="AS88" i="112"/>
  <c r="I90" i="112"/>
  <c r="U130" i="112"/>
  <c r="P90" i="112"/>
  <c r="O90" i="112"/>
  <c r="N90" i="112" s="1"/>
  <c r="L90" i="112" s="1"/>
  <c r="G90" i="112" s="1"/>
  <c r="BA90" i="112" s="1"/>
  <c r="AK113" i="111"/>
  <c r="AU73" i="111"/>
  <c r="AT73" i="111" s="1"/>
  <c r="AV73" i="111"/>
  <c r="BB143" i="103"/>
  <c r="AP98" i="103"/>
  <c r="AI138" i="103"/>
  <c r="AY98" i="103"/>
  <c r="AS98" i="103"/>
  <c r="AT87" i="110" l="1"/>
  <c r="AR87" i="110" s="1"/>
  <c r="AS88" i="110" s="1"/>
  <c r="AY88" i="112"/>
  <c r="BB133" i="112"/>
  <c r="AI128" i="112"/>
  <c r="AP88" i="112"/>
  <c r="AL87" i="112"/>
  <c r="AJ127" i="112"/>
  <c r="K90" i="112"/>
  <c r="Q90" i="112" s="1"/>
  <c r="M91" i="112"/>
  <c r="AR73" i="111"/>
  <c r="AO73" i="111" s="1"/>
  <c r="AL73" i="111" s="1"/>
  <c r="AV98" i="103"/>
  <c r="AU98" i="103"/>
  <c r="AT98" i="103" s="1"/>
  <c r="AR98" i="103" s="1"/>
  <c r="AO98" i="103" s="1"/>
  <c r="AL98" i="103" s="1"/>
  <c r="AW98" i="103"/>
  <c r="AQ98" i="103"/>
  <c r="AK138" i="103"/>
  <c r="AJ138" i="103"/>
  <c r="AO87" i="110" l="1"/>
  <c r="AQ87" i="110" s="1"/>
  <c r="AW87" i="110" s="1"/>
  <c r="AK128" i="112"/>
  <c r="AU88" i="112"/>
  <c r="AV88" i="112"/>
  <c r="T132" i="112"/>
  <c r="H91" i="112"/>
  <c r="S91" i="112"/>
  <c r="AJ113" i="111"/>
  <c r="AS74" i="111"/>
  <c r="AQ73" i="111"/>
  <c r="AW73" i="111" s="1"/>
  <c r="BB119" i="111" s="1"/>
  <c r="AP99" i="103"/>
  <c r="BB144" i="103"/>
  <c r="AY99" i="103"/>
  <c r="AI139" i="103"/>
  <c r="AS99" i="103"/>
  <c r="AY88" i="110" l="1"/>
  <c r="AI128" i="110"/>
  <c r="BB133" i="110"/>
  <c r="AP88" i="110"/>
  <c r="AL87" i="110"/>
  <c r="AJ127" i="110"/>
  <c r="AT88" i="112"/>
  <c r="AR88" i="112" s="1"/>
  <c r="AO88" i="112" s="1"/>
  <c r="O91" i="112"/>
  <c r="N91" i="112" s="1"/>
  <c r="L91" i="112" s="1"/>
  <c r="G91" i="112" s="1"/>
  <c r="P91" i="112"/>
  <c r="I91" i="112"/>
  <c r="V132" i="112"/>
  <c r="U131" i="112"/>
  <c r="AY74" i="111"/>
  <c r="AI114" i="111"/>
  <c r="AK114" i="111" s="1"/>
  <c r="AP74" i="111"/>
  <c r="AJ139" i="103"/>
  <c r="AK139" i="103"/>
  <c r="AW99" i="103"/>
  <c r="AQ99" i="103"/>
  <c r="AU99" i="103"/>
  <c r="AT99" i="103" s="1"/>
  <c r="AR99" i="103" s="1"/>
  <c r="AO99" i="103" s="1"/>
  <c r="AL99" i="103" s="1"/>
  <c r="AV99" i="103"/>
  <c r="AK128" i="110" l="1"/>
  <c r="AU88" i="110"/>
  <c r="AV88" i="110"/>
  <c r="AQ88" i="112"/>
  <c r="AW88" i="112" s="1"/>
  <c r="AL88" i="112"/>
  <c r="AJ128" i="112"/>
  <c r="AS89" i="112"/>
  <c r="K91" i="112"/>
  <c r="Q91" i="112" s="1"/>
  <c r="BA91" i="112"/>
  <c r="M92" i="112"/>
  <c r="AV74" i="111"/>
  <c r="AU74" i="111"/>
  <c r="AT74" i="111" s="1"/>
  <c r="AI140" i="103"/>
  <c r="AP100" i="103"/>
  <c r="BB145" i="103"/>
  <c r="AY100" i="103"/>
  <c r="AS100" i="103"/>
  <c r="AT88" i="110" l="1"/>
  <c r="AR88" i="110" s="1"/>
  <c r="AP89" i="112"/>
  <c r="AY89" i="112"/>
  <c r="AI129" i="112"/>
  <c r="BB134" i="112"/>
  <c r="H92" i="112"/>
  <c r="S92" i="112"/>
  <c r="T133" i="112"/>
  <c r="AR74" i="111"/>
  <c r="AS75" i="111" s="1"/>
  <c r="AQ100" i="103"/>
  <c r="AV100" i="103"/>
  <c r="AU100" i="103"/>
  <c r="AT100" i="103" s="1"/>
  <c r="AR100" i="103" s="1"/>
  <c r="AO100" i="103" s="1"/>
  <c r="AL100" i="103" s="1"/>
  <c r="AW100" i="103"/>
  <c r="AK140" i="103"/>
  <c r="AJ140" i="103"/>
  <c r="AO88" i="110" l="1"/>
  <c r="AQ88" i="110" s="1"/>
  <c r="AW88" i="110" s="1"/>
  <c r="AS89" i="110"/>
  <c r="AK129" i="112"/>
  <c r="AV89" i="112"/>
  <c r="AU89" i="112"/>
  <c r="AT89" i="112" s="1"/>
  <c r="V133" i="112"/>
  <c r="U132" i="112"/>
  <c r="P92" i="112"/>
  <c r="O92" i="112"/>
  <c r="I92" i="112"/>
  <c r="J92" i="112" s="1"/>
  <c r="J160" i="112" s="1"/>
  <c r="AO74" i="111"/>
  <c r="AL74" i="111" s="1"/>
  <c r="AP101" i="103"/>
  <c r="BB146" i="103"/>
  <c r="AY101" i="103"/>
  <c r="AI141" i="103"/>
  <c r="AS101" i="103"/>
  <c r="BB134" i="110" l="1"/>
  <c r="AY89" i="110"/>
  <c r="AI129" i="110"/>
  <c r="AP89" i="110"/>
  <c r="AL88" i="110"/>
  <c r="AJ128" i="110"/>
  <c r="AR89" i="112"/>
  <c r="AO89" i="112" s="1"/>
  <c r="N92" i="112"/>
  <c r="L92" i="112" s="1"/>
  <c r="G92" i="112" s="1"/>
  <c r="AJ114" i="111"/>
  <c r="AQ74" i="111"/>
  <c r="AW74" i="111" s="1"/>
  <c r="AK141" i="103"/>
  <c r="AJ141" i="103"/>
  <c r="AV101" i="103"/>
  <c r="AU101" i="103"/>
  <c r="AW101" i="103"/>
  <c r="AQ101" i="103"/>
  <c r="AK129" i="110" l="1"/>
  <c r="AU89" i="110"/>
  <c r="AV89" i="110"/>
  <c r="AQ89" i="112"/>
  <c r="AW89" i="112" s="1"/>
  <c r="AL89" i="112"/>
  <c r="AJ129" i="112"/>
  <c r="AS90" i="112"/>
  <c r="K92" i="112"/>
  <c r="Q92" i="112" s="1"/>
  <c r="BA92" i="112"/>
  <c r="M93" i="112"/>
  <c r="AP75" i="111"/>
  <c r="AY75" i="111"/>
  <c r="AI115" i="111"/>
  <c r="AK115" i="111" s="1"/>
  <c r="BB120" i="111"/>
  <c r="BB147" i="103"/>
  <c r="AI142" i="103"/>
  <c r="AP102" i="103"/>
  <c r="AY102" i="103"/>
  <c r="AT101" i="103"/>
  <c r="AR101" i="103" s="1"/>
  <c r="AO101" i="103" s="1"/>
  <c r="AL101" i="103" s="1"/>
  <c r="AT89" i="110" l="1"/>
  <c r="AR89" i="110" s="1"/>
  <c r="AO89" i="110" s="1"/>
  <c r="AP90" i="112"/>
  <c r="AI130" i="112"/>
  <c r="BB135" i="112"/>
  <c r="AY90" i="112"/>
  <c r="S93" i="112"/>
  <c r="H93" i="112"/>
  <c r="T134" i="112"/>
  <c r="V134" i="112" s="1"/>
  <c r="AV75" i="111"/>
  <c r="AU75" i="111"/>
  <c r="AS102" i="103"/>
  <c r="AV102" i="103"/>
  <c r="AQ102" i="103"/>
  <c r="AW102" i="103"/>
  <c r="AU102" i="103"/>
  <c r="AJ142" i="103"/>
  <c r="AK142" i="103"/>
  <c r="AQ89" i="110" l="1"/>
  <c r="AW89" i="110" s="1"/>
  <c r="AL89" i="110"/>
  <c r="AJ129" i="110"/>
  <c r="AS90" i="110"/>
  <c r="AK130" i="112"/>
  <c r="AV90" i="112"/>
  <c r="AU90" i="112"/>
  <c r="I93" i="112"/>
  <c r="P93" i="112"/>
  <c r="O93" i="112"/>
  <c r="AT75" i="111"/>
  <c r="AR75" i="111" s="1"/>
  <c r="AO75" i="111" s="1"/>
  <c r="AP103" i="103"/>
  <c r="BB148" i="103"/>
  <c r="AI143" i="103"/>
  <c r="AY103" i="103"/>
  <c r="AT102" i="103"/>
  <c r="AR102" i="103" s="1"/>
  <c r="AO102" i="103" s="1"/>
  <c r="AL102" i="103" s="1"/>
  <c r="AP90" i="110" l="1"/>
  <c r="BB135" i="110"/>
  <c r="AY90" i="110"/>
  <c r="AI130" i="110"/>
  <c r="AT90" i="112"/>
  <c r="AR90" i="112" s="1"/>
  <c r="AO90" i="112" s="1"/>
  <c r="N93" i="112"/>
  <c r="L93" i="112" s="1"/>
  <c r="AS76" i="111"/>
  <c r="AQ75" i="111"/>
  <c r="AW75" i="111" s="1"/>
  <c r="AL75" i="111"/>
  <c r="AJ115" i="111"/>
  <c r="AS103" i="103"/>
  <c r="AV103" i="103"/>
  <c r="AU103" i="103"/>
  <c r="AT103" i="103" s="1"/>
  <c r="AR103" i="103" s="1"/>
  <c r="AO103" i="103" s="1"/>
  <c r="AL103" i="103" s="1"/>
  <c r="AQ103" i="103"/>
  <c r="AW103" i="103"/>
  <c r="AJ143" i="103"/>
  <c r="AK143" i="103"/>
  <c r="AK130" i="110" l="1"/>
  <c r="AU90" i="110"/>
  <c r="AV90" i="110"/>
  <c r="AQ90" i="112"/>
  <c r="AW90" i="112" s="1"/>
  <c r="AL90" i="112"/>
  <c r="AJ130" i="112"/>
  <c r="AS91" i="112"/>
  <c r="M94" i="112"/>
  <c r="BB121" i="111"/>
  <c r="AY76" i="111"/>
  <c r="AP76" i="111"/>
  <c r="AI116" i="111"/>
  <c r="BB149" i="103"/>
  <c r="AI144" i="103"/>
  <c r="AY104" i="103"/>
  <c r="AP104" i="103"/>
  <c r="AS104" i="103"/>
  <c r="AT90" i="110" l="1"/>
  <c r="AR90" i="110" s="1"/>
  <c r="AO90" i="110" s="1"/>
  <c r="AY91" i="112"/>
  <c r="BB136" i="112"/>
  <c r="AP91" i="112"/>
  <c r="AI131" i="112"/>
  <c r="AK116" i="111"/>
  <c r="AU76" i="111"/>
  <c r="AV76" i="111"/>
  <c r="AQ104" i="103"/>
  <c r="AV104" i="103"/>
  <c r="AU104" i="103"/>
  <c r="AW104" i="103"/>
  <c r="AJ144" i="103"/>
  <c r="AK144" i="103"/>
  <c r="AQ90" i="110" l="1"/>
  <c r="AW90" i="110" s="1"/>
  <c r="AL90" i="110"/>
  <c r="AJ130" i="110"/>
  <c r="AS91" i="110"/>
  <c r="AK131" i="112"/>
  <c r="AU91" i="112"/>
  <c r="AV91" i="112"/>
  <c r="AT76" i="111"/>
  <c r="AR76" i="111" s="1"/>
  <c r="AO76" i="111" s="1"/>
  <c r="AI145" i="103"/>
  <c r="BB150" i="103"/>
  <c r="AY105" i="103"/>
  <c r="AP105" i="103"/>
  <c r="AT104" i="103"/>
  <c r="AR104" i="103" s="1"/>
  <c r="AO104" i="103" s="1"/>
  <c r="AL104" i="103" s="1"/>
  <c r="AI131" i="110" l="1"/>
  <c r="AP91" i="110"/>
  <c r="BB136" i="110"/>
  <c r="AY91" i="110"/>
  <c r="G93" i="112"/>
  <c r="AT91" i="112"/>
  <c r="AR91" i="112" s="1"/>
  <c r="AQ76" i="111"/>
  <c r="AW76" i="111" s="1"/>
  <c r="AL76" i="111"/>
  <c r="AJ116" i="111"/>
  <c r="AS77" i="111"/>
  <c r="AU105" i="103"/>
  <c r="AV105" i="103"/>
  <c r="AQ105" i="103"/>
  <c r="AW105" i="103"/>
  <c r="AK145" i="103"/>
  <c r="AJ145" i="103"/>
  <c r="AS105" i="103"/>
  <c r="BA93" i="112" l="1"/>
  <c r="K93" i="112"/>
  <c r="Q93" i="112" s="1"/>
  <c r="AU91" i="110"/>
  <c r="AV91" i="110"/>
  <c r="AK131" i="110"/>
  <c r="AO91" i="112"/>
  <c r="AQ91" i="112" s="1"/>
  <c r="AW91" i="112" s="1"/>
  <c r="AS92" i="112"/>
  <c r="BB122" i="111"/>
  <c r="AI117" i="111"/>
  <c r="AP77" i="111"/>
  <c r="AY77" i="111"/>
  <c r="BB151" i="103"/>
  <c r="AY106" i="103"/>
  <c r="AI146" i="103"/>
  <c r="AP106" i="103"/>
  <c r="AT105" i="103"/>
  <c r="AR105" i="103" s="1"/>
  <c r="AO105" i="103" s="1"/>
  <c r="AL105" i="103" s="1"/>
  <c r="S94" i="112" l="1"/>
  <c r="H94" i="112"/>
  <c r="T135" i="112"/>
  <c r="V135" i="112" s="1"/>
  <c r="AT91" i="110"/>
  <c r="AR91" i="110" s="1"/>
  <c r="AS92" i="110" s="1"/>
  <c r="AI132" i="112"/>
  <c r="AK132" i="112" s="1"/>
  <c r="AP92" i="112"/>
  <c r="BB137" i="112"/>
  <c r="AY92" i="112"/>
  <c r="AL91" i="112"/>
  <c r="AJ131" i="112"/>
  <c r="AU77" i="111"/>
  <c r="AT77" i="111" s="1"/>
  <c r="AV77" i="111"/>
  <c r="AK117" i="111"/>
  <c r="AS106" i="103"/>
  <c r="AK146" i="103"/>
  <c r="AJ146" i="103"/>
  <c r="AQ106" i="103"/>
  <c r="AV106" i="103"/>
  <c r="AW106" i="103"/>
  <c r="AU106" i="103"/>
  <c r="AT106" i="103" s="1"/>
  <c r="AR106" i="103" s="1"/>
  <c r="AO106" i="103" s="1"/>
  <c r="AL106" i="103" s="1"/>
  <c r="I94" i="112" l="1"/>
  <c r="O94" i="112"/>
  <c r="N94" i="112" s="1"/>
  <c r="L94" i="112" s="1"/>
  <c r="P94" i="112"/>
  <c r="AO91" i="110"/>
  <c r="AQ91" i="110" s="1"/>
  <c r="AW91" i="110" s="1"/>
  <c r="AU92" i="112"/>
  <c r="AQ92" i="112"/>
  <c r="AW92" i="112"/>
  <c r="AV92" i="112"/>
  <c r="AR77" i="111"/>
  <c r="AO77" i="111" s="1"/>
  <c r="AL77" i="111" s="1"/>
  <c r="AP107" i="103"/>
  <c r="BB152" i="103"/>
  <c r="AI147" i="103"/>
  <c r="AY107" i="103"/>
  <c r="AS107" i="103"/>
  <c r="M95" i="112" l="1"/>
  <c r="G94" i="112"/>
  <c r="BA94" i="112" s="1"/>
  <c r="BB137" i="110"/>
  <c r="AY92" i="110"/>
  <c r="AI132" i="110"/>
  <c r="AP92" i="110"/>
  <c r="AL91" i="110"/>
  <c r="AJ131" i="110"/>
  <c r="AP93" i="112"/>
  <c r="AY93" i="112"/>
  <c r="AI133" i="112"/>
  <c r="BB138" i="112"/>
  <c r="AT92" i="112"/>
  <c r="AR92" i="112" s="1"/>
  <c r="AS93" i="112" s="1"/>
  <c r="AS78" i="111"/>
  <c r="AJ117" i="111"/>
  <c r="AQ77" i="111"/>
  <c r="AW77" i="111" s="1"/>
  <c r="BB123" i="111" s="1"/>
  <c r="AK147" i="103"/>
  <c r="AJ147" i="103"/>
  <c r="AV107" i="103"/>
  <c r="AU107" i="103"/>
  <c r="AQ107" i="103"/>
  <c r="AW107" i="103"/>
  <c r="K94" i="112" l="1"/>
  <c r="Q94" i="112" s="1"/>
  <c r="AK132" i="110"/>
  <c r="AU92" i="110"/>
  <c r="AV92" i="110"/>
  <c r="AQ92" i="110"/>
  <c r="AW92" i="110"/>
  <c r="AJ133" i="112"/>
  <c r="AK133" i="112"/>
  <c r="AU93" i="112"/>
  <c r="AQ93" i="112"/>
  <c r="AW93" i="112"/>
  <c r="AV93" i="112"/>
  <c r="AI118" i="111"/>
  <c r="AK118" i="111" s="1"/>
  <c r="AP78" i="111"/>
  <c r="AY78" i="111"/>
  <c r="AU78" i="111" s="1"/>
  <c r="AP108" i="103"/>
  <c r="BB153" i="103"/>
  <c r="AI148" i="103"/>
  <c r="AY108" i="103"/>
  <c r="AT107" i="103"/>
  <c r="AR107" i="103" s="1"/>
  <c r="AO107" i="103" s="1"/>
  <c r="AL107" i="103" s="1"/>
  <c r="H95" i="112" l="1"/>
  <c r="I95" i="112" s="1"/>
  <c r="T136" i="112"/>
  <c r="V136" i="112" s="1"/>
  <c r="S95" i="112"/>
  <c r="BB138" i="110"/>
  <c r="AI133" i="110"/>
  <c r="AY93" i="110"/>
  <c r="AP93" i="110"/>
  <c r="AT92" i="110"/>
  <c r="AR92" i="110" s="1"/>
  <c r="AS93" i="110" s="1"/>
  <c r="AT93" i="112"/>
  <c r="AR93" i="112" s="1"/>
  <c r="AO93" i="112" s="1"/>
  <c r="AL93" i="112" s="1"/>
  <c r="AY94" i="112"/>
  <c r="AI134" i="112"/>
  <c r="BB139" i="112"/>
  <c r="AP94" i="112"/>
  <c r="AV78" i="111"/>
  <c r="AT78" i="111"/>
  <c r="AS108" i="103"/>
  <c r="AU108" i="103"/>
  <c r="AT108" i="103" s="1"/>
  <c r="AR108" i="103" s="1"/>
  <c r="AO108" i="103" s="1"/>
  <c r="AL108" i="103" s="1"/>
  <c r="AQ108" i="103"/>
  <c r="AW108" i="103"/>
  <c r="AV108" i="103"/>
  <c r="AK148" i="103"/>
  <c r="AJ148" i="103"/>
  <c r="P95" i="112" l="1"/>
  <c r="O95" i="112"/>
  <c r="AQ93" i="110"/>
  <c r="AU93" i="110"/>
  <c r="AW93" i="110"/>
  <c r="AV93" i="110"/>
  <c r="AK133" i="110"/>
  <c r="AJ133" i="110"/>
  <c r="AK134" i="112"/>
  <c r="AJ134" i="112"/>
  <c r="AQ94" i="112"/>
  <c r="AV94" i="112"/>
  <c r="AW94" i="112"/>
  <c r="AU94" i="112"/>
  <c r="AT94" i="112" s="1"/>
  <c r="AR94" i="112" s="1"/>
  <c r="AO94" i="112" s="1"/>
  <c r="AL94" i="112" s="1"/>
  <c r="AS94" i="112"/>
  <c r="AR78" i="111"/>
  <c r="AO78" i="111" s="1"/>
  <c r="AJ118" i="111" s="1"/>
  <c r="BB154" i="103"/>
  <c r="AP109" i="103"/>
  <c r="AI149" i="103"/>
  <c r="AY109" i="103"/>
  <c r="AS109" i="103"/>
  <c r="N95" i="112" l="1"/>
  <c r="L95" i="112" s="1"/>
  <c r="M96" i="112" s="1"/>
  <c r="AY94" i="110"/>
  <c r="AP94" i="110"/>
  <c r="BB139" i="110"/>
  <c r="AI134" i="110"/>
  <c r="AT93" i="110"/>
  <c r="AR93" i="110" s="1"/>
  <c r="AO93" i="110" s="1"/>
  <c r="AL93" i="110" s="1"/>
  <c r="AS94" i="110"/>
  <c r="AS95" i="112"/>
  <c r="BB140" i="112"/>
  <c r="AY95" i="112"/>
  <c r="AP95" i="112"/>
  <c r="AI135" i="112"/>
  <c r="AL78" i="111"/>
  <c r="AS79" i="111"/>
  <c r="AQ78" i="111"/>
  <c r="AW78" i="111" s="1"/>
  <c r="BB124" i="111" s="1"/>
  <c r="AQ109" i="103"/>
  <c r="AW109" i="103"/>
  <c r="AV109" i="103"/>
  <c r="AU109" i="103"/>
  <c r="AT109" i="103" s="1"/>
  <c r="AR109" i="103" s="1"/>
  <c r="AO109" i="103" s="1"/>
  <c r="AL109" i="103" s="1"/>
  <c r="AK149" i="103"/>
  <c r="AJ149" i="103"/>
  <c r="AI150" i="103"/>
  <c r="AI119" i="111" l="1"/>
  <c r="AK119" i="111" s="1"/>
  <c r="AP79" i="111"/>
  <c r="G95" i="112"/>
  <c r="BA95" i="112" s="1"/>
  <c r="AJ134" i="110"/>
  <c r="AK134" i="110"/>
  <c r="AV94" i="110"/>
  <c r="AW94" i="110"/>
  <c r="AQ94" i="110"/>
  <c r="AU94" i="110"/>
  <c r="AV95" i="112"/>
  <c r="AU95" i="112"/>
  <c r="AW95" i="112"/>
  <c r="AQ95" i="112"/>
  <c r="AK135" i="112"/>
  <c r="AJ135" i="112"/>
  <c r="AY79" i="111"/>
  <c r="AU79" i="111" s="1"/>
  <c r="AS110" i="103"/>
  <c r="AY110" i="103"/>
  <c r="AP110" i="103"/>
  <c r="AT79" i="111" l="1"/>
  <c r="K95" i="112"/>
  <c r="Q95" i="112" s="1"/>
  <c r="AT94" i="110"/>
  <c r="AR94" i="110" s="1"/>
  <c r="AO94" i="110" s="1"/>
  <c r="AL94" i="110" s="1"/>
  <c r="BB140" i="110"/>
  <c r="AI135" i="110"/>
  <c r="AY95" i="110"/>
  <c r="AP95" i="110"/>
  <c r="BB141" i="112"/>
  <c r="AI136" i="112"/>
  <c r="AP96" i="112"/>
  <c r="AY96" i="112"/>
  <c r="AT95" i="112"/>
  <c r="AR95" i="112" s="1"/>
  <c r="AO95" i="112" s="1"/>
  <c r="AL95" i="112" s="1"/>
  <c r="AV79" i="111"/>
  <c r="AV110" i="103"/>
  <c r="AU110" i="103"/>
  <c r="AW110" i="103"/>
  <c r="AQ110" i="103"/>
  <c r="AR131" i="103"/>
  <c r="AR79" i="111" l="1"/>
  <c r="AS80" i="111" s="1"/>
  <c r="S96" i="112"/>
  <c r="H96" i="112"/>
  <c r="T137" i="112"/>
  <c r="V137" i="112" s="1"/>
  <c r="AK135" i="110"/>
  <c r="AJ135" i="110"/>
  <c r="AS95" i="110"/>
  <c r="AU95" i="110"/>
  <c r="AT95" i="110" s="1"/>
  <c r="AR95" i="110" s="1"/>
  <c r="AO95" i="110" s="1"/>
  <c r="AL95" i="110" s="1"/>
  <c r="AW95" i="110"/>
  <c r="AV95" i="110"/>
  <c r="AQ95" i="110"/>
  <c r="AU96" i="112"/>
  <c r="AW96" i="112"/>
  <c r="AQ96" i="112"/>
  <c r="AV96" i="112"/>
  <c r="AT96" i="112"/>
  <c r="AR96" i="112" s="1"/>
  <c r="AO96" i="112" s="1"/>
  <c r="AL96" i="112" s="1"/>
  <c r="AJ136" i="112"/>
  <c r="AK136" i="112"/>
  <c r="AS96" i="112"/>
  <c r="AO79" i="111"/>
  <c r="AQ79" i="111" s="1"/>
  <c r="AW79" i="111" s="1"/>
  <c r="AY111" i="103"/>
  <c r="AP111" i="103"/>
  <c r="AT110" i="103"/>
  <c r="AR110" i="103" s="1"/>
  <c r="AO110" i="103" s="1"/>
  <c r="I96" i="112" l="1"/>
  <c r="O96" i="112"/>
  <c r="N96" i="112" s="1"/>
  <c r="L96" i="112" s="1"/>
  <c r="P96" i="112"/>
  <c r="AS96" i="110"/>
  <c r="BB141" i="110"/>
  <c r="AI136" i="110"/>
  <c r="AY96" i="110"/>
  <c r="AP96" i="110"/>
  <c r="AP97" i="112"/>
  <c r="BB142" i="112"/>
  <c r="AY97" i="112"/>
  <c r="AI137" i="112"/>
  <c r="AS97" i="112"/>
  <c r="AY80" i="111"/>
  <c r="AI120" i="111"/>
  <c r="AK120" i="111" s="1"/>
  <c r="AP80" i="111"/>
  <c r="BB125" i="111"/>
  <c r="AL79" i="111"/>
  <c r="AJ119" i="111"/>
  <c r="AS111" i="103"/>
  <c r="AV111" i="103"/>
  <c r="AQ111" i="103"/>
  <c r="AW111" i="103"/>
  <c r="AU111" i="103"/>
  <c r="AT111" i="103" s="1"/>
  <c r="AR111" i="103" s="1"/>
  <c r="AO111" i="103" s="1"/>
  <c r="M97" i="112" l="1"/>
  <c r="G96" i="112"/>
  <c r="BA96" i="112" s="1"/>
  <c r="AV96" i="110"/>
  <c r="AQ96" i="110"/>
  <c r="AU96" i="110"/>
  <c r="AW96" i="110"/>
  <c r="AJ136" i="110"/>
  <c r="AK136" i="110"/>
  <c r="AT96" i="110"/>
  <c r="AR96" i="110" s="1"/>
  <c r="AO96" i="110" s="1"/>
  <c r="AL96" i="110" s="1"/>
  <c r="AJ137" i="112"/>
  <c r="AK137" i="112"/>
  <c r="AU97" i="112"/>
  <c r="AV97" i="112"/>
  <c r="AQ97" i="112"/>
  <c r="AW97" i="112"/>
  <c r="AT97" i="112"/>
  <c r="AR97" i="112" s="1"/>
  <c r="AO97" i="112" s="1"/>
  <c r="AL97" i="112" s="1"/>
  <c r="AU80" i="111"/>
  <c r="AV80" i="111"/>
  <c r="AP112" i="103"/>
  <c r="AY112" i="103"/>
  <c r="AS112" i="103"/>
  <c r="K96" i="112" l="1"/>
  <c r="Q96" i="112" s="1"/>
  <c r="AP97" i="110"/>
  <c r="AY97" i="110"/>
  <c r="BB142" i="110"/>
  <c r="AI137" i="110"/>
  <c r="AS97" i="110"/>
  <c r="AS98" i="112"/>
  <c r="BB143" i="112"/>
  <c r="AI138" i="112"/>
  <c r="AP98" i="112"/>
  <c r="AY98" i="112"/>
  <c r="AT80" i="111"/>
  <c r="AR80" i="111" s="1"/>
  <c r="AO80" i="111" s="1"/>
  <c r="AV112" i="103"/>
  <c r="AQ112" i="103"/>
  <c r="AU112" i="103"/>
  <c r="AT112" i="103" s="1"/>
  <c r="AR112" i="103" s="1"/>
  <c r="AO112" i="103" s="1"/>
  <c r="AW112" i="103"/>
  <c r="S97" i="112" l="1"/>
  <c r="H97" i="112"/>
  <c r="T138" i="112"/>
  <c r="V138" i="112" s="1"/>
  <c r="AJ137" i="110"/>
  <c r="AK137" i="110"/>
  <c r="AV97" i="110"/>
  <c r="AW97" i="110"/>
  <c r="AQ97" i="110"/>
  <c r="AU97" i="110"/>
  <c r="AJ138" i="112"/>
  <c r="AK138" i="112"/>
  <c r="AV98" i="112"/>
  <c r="AQ98" i="112"/>
  <c r="AW98" i="112"/>
  <c r="AU98" i="112"/>
  <c r="AQ80" i="111"/>
  <c r="AW80" i="111" s="1"/>
  <c r="AJ120" i="111"/>
  <c r="AL80" i="111"/>
  <c r="AS81" i="111"/>
  <c r="AP113" i="103"/>
  <c r="AY113" i="103"/>
  <c r="AS113" i="103"/>
  <c r="I97" i="112" l="1"/>
  <c r="P97" i="112"/>
  <c r="O97" i="112"/>
  <c r="N97" i="112" s="1"/>
  <c r="L97" i="112" s="1"/>
  <c r="AT97" i="110"/>
  <c r="AR97" i="110" s="1"/>
  <c r="AO97" i="110" s="1"/>
  <c r="AL97" i="110" s="1"/>
  <c r="AP98" i="110"/>
  <c r="AI138" i="110"/>
  <c r="BB143" i="110"/>
  <c r="AY98" i="110"/>
  <c r="BB144" i="112"/>
  <c r="AY99" i="112"/>
  <c r="AI139" i="112"/>
  <c r="AP99" i="112"/>
  <c r="AT98" i="112"/>
  <c r="AR98" i="112" s="1"/>
  <c r="AO98" i="112" s="1"/>
  <c r="AL98" i="112" s="1"/>
  <c r="AY81" i="111"/>
  <c r="BB126" i="111"/>
  <c r="AI121" i="111"/>
  <c r="AK121" i="111" s="1"/>
  <c r="AP81" i="111"/>
  <c r="AW113" i="103"/>
  <c r="AV113" i="103"/>
  <c r="AU113" i="103"/>
  <c r="AT113" i="103" s="1"/>
  <c r="AR113" i="103" s="1"/>
  <c r="AO113" i="103" s="1"/>
  <c r="AQ113" i="103"/>
  <c r="M98" i="112" l="1"/>
  <c r="G97" i="112"/>
  <c r="BA97" i="112" s="1"/>
  <c r="AJ138" i="110"/>
  <c r="AK138" i="110"/>
  <c r="AV98" i="110"/>
  <c r="AU98" i="110"/>
  <c r="AT98" i="110" s="1"/>
  <c r="AR98" i="110" s="1"/>
  <c r="AO98" i="110" s="1"/>
  <c r="AL98" i="110" s="1"/>
  <c r="AW98" i="110"/>
  <c r="AQ98" i="110"/>
  <c r="AS98" i="110"/>
  <c r="AK139" i="112"/>
  <c r="AJ139" i="112"/>
  <c r="AQ99" i="112"/>
  <c r="AW99" i="112"/>
  <c r="AV99" i="112"/>
  <c r="AU99" i="112"/>
  <c r="AT99" i="112" s="1"/>
  <c r="AR99" i="112" s="1"/>
  <c r="AO99" i="112" s="1"/>
  <c r="AL99" i="112" s="1"/>
  <c r="AS99" i="112"/>
  <c r="AU81" i="111"/>
  <c r="AT81" i="111" s="1"/>
  <c r="AV81" i="111"/>
  <c r="AS114" i="103"/>
  <c r="AP114" i="103"/>
  <c r="AY114" i="103"/>
  <c r="K97" i="112" l="1"/>
  <c r="Q97" i="112" s="1"/>
  <c r="BB144" i="110"/>
  <c r="AY99" i="110"/>
  <c r="AP99" i="110"/>
  <c r="AI139" i="110"/>
  <c r="AS99" i="110"/>
  <c r="AY100" i="112"/>
  <c r="AI140" i="112"/>
  <c r="AP100" i="112"/>
  <c r="BB145" i="112"/>
  <c r="AS100" i="112"/>
  <c r="AR81" i="111"/>
  <c r="AS82" i="111" s="1"/>
  <c r="AQ114" i="103"/>
  <c r="AV114" i="103"/>
  <c r="AW114" i="103"/>
  <c r="AU114" i="103"/>
  <c r="T139" i="112" l="1"/>
  <c r="V139" i="112" s="1"/>
  <c r="S98" i="112"/>
  <c r="H98" i="112"/>
  <c r="AJ139" i="110"/>
  <c r="AK139" i="110"/>
  <c r="AU99" i="110"/>
  <c r="AV99" i="110"/>
  <c r="AQ99" i="110"/>
  <c r="AW99" i="110"/>
  <c r="AJ140" i="112"/>
  <c r="AK140" i="112"/>
  <c r="AW100" i="112"/>
  <c r="AQ100" i="112"/>
  <c r="AV100" i="112"/>
  <c r="AU100" i="112"/>
  <c r="AO81" i="111"/>
  <c r="AQ81" i="111" s="1"/>
  <c r="AW81" i="111" s="1"/>
  <c r="AP115" i="103"/>
  <c r="AY115" i="103"/>
  <c r="AT114" i="103"/>
  <c r="AR114" i="103" s="1"/>
  <c r="AO114" i="103" s="1"/>
  <c r="I98" i="112" l="1"/>
  <c r="P98" i="112"/>
  <c r="O98" i="112"/>
  <c r="N98" i="112" s="1"/>
  <c r="L98" i="112" s="1"/>
  <c r="AT99" i="110"/>
  <c r="AR99" i="110" s="1"/>
  <c r="AO99" i="110" s="1"/>
  <c r="AL99" i="110" s="1"/>
  <c r="AY100" i="110"/>
  <c r="AP100" i="110"/>
  <c r="AI140" i="110"/>
  <c r="BB145" i="110"/>
  <c r="AT100" i="112"/>
  <c r="AR100" i="112" s="1"/>
  <c r="AO100" i="112" s="1"/>
  <c r="AL100" i="112" s="1"/>
  <c r="AP101" i="112"/>
  <c r="AY101" i="112"/>
  <c r="AI141" i="112"/>
  <c r="BB146" i="112"/>
  <c r="AJ121" i="111"/>
  <c r="AL81" i="111"/>
  <c r="AY82" i="111"/>
  <c r="BB127" i="111"/>
  <c r="AP82" i="111"/>
  <c r="AI122" i="111"/>
  <c r="AK122" i="111" s="1"/>
  <c r="AU115" i="103"/>
  <c r="AT115" i="103" s="1"/>
  <c r="AR115" i="103" s="1"/>
  <c r="AO115" i="103" s="1"/>
  <c r="AW115" i="103"/>
  <c r="AV115" i="103"/>
  <c r="AQ115" i="103"/>
  <c r="AS115" i="103"/>
  <c r="M99" i="112" l="1"/>
  <c r="G98" i="112"/>
  <c r="BA98" i="112" s="1"/>
  <c r="AV100" i="110"/>
  <c r="AW100" i="110"/>
  <c r="AQ100" i="110"/>
  <c r="AU100" i="110"/>
  <c r="AK140" i="110"/>
  <c r="AJ140" i="110"/>
  <c r="AS100" i="110"/>
  <c r="AU101" i="112"/>
  <c r="AT101" i="112" s="1"/>
  <c r="AR101" i="112" s="1"/>
  <c r="AO101" i="112" s="1"/>
  <c r="AL101" i="112" s="1"/>
  <c r="AV101" i="112"/>
  <c r="AW101" i="112"/>
  <c r="AQ101" i="112"/>
  <c r="AK141" i="112"/>
  <c r="AJ141" i="112"/>
  <c r="AS101" i="112"/>
  <c r="AV82" i="111"/>
  <c r="AU82" i="111"/>
  <c r="AP116" i="103"/>
  <c r="AY116" i="103"/>
  <c r="AS116" i="103"/>
  <c r="K98" i="112" l="1"/>
  <c r="Q98" i="112" s="1"/>
  <c r="AT100" i="110"/>
  <c r="AR100" i="110" s="1"/>
  <c r="AO100" i="110" s="1"/>
  <c r="AL100" i="110" s="1"/>
  <c r="AP101" i="110"/>
  <c r="AY101" i="110"/>
  <c r="AI141" i="110"/>
  <c r="BB146" i="110"/>
  <c r="AP102" i="112"/>
  <c r="AY102" i="112"/>
  <c r="AI142" i="112"/>
  <c r="BB147" i="112"/>
  <c r="AS102" i="112"/>
  <c r="AT82" i="111"/>
  <c r="AR82" i="111" s="1"/>
  <c r="AW116" i="103"/>
  <c r="AV116" i="103"/>
  <c r="AU116" i="103"/>
  <c r="AT116" i="103" s="1"/>
  <c r="AR116" i="103" s="1"/>
  <c r="AO116" i="103" s="1"/>
  <c r="AQ116" i="103"/>
  <c r="S99" i="112" l="1"/>
  <c r="T140" i="112"/>
  <c r="V140" i="112" s="1"/>
  <c r="H99" i="112"/>
  <c r="AS101" i="110"/>
  <c r="AV101" i="110"/>
  <c r="AW101" i="110"/>
  <c r="AQ101" i="110"/>
  <c r="AU101" i="110"/>
  <c r="AJ141" i="110"/>
  <c r="AK141" i="110"/>
  <c r="AJ142" i="112"/>
  <c r="AK142" i="112"/>
  <c r="AU102" i="112"/>
  <c r="AQ102" i="112"/>
  <c r="AV102" i="112"/>
  <c r="AW102" i="112"/>
  <c r="AT102" i="112"/>
  <c r="AR102" i="112" s="1"/>
  <c r="AO102" i="112" s="1"/>
  <c r="AL102" i="112" s="1"/>
  <c r="AO82" i="111"/>
  <c r="AQ82" i="111" s="1"/>
  <c r="AW82" i="111" s="1"/>
  <c r="AS83" i="111"/>
  <c r="AS117" i="103"/>
  <c r="AY117" i="103"/>
  <c r="AP117" i="103"/>
  <c r="I99" i="112" l="1"/>
  <c r="K99" i="112"/>
  <c r="P99" i="112"/>
  <c r="O99" i="112"/>
  <c r="N99" i="112" s="1"/>
  <c r="L99" i="112" s="1"/>
  <c r="Q99" i="112"/>
  <c r="AT101" i="110"/>
  <c r="AR101" i="110" s="1"/>
  <c r="AO101" i="110" s="1"/>
  <c r="AL101" i="110" s="1"/>
  <c r="AS102" i="110"/>
  <c r="AP102" i="110"/>
  <c r="AY102" i="110"/>
  <c r="BB147" i="110"/>
  <c r="AI142" i="110"/>
  <c r="AS103" i="112"/>
  <c r="BB148" i="112"/>
  <c r="AY103" i="112"/>
  <c r="AP103" i="112"/>
  <c r="AI143" i="112"/>
  <c r="AP83" i="111"/>
  <c r="AI123" i="111"/>
  <c r="AK123" i="111" s="1"/>
  <c r="BB128" i="111"/>
  <c r="AY83" i="111"/>
  <c r="AJ122" i="111"/>
  <c r="AL82" i="111"/>
  <c r="AU117" i="103"/>
  <c r="AQ117" i="103"/>
  <c r="AV117" i="103"/>
  <c r="AW117" i="103"/>
  <c r="H100" i="112" l="1"/>
  <c r="I100" i="112" s="1"/>
  <c r="T141" i="112"/>
  <c r="V141" i="112" s="1"/>
  <c r="S100" i="112"/>
  <c r="M100" i="112"/>
  <c r="AQ102" i="110"/>
  <c r="AW102" i="110"/>
  <c r="AV102" i="110"/>
  <c r="AU102" i="110"/>
  <c r="AJ142" i="110"/>
  <c r="AK142" i="110"/>
  <c r="AV103" i="112"/>
  <c r="AU103" i="112"/>
  <c r="AQ103" i="112"/>
  <c r="AW103" i="112"/>
  <c r="AK143" i="112"/>
  <c r="AJ143" i="112"/>
  <c r="AU83" i="111"/>
  <c r="AT83" i="111" s="1"/>
  <c r="AV83" i="111"/>
  <c r="AP118" i="103"/>
  <c r="AY118" i="103"/>
  <c r="AT117" i="103"/>
  <c r="AR117" i="103" s="1"/>
  <c r="AO117" i="103" s="1"/>
  <c r="G99" i="112" l="1"/>
  <c r="BA99" i="112" s="1"/>
  <c r="P100" i="112"/>
  <c r="Q100" i="112"/>
  <c r="O100" i="112"/>
  <c r="K100" i="112"/>
  <c r="BB148" i="110"/>
  <c r="AI143" i="110"/>
  <c r="AY103" i="110"/>
  <c r="AP103" i="110"/>
  <c r="AT102" i="110"/>
  <c r="AR102" i="110" s="1"/>
  <c r="AO102" i="110" s="1"/>
  <c r="AL102" i="110" s="1"/>
  <c r="AP104" i="112"/>
  <c r="BB149" i="112"/>
  <c r="AY104" i="112"/>
  <c r="AI144" i="112"/>
  <c r="AT103" i="112"/>
  <c r="AR103" i="112" s="1"/>
  <c r="AO103" i="112" s="1"/>
  <c r="AL103" i="112" s="1"/>
  <c r="AR83" i="111"/>
  <c r="AS118" i="103"/>
  <c r="AQ118" i="103"/>
  <c r="AV118" i="103"/>
  <c r="AW118" i="103"/>
  <c r="AU118" i="103"/>
  <c r="AT118" i="103" s="1"/>
  <c r="AR118" i="103" s="1"/>
  <c r="AO118" i="103" s="1"/>
  <c r="N100" i="112" l="1"/>
  <c r="L100" i="112" s="1"/>
  <c r="G100" i="112" s="1"/>
  <c r="BA100" i="112" s="1"/>
  <c r="S101" i="112"/>
  <c r="H101" i="112"/>
  <c r="T142" i="112"/>
  <c r="V142" i="112" s="1"/>
  <c r="AJ143" i="110"/>
  <c r="AK143" i="110"/>
  <c r="AW103" i="110"/>
  <c r="AU103" i="110"/>
  <c r="AT103" i="110" s="1"/>
  <c r="AR103" i="110" s="1"/>
  <c r="AO103" i="110" s="1"/>
  <c r="AL103" i="110" s="1"/>
  <c r="AV103" i="110"/>
  <c r="AQ103" i="110"/>
  <c r="AS103" i="110"/>
  <c r="AW104" i="112"/>
  <c r="AQ104" i="112"/>
  <c r="AV104" i="112"/>
  <c r="AU104" i="112"/>
  <c r="AK144" i="112"/>
  <c r="AJ144" i="112"/>
  <c r="AS104" i="112"/>
  <c r="AO83" i="111"/>
  <c r="AS84" i="111"/>
  <c r="AS119" i="103"/>
  <c r="AP119" i="103"/>
  <c r="AY119" i="103"/>
  <c r="I101" i="112" l="1"/>
  <c r="P101" i="112"/>
  <c r="O101" i="112"/>
  <c r="K101" i="112"/>
  <c r="Q101" i="112"/>
  <c r="M101" i="112"/>
  <c r="AP104" i="110"/>
  <c r="AY104" i="110"/>
  <c r="AI144" i="110"/>
  <c r="BB149" i="110"/>
  <c r="AS104" i="110"/>
  <c r="AT104" i="112"/>
  <c r="AR104" i="112" s="1"/>
  <c r="AO104" i="112" s="1"/>
  <c r="AL104" i="112" s="1"/>
  <c r="AI145" i="112"/>
  <c r="BB150" i="112"/>
  <c r="AP105" i="112"/>
  <c r="AY105" i="112"/>
  <c r="AQ83" i="111"/>
  <c r="AW83" i="111" s="1"/>
  <c r="AL83" i="111"/>
  <c r="AJ123" i="111"/>
  <c r="AV119" i="103"/>
  <c r="AU119" i="103"/>
  <c r="AT119" i="103" s="1"/>
  <c r="AR119" i="103" s="1"/>
  <c r="AO119" i="103" s="1"/>
  <c r="AW119" i="103"/>
  <c r="AQ119" i="103"/>
  <c r="S102" i="112" l="1"/>
  <c r="H102" i="112"/>
  <c r="T143" i="112"/>
  <c r="V143" i="112" s="1"/>
  <c r="N101" i="112"/>
  <c r="L101" i="112" s="1"/>
  <c r="G101" i="112" s="1"/>
  <c r="BA101" i="112" s="1"/>
  <c r="AK144" i="110"/>
  <c r="AJ144" i="110"/>
  <c r="AQ104" i="110"/>
  <c r="AU104" i="110"/>
  <c r="AV104" i="110"/>
  <c r="AW104" i="110"/>
  <c r="AJ145" i="112"/>
  <c r="AK145" i="112"/>
  <c r="AW105" i="112"/>
  <c r="AU105" i="112"/>
  <c r="AV105" i="112"/>
  <c r="AQ105" i="112"/>
  <c r="AS105" i="112"/>
  <c r="AI124" i="111"/>
  <c r="AK124" i="111" s="1"/>
  <c r="AP84" i="111"/>
  <c r="AY84" i="111"/>
  <c r="BB129" i="111"/>
  <c r="AP120" i="103"/>
  <c r="AY120" i="103"/>
  <c r="AS120" i="103"/>
  <c r="O102" i="112" l="1"/>
  <c r="K102" i="112"/>
  <c r="P102" i="112"/>
  <c r="Q102" i="112"/>
  <c r="I102" i="112"/>
  <c r="N102" i="112"/>
  <c r="L102" i="112" s="1"/>
  <c r="G102" i="112" s="1"/>
  <c r="BA102" i="112" s="1"/>
  <c r="M102" i="112"/>
  <c r="AT104" i="110"/>
  <c r="AR104" i="110" s="1"/>
  <c r="AO104" i="110" s="1"/>
  <c r="AL104" i="110" s="1"/>
  <c r="AY105" i="110"/>
  <c r="AP105" i="110"/>
  <c r="AI145" i="110"/>
  <c r="BB150" i="110"/>
  <c r="AT105" i="112"/>
  <c r="AR105" i="112" s="1"/>
  <c r="AO105" i="112" s="1"/>
  <c r="AL105" i="112" s="1"/>
  <c r="AP106" i="112"/>
  <c r="AY106" i="112"/>
  <c r="BB151" i="112"/>
  <c r="AI146" i="112"/>
  <c r="AV84" i="111"/>
  <c r="AU84" i="111"/>
  <c r="AW120" i="103"/>
  <c r="AQ120" i="103"/>
  <c r="AV120" i="103"/>
  <c r="AU120" i="103"/>
  <c r="AT120" i="103" s="1"/>
  <c r="AR120" i="103" s="1"/>
  <c r="AO120" i="103" s="1"/>
  <c r="T144" i="112" l="1"/>
  <c r="V144" i="112" s="1"/>
  <c r="S103" i="112"/>
  <c r="H103" i="112"/>
  <c r="M103" i="112"/>
  <c r="AU105" i="110"/>
  <c r="AQ105" i="110"/>
  <c r="AW105" i="110"/>
  <c r="AV105" i="110"/>
  <c r="AJ145" i="110"/>
  <c r="AK145" i="110"/>
  <c r="AS105" i="110"/>
  <c r="AU106" i="112"/>
  <c r="AV106" i="112"/>
  <c r="AQ106" i="112"/>
  <c r="AW106" i="112"/>
  <c r="AT106" i="112"/>
  <c r="AR106" i="112" s="1"/>
  <c r="AO106" i="112" s="1"/>
  <c r="AL106" i="112" s="1"/>
  <c r="AJ146" i="112"/>
  <c r="AK146" i="112"/>
  <c r="AS106" i="112"/>
  <c r="AT84" i="111"/>
  <c r="AR84" i="111" s="1"/>
  <c r="AS85" i="111" s="1"/>
  <c r="AS121" i="103"/>
  <c r="AP121" i="103"/>
  <c r="AY121" i="103"/>
  <c r="I103" i="112" l="1"/>
  <c r="Q103" i="112"/>
  <c r="P103" i="112"/>
  <c r="K103" i="112"/>
  <c r="O103" i="112"/>
  <c r="AY106" i="110"/>
  <c r="BB151" i="110"/>
  <c r="AI146" i="110"/>
  <c r="AP106" i="110"/>
  <c r="AT105" i="110"/>
  <c r="AR105" i="110" s="1"/>
  <c r="AO105" i="110" s="1"/>
  <c r="AL105" i="110" s="1"/>
  <c r="AS106" i="110"/>
  <c r="BB152" i="112"/>
  <c r="AY107" i="112"/>
  <c r="AI147" i="112"/>
  <c r="AP107" i="112"/>
  <c r="AS107" i="112"/>
  <c r="AO84" i="111"/>
  <c r="AQ84" i="111" s="1"/>
  <c r="AW84" i="111" s="1"/>
  <c r="AQ121" i="103"/>
  <c r="AV121" i="103"/>
  <c r="AW121" i="103"/>
  <c r="AU121" i="103"/>
  <c r="H104" i="112" l="1"/>
  <c r="I104" i="112" s="1"/>
  <c r="T145" i="112"/>
  <c r="V145" i="112" s="1"/>
  <c r="S104" i="112"/>
  <c r="N103" i="112"/>
  <c r="L103" i="112" s="1"/>
  <c r="G103" i="112" s="1"/>
  <c r="BA103" i="112" s="1"/>
  <c r="AJ146" i="110"/>
  <c r="AK146" i="110"/>
  <c r="AU106" i="110"/>
  <c r="AQ106" i="110"/>
  <c r="AV106" i="110"/>
  <c r="AW106" i="110"/>
  <c r="AJ147" i="112"/>
  <c r="AK147" i="112"/>
  <c r="AV107" i="112"/>
  <c r="AQ107" i="112"/>
  <c r="AW107" i="112"/>
  <c r="AU107" i="112"/>
  <c r="BB130" i="111"/>
  <c r="AP85" i="111"/>
  <c r="AI125" i="111"/>
  <c r="AK125" i="111" s="1"/>
  <c r="AY85" i="111"/>
  <c r="AL84" i="111"/>
  <c r="AJ124" i="111"/>
  <c r="AP122" i="103"/>
  <c r="AY122" i="103"/>
  <c r="AT121" i="103"/>
  <c r="AR121" i="103" s="1"/>
  <c r="AO121" i="103" s="1"/>
  <c r="M104" i="112" l="1"/>
  <c r="K104" i="112"/>
  <c r="O104" i="112"/>
  <c r="P104" i="112"/>
  <c r="Q104" i="112"/>
  <c r="AP107" i="110"/>
  <c r="BB152" i="110"/>
  <c r="AI147" i="110"/>
  <c r="AY107" i="110"/>
  <c r="AT106" i="110"/>
  <c r="AR106" i="110" s="1"/>
  <c r="AO106" i="110" s="1"/>
  <c r="AL106" i="110" s="1"/>
  <c r="AY108" i="112"/>
  <c r="BB153" i="112"/>
  <c r="AI148" i="112"/>
  <c r="AP108" i="112"/>
  <c r="AT107" i="112"/>
  <c r="AR107" i="112" s="1"/>
  <c r="AO107" i="112" s="1"/>
  <c r="AL107" i="112" s="1"/>
  <c r="AV85" i="111"/>
  <c r="AU85" i="111"/>
  <c r="AT85" i="111" s="1"/>
  <c r="AU122" i="103"/>
  <c r="AT122" i="103" s="1"/>
  <c r="AR122" i="103" s="1"/>
  <c r="AO122" i="103" s="1"/>
  <c r="AQ122" i="103"/>
  <c r="AW122" i="103"/>
  <c r="AV122" i="103"/>
  <c r="AS122" i="103"/>
  <c r="N104" i="112" l="1"/>
  <c r="L104" i="112" s="1"/>
  <c r="G104" i="112" s="1"/>
  <c r="BA104" i="112" s="1"/>
  <c r="H105" i="112"/>
  <c r="I105" i="112" s="1"/>
  <c r="S105" i="112"/>
  <c r="T146" i="112"/>
  <c r="V146" i="112" s="1"/>
  <c r="AK147" i="110"/>
  <c r="AJ147" i="110"/>
  <c r="AW107" i="110"/>
  <c r="AQ107" i="110"/>
  <c r="AU107" i="110"/>
  <c r="AT107" i="110" s="1"/>
  <c r="AR107" i="110" s="1"/>
  <c r="AO107" i="110" s="1"/>
  <c r="AL107" i="110" s="1"/>
  <c r="AV107" i="110"/>
  <c r="AS107" i="110"/>
  <c r="AJ148" i="112"/>
  <c r="AK148" i="112"/>
  <c r="AV108" i="112"/>
  <c r="AQ108" i="112"/>
  <c r="AU108" i="112"/>
  <c r="AW108" i="112"/>
  <c r="AS108" i="112"/>
  <c r="AR85" i="111"/>
  <c r="AO85" i="111" s="1"/>
  <c r="AL85" i="111" s="1"/>
  <c r="AY123" i="103"/>
  <c r="AP123" i="103"/>
  <c r="AS123" i="103"/>
  <c r="O105" i="112" l="1"/>
  <c r="K105" i="112"/>
  <c r="Q105" i="112"/>
  <c r="P105" i="112"/>
  <c r="M105" i="112"/>
  <c r="BB153" i="110"/>
  <c r="AY108" i="110"/>
  <c r="AI148" i="110"/>
  <c r="AP108" i="110"/>
  <c r="AS108" i="110"/>
  <c r="AI149" i="112"/>
  <c r="AP109" i="112"/>
  <c r="BB154" i="112"/>
  <c r="AY109" i="112"/>
  <c r="AT108" i="112"/>
  <c r="AR108" i="112" s="1"/>
  <c r="AO108" i="112" s="1"/>
  <c r="AL108" i="112" s="1"/>
  <c r="AS86" i="111"/>
  <c r="AJ125" i="111"/>
  <c r="AQ85" i="111"/>
  <c r="AW85" i="111" s="1"/>
  <c r="BB131" i="111" s="1"/>
  <c r="AU123" i="103"/>
  <c r="AW123" i="103"/>
  <c r="AQ123" i="103"/>
  <c r="AV123" i="103"/>
  <c r="H106" i="112" l="1"/>
  <c r="S106" i="112"/>
  <c r="T147" i="112"/>
  <c r="V147" i="112" s="1"/>
  <c r="N105" i="112"/>
  <c r="L105" i="112" s="1"/>
  <c r="G105" i="112" s="1"/>
  <c r="BA105" i="112" s="1"/>
  <c r="AK148" i="110"/>
  <c r="AJ148" i="110"/>
  <c r="AV108" i="110"/>
  <c r="AW108" i="110"/>
  <c r="AU108" i="110"/>
  <c r="AQ108" i="110"/>
  <c r="AQ109" i="112"/>
  <c r="AW109" i="112"/>
  <c r="AV109" i="112"/>
  <c r="AU109" i="112"/>
  <c r="AS109" i="112"/>
  <c r="AK149" i="112"/>
  <c r="AJ149" i="112"/>
  <c r="AI150" i="112"/>
  <c r="AI126" i="111"/>
  <c r="AK126" i="111" s="1"/>
  <c r="AY86" i="111"/>
  <c r="AV86" i="111" s="1"/>
  <c r="AP86" i="111"/>
  <c r="AP124" i="103"/>
  <c r="AO92" i="103" s="1"/>
  <c r="AY124" i="103"/>
  <c r="AT123" i="103"/>
  <c r="AR123" i="103" s="1"/>
  <c r="AO123" i="103" s="1"/>
  <c r="M106" i="112" l="1"/>
  <c r="P106" i="112"/>
  <c r="O106" i="112"/>
  <c r="K106" i="112"/>
  <c r="Q106" i="112"/>
  <c r="I106" i="112"/>
  <c r="N106" i="112"/>
  <c r="L106" i="112" s="1"/>
  <c r="G106" i="112" s="1"/>
  <c r="BA106" i="112" s="1"/>
  <c r="BB154" i="110"/>
  <c r="AP109" i="110"/>
  <c r="AI149" i="110"/>
  <c r="AY109" i="110"/>
  <c r="AT108" i="110"/>
  <c r="AR108" i="110" s="1"/>
  <c r="AO108" i="110" s="1"/>
  <c r="AL108" i="110" s="1"/>
  <c r="AT109" i="112"/>
  <c r="AR109" i="112" s="1"/>
  <c r="AO109" i="112" s="1"/>
  <c r="AL109" i="112" s="1"/>
  <c r="AY110" i="112"/>
  <c r="AP110" i="112"/>
  <c r="AU86" i="111"/>
  <c r="AT86" i="111" s="1"/>
  <c r="AR86" i="111" s="1"/>
  <c r="AS87" i="111" s="1"/>
  <c r="AS124" i="103"/>
  <c r="AU124" i="103"/>
  <c r="AW124" i="103"/>
  <c r="AV124" i="103"/>
  <c r="AQ124" i="103"/>
  <c r="AJ132" i="103"/>
  <c r="AL92" i="103"/>
  <c r="AL7" i="103" s="1"/>
  <c r="BD33" i="103" s="1"/>
  <c r="M107" i="112" l="1"/>
  <c r="S107" i="112"/>
  <c r="T148" i="112"/>
  <c r="V148" i="112" s="1"/>
  <c r="H107" i="112"/>
  <c r="AK149" i="110"/>
  <c r="AJ149" i="110"/>
  <c r="AI150" i="110"/>
  <c r="AT109" i="110"/>
  <c r="AR109" i="110" s="1"/>
  <c r="AO109" i="110" s="1"/>
  <c r="AL109" i="110" s="1"/>
  <c r="AU109" i="110"/>
  <c r="AQ109" i="110"/>
  <c r="AV109" i="110"/>
  <c r="AW109" i="110"/>
  <c r="AS109" i="110"/>
  <c r="AW110" i="112"/>
  <c r="AV110" i="112"/>
  <c r="AR131" i="112"/>
  <c r="AU110" i="112"/>
  <c r="AQ110" i="112"/>
  <c r="AS110" i="112"/>
  <c r="AO86" i="111"/>
  <c r="AL86" i="111" s="1"/>
  <c r="AY125" i="103"/>
  <c r="AP125" i="103"/>
  <c r="AK150" i="103"/>
  <c r="AJ150" i="103"/>
  <c r="AT124" i="103"/>
  <c r="AR124" i="103" s="1"/>
  <c r="AO124" i="103" s="1"/>
  <c r="AJ126" i="111" l="1"/>
  <c r="AQ86" i="111"/>
  <c r="AW86" i="111" s="1"/>
  <c r="AY87" i="111" s="1"/>
  <c r="I107" i="112"/>
  <c r="P107" i="112"/>
  <c r="K107" i="112"/>
  <c r="Q107" i="112"/>
  <c r="O107" i="112"/>
  <c r="AP110" i="110"/>
  <c r="AY110" i="110"/>
  <c r="AS110" i="110"/>
  <c r="AT110" i="112"/>
  <c r="AR110" i="112" s="1"/>
  <c r="AO110" i="112" s="1"/>
  <c r="AY111" i="112"/>
  <c r="AP111" i="112"/>
  <c r="AS125" i="103"/>
  <c r="AW125" i="103"/>
  <c r="AV125" i="103"/>
  <c r="AU125" i="103"/>
  <c r="AQ125" i="103"/>
  <c r="AI127" i="111" l="1"/>
  <c r="AK127" i="111" s="1"/>
  <c r="BB132" i="111"/>
  <c r="AP87" i="111"/>
  <c r="N107" i="112"/>
  <c r="L107" i="112" s="1"/>
  <c r="G107" i="112" s="1"/>
  <c r="BA107" i="112" s="1"/>
  <c r="H108" i="112"/>
  <c r="S108" i="112"/>
  <c r="T149" i="112"/>
  <c r="V149" i="112" s="1"/>
  <c r="AW110" i="110"/>
  <c r="AU110" i="110"/>
  <c r="AV110" i="110"/>
  <c r="AR131" i="110"/>
  <c r="AQ110" i="110"/>
  <c r="AT110" i="110"/>
  <c r="AR110" i="110" s="1"/>
  <c r="AO110" i="110" s="1"/>
  <c r="AU111" i="112"/>
  <c r="AV111" i="112"/>
  <c r="AQ111" i="112"/>
  <c r="AW111" i="112"/>
  <c r="AS111" i="112"/>
  <c r="AV87" i="111"/>
  <c r="AU87" i="111"/>
  <c r="AP126" i="103"/>
  <c r="AY126" i="103"/>
  <c r="AT125" i="103"/>
  <c r="AR125" i="103" s="1"/>
  <c r="AO125" i="103" s="1"/>
  <c r="AT87" i="111" l="1"/>
  <c r="AR87" i="111" s="1"/>
  <c r="AO87" i="111" s="1"/>
  <c r="AL87" i="111" s="1"/>
  <c r="P108" i="112"/>
  <c r="K108" i="112"/>
  <c r="O108" i="112"/>
  <c r="Q108" i="112"/>
  <c r="I108" i="112"/>
  <c r="M108" i="112"/>
  <c r="AS111" i="110"/>
  <c r="AP111" i="110"/>
  <c r="AY111" i="110"/>
  <c r="AY112" i="112"/>
  <c r="AP112" i="112"/>
  <c r="AT111" i="112"/>
  <c r="AR111" i="112" s="1"/>
  <c r="AO111" i="112" s="1"/>
  <c r="AV126" i="103"/>
  <c r="AW126" i="103"/>
  <c r="AU126" i="103"/>
  <c r="AQ126" i="103"/>
  <c r="AS126" i="103"/>
  <c r="AJ127" i="111" l="1"/>
  <c r="AS88" i="111"/>
  <c r="T150" i="112"/>
  <c r="V150" i="112" s="1"/>
  <c r="H109" i="112"/>
  <c r="S109" i="112"/>
  <c r="N108" i="112"/>
  <c r="L108" i="112" s="1"/>
  <c r="G108" i="112" s="1"/>
  <c r="AV111" i="110"/>
  <c r="AU111" i="110"/>
  <c r="AW111" i="110"/>
  <c r="AQ111" i="110"/>
  <c r="AQ112" i="112"/>
  <c r="AU112" i="112"/>
  <c r="AW112" i="112"/>
  <c r="AV112" i="112"/>
  <c r="AS112" i="112"/>
  <c r="AQ87" i="111"/>
  <c r="AW87" i="111" s="1"/>
  <c r="AI128" i="111" s="1"/>
  <c r="AK128" i="111" s="1"/>
  <c r="AP127" i="103"/>
  <c r="AY127" i="103"/>
  <c r="AT126" i="103"/>
  <c r="AR126" i="103" s="1"/>
  <c r="AO126" i="103" s="1"/>
  <c r="AP88" i="111" l="1"/>
  <c r="BB133" i="111"/>
  <c r="AY88" i="111"/>
  <c r="AU88" i="111" s="1"/>
  <c r="M109" i="112"/>
  <c r="Q109" i="112"/>
  <c r="P109" i="112"/>
  <c r="O109" i="112"/>
  <c r="K109" i="112"/>
  <c r="I109" i="112"/>
  <c r="AP112" i="110"/>
  <c r="AY112" i="110"/>
  <c r="AT111" i="110"/>
  <c r="AR111" i="110" s="1"/>
  <c r="AO111" i="110" s="1"/>
  <c r="AY113" i="112"/>
  <c r="AP113" i="112"/>
  <c r="AT112" i="112"/>
  <c r="AR112" i="112" s="1"/>
  <c r="AO112" i="112" s="1"/>
  <c r="AS127" i="103"/>
  <c r="AU127" i="103"/>
  <c r="AT127" i="103" s="1"/>
  <c r="AR127" i="103" s="1"/>
  <c r="AO127" i="103" s="1"/>
  <c r="AQ127" i="103"/>
  <c r="AW127" i="103"/>
  <c r="AV127" i="103"/>
  <c r="AT88" i="111" l="1"/>
  <c r="AV88" i="111"/>
  <c r="AR88" i="111" s="1"/>
  <c r="AS112" i="110"/>
  <c r="N109" i="112"/>
  <c r="L109" i="112" s="1"/>
  <c r="G109" i="112" s="1"/>
  <c r="T151" i="112"/>
  <c r="V151" i="112" s="1"/>
  <c r="S110" i="112"/>
  <c r="H110" i="112"/>
  <c r="AV112" i="110"/>
  <c r="AU112" i="110"/>
  <c r="AW112" i="110"/>
  <c r="AQ112" i="110"/>
  <c r="AS113" i="112"/>
  <c r="AW113" i="112"/>
  <c r="AV113" i="112"/>
  <c r="AU113" i="112"/>
  <c r="AQ113" i="112"/>
  <c r="AY128" i="103"/>
  <c r="AP128" i="103"/>
  <c r="AS128" i="103"/>
  <c r="O110" i="112" l="1"/>
  <c r="N110" i="112" s="1"/>
  <c r="L110" i="112" s="1"/>
  <c r="G110" i="112" s="1"/>
  <c r="P110" i="112"/>
  <c r="K110" i="112"/>
  <c r="Q110" i="112"/>
  <c r="I110" i="112"/>
  <c r="M110" i="112"/>
  <c r="AP113" i="110"/>
  <c r="AY113" i="110"/>
  <c r="AT112" i="110"/>
  <c r="AR112" i="110" s="1"/>
  <c r="AO112" i="110" s="1"/>
  <c r="AT113" i="112"/>
  <c r="AR113" i="112" s="1"/>
  <c r="AO113" i="112" s="1"/>
  <c r="AY114" i="112"/>
  <c r="AP114" i="112"/>
  <c r="AO88" i="111"/>
  <c r="AQ88" i="111" s="1"/>
  <c r="AW88" i="111" s="1"/>
  <c r="AS89" i="111"/>
  <c r="AQ128" i="103"/>
  <c r="AW128" i="103"/>
  <c r="AU128" i="103"/>
  <c r="AV128" i="103"/>
  <c r="T152" i="112" l="1"/>
  <c r="V152" i="112" s="1"/>
  <c r="S111" i="112"/>
  <c r="H111" i="112"/>
  <c r="M111" i="112"/>
  <c r="AS113" i="110"/>
  <c r="AU113" i="110"/>
  <c r="AQ113" i="110"/>
  <c r="AW113" i="110"/>
  <c r="AV113" i="110"/>
  <c r="AQ114" i="112"/>
  <c r="AV114" i="112"/>
  <c r="AU114" i="112"/>
  <c r="AW114" i="112"/>
  <c r="AS114" i="112"/>
  <c r="BB134" i="111"/>
  <c r="AP89" i="111"/>
  <c r="AY89" i="111"/>
  <c r="AI129" i="111"/>
  <c r="AK129" i="111" s="1"/>
  <c r="AL88" i="111"/>
  <c r="AJ128" i="111"/>
  <c r="AP129" i="103"/>
  <c r="AP131" i="103" s="1"/>
  <c r="AY129" i="103"/>
  <c r="AT128" i="103"/>
  <c r="AR128" i="103" s="1"/>
  <c r="AO128" i="103" s="1"/>
  <c r="I111" i="112" l="1"/>
  <c r="P111" i="112"/>
  <c r="Q111" i="112"/>
  <c r="K111" i="112"/>
  <c r="O111" i="112"/>
  <c r="AP114" i="110"/>
  <c r="AY114" i="110"/>
  <c r="AT113" i="110"/>
  <c r="AR113" i="110" s="1"/>
  <c r="AO113" i="110" s="1"/>
  <c r="AY115" i="112"/>
  <c r="AP115" i="112"/>
  <c r="AT114" i="112"/>
  <c r="AR114" i="112" s="1"/>
  <c r="AO114" i="112" s="1"/>
  <c r="AU89" i="111"/>
  <c r="AT89" i="111" s="1"/>
  <c r="AV89" i="111"/>
  <c r="AU129" i="103"/>
  <c r="AT129" i="103" s="1"/>
  <c r="AR129" i="103" s="1"/>
  <c r="AO129" i="103" s="1"/>
  <c r="AO131" i="103" s="1"/>
  <c r="AQ129" i="103"/>
  <c r="AQ131" i="103" s="1"/>
  <c r="AV129" i="103"/>
  <c r="AW129" i="103"/>
  <c r="AS129" i="103"/>
  <c r="AS114" i="110" l="1"/>
  <c r="T153" i="112"/>
  <c r="V153" i="112" s="1"/>
  <c r="H112" i="112"/>
  <c r="S112" i="112"/>
  <c r="N111" i="112"/>
  <c r="L111" i="112" s="1"/>
  <c r="G111" i="112" s="1"/>
  <c r="AQ114" i="110"/>
  <c r="AU114" i="110"/>
  <c r="AW114" i="110"/>
  <c r="AV114" i="110"/>
  <c r="AS115" i="112"/>
  <c r="AV115" i="112"/>
  <c r="AU115" i="112"/>
  <c r="AW115" i="112"/>
  <c r="AQ115" i="112"/>
  <c r="AR89" i="111"/>
  <c r="AO89" i="111" s="1"/>
  <c r="AQ89" i="111" s="1"/>
  <c r="AW89" i="111" s="1"/>
  <c r="M112" i="112" l="1"/>
  <c r="O112" i="112"/>
  <c r="P112" i="112"/>
  <c r="K112" i="112"/>
  <c r="Q112" i="112"/>
  <c r="I112" i="112"/>
  <c r="N112" i="112"/>
  <c r="L112" i="112" s="1"/>
  <c r="G112" i="112" s="1"/>
  <c r="AY115" i="110"/>
  <c r="AP115" i="110"/>
  <c r="AT114" i="110"/>
  <c r="AR114" i="110" s="1"/>
  <c r="AO114" i="110" s="1"/>
  <c r="AY116" i="112"/>
  <c r="AP116" i="112"/>
  <c r="AT115" i="112"/>
  <c r="AR115" i="112" s="1"/>
  <c r="AO115" i="112" s="1"/>
  <c r="AS90" i="111"/>
  <c r="AP90" i="111"/>
  <c r="AY90" i="111"/>
  <c r="AV90" i="111" s="1"/>
  <c r="BB135" i="111"/>
  <c r="AI130" i="111"/>
  <c r="AK130" i="111" s="1"/>
  <c r="AL89" i="111"/>
  <c r="AJ129" i="111"/>
  <c r="AU90" i="111" l="1"/>
  <c r="M113" i="112"/>
  <c r="T154" i="112"/>
  <c r="V154" i="112" s="1"/>
  <c r="H113" i="112"/>
  <c r="S113" i="112"/>
  <c r="AU115" i="110"/>
  <c r="AQ115" i="110"/>
  <c r="AW115" i="110"/>
  <c r="AV115" i="110"/>
  <c r="AT115" i="110"/>
  <c r="AR115" i="110" s="1"/>
  <c r="AO115" i="110" s="1"/>
  <c r="AS115" i="110"/>
  <c r="AS116" i="112"/>
  <c r="AU116" i="112"/>
  <c r="AQ116" i="112"/>
  <c r="AW116" i="112"/>
  <c r="AV116" i="112"/>
  <c r="AT90" i="111"/>
  <c r="AR90" i="111" s="1"/>
  <c r="AO90" i="111" s="1"/>
  <c r="K113" i="112" l="1"/>
  <c r="P113" i="112"/>
  <c r="O113" i="112"/>
  <c r="Q113" i="112"/>
  <c r="I113" i="112"/>
  <c r="AP116" i="110"/>
  <c r="AY116" i="110"/>
  <c r="AS116" i="110"/>
  <c r="AP117" i="112"/>
  <c r="AY117" i="112"/>
  <c r="AT116" i="112"/>
  <c r="AR116" i="112" s="1"/>
  <c r="AO116" i="112" s="1"/>
  <c r="AS91" i="111"/>
  <c r="AQ90" i="111"/>
  <c r="AW90" i="111" s="1"/>
  <c r="AL90" i="111"/>
  <c r="AJ130" i="111"/>
  <c r="S114" i="112" l="1"/>
  <c r="H114" i="112"/>
  <c r="I114" i="112" s="1"/>
  <c r="T155" i="112"/>
  <c r="V155" i="112" s="1"/>
  <c r="N113" i="112"/>
  <c r="L113" i="112" s="1"/>
  <c r="G113" i="112" s="1"/>
  <c r="AV116" i="110"/>
  <c r="AU116" i="110"/>
  <c r="AQ116" i="110"/>
  <c r="AW116" i="110"/>
  <c r="AS117" i="112"/>
  <c r="AQ117" i="112"/>
  <c r="AW117" i="112"/>
  <c r="AV117" i="112"/>
  <c r="AU117" i="112"/>
  <c r="AP91" i="111"/>
  <c r="AI131" i="111"/>
  <c r="BB136" i="111"/>
  <c r="AY91" i="111"/>
  <c r="M114" i="112" l="1"/>
  <c r="P114" i="112"/>
  <c r="O114" i="112"/>
  <c r="Q114" i="112"/>
  <c r="K114" i="112"/>
  <c r="AY117" i="110"/>
  <c r="AP117" i="110"/>
  <c r="AT116" i="110"/>
  <c r="AR116" i="110" s="1"/>
  <c r="AO116" i="110" s="1"/>
  <c r="AY118" i="112"/>
  <c r="AP118" i="112"/>
  <c r="AT117" i="112"/>
  <c r="AR117" i="112" s="1"/>
  <c r="AO117" i="112" s="1"/>
  <c r="AV91" i="111"/>
  <c r="AU91" i="111"/>
  <c r="AT91" i="111" s="1"/>
  <c r="AK131" i="111"/>
  <c r="T156" i="112" l="1"/>
  <c r="V156" i="112" s="1"/>
  <c r="S115" i="112"/>
  <c r="H115" i="112"/>
  <c r="N114" i="112"/>
  <c r="L114" i="112" s="1"/>
  <c r="G114" i="112" s="1"/>
  <c r="M115" i="112"/>
  <c r="AW117" i="110"/>
  <c r="AQ117" i="110"/>
  <c r="AU117" i="110"/>
  <c r="AV117" i="110"/>
  <c r="AS117" i="110"/>
  <c r="AS118" i="112"/>
  <c r="AV118" i="112"/>
  <c r="AU118" i="112"/>
  <c r="AW118" i="112"/>
  <c r="AQ118" i="112"/>
  <c r="AR91" i="111"/>
  <c r="AO91" i="111" s="1"/>
  <c r="AL91" i="111" s="1"/>
  <c r="I115" i="112" l="1"/>
  <c r="P115" i="112"/>
  <c r="O115" i="112"/>
  <c r="Q115" i="112"/>
  <c r="K115" i="112"/>
  <c r="AY118" i="110"/>
  <c r="AP118" i="110"/>
  <c r="AT117" i="110"/>
  <c r="AR117" i="110" s="1"/>
  <c r="AO117" i="110" s="1"/>
  <c r="AY119" i="112"/>
  <c r="AP119" i="112"/>
  <c r="AT118" i="112"/>
  <c r="AR118" i="112" s="1"/>
  <c r="AO118" i="112" s="1"/>
  <c r="AS92" i="111"/>
  <c r="AJ131" i="111"/>
  <c r="AQ91" i="111"/>
  <c r="AW91" i="111" s="1"/>
  <c r="AP92" i="111" s="1"/>
  <c r="N115" i="112" l="1"/>
  <c r="L115" i="112" s="1"/>
  <c r="G115" i="112" s="1"/>
  <c r="T157" i="112"/>
  <c r="V157" i="112" s="1"/>
  <c r="H116" i="112"/>
  <c r="S116" i="112"/>
  <c r="AQ118" i="110"/>
  <c r="AU118" i="110"/>
  <c r="AV118" i="110"/>
  <c r="AW118" i="110"/>
  <c r="AS118" i="110"/>
  <c r="AW119" i="112"/>
  <c r="AV119" i="112"/>
  <c r="AU119" i="112"/>
  <c r="AQ119" i="112"/>
  <c r="AS119" i="112"/>
  <c r="AY92" i="111"/>
  <c r="AQ92" i="111" s="1"/>
  <c r="AW92" i="111" s="1"/>
  <c r="AI132" i="111"/>
  <c r="AK132" i="111" s="1"/>
  <c r="BB137" i="111"/>
  <c r="I116" i="112" l="1"/>
  <c r="O116" i="112"/>
  <c r="K116" i="112"/>
  <c r="Q116" i="112"/>
  <c r="P116" i="112"/>
  <c r="M116" i="112"/>
  <c r="AP119" i="110"/>
  <c r="AY119" i="110"/>
  <c r="AT118" i="110"/>
  <c r="AR118" i="110" s="1"/>
  <c r="AO118" i="110" s="1"/>
  <c r="AY120" i="112"/>
  <c r="AP120" i="112"/>
  <c r="AT119" i="112"/>
  <c r="AR119" i="112" s="1"/>
  <c r="AO119" i="112" s="1"/>
  <c r="AV92" i="111"/>
  <c r="AU92" i="111"/>
  <c r="AI133" i="111"/>
  <c r="BB138" i="111"/>
  <c r="AY93" i="111"/>
  <c r="AP93" i="111"/>
  <c r="AT92" i="111"/>
  <c r="AR92" i="111" s="1"/>
  <c r="AS93" i="111" s="1"/>
  <c r="N116" i="112" l="1"/>
  <c r="L116" i="112" s="1"/>
  <c r="G116" i="112" s="1"/>
  <c r="H117" i="112"/>
  <c r="S117" i="112"/>
  <c r="T158" i="112"/>
  <c r="V158" i="112" s="1"/>
  <c r="AW119" i="110"/>
  <c r="AQ119" i="110"/>
  <c r="AU119" i="110"/>
  <c r="AV119" i="110"/>
  <c r="AS119" i="110"/>
  <c r="AS120" i="112"/>
  <c r="AW120" i="112"/>
  <c r="AQ120" i="112"/>
  <c r="AV120" i="112"/>
  <c r="AU120" i="112"/>
  <c r="AV93" i="111"/>
  <c r="AU93" i="111"/>
  <c r="AT93" i="111" s="1"/>
  <c r="AR93" i="111" s="1"/>
  <c r="AQ93" i="111"/>
  <c r="AW93" i="111" s="1"/>
  <c r="AK133" i="111"/>
  <c r="AJ133" i="111"/>
  <c r="U97" i="111"/>
  <c r="P117" i="112" l="1"/>
  <c r="Q117" i="112"/>
  <c r="O117" i="112"/>
  <c r="K117" i="112"/>
  <c r="I117" i="112"/>
  <c r="M117" i="112"/>
  <c r="AT119" i="110"/>
  <c r="AR119" i="110" s="1"/>
  <c r="AO119" i="110" s="1"/>
  <c r="AY120" i="110"/>
  <c r="AP120" i="110"/>
  <c r="AP121" i="112"/>
  <c r="AY121" i="112"/>
  <c r="AT120" i="112"/>
  <c r="AR120" i="112" s="1"/>
  <c r="AO120" i="112" s="1"/>
  <c r="AO93" i="111"/>
  <c r="AL93" i="111" s="1"/>
  <c r="AS94" i="111"/>
  <c r="AI134" i="111"/>
  <c r="AY94" i="111"/>
  <c r="AP94" i="111"/>
  <c r="BB139" i="111"/>
  <c r="U98" i="111"/>
  <c r="U99" i="111" s="1"/>
  <c r="U100" i="111" s="1"/>
  <c r="U101" i="111" s="1"/>
  <c r="U102" i="111" s="1"/>
  <c r="U103" i="111" s="1"/>
  <c r="U104" i="111" s="1"/>
  <c r="U105" i="111" s="1"/>
  <c r="U106" i="111" s="1"/>
  <c r="U107" i="111" s="1"/>
  <c r="U108" i="111" s="1"/>
  <c r="U109" i="111" s="1"/>
  <c r="U110" i="111" s="1"/>
  <c r="U111" i="111" s="1"/>
  <c r="U112" i="111" s="1"/>
  <c r="U113" i="111" s="1"/>
  <c r="U114" i="111" s="1"/>
  <c r="U115" i="111" s="1"/>
  <c r="U116" i="111" s="1"/>
  <c r="U117" i="111" s="1"/>
  <c r="U118" i="111" s="1"/>
  <c r="U119" i="111" s="1"/>
  <c r="U120" i="111" s="1"/>
  <c r="U121" i="111" s="1"/>
  <c r="U122" i="111" s="1"/>
  <c r="U123" i="111" s="1"/>
  <c r="U124" i="111" s="1"/>
  <c r="U125" i="111" s="1"/>
  <c r="N117" i="112" l="1"/>
  <c r="L117" i="112" s="1"/>
  <c r="G117" i="112" s="1"/>
  <c r="T159" i="112"/>
  <c r="V159" i="112" s="1"/>
  <c r="H118" i="112"/>
  <c r="S118" i="112"/>
  <c r="AS120" i="110"/>
  <c r="AW120" i="110"/>
  <c r="AQ120" i="110"/>
  <c r="AV120" i="110"/>
  <c r="AU120" i="110"/>
  <c r="AS121" i="112"/>
  <c r="AV121" i="112"/>
  <c r="AU121" i="112"/>
  <c r="AQ121" i="112"/>
  <c r="AW121" i="112"/>
  <c r="AU94" i="111"/>
  <c r="AT94" i="111" s="1"/>
  <c r="AR94" i="111" s="1"/>
  <c r="AO94" i="111" s="1"/>
  <c r="AL94" i="111" s="1"/>
  <c r="AQ94" i="111"/>
  <c r="AW94" i="111"/>
  <c r="AV94" i="111"/>
  <c r="AK134" i="111"/>
  <c r="AJ134" i="111"/>
  <c r="I118" i="112" l="1"/>
  <c r="Q118" i="112"/>
  <c r="P118" i="112"/>
  <c r="O118" i="112"/>
  <c r="N118" i="112" s="1"/>
  <c r="L118" i="112" s="1"/>
  <c r="G118" i="112" s="1"/>
  <c r="K118" i="112"/>
  <c r="M118" i="112"/>
  <c r="AP121" i="110"/>
  <c r="AY121" i="110"/>
  <c r="AT120" i="110"/>
  <c r="AR120" i="110" s="1"/>
  <c r="AO120" i="110" s="1"/>
  <c r="AT121" i="112"/>
  <c r="AR121" i="112" s="1"/>
  <c r="AO121" i="112" s="1"/>
  <c r="AY122" i="112"/>
  <c r="AP122" i="112"/>
  <c r="AI135" i="111"/>
  <c r="AY95" i="111"/>
  <c r="AP95" i="111"/>
  <c r="BB140" i="111"/>
  <c r="AS95" i="111"/>
  <c r="H119" i="112" l="1"/>
  <c r="S119" i="112"/>
  <c r="T160" i="112"/>
  <c r="V160" i="112" s="1"/>
  <c r="M119" i="112"/>
  <c r="AQ121" i="110"/>
  <c r="AU121" i="110"/>
  <c r="AW121" i="110"/>
  <c r="AV121" i="110"/>
  <c r="AS121" i="110"/>
  <c r="AQ122" i="112"/>
  <c r="AW122" i="112"/>
  <c r="AV122" i="112"/>
  <c r="AU122" i="112"/>
  <c r="AS122" i="112"/>
  <c r="AQ95" i="111"/>
  <c r="AW95" i="111"/>
  <c r="AV95" i="111"/>
  <c r="AU95" i="111"/>
  <c r="AK135" i="111"/>
  <c r="AJ135" i="111"/>
  <c r="O119" i="112" l="1"/>
  <c r="Q119" i="112"/>
  <c r="P119" i="112"/>
  <c r="K119" i="112"/>
  <c r="I119" i="112"/>
  <c r="N119" i="112"/>
  <c r="L119" i="112" s="1"/>
  <c r="G119" i="112" s="1"/>
  <c r="AY122" i="110"/>
  <c r="AP122" i="110"/>
  <c r="AT121" i="110"/>
  <c r="AR121" i="110" s="1"/>
  <c r="AO121" i="110" s="1"/>
  <c r="AT122" i="112"/>
  <c r="AR122" i="112" s="1"/>
  <c r="AO122" i="112" s="1"/>
  <c r="AY123" i="112"/>
  <c r="AP123" i="112"/>
  <c r="AI136" i="111"/>
  <c r="AP96" i="111"/>
  <c r="AY96" i="111"/>
  <c r="BB141" i="111"/>
  <c r="AT95" i="111"/>
  <c r="AR95" i="111" s="1"/>
  <c r="AO95" i="111" s="1"/>
  <c r="AL95" i="111" s="1"/>
  <c r="H120" i="112" l="1"/>
  <c r="T161" i="112"/>
  <c r="V161" i="112" s="1"/>
  <c r="S120" i="112"/>
  <c r="M120" i="112"/>
  <c r="AS122" i="110"/>
  <c r="AW122" i="110"/>
  <c r="AV122" i="110"/>
  <c r="AQ122" i="110"/>
  <c r="AU122" i="110"/>
  <c r="AQ123" i="112"/>
  <c r="AW123" i="112"/>
  <c r="AV123" i="112"/>
  <c r="AU123" i="112"/>
  <c r="AS123" i="112"/>
  <c r="AQ96" i="111"/>
  <c r="AW96" i="111"/>
  <c r="AV96" i="111"/>
  <c r="AU96" i="111"/>
  <c r="AS96" i="111"/>
  <c r="AK136" i="111"/>
  <c r="AJ136" i="111"/>
  <c r="P120" i="112" l="1"/>
  <c r="O120" i="112"/>
  <c r="N120" i="112" s="1"/>
  <c r="L120" i="112" s="1"/>
  <c r="G120" i="112" s="1"/>
  <c r="K120" i="112"/>
  <c r="Q120" i="112"/>
  <c r="I120" i="112"/>
  <c r="AP123" i="110"/>
  <c r="AY123" i="110"/>
  <c r="AT122" i="110"/>
  <c r="AR122" i="110" s="1"/>
  <c r="AO122" i="110" s="1"/>
  <c r="AP124" i="112"/>
  <c r="AY124" i="112"/>
  <c r="AT123" i="112"/>
  <c r="AR123" i="112" s="1"/>
  <c r="AO123" i="112" s="1"/>
  <c r="AP97" i="111"/>
  <c r="AY97" i="111"/>
  <c r="AI137" i="111"/>
  <c r="BB142" i="111"/>
  <c r="AT96" i="111"/>
  <c r="AR96" i="111" s="1"/>
  <c r="AO96" i="111" s="1"/>
  <c r="AL96" i="111" s="1"/>
  <c r="T162" i="112" l="1"/>
  <c r="V162" i="112" s="1"/>
  <c r="H121" i="112"/>
  <c r="S121" i="112"/>
  <c r="M121" i="112"/>
  <c r="AQ123" i="110"/>
  <c r="AV123" i="110"/>
  <c r="AW123" i="110"/>
  <c r="AU123" i="110"/>
  <c r="AS123" i="110"/>
  <c r="AS124" i="112"/>
  <c r="AQ124" i="112"/>
  <c r="AW124" i="112"/>
  <c r="AV124" i="112"/>
  <c r="AU124" i="112"/>
  <c r="AT124" i="112" s="1"/>
  <c r="AR124" i="112" s="1"/>
  <c r="AO124" i="112" s="1"/>
  <c r="AO92" i="112"/>
  <c r="AK137" i="111"/>
  <c r="AJ137" i="111"/>
  <c r="AU97" i="111"/>
  <c r="AT97" i="111" s="1"/>
  <c r="AR97" i="111" s="1"/>
  <c r="AO97" i="111" s="1"/>
  <c r="AL97" i="111" s="1"/>
  <c r="AQ97" i="111"/>
  <c r="AW97" i="111" s="1"/>
  <c r="AV97" i="111"/>
  <c r="AS97" i="111"/>
  <c r="O121" i="112" l="1"/>
  <c r="N121" i="112" s="1"/>
  <c r="L121" i="112" s="1"/>
  <c r="G121" i="112" s="1"/>
  <c r="K121" i="112"/>
  <c r="P121" i="112"/>
  <c r="Q121" i="112"/>
  <c r="I121" i="112"/>
  <c r="AP124" i="110"/>
  <c r="AY124" i="110"/>
  <c r="AT123" i="110"/>
  <c r="AR123" i="110" s="1"/>
  <c r="AO123" i="110" s="1"/>
  <c r="AL92" i="112"/>
  <c r="AL7" i="112" s="1"/>
  <c r="BD33" i="112" s="1"/>
  <c r="AJ132" i="112"/>
  <c r="AY125" i="112"/>
  <c r="AP125" i="112"/>
  <c r="AS125" i="112"/>
  <c r="AS98" i="111"/>
  <c r="BB143" i="111"/>
  <c r="AP98" i="111"/>
  <c r="AY98" i="111"/>
  <c r="AI138" i="111"/>
  <c r="S122" i="112" l="1"/>
  <c r="H122" i="112"/>
  <c r="I122" i="112" s="1"/>
  <c r="T163" i="112"/>
  <c r="V163" i="112" s="1"/>
  <c r="M122" i="112"/>
  <c r="AO92" i="110"/>
  <c r="AQ124" i="110"/>
  <c r="AV124" i="110"/>
  <c r="AW124" i="110"/>
  <c r="AU124" i="110"/>
  <c r="AS124" i="110"/>
  <c r="AW125" i="112"/>
  <c r="AU125" i="112"/>
  <c r="AQ125" i="112"/>
  <c r="AV125" i="112"/>
  <c r="AJ150" i="112"/>
  <c r="AK150" i="112"/>
  <c r="AQ98" i="111"/>
  <c r="AU98" i="111"/>
  <c r="AW98" i="111"/>
  <c r="AV98" i="111"/>
  <c r="AJ138" i="111"/>
  <c r="AK138" i="111"/>
  <c r="O122" i="112" l="1"/>
  <c r="K122" i="112"/>
  <c r="P122" i="112"/>
  <c r="Q122" i="112"/>
  <c r="AT124" i="110"/>
  <c r="AR124" i="110" s="1"/>
  <c r="AO124" i="110" s="1"/>
  <c r="AY125" i="110"/>
  <c r="AP125" i="110"/>
  <c r="AL92" i="110"/>
  <c r="AL7" i="110" s="1"/>
  <c r="BD33" i="110" s="1"/>
  <c r="AJ132" i="110"/>
  <c r="AT125" i="112"/>
  <c r="AR125" i="112" s="1"/>
  <c r="AO125" i="112" s="1"/>
  <c r="AP126" i="112"/>
  <c r="AY126" i="112"/>
  <c r="AI139" i="111"/>
  <c r="BB144" i="111"/>
  <c r="AP99" i="111"/>
  <c r="AY99" i="111"/>
  <c r="AT98" i="111"/>
  <c r="AR98" i="111" s="1"/>
  <c r="AO98" i="111" s="1"/>
  <c r="AL98" i="111" s="1"/>
  <c r="T164" i="112" l="1"/>
  <c r="V164" i="112" s="1"/>
  <c r="S123" i="112"/>
  <c r="H123" i="112"/>
  <c r="N122" i="112"/>
  <c r="L122" i="112" s="1"/>
  <c r="G122" i="112" s="1"/>
  <c r="M123" i="112"/>
  <c r="AQ125" i="110"/>
  <c r="AU125" i="110"/>
  <c r="AV125" i="110"/>
  <c r="AW125" i="110"/>
  <c r="AK150" i="110"/>
  <c r="AJ150" i="110"/>
  <c r="AS125" i="110"/>
  <c r="AW126" i="112"/>
  <c r="AV126" i="112"/>
  <c r="AU126" i="112"/>
  <c r="AQ126" i="112"/>
  <c r="AS126" i="112"/>
  <c r="AS99" i="111"/>
  <c r="AU99" i="111"/>
  <c r="AT99" i="111" s="1"/>
  <c r="AR99" i="111" s="1"/>
  <c r="AO99" i="111" s="1"/>
  <c r="AL99" i="111" s="1"/>
  <c r="AV99" i="111"/>
  <c r="AW99" i="111"/>
  <c r="AQ99" i="111"/>
  <c r="AK139" i="111"/>
  <c r="AJ139" i="111"/>
  <c r="I123" i="112" l="1"/>
  <c r="Q123" i="112"/>
  <c r="O123" i="112"/>
  <c r="P123" i="112"/>
  <c r="K123" i="112"/>
  <c r="AP126" i="110"/>
  <c r="AY126" i="110"/>
  <c r="AT125" i="110"/>
  <c r="AR125" i="110" s="1"/>
  <c r="AO125" i="110" s="1"/>
  <c r="AT126" i="112"/>
  <c r="AR126" i="112" s="1"/>
  <c r="AO126" i="112" s="1"/>
  <c r="AY127" i="112"/>
  <c r="AP127" i="112"/>
  <c r="AI140" i="111"/>
  <c r="AP100" i="111"/>
  <c r="AY100" i="111"/>
  <c r="BB145" i="111"/>
  <c r="AS100" i="111"/>
  <c r="AS126" i="110" l="1"/>
  <c r="S124" i="112"/>
  <c r="T165" i="112"/>
  <c r="V165" i="112" s="1"/>
  <c r="H124" i="112"/>
  <c r="N123" i="112"/>
  <c r="L123" i="112" s="1"/>
  <c r="G123" i="112" s="1"/>
  <c r="AV126" i="110"/>
  <c r="AQ126" i="110"/>
  <c r="AW126" i="110"/>
  <c r="AU126" i="110"/>
  <c r="AS127" i="112"/>
  <c r="AV127" i="112"/>
  <c r="AU127" i="112"/>
  <c r="AQ127" i="112"/>
  <c r="AW127" i="112"/>
  <c r="AU100" i="111"/>
  <c r="AQ100" i="111"/>
  <c r="AW100" i="111"/>
  <c r="AV100" i="111"/>
  <c r="AT100" i="111"/>
  <c r="AR100" i="111" s="1"/>
  <c r="AO100" i="111" s="1"/>
  <c r="AL100" i="111" s="1"/>
  <c r="AK140" i="111"/>
  <c r="AJ140" i="111"/>
  <c r="M124" i="112" l="1"/>
  <c r="I124" i="112"/>
  <c r="O124" i="112"/>
  <c r="K124" i="112"/>
  <c r="P124" i="112"/>
  <c r="Q124" i="112"/>
  <c r="AT126" i="110"/>
  <c r="AR126" i="110" s="1"/>
  <c r="AO126" i="110" s="1"/>
  <c r="AP127" i="110"/>
  <c r="AY127" i="110"/>
  <c r="AP128" i="112"/>
  <c r="AY128" i="112"/>
  <c r="AT127" i="112"/>
  <c r="AR127" i="112" s="1"/>
  <c r="AO127" i="112" s="1"/>
  <c r="AY101" i="111"/>
  <c r="BB146" i="111"/>
  <c r="AI141" i="111"/>
  <c r="AP101" i="111"/>
  <c r="AS101" i="111"/>
  <c r="H125" i="112" l="1"/>
  <c r="S125" i="112"/>
  <c r="T166" i="112"/>
  <c r="V166" i="112" s="1"/>
  <c r="N124" i="112"/>
  <c r="L124" i="112" s="1"/>
  <c r="G124" i="112" s="1"/>
  <c r="AS127" i="110"/>
  <c r="AV127" i="110"/>
  <c r="AQ127" i="110"/>
  <c r="AU127" i="110"/>
  <c r="AW127" i="110"/>
  <c r="AQ128" i="112"/>
  <c r="AU128" i="112"/>
  <c r="AT128" i="112" s="1"/>
  <c r="AR128" i="112" s="1"/>
  <c r="AO128" i="112" s="1"/>
  <c r="AW128" i="112"/>
  <c r="AV128" i="112"/>
  <c r="AS128" i="112"/>
  <c r="AK141" i="111"/>
  <c r="AJ141" i="111"/>
  <c r="AQ101" i="111"/>
  <c r="AW101" i="111" s="1"/>
  <c r="AV101" i="111"/>
  <c r="AU101" i="111"/>
  <c r="K125" i="112" l="1"/>
  <c r="P125" i="112"/>
  <c r="O125" i="112"/>
  <c r="Q125" i="112"/>
  <c r="I125" i="112"/>
  <c r="M125" i="112"/>
  <c r="AP128" i="110"/>
  <c r="AY128" i="110"/>
  <c r="AT127" i="110"/>
  <c r="AR127" i="110" s="1"/>
  <c r="AO127" i="110" s="1"/>
  <c r="AY129" i="112"/>
  <c r="AP129" i="112"/>
  <c r="AS129" i="112"/>
  <c r="AT101" i="111"/>
  <c r="AR101" i="111" s="1"/>
  <c r="AO101" i="111" s="1"/>
  <c r="AL101" i="111" s="1"/>
  <c r="BB147" i="111"/>
  <c r="AY102" i="111"/>
  <c r="AI142" i="111"/>
  <c r="AP102" i="111"/>
  <c r="H126" i="112" l="1"/>
  <c r="S126" i="112"/>
  <c r="T167" i="112"/>
  <c r="V167" i="112" s="1"/>
  <c r="N125" i="112"/>
  <c r="L125" i="112" s="1"/>
  <c r="G125" i="112" s="1"/>
  <c r="AV128" i="110"/>
  <c r="AW128" i="110"/>
  <c r="AQ128" i="110"/>
  <c r="AU128" i="110"/>
  <c r="AS128" i="110"/>
  <c r="AP131" i="112"/>
  <c r="AU129" i="112"/>
  <c r="AT129" i="112" s="1"/>
  <c r="AR129" i="112" s="1"/>
  <c r="AO129" i="112" s="1"/>
  <c r="AO131" i="112" s="1"/>
  <c r="AW129" i="112"/>
  <c r="AQ129" i="112"/>
  <c r="AQ131" i="112" s="1"/>
  <c r="AV129" i="112"/>
  <c r="AS102" i="111"/>
  <c r="AU102" i="111"/>
  <c r="AT102" i="111" s="1"/>
  <c r="AR102" i="111" s="1"/>
  <c r="AO102" i="111" s="1"/>
  <c r="AL102" i="111" s="1"/>
  <c r="AV102" i="111"/>
  <c r="AQ102" i="111"/>
  <c r="AW102" i="111" s="1"/>
  <c r="AK142" i="111"/>
  <c r="AJ142" i="111"/>
  <c r="K126" i="112" l="1"/>
  <c r="Q126" i="112"/>
  <c r="P126" i="112"/>
  <c r="O126" i="112"/>
  <c r="N126" i="112" s="1"/>
  <c r="L126" i="112" s="1"/>
  <c r="G126" i="112" s="1"/>
  <c r="I126" i="112"/>
  <c r="M126" i="112"/>
  <c r="AP129" i="110"/>
  <c r="AP131" i="110" s="1"/>
  <c r="AY129" i="110"/>
  <c r="AT128" i="110"/>
  <c r="AR128" i="110" s="1"/>
  <c r="AO128" i="110" s="1"/>
  <c r="BB148" i="111"/>
  <c r="AP103" i="111"/>
  <c r="AY103" i="111"/>
  <c r="AI143" i="111"/>
  <c r="AS103" i="111"/>
  <c r="S127" i="112" l="1"/>
  <c r="T168" i="112"/>
  <c r="V168" i="112" s="1"/>
  <c r="H127" i="112"/>
  <c r="M127" i="112"/>
  <c r="AS129" i="110"/>
  <c r="AV129" i="110"/>
  <c r="AW129" i="110"/>
  <c r="AU129" i="110"/>
  <c r="AT129" i="110" s="1"/>
  <c r="AR129" i="110" s="1"/>
  <c r="AO129" i="110" s="1"/>
  <c r="AO131" i="110" s="1"/>
  <c r="AQ129" i="110"/>
  <c r="AQ131" i="110" s="1"/>
  <c r="AK143" i="111"/>
  <c r="AJ143" i="111"/>
  <c r="AW103" i="111"/>
  <c r="AU103" i="111"/>
  <c r="AQ103" i="111"/>
  <c r="AV103" i="111"/>
  <c r="I127" i="112" l="1"/>
  <c r="Q127" i="112"/>
  <c r="K127" i="112"/>
  <c r="P127" i="112"/>
  <c r="O127" i="112"/>
  <c r="AT103" i="111"/>
  <c r="AR103" i="111" s="1"/>
  <c r="AO103" i="111" s="1"/>
  <c r="AL103" i="111" s="1"/>
  <c r="AY104" i="111"/>
  <c r="BB149" i="111"/>
  <c r="AI144" i="111"/>
  <c r="AP104" i="111"/>
  <c r="N127" i="112" l="1"/>
  <c r="L127" i="112" s="1"/>
  <c r="G127" i="112" s="1"/>
  <c r="S128" i="112"/>
  <c r="H128" i="112"/>
  <c r="T169" i="112"/>
  <c r="V169" i="112" s="1"/>
  <c r="AQ104" i="111"/>
  <c r="AW104" i="111"/>
  <c r="AU104" i="111"/>
  <c r="AV104" i="111"/>
  <c r="AJ144" i="111"/>
  <c r="AK144" i="111"/>
  <c r="AS104" i="111"/>
  <c r="I128" i="112" l="1"/>
  <c r="Q128" i="112"/>
  <c r="P128" i="112"/>
  <c r="O128" i="112"/>
  <c r="N128" i="112" s="1"/>
  <c r="L128" i="112" s="1"/>
  <c r="G128" i="112" s="1"/>
  <c r="K128" i="112"/>
  <c r="M128" i="112"/>
  <c r="AI145" i="111"/>
  <c r="AY105" i="111"/>
  <c r="BB150" i="111"/>
  <c r="AP105" i="111"/>
  <c r="AT104" i="111"/>
  <c r="AR104" i="111" s="1"/>
  <c r="AO104" i="111" s="1"/>
  <c r="AL104" i="111" s="1"/>
  <c r="H129" i="112" l="1"/>
  <c r="S129" i="112"/>
  <c r="T170" i="112"/>
  <c r="V170" i="112" s="1"/>
  <c r="M129" i="112"/>
  <c r="AV105" i="111"/>
  <c r="AU105" i="111"/>
  <c r="AT105" i="111" s="1"/>
  <c r="AR105" i="111" s="1"/>
  <c r="AO105" i="111" s="1"/>
  <c r="AL105" i="111" s="1"/>
  <c r="AQ105" i="111"/>
  <c r="AW105" i="111" s="1"/>
  <c r="AK145" i="111"/>
  <c r="AJ145" i="111"/>
  <c r="AS105" i="111"/>
  <c r="O129" i="112" l="1"/>
  <c r="N129" i="112" s="1"/>
  <c r="L129" i="112" s="1"/>
  <c r="G129" i="112" s="1"/>
  <c r="K129" i="112"/>
  <c r="Q129" i="112"/>
  <c r="P129" i="112"/>
  <c r="I129" i="112"/>
  <c r="AS106" i="111"/>
  <c r="AY106" i="111"/>
  <c r="AI146" i="111"/>
  <c r="BB151" i="111"/>
  <c r="AP106" i="111"/>
  <c r="H130" i="112" l="1"/>
  <c r="T171" i="112"/>
  <c r="V171" i="112" s="1"/>
  <c r="S130" i="112"/>
  <c r="M130" i="112"/>
  <c r="AJ146" i="111"/>
  <c r="AK146" i="111"/>
  <c r="AU106" i="111"/>
  <c r="AT106" i="111" s="1"/>
  <c r="AR106" i="111" s="1"/>
  <c r="AO106" i="111" s="1"/>
  <c r="AL106" i="111" s="1"/>
  <c r="AV106" i="111"/>
  <c r="AQ106" i="111"/>
  <c r="AW106" i="111"/>
  <c r="K130" i="112" l="1"/>
  <c r="Q130" i="112"/>
  <c r="P130" i="112"/>
  <c r="O130" i="112"/>
  <c r="N130" i="112" s="1"/>
  <c r="L130" i="112" s="1"/>
  <c r="G130" i="112" s="1"/>
  <c r="I130" i="112"/>
  <c r="AS107" i="111"/>
  <c r="AI147" i="111"/>
  <c r="BB152" i="111"/>
  <c r="AP107" i="111"/>
  <c r="AY107" i="111"/>
  <c r="H131" i="112" l="1"/>
  <c r="T172" i="112"/>
  <c r="V172" i="112" s="1"/>
  <c r="S131" i="112"/>
  <c r="M131" i="112"/>
  <c r="AJ147" i="111"/>
  <c r="AK147" i="111"/>
  <c r="AU107" i="111"/>
  <c r="AQ107" i="111"/>
  <c r="AW107" i="111" s="1"/>
  <c r="AV107" i="111"/>
  <c r="Q131" i="112" l="1"/>
  <c r="O131" i="112"/>
  <c r="K131" i="112"/>
  <c r="P131" i="112"/>
  <c r="I131" i="112"/>
  <c r="N131" i="112"/>
  <c r="L131" i="112" s="1"/>
  <c r="G131" i="112" s="1"/>
  <c r="BB153" i="111"/>
  <c r="AP108" i="111"/>
  <c r="AY108" i="111"/>
  <c r="AI148" i="111"/>
  <c r="AT107" i="111"/>
  <c r="AR107" i="111" s="1"/>
  <c r="AO107" i="111" s="1"/>
  <c r="AL107" i="111" s="1"/>
  <c r="M132" i="112" l="1"/>
  <c r="H132" i="112"/>
  <c r="S132" i="112"/>
  <c r="T173" i="112"/>
  <c r="V173" i="112" s="1"/>
  <c r="AV108" i="111"/>
  <c r="AU108" i="111"/>
  <c r="AQ108" i="111"/>
  <c r="AW108" i="111" s="1"/>
  <c r="AJ148" i="111"/>
  <c r="AK148" i="111"/>
  <c r="AS108" i="111"/>
  <c r="K132" i="112" l="1"/>
  <c r="Q132" i="112"/>
  <c r="P132" i="112"/>
  <c r="O132" i="112"/>
  <c r="N132" i="112" s="1"/>
  <c r="L132" i="112" s="1"/>
  <c r="G132" i="112" s="1"/>
  <c r="I132" i="112"/>
  <c r="AP109" i="111"/>
  <c r="AY109" i="111"/>
  <c r="AI149" i="111"/>
  <c r="BB154" i="111"/>
  <c r="AT108" i="111"/>
  <c r="AR108" i="111" s="1"/>
  <c r="AO108" i="111" s="1"/>
  <c r="AL108" i="111" s="1"/>
  <c r="T174" i="112" l="1"/>
  <c r="V174" i="112" s="1"/>
  <c r="S133" i="112"/>
  <c r="H133" i="112"/>
  <c r="M133" i="112"/>
  <c r="AS109" i="111"/>
  <c r="AJ149" i="111"/>
  <c r="AK149" i="111"/>
  <c r="AI150" i="111"/>
  <c r="AV109" i="111"/>
  <c r="AU109" i="111"/>
  <c r="AT109" i="111" s="1"/>
  <c r="AR109" i="111" s="1"/>
  <c r="AO109" i="111" s="1"/>
  <c r="AL109" i="111" s="1"/>
  <c r="AQ109" i="111"/>
  <c r="AW109" i="111"/>
  <c r="I133" i="112" l="1"/>
  <c r="P133" i="112"/>
  <c r="K133" i="112"/>
  <c r="O133" i="112"/>
  <c r="N133" i="112" s="1"/>
  <c r="L133" i="112" s="1"/>
  <c r="G133" i="112" s="1"/>
  <c r="Q133" i="112"/>
  <c r="AP110" i="111"/>
  <c r="AY110" i="111"/>
  <c r="AS110" i="111"/>
  <c r="H134" i="112" l="1"/>
  <c r="I134" i="112" s="1"/>
  <c r="S134" i="112"/>
  <c r="T175" i="112"/>
  <c r="V175" i="112" s="1"/>
  <c r="M134" i="112"/>
  <c r="AV110" i="111"/>
  <c r="AU110" i="111"/>
  <c r="AT110" i="111" s="1"/>
  <c r="AR110" i="111" s="1"/>
  <c r="AO110" i="111" s="1"/>
  <c r="AR131" i="111"/>
  <c r="AW110" i="111"/>
  <c r="AQ110" i="111"/>
  <c r="K134" i="112" l="1"/>
  <c r="O134" i="112"/>
  <c r="Q134" i="112"/>
  <c r="P134" i="112"/>
  <c r="AP111" i="111"/>
  <c r="AY111" i="111"/>
  <c r="AS111" i="111"/>
  <c r="H135" i="112" l="1"/>
  <c r="I135" i="112" s="1"/>
  <c r="S135" i="112"/>
  <c r="T176" i="112"/>
  <c r="V176" i="112" s="1"/>
  <c r="N134" i="112"/>
  <c r="L134" i="112" s="1"/>
  <c r="G134" i="112" s="1"/>
  <c r="AQ111" i="111"/>
  <c r="AV111" i="111"/>
  <c r="AW111" i="111"/>
  <c r="AU111" i="111"/>
  <c r="M135" i="112" l="1"/>
  <c r="O135" i="112"/>
  <c r="P135" i="112"/>
  <c r="Q135" i="112"/>
  <c r="K135" i="112"/>
  <c r="AP112" i="111"/>
  <c r="AY112" i="111"/>
  <c r="AT111" i="111"/>
  <c r="AR111" i="111" s="1"/>
  <c r="AO111" i="111" s="1"/>
  <c r="H136" i="112" l="1"/>
  <c r="S136" i="112"/>
  <c r="T177" i="112"/>
  <c r="V177" i="112" s="1"/>
  <c r="N135" i="112"/>
  <c r="L135" i="112" s="1"/>
  <c r="G135" i="112" s="1"/>
  <c r="AQ112" i="111"/>
  <c r="AW112" i="111"/>
  <c r="AU112" i="111"/>
  <c r="AV112" i="111"/>
  <c r="AS112" i="111"/>
  <c r="M136" i="112" l="1"/>
  <c r="P136" i="112"/>
  <c r="O136" i="112"/>
  <c r="K136" i="112"/>
  <c r="Q136" i="112"/>
  <c r="I136" i="112"/>
  <c r="AP113" i="111"/>
  <c r="AY113" i="111"/>
  <c r="AT112" i="111"/>
  <c r="AR112" i="111" s="1"/>
  <c r="AO112" i="111" s="1"/>
  <c r="N136" i="112" l="1"/>
  <c r="L136" i="112" s="1"/>
  <c r="G136" i="112" s="1"/>
  <c r="S137" i="112"/>
  <c r="H137" i="112"/>
  <c r="I137" i="112" s="1"/>
  <c r="T178" i="112"/>
  <c r="AU113" i="111"/>
  <c r="AT113" i="111" s="1"/>
  <c r="AR113" i="111" s="1"/>
  <c r="AO113" i="111" s="1"/>
  <c r="AV113" i="111"/>
  <c r="AQ113" i="111"/>
  <c r="AW113" i="111" s="1"/>
  <c r="AS113" i="111"/>
  <c r="K137" i="112" l="1"/>
  <c r="Q137" i="112"/>
  <c r="P137" i="112"/>
  <c r="O137" i="112"/>
  <c r="V178" i="112"/>
  <c r="M137" i="112"/>
  <c r="AY114" i="111"/>
  <c r="AP114" i="111"/>
  <c r="AS114" i="111"/>
  <c r="N137" i="112" l="1"/>
  <c r="L137" i="112" s="1"/>
  <c r="G137" i="112" s="1"/>
  <c r="S138" i="112"/>
  <c r="H138" i="112"/>
  <c r="T179" i="112"/>
  <c r="AQ114" i="111"/>
  <c r="AU114" i="111"/>
  <c r="AW114" i="111"/>
  <c r="AV114" i="111"/>
  <c r="I138" i="112" l="1"/>
  <c r="V179" i="112"/>
  <c r="K138" i="112"/>
  <c r="Q138" i="112"/>
  <c r="P138" i="112"/>
  <c r="O138" i="112"/>
  <c r="N138" i="112" s="1"/>
  <c r="L138" i="112" s="1"/>
  <c r="G138" i="112" s="1"/>
  <c r="M138" i="112"/>
  <c r="AY115" i="111"/>
  <c r="AP115" i="111"/>
  <c r="AT114" i="111"/>
  <c r="AR114" i="111" s="1"/>
  <c r="AO114" i="111" s="1"/>
  <c r="H139" i="112" l="1"/>
  <c r="I139" i="112" s="1"/>
  <c r="S139" i="112"/>
  <c r="T180" i="112"/>
  <c r="M139" i="112"/>
  <c r="AS115" i="111"/>
  <c r="AV115" i="111"/>
  <c r="AU115" i="111"/>
  <c r="AT115" i="111" s="1"/>
  <c r="AR115" i="111" s="1"/>
  <c r="AO115" i="111" s="1"/>
  <c r="AQ115" i="111"/>
  <c r="AW115" i="111" s="1"/>
  <c r="V180" i="112" l="1"/>
  <c r="T181" i="112"/>
  <c r="P139" i="112"/>
  <c r="K139" i="112"/>
  <c r="O139" i="112"/>
  <c r="Q139" i="112"/>
  <c r="AY116" i="111"/>
  <c r="AP116" i="111"/>
  <c r="AS116" i="111"/>
  <c r="H140" i="112" l="1"/>
  <c r="S140" i="112"/>
  <c r="N139" i="112"/>
  <c r="L139" i="112" s="1"/>
  <c r="G139" i="112" s="1"/>
  <c r="AV116" i="111"/>
  <c r="AU116" i="111"/>
  <c r="AQ116" i="111"/>
  <c r="AW116" i="111" s="1"/>
  <c r="M140" i="112" l="1"/>
  <c r="Q140" i="112"/>
  <c r="K140" i="112"/>
  <c r="O140" i="112"/>
  <c r="P140" i="112"/>
  <c r="I140" i="112"/>
  <c r="AP117" i="111"/>
  <c r="AY117" i="111"/>
  <c r="AT116" i="111"/>
  <c r="AR116" i="111" s="1"/>
  <c r="AO116" i="111" s="1"/>
  <c r="N140" i="112" l="1"/>
  <c r="L140" i="112" s="1"/>
  <c r="G140" i="112" s="1"/>
  <c r="H141" i="112"/>
  <c r="S141" i="112"/>
  <c r="AV117" i="111"/>
  <c r="AQ117" i="111"/>
  <c r="AW117" i="111" s="1"/>
  <c r="AU117" i="111"/>
  <c r="AS117" i="111"/>
  <c r="P141" i="112" l="1"/>
  <c r="Q141" i="112"/>
  <c r="K141" i="112"/>
  <c r="O141" i="112"/>
  <c r="N141" i="112" s="1"/>
  <c r="L141" i="112" s="1"/>
  <c r="G141" i="112" s="1"/>
  <c r="I141" i="112"/>
  <c r="M141" i="112"/>
  <c r="AP118" i="111"/>
  <c r="AY118" i="111"/>
  <c r="AT117" i="111"/>
  <c r="AR117" i="111" s="1"/>
  <c r="AO117" i="111" s="1"/>
  <c r="H142" i="112" l="1"/>
  <c r="S142" i="112"/>
  <c r="M142" i="112"/>
  <c r="AS118" i="111"/>
  <c r="AQ118" i="111"/>
  <c r="AV118" i="111"/>
  <c r="AW118" i="111"/>
  <c r="AU118" i="111"/>
  <c r="AT118" i="111" s="1"/>
  <c r="AR118" i="111" s="1"/>
  <c r="AO118" i="111" s="1"/>
  <c r="O142" i="112" l="1"/>
  <c r="N142" i="112" s="1"/>
  <c r="L142" i="112" s="1"/>
  <c r="G142" i="112" s="1"/>
  <c r="K142" i="112"/>
  <c r="Q142" i="112"/>
  <c r="P142" i="112"/>
  <c r="I142" i="112"/>
  <c r="AP119" i="111"/>
  <c r="AY119" i="111"/>
  <c r="AS119" i="111"/>
  <c r="H143" i="112" l="1"/>
  <c r="S143" i="112"/>
  <c r="M143" i="112"/>
  <c r="AV119" i="111"/>
  <c r="AQ119" i="111"/>
  <c r="AW119" i="111" s="1"/>
  <c r="AU119" i="111"/>
  <c r="O143" i="112" l="1"/>
  <c r="N143" i="112" s="1"/>
  <c r="L143" i="112" s="1"/>
  <c r="G143" i="112" s="1"/>
  <c r="K143" i="112"/>
  <c r="Q143" i="112"/>
  <c r="P143" i="112"/>
  <c r="I143" i="112"/>
  <c r="AT119" i="111"/>
  <c r="AR119" i="111" s="1"/>
  <c r="AO119" i="111" s="1"/>
  <c r="AY120" i="111"/>
  <c r="AP120" i="111"/>
  <c r="H144" i="112" l="1"/>
  <c r="S144" i="112"/>
  <c r="M144" i="112"/>
  <c r="AQ120" i="111"/>
  <c r="AW120" i="111"/>
  <c r="AV120" i="111"/>
  <c r="AU120" i="111"/>
  <c r="AS120" i="111"/>
  <c r="O144" i="112" l="1"/>
  <c r="N144" i="112" s="1"/>
  <c r="L144" i="112" s="1"/>
  <c r="G144" i="112" s="1"/>
  <c r="Q144" i="112"/>
  <c r="K144" i="112"/>
  <c r="P144" i="112"/>
  <c r="I144" i="112"/>
  <c r="AP121" i="111"/>
  <c r="AY121" i="111"/>
  <c r="AT120" i="111"/>
  <c r="AR120" i="111" s="1"/>
  <c r="AO120" i="111" s="1"/>
  <c r="H145" i="112" l="1"/>
  <c r="S145" i="112"/>
  <c r="M145" i="112"/>
  <c r="AV121" i="111"/>
  <c r="AU121" i="111"/>
  <c r="AQ121" i="111"/>
  <c r="AW121" i="111" s="1"/>
  <c r="AS121" i="111"/>
  <c r="O145" i="112" l="1"/>
  <c r="N145" i="112" s="1"/>
  <c r="L145" i="112" s="1"/>
  <c r="G145" i="112" s="1"/>
  <c r="K145" i="112"/>
  <c r="Q145" i="112"/>
  <c r="P145" i="112"/>
  <c r="I145" i="112"/>
  <c r="AY122" i="111"/>
  <c r="AP122" i="111"/>
  <c r="AT121" i="111"/>
  <c r="AR121" i="111" s="1"/>
  <c r="AO121" i="111" s="1"/>
  <c r="H146" i="112" l="1"/>
  <c r="S146" i="112"/>
  <c r="M146" i="112"/>
  <c r="AS122" i="111"/>
  <c r="AV122" i="111"/>
  <c r="AU122" i="111"/>
  <c r="AT122" i="111" s="1"/>
  <c r="AR122" i="111" s="1"/>
  <c r="AO122" i="111" s="1"/>
  <c r="AW122" i="111"/>
  <c r="AQ122" i="111"/>
  <c r="Q146" i="112" l="1"/>
  <c r="P146" i="112"/>
  <c r="O146" i="112"/>
  <c r="K146" i="112"/>
  <c r="I146" i="112"/>
  <c r="AS123" i="111"/>
  <c r="AP123" i="111"/>
  <c r="AY123" i="111"/>
  <c r="N146" i="112" l="1"/>
  <c r="L146" i="112" s="1"/>
  <c r="G146" i="112" s="1"/>
  <c r="H147" i="112"/>
  <c r="S147" i="112"/>
  <c r="AV123" i="111"/>
  <c r="AQ123" i="111"/>
  <c r="AW123" i="111" s="1"/>
  <c r="AU123" i="111"/>
  <c r="P147" i="112" l="1"/>
  <c r="K147" i="112"/>
  <c r="O147" i="112"/>
  <c r="Q147" i="112"/>
  <c r="I147" i="112"/>
  <c r="M147" i="112"/>
  <c r="AP124" i="111"/>
  <c r="AY124" i="111"/>
  <c r="AT123" i="111"/>
  <c r="AR123" i="111" s="1"/>
  <c r="AO123" i="111" s="1"/>
  <c r="H148" i="112" l="1"/>
  <c r="S148" i="112"/>
  <c r="N147" i="112"/>
  <c r="L147" i="112" s="1"/>
  <c r="G147" i="112" s="1"/>
  <c r="AU124" i="111"/>
  <c r="AT124" i="111" s="1"/>
  <c r="AR124" i="111" s="1"/>
  <c r="AO124" i="111" s="1"/>
  <c r="AQ124" i="111"/>
  <c r="AV124" i="111"/>
  <c r="AW124" i="111"/>
  <c r="AO92" i="111"/>
  <c r="AS124" i="111"/>
  <c r="I148" i="112" l="1"/>
  <c r="Q148" i="112"/>
  <c r="O148" i="112"/>
  <c r="N148" i="112" s="1"/>
  <c r="L148" i="112" s="1"/>
  <c r="G148" i="112" s="1"/>
  <c r="K148" i="112"/>
  <c r="P148" i="112"/>
  <c r="M148" i="112"/>
  <c r="AP125" i="111"/>
  <c r="AY125" i="111"/>
  <c r="AL92" i="111"/>
  <c r="AL7" i="111" s="1"/>
  <c r="BD33" i="111" s="1"/>
  <c r="AJ132" i="111"/>
  <c r="AS125" i="111"/>
  <c r="H149" i="112" l="1"/>
  <c r="I149" i="112" s="1"/>
  <c r="S149" i="112"/>
  <c r="M149" i="112"/>
  <c r="AJ150" i="111"/>
  <c r="AK150" i="111"/>
  <c r="AU125" i="111"/>
  <c r="AV125" i="111"/>
  <c r="AQ125" i="111"/>
  <c r="AW125" i="111" s="1"/>
  <c r="Q149" i="112" l="1"/>
  <c r="K149" i="112"/>
  <c r="O149" i="112"/>
  <c r="P149" i="112"/>
  <c r="AT125" i="111"/>
  <c r="AR125" i="111" s="1"/>
  <c r="AO125" i="111" s="1"/>
  <c r="AP126" i="111"/>
  <c r="AY126" i="111"/>
  <c r="N149" i="112" l="1"/>
  <c r="L149" i="112" s="1"/>
  <c r="G149" i="112" s="1"/>
  <c r="H150" i="112"/>
  <c r="S150" i="112"/>
  <c r="AU126" i="111"/>
  <c r="AT126" i="111" s="1"/>
  <c r="AR126" i="111" s="1"/>
  <c r="AO126" i="111" s="1"/>
  <c r="AQ126" i="111"/>
  <c r="AV126" i="111"/>
  <c r="AW126" i="111"/>
  <c r="AS126" i="111"/>
  <c r="K150" i="112" l="1"/>
  <c r="Q150" i="112"/>
  <c r="P150" i="112"/>
  <c r="O150" i="112"/>
  <c r="N150" i="112" s="1"/>
  <c r="L150" i="112" s="1"/>
  <c r="G150" i="112" s="1"/>
  <c r="I150" i="112"/>
  <c r="M150" i="112"/>
  <c r="AY127" i="111"/>
  <c r="AP127" i="111"/>
  <c r="AS127" i="111"/>
  <c r="H151" i="112" l="1"/>
  <c r="S151" i="112"/>
  <c r="M151" i="112"/>
  <c r="AU127" i="111"/>
  <c r="AT127" i="111" s="1"/>
  <c r="AR127" i="111" s="1"/>
  <c r="AO127" i="111" s="1"/>
  <c r="AQ127" i="111"/>
  <c r="AV127" i="111"/>
  <c r="AW127" i="111"/>
  <c r="K151" i="112" l="1"/>
  <c r="Q151" i="112"/>
  <c r="P151" i="112"/>
  <c r="O151" i="112"/>
  <c r="I151" i="112"/>
  <c r="AS128" i="111"/>
  <c r="AP128" i="111"/>
  <c r="AY128" i="111"/>
  <c r="N151" i="112" l="1"/>
  <c r="L151" i="112" s="1"/>
  <c r="G151" i="112" s="1"/>
  <c r="S152" i="112"/>
  <c r="H152" i="112"/>
  <c r="AU128" i="111"/>
  <c r="AV128" i="111"/>
  <c r="AQ128" i="111"/>
  <c r="AW128" i="111" s="1"/>
  <c r="I152" i="112" l="1"/>
  <c r="P152" i="112"/>
  <c r="O152" i="112"/>
  <c r="N152" i="112" s="1"/>
  <c r="L152" i="112" s="1"/>
  <c r="G152" i="112" s="1"/>
  <c r="K152" i="112"/>
  <c r="Q152" i="112"/>
  <c r="M152" i="112"/>
  <c r="AT128" i="111"/>
  <c r="AR128" i="111" s="1"/>
  <c r="AO128" i="111" s="1"/>
  <c r="AP129" i="111"/>
  <c r="AP131" i="111" s="1"/>
  <c r="AY129" i="111"/>
  <c r="H153" i="112" l="1"/>
  <c r="S153" i="112"/>
  <c r="M153" i="112"/>
  <c r="AU129" i="111"/>
  <c r="AT129" i="111" s="1"/>
  <c r="AR129" i="111" s="1"/>
  <c r="AO129" i="111" s="1"/>
  <c r="AO131" i="111" s="1"/>
  <c r="AV129" i="111"/>
  <c r="AQ129" i="111"/>
  <c r="AQ131" i="111" s="1"/>
  <c r="AS129" i="111"/>
  <c r="K153" i="112" l="1"/>
  <c r="Q153" i="112"/>
  <c r="P153" i="112"/>
  <c r="O153" i="112"/>
  <c r="I153" i="112"/>
  <c r="AW129" i="111"/>
  <c r="H154" i="112" l="1"/>
  <c r="S154" i="112"/>
  <c r="N153" i="112"/>
  <c r="L153" i="112" s="1"/>
  <c r="G153" i="112" s="1"/>
  <c r="M154" i="112" l="1"/>
  <c r="Q154" i="112"/>
  <c r="P154" i="112"/>
  <c r="K154" i="112"/>
  <c r="O154" i="112"/>
  <c r="N154" i="112" s="1"/>
  <c r="L154" i="112" s="1"/>
  <c r="G154" i="112" s="1"/>
  <c r="I154" i="112"/>
  <c r="H155" i="112" l="1"/>
  <c r="S155" i="112"/>
  <c r="M155" i="112"/>
  <c r="K155" i="112" l="1"/>
  <c r="Q155" i="112"/>
  <c r="O155" i="112"/>
  <c r="N155" i="112" s="1"/>
  <c r="L155" i="112" s="1"/>
  <c r="P155" i="112"/>
  <c r="I155" i="112"/>
  <c r="M156" i="112" l="1"/>
  <c r="G155" i="112"/>
  <c r="H156" i="112"/>
  <c r="S156" i="112"/>
  <c r="Q156" i="112" l="1"/>
  <c r="P156" i="112"/>
  <c r="K156" i="112"/>
  <c r="O156" i="112"/>
  <c r="N156" i="112" s="1"/>
  <c r="L156" i="112" s="1"/>
  <c r="I156" i="112"/>
  <c r="M157" i="112" l="1"/>
  <c r="G156" i="112"/>
  <c r="S157" i="112"/>
  <c r="H157" i="112"/>
  <c r="I157" i="112" l="1"/>
  <c r="K157" i="112"/>
  <c r="O157" i="112"/>
  <c r="N157" i="112" s="1"/>
  <c r="L157" i="112" s="1"/>
  <c r="Q157" i="112"/>
  <c r="P157" i="112"/>
  <c r="S158" i="112" l="1"/>
  <c r="H158" i="112"/>
  <c r="M158" i="112"/>
  <c r="G157" i="112"/>
  <c r="I158" i="112" l="1"/>
  <c r="Q158" i="112"/>
  <c r="P158" i="112"/>
  <c r="K158" i="112"/>
  <c r="O158" i="112"/>
  <c r="N158" i="112" s="1"/>
  <c r="L158" i="112" s="1"/>
  <c r="M159" i="112" l="1"/>
  <c r="G158" i="112"/>
  <c r="S159" i="112"/>
  <c r="H159" i="112"/>
  <c r="I159" i="112" l="1"/>
  <c r="H160" i="112"/>
  <c r="C26" i="112" s="1"/>
  <c r="U133" i="112" s="1"/>
  <c r="O159" i="112"/>
  <c r="N159" i="112" s="1"/>
  <c r="L159" i="112" s="1"/>
  <c r="K159" i="112"/>
  <c r="K160" i="112" s="1"/>
  <c r="Q159" i="112"/>
  <c r="P159" i="112"/>
  <c r="BA108" i="112"/>
  <c r="U134" i="112" l="1"/>
  <c r="U46" i="112"/>
  <c r="C27" i="112"/>
  <c r="L160" i="112"/>
  <c r="G159" i="112"/>
  <c r="BA109" i="112" l="1"/>
  <c r="G160" i="112"/>
  <c r="BA110" i="112" s="1"/>
  <c r="BA116" i="112" s="1"/>
  <c r="U135" i="112"/>
  <c r="U136" i="112" s="1"/>
  <c r="U137" i="112" s="1"/>
  <c r="U138" i="112" s="1"/>
  <c r="U139" i="112" s="1"/>
  <c r="U140" i="112" s="1"/>
  <c r="U141" i="112" s="1"/>
  <c r="U142" i="112" s="1"/>
  <c r="U143" i="112" s="1"/>
  <c r="U144" i="112" s="1"/>
  <c r="U145" i="112" s="1"/>
  <c r="U146" i="112" s="1"/>
  <c r="U147" i="112" s="1"/>
  <c r="U148" i="112" s="1"/>
  <c r="U149" i="112" s="1"/>
  <c r="U150" i="112" s="1"/>
  <c r="U151" i="112" s="1"/>
  <c r="U152" i="112" s="1"/>
  <c r="U153" i="112" s="1"/>
  <c r="U154" i="112" s="1"/>
  <c r="U155" i="112" s="1"/>
  <c r="U156" i="112" s="1"/>
  <c r="U157" i="112" s="1"/>
  <c r="U158" i="112" s="1"/>
  <c r="U159" i="112" s="1"/>
  <c r="U160" i="112" s="1"/>
  <c r="U161" i="112" s="1"/>
  <c r="U162" i="112" s="1"/>
  <c r="U163" i="112" s="1"/>
  <c r="U164" i="112" s="1"/>
  <c r="U165" i="112" s="1"/>
  <c r="U166" i="112" s="1"/>
  <c r="U167" i="112" s="1"/>
  <c r="U168" i="112" s="1"/>
  <c r="U169" i="112" s="1"/>
  <c r="U170" i="112" s="1"/>
  <c r="U171" i="112" s="1"/>
  <c r="U172" i="112" s="1"/>
  <c r="U173" i="112" s="1"/>
  <c r="U174" i="112" s="1"/>
  <c r="U175" i="112" s="1"/>
  <c r="U176" i="112" s="1"/>
  <c r="U177" i="112" s="1"/>
  <c r="U178" i="112" s="1"/>
  <c r="U179" i="112" s="1"/>
  <c r="U180" i="112" s="1"/>
  <c r="AE51" i="112" l="1"/>
  <c r="V181" i="112"/>
  <c r="U181" i="112"/>
  <c r="G85" i="111" l="1"/>
  <c r="K85" i="111" s="1"/>
  <c r="Q85" i="111" s="1"/>
  <c r="T127" i="111" s="1"/>
  <c r="V127" i="111" s="1"/>
  <c r="BA85" i="111" l="1"/>
  <c r="U126" i="111"/>
  <c r="S86" i="111"/>
  <c r="H86" i="111"/>
  <c r="O86" i="111" l="1"/>
  <c r="N86" i="111" s="1"/>
  <c r="L86" i="111" s="1"/>
  <c r="P86" i="111"/>
  <c r="I86" i="111"/>
  <c r="M87" i="111" l="1"/>
  <c r="G86" i="111" l="1"/>
  <c r="BA86" i="111" l="1"/>
  <c r="K86" i="111"/>
  <c r="Q86" i="111" s="1"/>
  <c r="H87" i="111" l="1"/>
  <c r="S87" i="111"/>
  <c r="T128" i="111"/>
  <c r="V128" i="111" s="1"/>
  <c r="O87" i="111" l="1"/>
  <c r="P87" i="111"/>
  <c r="B87" i="111"/>
  <c r="I87" i="111"/>
  <c r="N87" i="111"/>
  <c r="L87" i="111" s="1"/>
  <c r="M88" i="111" l="1"/>
  <c r="G87" i="111"/>
  <c r="K87" i="111" s="1"/>
  <c r="Q87" i="111" s="1"/>
  <c r="T129" i="111" s="1"/>
  <c r="V129" i="111" s="1"/>
  <c r="U127" i="111"/>
  <c r="U128" i="111" l="1"/>
  <c r="BA87" i="111"/>
  <c r="C87" i="111"/>
  <c r="H88" i="111"/>
  <c r="S88" i="111"/>
  <c r="I88" i="111" l="1"/>
  <c r="O88" i="111"/>
  <c r="N88" i="111" s="1"/>
  <c r="L88" i="111" s="1"/>
  <c r="P88" i="111"/>
  <c r="G88" i="111" l="1"/>
  <c r="K88" i="111" s="1"/>
  <c r="M89" i="111"/>
  <c r="C26" i="103"/>
  <c r="U46" i="103" s="1"/>
  <c r="Q88" i="111" l="1"/>
  <c r="BA88" i="111"/>
  <c r="H89" i="111" l="1"/>
  <c r="S89" i="111"/>
  <c r="T130" i="111"/>
  <c r="V130" i="111" l="1"/>
  <c r="U129" i="111"/>
  <c r="O89" i="111"/>
  <c r="N89" i="111" s="1"/>
  <c r="L89" i="111" s="1"/>
  <c r="P89" i="111"/>
  <c r="I89" i="111"/>
  <c r="M90" i="111" l="1"/>
  <c r="G89" i="111"/>
  <c r="K89" i="111" l="1"/>
  <c r="BA89" i="111"/>
  <c r="Q89" i="111" l="1"/>
  <c r="H90" i="111" l="1"/>
  <c r="S90" i="111"/>
  <c r="T131" i="111"/>
  <c r="V131" i="111" l="1"/>
  <c r="U130" i="111"/>
  <c r="O90" i="111"/>
  <c r="P90" i="111"/>
  <c r="I90" i="111"/>
  <c r="N90" i="111" l="1"/>
  <c r="L90" i="111" s="1"/>
  <c r="G90" i="111" l="1"/>
  <c r="K90" i="111" s="1"/>
  <c r="M91" i="111"/>
  <c r="Q90" i="111" l="1"/>
  <c r="BA90" i="111"/>
  <c r="H91" i="111" l="1"/>
  <c r="S91" i="111"/>
  <c r="T132" i="111"/>
  <c r="V132" i="111" l="1"/>
  <c r="U131" i="111"/>
  <c r="O91" i="111"/>
  <c r="P91" i="111"/>
  <c r="I91" i="111"/>
  <c r="N91" i="111" l="1"/>
  <c r="L91" i="111" s="1"/>
  <c r="G91" i="111" l="1"/>
  <c r="K91" i="111" s="1"/>
  <c r="M92" i="111"/>
  <c r="Q91" i="111" l="1"/>
  <c r="BA91" i="111"/>
  <c r="H92" i="111" l="1"/>
  <c r="S92" i="111"/>
  <c r="T133" i="111"/>
  <c r="V133" i="111" l="1"/>
  <c r="U132" i="111"/>
  <c r="O92" i="111"/>
  <c r="N92" i="111" s="1"/>
  <c r="L92" i="111" s="1"/>
  <c r="P92" i="111"/>
  <c r="I92" i="111"/>
  <c r="J92" i="111" s="1"/>
  <c r="J160" i="111" s="1"/>
  <c r="G92" i="111" l="1"/>
  <c r="M93" i="111"/>
  <c r="BA92" i="111" l="1"/>
  <c r="K92" i="111"/>
  <c r="Q92" i="111" l="1"/>
  <c r="H93" i="111" l="1"/>
  <c r="S93" i="111"/>
  <c r="T134" i="111"/>
  <c r="V134" i="111" l="1"/>
  <c r="Q93" i="111"/>
  <c r="O93" i="111"/>
  <c r="N93" i="111" s="1"/>
  <c r="L93" i="111" s="1"/>
  <c r="G93" i="111" s="1"/>
  <c r="BA93" i="111" s="1"/>
  <c r="K93" i="111"/>
  <c r="P93" i="111"/>
  <c r="I93" i="111"/>
  <c r="H94" i="111" l="1"/>
  <c r="S94" i="111"/>
  <c r="T135" i="111"/>
  <c r="V135" i="111" s="1"/>
  <c r="M94" i="111"/>
  <c r="Q94" i="111" l="1"/>
  <c r="O94" i="111"/>
  <c r="N94" i="111" s="1"/>
  <c r="L94" i="111" s="1"/>
  <c r="G94" i="111" s="1"/>
  <c r="BA94" i="111" s="1"/>
  <c r="K94" i="111"/>
  <c r="P94" i="111"/>
  <c r="I94" i="111"/>
  <c r="M95" i="111" l="1"/>
  <c r="S95" i="111"/>
  <c r="H95" i="111"/>
  <c r="T136" i="111"/>
  <c r="V136" i="111" s="1"/>
  <c r="I95" i="111" l="1"/>
  <c r="Q95" i="111"/>
  <c r="O95" i="111"/>
  <c r="P95" i="111"/>
  <c r="K95" i="111"/>
  <c r="H96" i="111" l="1"/>
  <c r="S96" i="111"/>
  <c r="T137" i="111"/>
  <c r="V137" i="111" s="1"/>
  <c r="N95" i="111"/>
  <c r="L95" i="111" s="1"/>
  <c r="G95" i="111" s="1"/>
  <c r="BA95" i="111" s="1"/>
  <c r="Q96" i="111" l="1"/>
  <c r="O96" i="111"/>
  <c r="K96" i="111"/>
  <c r="P96" i="111"/>
  <c r="I96" i="111"/>
  <c r="M96" i="111"/>
  <c r="N96" i="111" l="1"/>
  <c r="L96" i="111" s="1"/>
  <c r="G96" i="111" s="1"/>
  <c r="BA96" i="111" s="1"/>
  <c r="H97" i="111"/>
  <c r="S97" i="111"/>
  <c r="T138" i="111"/>
  <c r="V138" i="111" s="1"/>
  <c r="Q97" i="111" l="1"/>
  <c r="O97" i="111"/>
  <c r="P97" i="111"/>
  <c r="K97" i="111"/>
  <c r="I97" i="111"/>
  <c r="M97" i="111"/>
  <c r="N97" i="111" l="1"/>
  <c r="L97" i="111" s="1"/>
  <c r="G97" i="111" s="1"/>
  <c r="BA97" i="111" s="1"/>
  <c r="H98" i="111"/>
  <c r="S98" i="111"/>
  <c r="T139" i="111"/>
  <c r="V139" i="111" s="1"/>
  <c r="Q98" i="111" l="1"/>
  <c r="O98" i="111"/>
  <c r="P98" i="111"/>
  <c r="K98" i="111"/>
  <c r="I98" i="111"/>
  <c r="M98" i="111"/>
  <c r="N98" i="111" l="1"/>
  <c r="L98" i="111" s="1"/>
  <c r="G98" i="111" s="1"/>
  <c r="BA98" i="111" s="1"/>
  <c r="S99" i="111"/>
  <c r="H99" i="111"/>
  <c r="T140" i="111"/>
  <c r="V140" i="111" s="1"/>
  <c r="M99" i="111" l="1"/>
  <c r="I99" i="111"/>
  <c r="Q99" i="111"/>
  <c r="O99" i="111"/>
  <c r="P99" i="111"/>
  <c r="K99" i="111"/>
  <c r="H100" i="111" l="1"/>
  <c r="S100" i="111"/>
  <c r="T141" i="111"/>
  <c r="V141" i="111" s="1"/>
  <c r="N99" i="111"/>
  <c r="L99" i="111" s="1"/>
  <c r="G99" i="111" s="1"/>
  <c r="BA99" i="111" s="1"/>
  <c r="Q100" i="111" l="1"/>
  <c r="O100" i="111"/>
  <c r="K100" i="111"/>
  <c r="P100" i="111"/>
  <c r="I100" i="111"/>
  <c r="M100" i="111"/>
  <c r="N100" i="111" l="1"/>
  <c r="L100" i="111" s="1"/>
  <c r="G100" i="111" s="1"/>
  <c r="BA100" i="111" s="1"/>
  <c r="H101" i="111"/>
  <c r="S101" i="111"/>
  <c r="T142" i="111"/>
  <c r="V142" i="111" s="1"/>
  <c r="Q101" i="111" l="1"/>
  <c r="O101" i="111"/>
  <c r="N101" i="111" s="1"/>
  <c r="L101" i="111" s="1"/>
  <c r="G101" i="111" s="1"/>
  <c r="BA101" i="111" s="1"/>
  <c r="P101" i="111"/>
  <c r="K101" i="111"/>
  <c r="I101" i="111"/>
  <c r="M101" i="111"/>
  <c r="M102" i="111" l="1"/>
  <c r="H102" i="111"/>
  <c r="S102" i="111"/>
  <c r="T143" i="111"/>
  <c r="V143" i="111" s="1"/>
  <c r="Q102" i="111" l="1"/>
  <c r="O102" i="111"/>
  <c r="N102" i="111" s="1"/>
  <c r="L102" i="111" s="1"/>
  <c r="G102" i="111" s="1"/>
  <c r="BA102" i="111" s="1"/>
  <c r="P102" i="111"/>
  <c r="K102" i="111"/>
  <c r="I102" i="111"/>
  <c r="M103" i="111" l="1"/>
  <c r="S103" i="111"/>
  <c r="H103" i="111"/>
  <c r="T144" i="111"/>
  <c r="V144" i="111" s="1"/>
  <c r="I103" i="111" l="1"/>
  <c r="Q103" i="111"/>
  <c r="O103" i="111"/>
  <c r="P103" i="111"/>
  <c r="K103" i="111"/>
  <c r="H104" i="111" l="1"/>
  <c r="S104" i="111"/>
  <c r="T145" i="111"/>
  <c r="V145" i="111" s="1"/>
  <c r="N103" i="111"/>
  <c r="L103" i="111" s="1"/>
  <c r="G103" i="111" s="1"/>
  <c r="BA103" i="111" s="1"/>
  <c r="M104" i="111" l="1"/>
  <c r="Q104" i="111"/>
  <c r="O104" i="111"/>
  <c r="K104" i="111"/>
  <c r="P104" i="111"/>
  <c r="I104" i="111"/>
  <c r="H105" i="111" l="1"/>
  <c r="S105" i="111"/>
  <c r="T146" i="111"/>
  <c r="V146" i="111" s="1"/>
  <c r="N104" i="111"/>
  <c r="L104" i="111" s="1"/>
  <c r="G104" i="111" s="1"/>
  <c r="BA104" i="111" s="1"/>
  <c r="M105" i="111" l="1"/>
  <c r="Q105" i="111"/>
  <c r="O105" i="111"/>
  <c r="K105" i="111"/>
  <c r="P105" i="111"/>
  <c r="I105" i="111"/>
  <c r="H106" i="111" l="1"/>
  <c r="S106" i="111"/>
  <c r="T147" i="111"/>
  <c r="V147" i="111" s="1"/>
  <c r="N105" i="111"/>
  <c r="L105" i="111" s="1"/>
  <c r="G105" i="111" s="1"/>
  <c r="BA105" i="111" s="1"/>
  <c r="Q106" i="111" l="1"/>
  <c r="O106" i="111"/>
  <c r="P106" i="111"/>
  <c r="K106" i="111"/>
  <c r="I106" i="111"/>
  <c r="M106" i="111"/>
  <c r="N106" i="111" l="1"/>
  <c r="L106" i="111" s="1"/>
  <c r="G106" i="111" s="1"/>
  <c r="BA106" i="111" s="1"/>
  <c r="S107" i="111"/>
  <c r="H107" i="111"/>
  <c r="T148" i="111"/>
  <c r="V148" i="111" s="1"/>
  <c r="I107" i="111" l="1"/>
  <c r="Q107" i="111"/>
  <c r="O107" i="111"/>
  <c r="N107" i="111" s="1"/>
  <c r="L107" i="111" s="1"/>
  <c r="G107" i="111" s="1"/>
  <c r="BA107" i="111" s="1"/>
  <c r="P107" i="111"/>
  <c r="K107" i="111"/>
  <c r="M107" i="111"/>
  <c r="M108" i="111" l="1"/>
  <c r="H108" i="111"/>
  <c r="S108" i="111"/>
  <c r="T149" i="111"/>
  <c r="V149" i="111" s="1"/>
  <c r="Q108" i="111" l="1"/>
  <c r="O108" i="111"/>
  <c r="N108" i="111" s="1"/>
  <c r="L108" i="111" s="1"/>
  <c r="G108" i="111" s="1"/>
  <c r="K108" i="111"/>
  <c r="P108" i="111"/>
  <c r="I108" i="111"/>
  <c r="M109" i="111" l="1"/>
  <c r="H109" i="111"/>
  <c r="S109" i="111"/>
  <c r="T150" i="111"/>
  <c r="V150" i="111" s="1"/>
  <c r="Q109" i="111" l="1"/>
  <c r="O109" i="111"/>
  <c r="N109" i="111" s="1"/>
  <c r="L109" i="111" s="1"/>
  <c r="G109" i="111" s="1"/>
  <c r="K109" i="111"/>
  <c r="P109" i="111"/>
  <c r="I109" i="111"/>
  <c r="M110" i="111" l="1"/>
  <c r="H110" i="111"/>
  <c r="S110" i="111"/>
  <c r="T151" i="111"/>
  <c r="V151" i="111" s="1"/>
  <c r="Q110" i="111" l="1"/>
  <c r="O110" i="111"/>
  <c r="N110" i="111" s="1"/>
  <c r="L110" i="111" s="1"/>
  <c r="G110" i="111" s="1"/>
  <c r="K110" i="111"/>
  <c r="P110" i="111"/>
  <c r="I110" i="111"/>
  <c r="M111" i="111" l="1"/>
  <c r="S111" i="111"/>
  <c r="H111" i="111"/>
  <c r="T152" i="111"/>
  <c r="V152" i="111" s="1"/>
  <c r="I111" i="111" l="1"/>
  <c r="Q111" i="111"/>
  <c r="O111" i="111"/>
  <c r="P111" i="111"/>
  <c r="K111" i="111"/>
  <c r="H112" i="111" l="1"/>
  <c r="S112" i="111"/>
  <c r="T153" i="111"/>
  <c r="V153" i="111" s="1"/>
  <c r="N111" i="111"/>
  <c r="L111" i="111" s="1"/>
  <c r="G111" i="111" s="1"/>
  <c r="Q112" i="111" l="1"/>
  <c r="O112" i="111"/>
  <c r="N112" i="111" s="1"/>
  <c r="L112" i="111" s="1"/>
  <c r="G112" i="111" s="1"/>
  <c r="K112" i="111"/>
  <c r="P112" i="111"/>
  <c r="I112" i="111"/>
  <c r="M112" i="111"/>
  <c r="M113" i="111" l="1"/>
  <c r="H113" i="111"/>
  <c r="S113" i="111"/>
  <c r="T154" i="111"/>
  <c r="V154" i="111" s="1"/>
  <c r="Q113" i="111" l="1"/>
  <c r="O113" i="111"/>
  <c r="N113" i="111" s="1"/>
  <c r="L113" i="111" s="1"/>
  <c r="G113" i="111" s="1"/>
  <c r="K113" i="111"/>
  <c r="P113" i="111"/>
  <c r="I113" i="111"/>
  <c r="M114" i="111" l="1"/>
  <c r="H114" i="111"/>
  <c r="S114" i="111"/>
  <c r="T155" i="111"/>
  <c r="V155" i="111" s="1"/>
  <c r="Q114" i="111" l="1"/>
  <c r="O114" i="111"/>
  <c r="N114" i="111" s="1"/>
  <c r="L114" i="111" s="1"/>
  <c r="G114" i="111" s="1"/>
  <c r="K114" i="111"/>
  <c r="P114" i="111"/>
  <c r="I114" i="111"/>
  <c r="M115" i="111" l="1"/>
  <c r="S115" i="111"/>
  <c r="H115" i="111"/>
  <c r="T156" i="111"/>
  <c r="V156" i="111" s="1"/>
  <c r="I115" i="111" l="1"/>
  <c r="Q115" i="111"/>
  <c r="O115" i="111"/>
  <c r="P115" i="111"/>
  <c r="K115" i="111"/>
  <c r="H116" i="111" l="1"/>
  <c r="S116" i="111"/>
  <c r="T157" i="111"/>
  <c r="V157" i="111" s="1"/>
  <c r="N115" i="111"/>
  <c r="L115" i="111" s="1"/>
  <c r="G115" i="111" s="1"/>
  <c r="Q116" i="111" l="1"/>
  <c r="O116" i="111"/>
  <c r="N116" i="111" s="1"/>
  <c r="L116" i="111" s="1"/>
  <c r="G116" i="111" s="1"/>
  <c r="K116" i="111"/>
  <c r="P116" i="111"/>
  <c r="I116" i="111"/>
  <c r="M116" i="111"/>
  <c r="M117" i="111" l="1"/>
  <c r="H117" i="111"/>
  <c r="S117" i="111"/>
  <c r="T158" i="111"/>
  <c r="V158" i="111" s="1"/>
  <c r="Q117" i="111" l="1"/>
  <c r="O117" i="111"/>
  <c r="N117" i="111" s="1"/>
  <c r="L117" i="111" s="1"/>
  <c r="G117" i="111" s="1"/>
  <c r="K117" i="111"/>
  <c r="P117" i="111"/>
  <c r="I117" i="111"/>
  <c r="M118" i="111" l="1"/>
  <c r="H118" i="111"/>
  <c r="S118" i="111"/>
  <c r="T159" i="111"/>
  <c r="V159" i="111" s="1"/>
  <c r="Q118" i="111" l="1"/>
  <c r="O118" i="111"/>
  <c r="K118" i="111"/>
  <c r="P118" i="111"/>
  <c r="I118" i="111"/>
  <c r="N118" i="111" l="1"/>
  <c r="L118" i="111" s="1"/>
  <c r="G118" i="111" s="1"/>
  <c r="S119" i="111"/>
  <c r="H119" i="111"/>
  <c r="T160" i="111"/>
  <c r="V160" i="111" s="1"/>
  <c r="I119" i="111" l="1"/>
  <c r="Q119" i="111"/>
  <c r="O119" i="111"/>
  <c r="P119" i="111"/>
  <c r="K119" i="111"/>
  <c r="M119" i="111"/>
  <c r="H120" i="111" l="1"/>
  <c r="S120" i="111"/>
  <c r="T161" i="111"/>
  <c r="V161" i="111" s="1"/>
  <c r="N119" i="111"/>
  <c r="L119" i="111" s="1"/>
  <c r="G119" i="111" s="1"/>
  <c r="M120" i="111" l="1"/>
  <c r="I120" i="111"/>
  <c r="Q120" i="111"/>
  <c r="O120" i="111"/>
  <c r="K120" i="111"/>
  <c r="P120" i="111"/>
  <c r="H121" i="111" l="1"/>
  <c r="S121" i="111"/>
  <c r="T162" i="111"/>
  <c r="V162" i="111" s="1"/>
  <c r="N120" i="111"/>
  <c r="L120" i="111" s="1"/>
  <c r="G120" i="111" s="1"/>
  <c r="Q121" i="111" l="1"/>
  <c r="O121" i="111"/>
  <c r="N121" i="111" s="1"/>
  <c r="L121" i="111" s="1"/>
  <c r="G121" i="111" s="1"/>
  <c r="K121" i="111"/>
  <c r="P121" i="111"/>
  <c r="I121" i="111"/>
  <c r="M121" i="111"/>
  <c r="M122" i="111" l="1"/>
  <c r="H122" i="111"/>
  <c r="S122" i="111"/>
  <c r="T163" i="111"/>
  <c r="V163" i="111" s="1"/>
  <c r="Q122" i="111" l="1"/>
  <c r="O122" i="111"/>
  <c r="N122" i="111" s="1"/>
  <c r="L122" i="111" s="1"/>
  <c r="G122" i="111" s="1"/>
  <c r="K122" i="111"/>
  <c r="P122" i="111"/>
  <c r="I122" i="111"/>
  <c r="M123" i="111" l="1"/>
  <c r="S123" i="111"/>
  <c r="H123" i="111"/>
  <c r="T164" i="111"/>
  <c r="V164" i="111" s="1"/>
  <c r="I123" i="111" l="1"/>
  <c r="Q123" i="111"/>
  <c r="O123" i="111"/>
  <c r="P123" i="111"/>
  <c r="K123" i="111"/>
  <c r="N123" i="111" l="1"/>
  <c r="L123" i="111" s="1"/>
  <c r="G123" i="111" s="1"/>
  <c r="H124" i="111"/>
  <c r="S124" i="111"/>
  <c r="T165" i="111"/>
  <c r="V165" i="111" s="1"/>
  <c r="M124" i="111" l="1"/>
  <c r="Q124" i="111"/>
  <c r="O124" i="111"/>
  <c r="K124" i="111"/>
  <c r="P124" i="111"/>
  <c r="I124" i="111"/>
  <c r="N124" i="111" l="1"/>
  <c r="L124" i="111" s="1"/>
  <c r="G124" i="111" s="1"/>
  <c r="H125" i="111"/>
  <c r="S125" i="111"/>
  <c r="T166" i="111"/>
  <c r="V166" i="111" s="1"/>
  <c r="Q125" i="111" l="1"/>
  <c r="O125" i="111"/>
  <c r="N125" i="111" s="1"/>
  <c r="L125" i="111" s="1"/>
  <c r="G125" i="111" s="1"/>
  <c r="K125" i="111"/>
  <c r="P125" i="111"/>
  <c r="I125" i="111"/>
  <c r="M125" i="111"/>
  <c r="M126" i="111" l="1"/>
  <c r="H126" i="111"/>
  <c r="S126" i="111"/>
  <c r="T167" i="111"/>
  <c r="V167" i="111" s="1"/>
  <c r="Q126" i="111" l="1"/>
  <c r="O126" i="111"/>
  <c r="N126" i="111" s="1"/>
  <c r="L126" i="111" s="1"/>
  <c r="G126" i="111" s="1"/>
  <c r="K126" i="111"/>
  <c r="P126" i="111"/>
  <c r="I126" i="111"/>
  <c r="M127" i="111" l="1"/>
  <c r="S127" i="111"/>
  <c r="H127" i="111"/>
  <c r="T168" i="111"/>
  <c r="V168" i="111" s="1"/>
  <c r="I127" i="111" l="1"/>
  <c r="Q127" i="111"/>
  <c r="O127" i="111"/>
  <c r="P127" i="111"/>
  <c r="K127" i="111"/>
  <c r="H128" i="111" l="1"/>
  <c r="S128" i="111"/>
  <c r="T169" i="111"/>
  <c r="V169" i="111" s="1"/>
  <c r="N127" i="111"/>
  <c r="L127" i="111" s="1"/>
  <c r="G127" i="111" s="1"/>
  <c r="M128" i="111" l="1"/>
  <c r="Q128" i="111"/>
  <c r="O128" i="111"/>
  <c r="K128" i="111"/>
  <c r="P128" i="111"/>
  <c r="I128" i="111"/>
  <c r="H129" i="111" l="1"/>
  <c r="S129" i="111"/>
  <c r="T170" i="111"/>
  <c r="V170" i="111" s="1"/>
  <c r="N128" i="111"/>
  <c r="L128" i="111" s="1"/>
  <c r="G128" i="111" s="1"/>
  <c r="M129" i="111" l="1"/>
  <c r="I129" i="111"/>
  <c r="Q129" i="111"/>
  <c r="O129" i="111"/>
  <c r="K129" i="111"/>
  <c r="P129" i="111"/>
  <c r="H130" i="111" l="1"/>
  <c r="S130" i="111"/>
  <c r="T171" i="111"/>
  <c r="V171" i="111" s="1"/>
  <c r="N129" i="111"/>
  <c r="L129" i="111" s="1"/>
  <c r="G129" i="111" s="1"/>
  <c r="M130" i="111" l="1"/>
  <c r="O130" i="111"/>
  <c r="N130" i="111" s="1"/>
  <c r="L130" i="111" s="1"/>
  <c r="G130" i="111" s="1"/>
  <c r="Q130" i="111"/>
  <c r="P130" i="111"/>
  <c r="K130" i="111"/>
  <c r="I130" i="111"/>
  <c r="S131" i="111" l="1"/>
  <c r="H131" i="111"/>
  <c r="T172" i="111"/>
  <c r="V172" i="111" s="1"/>
  <c r="M131" i="111"/>
  <c r="I131" i="111" l="1"/>
  <c r="Q131" i="111"/>
  <c r="O131" i="111"/>
  <c r="P131" i="111"/>
  <c r="K131" i="111"/>
  <c r="H132" i="111" l="1"/>
  <c r="S132" i="111"/>
  <c r="T173" i="111"/>
  <c r="V173" i="111" s="1"/>
  <c r="N131" i="111"/>
  <c r="L131" i="111" s="1"/>
  <c r="G131" i="111" s="1"/>
  <c r="Q132" i="111" l="1"/>
  <c r="O132" i="111"/>
  <c r="N132" i="111" s="1"/>
  <c r="L132" i="111" s="1"/>
  <c r="G132" i="111" s="1"/>
  <c r="K132" i="111"/>
  <c r="P132" i="111"/>
  <c r="I132" i="111"/>
  <c r="M132" i="111"/>
  <c r="M133" i="111" l="1"/>
  <c r="H133" i="111"/>
  <c r="S133" i="111"/>
  <c r="T174" i="111"/>
  <c r="V174" i="111" s="1"/>
  <c r="Q133" i="111" l="1"/>
  <c r="O133" i="111"/>
  <c r="N133" i="111" s="1"/>
  <c r="L133" i="111" s="1"/>
  <c r="G133" i="111" s="1"/>
  <c r="K133" i="111"/>
  <c r="P133" i="111"/>
  <c r="I133" i="111"/>
  <c r="M134" i="111" l="1"/>
  <c r="H134" i="111"/>
  <c r="S134" i="111"/>
  <c r="T175" i="111"/>
  <c r="V175" i="111" s="1"/>
  <c r="O134" i="111" l="1"/>
  <c r="Q134" i="111"/>
  <c r="K134" i="111"/>
  <c r="P134" i="111"/>
  <c r="N134" i="111"/>
  <c r="L134" i="111" s="1"/>
  <c r="G134" i="111" s="1"/>
  <c r="I134" i="111"/>
  <c r="S135" i="111" l="1"/>
  <c r="H135" i="111"/>
  <c r="T176" i="111"/>
  <c r="V176" i="111" s="1"/>
  <c r="M135" i="111"/>
  <c r="I135" i="111" l="1"/>
  <c r="Q135" i="111"/>
  <c r="O135" i="111"/>
  <c r="P135" i="111"/>
  <c r="K135" i="111"/>
  <c r="H136" i="111" l="1"/>
  <c r="S136" i="111"/>
  <c r="T177" i="111"/>
  <c r="V177" i="111" s="1"/>
  <c r="N135" i="111"/>
  <c r="L135" i="111" s="1"/>
  <c r="G135" i="111" s="1"/>
  <c r="Q136" i="111" l="1"/>
  <c r="O136" i="111"/>
  <c r="N136" i="111" s="1"/>
  <c r="L136" i="111" s="1"/>
  <c r="G136" i="111" s="1"/>
  <c r="K136" i="111"/>
  <c r="P136" i="111"/>
  <c r="I136" i="111"/>
  <c r="M136" i="111"/>
  <c r="M137" i="111" l="1"/>
  <c r="H137" i="111"/>
  <c r="S137" i="111"/>
  <c r="T178" i="111"/>
  <c r="V178" i="111" s="1"/>
  <c r="Q137" i="111" l="1"/>
  <c r="O137" i="111"/>
  <c r="K137" i="111"/>
  <c r="P137" i="111"/>
  <c r="I137" i="111"/>
  <c r="N137" i="111" l="1"/>
  <c r="L137" i="111" s="1"/>
  <c r="G137" i="111" s="1"/>
  <c r="H138" i="111"/>
  <c r="S138" i="111"/>
  <c r="T179" i="111"/>
  <c r="V179" i="111" s="1"/>
  <c r="O138" i="111" l="1"/>
  <c r="Q138" i="111"/>
  <c r="P138" i="111"/>
  <c r="K138" i="111"/>
  <c r="N138" i="111"/>
  <c r="L138" i="111" s="1"/>
  <c r="G138" i="111" s="1"/>
  <c r="I138" i="111"/>
  <c r="M138" i="111"/>
  <c r="S139" i="111" l="1"/>
  <c r="H139" i="111"/>
  <c r="T180" i="111"/>
  <c r="M139" i="111"/>
  <c r="I139" i="111" l="1"/>
  <c r="V180" i="111"/>
  <c r="T181" i="111"/>
  <c r="Q139" i="111"/>
  <c r="O139" i="111"/>
  <c r="P139" i="111"/>
  <c r="K139" i="111"/>
  <c r="H140" i="111" l="1"/>
  <c r="S140" i="111"/>
  <c r="N139" i="111"/>
  <c r="L139" i="111" s="1"/>
  <c r="G139" i="111" s="1"/>
  <c r="Q140" i="111" l="1"/>
  <c r="O140" i="111"/>
  <c r="K140" i="111"/>
  <c r="P140" i="111"/>
  <c r="I140" i="111"/>
  <c r="M140" i="111"/>
  <c r="N140" i="111" l="1"/>
  <c r="L140" i="111" s="1"/>
  <c r="G140" i="111" s="1"/>
  <c r="H141" i="111"/>
  <c r="S141" i="111"/>
  <c r="Q141" i="111" l="1"/>
  <c r="O141" i="111"/>
  <c r="K141" i="111"/>
  <c r="P141" i="111"/>
  <c r="I141" i="111"/>
  <c r="M141" i="111"/>
  <c r="N141" i="111" l="1"/>
  <c r="L141" i="111" s="1"/>
  <c r="G141" i="111" s="1"/>
  <c r="H142" i="111"/>
  <c r="S142" i="111"/>
  <c r="O142" i="111" l="1"/>
  <c r="Q142" i="111"/>
  <c r="K142" i="111"/>
  <c r="P142" i="111"/>
  <c r="N142" i="111"/>
  <c r="L142" i="111" s="1"/>
  <c r="G142" i="111" s="1"/>
  <c r="I142" i="111"/>
  <c r="M142" i="111"/>
  <c r="S143" i="111" l="1"/>
  <c r="H143" i="111"/>
  <c r="M143" i="111"/>
  <c r="I143" i="111" l="1"/>
  <c r="Q143" i="111"/>
  <c r="O143" i="111"/>
  <c r="P143" i="111"/>
  <c r="K143" i="111"/>
  <c r="H144" i="111" l="1"/>
  <c r="S144" i="111"/>
  <c r="N143" i="111"/>
  <c r="L143" i="111" s="1"/>
  <c r="G143" i="111" s="1"/>
  <c r="Q144" i="111" l="1"/>
  <c r="O144" i="111"/>
  <c r="K144" i="111"/>
  <c r="P144" i="111"/>
  <c r="I144" i="111"/>
  <c r="M144" i="111"/>
  <c r="N144" i="111" l="1"/>
  <c r="L144" i="111" s="1"/>
  <c r="G144" i="111" s="1"/>
  <c r="H145" i="111"/>
  <c r="S145" i="111"/>
  <c r="Q145" i="111" l="1"/>
  <c r="O145" i="111"/>
  <c r="K145" i="111"/>
  <c r="P145" i="111"/>
  <c r="I145" i="111"/>
  <c r="M145" i="111"/>
  <c r="N145" i="111" l="1"/>
  <c r="L145" i="111" s="1"/>
  <c r="G145" i="111" s="1"/>
  <c r="H146" i="111"/>
  <c r="S146" i="111"/>
  <c r="M146" i="111" l="1"/>
  <c r="I146" i="111"/>
  <c r="O146" i="111"/>
  <c r="Q146" i="111"/>
  <c r="P146" i="111"/>
  <c r="K146" i="111"/>
  <c r="S147" i="111" l="1"/>
  <c r="H147" i="111"/>
  <c r="N146" i="111"/>
  <c r="L146" i="111" s="1"/>
  <c r="G146" i="111" s="1"/>
  <c r="M147" i="111" l="1"/>
  <c r="I147" i="111"/>
  <c r="Q147" i="111"/>
  <c r="O147" i="111"/>
  <c r="N147" i="111" s="1"/>
  <c r="L147" i="111" s="1"/>
  <c r="G147" i="111" s="1"/>
  <c r="P147" i="111"/>
  <c r="K147" i="111"/>
  <c r="H148" i="111" l="1"/>
  <c r="S148" i="111"/>
  <c r="M148" i="111"/>
  <c r="Q148" i="111" l="1"/>
  <c r="O148" i="111"/>
  <c r="K148" i="111"/>
  <c r="P148" i="111"/>
  <c r="I148" i="111"/>
  <c r="N148" i="111" l="1"/>
  <c r="L148" i="111" s="1"/>
  <c r="G148" i="111" s="1"/>
  <c r="H149" i="111"/>
  <c r="S149" i="111"/>
  <c r="I149" i="111" l="1"/>
  <c r="Q149" i="111"/>
  <c r="O149" i="111"/>
  <c r="K149" i="111"/>
  <c r="P149" i="111"/>
  <c r="M149" i="111"/>
  <c r="H150" i="111" l="1"/>
  <c r="S150" i="111"/>
  <c r="N149" i="111"/>
  <c r="L149" i="111" s="1"/>
  <c r="G149" i="111" s="1"/>
  <c r="M150" i="111" l="1"/>
  <c r="O150" i="111"/>
  <c r="N150" i="111" s="1"/>
  <c r="L150" i="111" s="1"/>
  <c r="G150" i="111" s="1"/>
  <c r="Q150" i="111"/>
  <c r="K150" i="111"/>
  <c r="P150" i="111"/>
  <c r="I150" i="111"/>
  <c r="S151" i="111" l="1"/>
  <c r="H151" i="111"/>
  <c r="M151" i="111"/>
  <c r="I151" i="111" l="1"/>
  <c r="Q151" i="111"/>
  <c r="O151" i="111"/>
  <c r="P151" i="111"/>
  <c r="K151" i="111"/>
  <c r="H152" i="111" l="1"/>
  <c r="S152" i="111"/>
  <c r="N151" i="111"/>
  <c r="L151" i="111" s="1"/>
  <c r="G151" i="111" s="1"/>
  <c r="Q152" i="111" l="1"/>
  <c r="O152" i="111"/>
  <c r="N152" i="111" s="1"/>
  <c r="L152" i="111" s="1"/>
  <c r="G152" i="111" s="1"/>
  <c r="K152" i="111"/>
  <c r="P152" i="111"/>
  <c r="I152" i="111"/>
  <c r="M152" i="111"/>
  <c r="M153" i="111" l="1"/>
  <c r="H153" i="111"/>
  <c r="S153" i="111"/>
  <c r="I153" i="111" l="1"/>
  <c r="Q153" i="111"/>
  <c r="O153" i="111"/>
  <c r="K153" i="111"/>
  <c r="P153" i="111"/>
  <c r="H154" i="111" l="1"/>
  <c r="S154" i="111"/>
  <c r="N153" i="111"/>
  <c r="L153" i="111" s="1"/>
  <c r="G153" i="111" s="1"/>
  <c r="O154" i="111" l="1"/>
  <c r="Q154" i="111"/>
  <c r="K154" i="111"/>
  <c r="P154" i="111"/>
  <c r="N154" i="111"/>
  <c r="L154" i="111" s="1"/>
  <c r="G154" i="111" s="1"/>
  <c r="I154" i="111"/>
  <c r="M154" i="111"/>
  <c r="S155" i="111" l="1"/>
  <c r="H155" i="111"/>
  <c r="M155" i="111"/>
  <c r="I155" i="111" l="1"/>
  <c r="Q155" i="111"/>
  <c r="O155" i="111"/>
  <c r="P155" i="111"/>
  <c r="K155" i="111"/>
  <c r="H156" i="111" l="1"/>
  <c r="S156" i="111"/>
  <c r="N155" i="111"/>
  <c r="L155" i="111" s="1"/>
  <c r="G155" i="111" s="1"/>
  <c r="Q156" i="111" l="1"/>
  <c r="O156" i="111"/>
  <c r="N156" i="111" s="1"/>
  <c r="L156" i="111" s="1"/>
  <c r="G156" i="111" s="1"/>
  <c r="K156" i="111"/>
  <c r="P156" i="111"/>
  <c r="I156" i="111"/>
  <c r="M156" i="111"/>
  <c r="M157" i="111" l="1"/>
  <c r="H157" i="111"/>
  <c r="S157" i="111"/>
  <c r="I157" i="111" l="1"/>
  <c r="Q157" i="111"/>
  <c r="O157" i="111"/>
  <c r="K157" i="111"/>
  <c r="P157" i="111"/>
  <c r="H158" i="111" l="1"/>
  <c r="S158" i="111"/>
  <c r="N157" i="111"/>
  <c r="L157" i="111" s="1"/>
  <c r="G157" i="111" s="1"/>
  <c r="O158" i="111" l="1"/>
  <c r="N158" i="111" s="1"/>
  <c r="L158" i="111" s="1"/>
  <c r="G158" i="111" s="1"/>
  <c r="BA108" i="111" s="1"/>
  <c r="Q158" i="111"/>
  <c r="K158" i="111"/>
  <c r="P158" i="111"/>
  <c r="I158" i="111"/>
  <c r="M158" i="111"/>
  <c r="S159" i="111" l="1"/>
  <c r="H159" i="111"/>
  <c r="M159" i="111"/>
  <c r="I159" i="111" l="1"/>
  <c r="H160" i="111"/>
  <c r="C26" i="111" s="1"/>
  <c r="O159" i="111"/>
  <c r="N159" i="111" s="1"/>
  <c r="L159" i="111" s="1"/>
  <c r="K159" i="111"/>
  <c r="K160" i="111" s="1"/>
  <c r="Q159" i="111"/>
  <c r="P159" i="111"/>
  <c r="L160" i="111" l="1"/>
  <c r="G159" i="111"/>
  <c r="C29" i="94"/>
  <c r="U46" i="111"/>
  <c r="C27" i="111"/>
  <c r="U133" i="111"/>
  <c r="U134" i="111" l="1"/>
  <c r="U135" i="111" s="1"/>
  <c r="U136" i="111" s="1"/>
  <c r="U137" i="111" s="1"/>
  <c r="U138" i="111" s="1"/>
  <c r="U139" i="111" s="1"/>
  <c r="U140" i="111" s="1"/>
  <c r="U141" i="111" s="1"/>
  <c r="U142" i="111" s="1"/>
  <c r="U143" i="111" s="1"/>
  <c r="U144" i="111" s="1"/>
  <c r="U145" i="111" s="1"/>
  <c r="U146" i="111" s="1"/>
  <c r="U147" i="111" s="1"/>
  <c r="U148" i="111" s="1"/>
  <c r="U149" i="111" s="1"/>
  <c r="U150" i="111" s="1"/>
  <c r="U151" i="111" s="1"/>
  <c r="U152" i="111" s="1"/>
  <c r="U153" i="111" s="1"/>
  <c r="U154" i="111" s="1"/>
  <c r="U155" i="111" s="1"/>
  <c r="U156" i="111" s="1"/>
  <c r="U157" i="111" s="1"/>
  <c r="U158" i="111" s="1"/>
  <c r="U159" i="111" s="1"/>
  <c r="E29" i="94"/>
  <c r="C30" i="94"/>
  <c r="C31" i="94" s="1"/>
  <c r="BA109" i="111"/>
  <c r="G160" i="111"/>
  <c r="BA110" i="111" s="1"/>
  <c r="BA116" i="111" s="1"/>
  <c r="C33" i="94" l="1"/>
  <c r="E31" i="94"/>
  <c r="U160" i="111"/>
  <c r="U161" i="111" s="1"/>
  <c r="U162" i="111" s="1"/>
  <c r="U163" i="111" s="1"/>
  <c r="U164" i="111" s="1"/>
  <c r="U165" i="111" s="1"/>
  <c r="U166" i="111" s="1"/>
  <c r="U167" i="111" s="1"/>
  <c r="U168" i="111" s="1"/>
  <c r="U169" i="111" s="1"/>
  <c r="U170" i="111" s="1"/>
  <c r="U171" i="111" s="1"/>
  <c r="U172" i="111" s="1"/>
  <c r="U173" i="111" s="1"/>
  <c r="U174" i="111" s="1"/>
  <c r="U175" i="111" s="1"/>
  <c r="U176" i="111" s="1"/>
  <c r="U177" i="111" s="1"/>
  <c r="U178" i="111" s="1"/>
  <c r="U179" i="111" s="1"/>
  <c r="U180" i="111" s="1"/>
  <c r="AE51" i="111"/>
  <c r="U181" i="111" l="1"/>
  <c r="V181" i="111"/>
  <c r="C34" i="94"/>
  <c r="E33" i="94"/>
  <c r="C35" i="94"/>
  <c r="C36" i="94" l="1"/>
  <c r="T93" i="94"/>
  <c r="E35" i="94"/>
  <c r="E36" i="94" l="1"/>
  <c r="T94" i="94"/>
  <c r="G12" i="103"/>
  <c r="K12" i="103" s="1"/>
  <c r="Q12" i="103" s="1"/>
  <c r="T54" i="103" s="1"/>
  <c r="V54" i="103" s="1"/>
  <c r="J92" i="103"/>
  <c r="J160" i="103"/>
  <c r="C27" i="103" s="1"/>
  <c r="G89" i="110"/>
  <c r="K89" i="110" s="1"/>
  <c r="Q89" i="110" s="1"/>
  <c r="BA12" i="103" l="1"/>
  <c r="U53" i="103"/>
  <c r="S13" i="103"/>
  <c r="H13" i="103"/>
  <c r="BA89" i="110"/>
  <c r="S90" i="110"/>
  <c r="T131" i="110"/>
  <c r="H90" i="110"/>
  <c r="O13" i="103" l="1"/>
  <c r="P13" i="103"/>
  <c r="N13" i="103"/>
  <c r="L13" i="103" s="1"/>
  <c r="I13" i="103"/>
  <c r="V131" i="110"/>
  <c r="U130" i="110"/>
  <c r="I90" i="110"/>
  <c r="O90" i="110"/>
  <c r="P90" i="110"/>
  <c r="M14" i="103" l="1"/>
  <c r="G13" i="103"/>
  <c r="N90" i="110"/>
  <c r="L90" i="110" s="1"/>
  <c r="BA13" i="103" l="1"/>
  <c r="K13" i="103"/>
  <c r="G90" i="110"/>
  <c r="K90" i="110" s="1"/>
  <c r="M91" i="110"/>
  <c r="Q13" i="103" l="1"/>
  <c r="Q90" i="110"/>
  <c r="BA90" i="110"/>
  <c r="S14" i="103" l="1"/>
  <c r="H14" i="103"/>
  <c r="T55" i="103"/>
  <c r="H91" i="110"/>
  <c r="T132" i="110"/>
  <c r="S91" i="110"/>
  <c r="V55" i="103" l="1"/>
  <c r="U54" i="103"/>
  <c r="I14" i="103"/>
  <c r="O14" i="103"/>
  <c r="P14" i="103"/>
  <c r="V132" i="110"/>
  <c r="U131" i="110"/>
  <c r="O91" i="110"/>
  <c r="N91" i="110" s="1"/>
  <c r="L91" i="110" s="1"/>
  <c r="P91" i="110"/>
  <c r="I91" i="110"/>
  <c r="N14" i="103" l="1"/>
  <c r="L14" i="103" s="1"/>
  <c r="G91" i="110"/>
  <c r="M92" i="110"/>
  <c r="G14" i="103" l="1"/>
  <c r="K14" i="103" s="1"/>
  <c r="M15" i="103"/>
  <c r="BA91" i="110"/>
  <c r="K91" i="110"/>
  <c r="Q14" i="103" l="1"/>
  <c r="BA14" i="103"/>
  <c r="Q91" i="110"/>
  <c r="S15" i="103" l="1"/>
  <c r="H15" i="103"/>
  <c r="T56" i="103"/>
  <c r="S92" i="110"/>
  <c r="T133" i="110"/>
  <c r="H92" i="110"/>
  <c r="I15" i="103" l="1"/>
  <c r="V56" i="103"/>
  <c r="U55" i="103"/>
  <c r="O15" i="103"/>
  <c r="P15" i="103"/>
  <c r="I92" i="110"/>
  <c r="J92" i="110" s="1"/>
  <c r="J160" i="110" s="1"/>
  <c r="V133" i="110"/>
  <c r="U132" i="110"/>
  <c r="O92" i="110"/>
  <c r="P92" i="110"/>
  <c r="N15" i="103" l="1"/>
  <c r="L15" i="103" s="1"/>
  <c r="N92" i="110"/>
  <c r="L92" i="110" s="1"/>
  <c r="G15" i="103" l="1"/>
  <c r="M16" i="103"/>
  <c r="G92" i="110"/>
  <c r="K92" i="110" s="1"/>
  <c r="M93" i="110"/>
  <c r="BA15" i="103" l="1"/>
  <c r="K15" i="103"/>
  <c r="Q92" i="110"/>
  <c r="BA92" i="110"/>
  <c r="Q15" i="103" l="1"/>
  <c r="S93" i="110"/>
  <c r="H93" i="110"/>
  <c r="T134" i="110"/>
  <c r="S16" i="103" l="1"/>
  <c r="H16" i="103"/>
  <c r="T57" i="103"/>
  <c r="V134" i="110"/>
  <c r="U133" i="110"/>
  <c r="I93" i="110"/>
  <c r="O93" i="110"/>
  <c r="P93" i="110"/>
  <c r="I16" i="103" l="1"/>
  <c r="V57" i="103"/>
  <c r="U56" i="103"/>
  <c r="O16" i="103"/>
  <c r="P16" i="103"/>
  <c r="N93" i="110"/>
  <c r="L93" i="110" s="1"/>
  <c r="N16" i="103" l="1"/>
  <c r="L16" i="103" s="1"/>
  <c r="K93" i="110"/>
  <c r="M94" i="110"/>
  <c r="G16" i="103" l="1"/>
  <c r="M17" i="103"/>
  <c r="Q93" i="110"/>
  <c r="BA16" i="103" l="1"/>
  <c r="K16" i="103"/>
  <c r="S94" i="110"/>
  <c r="H94" i="110"/>
  <c r="T135" i="110"/>
  <c r="Q16" i="103" l="1"/>
  <c r="V135" i="110"/>
  <c r="I94" i="110"/>
  <c r="G93" i="110"/>
  <c r="Q94" i="110"/>
  <c r="O94" i="110"/>
  <c r="K94" i="110"/>
  <c r="P94" i="110"/>
  <c r="S17" i="103" l="1"/>
  <c r="H17" i="103"/>
  <c r="T58" i="103"/>
  <c r="H95" i="110"/>
  <c r="S95" i="110"/>
  <c r="T136" i="110"/>
  <c r="V136" i="110" s="1"/>
  <c r="N94" i="110"/>
  <c r="L94" i="110" s="1"/>
  <c r="BA93" i="110"/>
  <c r="V58" i="103" l="1"/>
  <c r="U57" i="103"/>
  <c r="I17" i="103"/>
  <c r="O17" i="103"/>
  <c r="P17" i="103"/>
  <c r="Q95" i="110"/>
  <c r="O95" i="110"/>
  <c r="K95" i="110"/>
  <c r="P95" i="110"/>
  <c r="I95" i="110"/>
  <c r="G94" i="110"/>
  <c r="M95" i="110"/>
  <c r="N17" i="103" l="1"/>
  <c r="L17" i="103" s="1"/>
  <c r="BA94" i="110"/>
  <c r="N95" i="110"/>
  <c r="L95" i="110" s="1"/>
  <c r="G95" i="110" s="1"/>
  <c r="BA95" i="110" s="1"/>
  <c r="H96" i="110"/>
  <c r="S96" i="110"/>
  <c r="T137" i="110"/>
  <c r="V137" i="110" s="1"/>
  <c r="G17" i="103" l="1"/>
  <c r="M18" i="103"/>
  <c r="M96" i="110"/>
  <c r="Q96" i="110"/>
  <c r="O96" i="110"/>
  <c r="N96" i="110" s="1"/>
  <c r="L96" i="110" s="1"/>
  <c r="G96" i="110" s="1"/>
  <c r="BA96" i="110" s="1"/>
  <c r="K96" i="110"/>
  <c r="P96" i="110"/>
  <c r="I96" i="110"/>
  <c r="BA17" i="103" l="1"/>
  <c r="K17" i="103"/>
  <c r="M97" i="110"/>
  <c r="S97" i="110"/>
  <c r="H97" i="110"/>
  <c r="T138" i="110"/>
  <c r="V138" i="110" s="1"/>
  <c r="Q17" i="103" l="1"/>
  <c r="Q97" i="110"/>
  <c r="K97" i="110"/>
  <c r="O97" i="110"/>
  <c r="P97" i="110"/>
  <c r="I97" i="110"/>
  <c r="S18" i="103" l="1"/>
  <c r="H18" i="103"/>
  <c r="T59" i="103"/>
  <c r="M98" i="110"/>
  <c r="N97" i="110"/>
  <c r="L97" i="110" s="1"/>
  <c r="G97" i="110" s="1"/>
  <c r="BA97" i="110" s="1"/>
  <c r="T139" i="110"/>
  <c r="V139" i="110" s="1"/>
  <c r="S98" i="110"/>
  <c r="H98" i="110"/>
  <c r="I18" i="103" l="1"/>
  <c r="V59" i="103"/>
  <c r="U58" i="103"/>
  <c r="O18" i="103"/>
  <c r="P18" i="103"/>
  <c r="Q98" i="110"/>
  <c r="O98" i="110"/>
  <c r="N98" i="110" s="1"/>
  <c r="L98" i="110" s="1"/>
  <c r="G98" i="110" s="1"/>
  <c r="BA98" i="110" s="1"/>
  <c r="K98" i="110"/>
  <c r="P98" i="110"/>
  <c r="I98" i="110"/>
  <c r="N18" i="103" l="1"/>
  <c r="L18" i="103" s="1"/>
  <c r="M99" i="110"/>
  <c r="H99" i="110"/>
  <c r="S99" i="110"/>
  <c r="T140" i="110"/>
  <c r="V140" i="110" s="1"/>
  <c r="G18" i="103" l="1"/>
  <c r="K18" i="103" s="1"/>
  <c r="Q18" i="103" s="1"/>
  <c r="M19" i="103"/>
  <c r="Q99" i="110"/>
  <c r="O99" i="110"/>
  <c r="K99" i="110"/>
  <c r="P99" i="110"/>
  <c r="I99" i="110"/>
  <c r="S19" i="103" l="1"/>
  <c r="H19" i="103"/>
  <c r="T60" i="103"/>
  <c r="V60" i="103" s="1"/>
  <c r="BA18" i="103"/>
  <c r="N99" i="110"/>
  <c r="L99" i="110" s="1"/>
  <c r="G99" i="110" s="1"/>
  <c r="BA99" i="110" s="1"/>
  <c r="H100" i="110"/>
  <c r="S100" i="110"/>
  <c r="T141" i="110"/>
  <c r="V141" i="110" s="1"/>
  <c r="I19" i="103" l="1"/>
  <c r="U59" i="103"/>
  <c r="O19" i="103"/>
  <c r="P19" i="103"/>
  <c r="Q100" i="110"/>
  <c r="O100" i="110"/>
  <c r="K100" i="110"/>
  <c r="P100" i="110"/>
  <c r="I100" i="110"/>
  <c r="M100" i="110"/>
  <c r="N19" i="103" l="1"/>
  <c r="L19" i="103" s="1"/>
  <c r="N100" i="110"/>
  <c r="L100" i="110" s="1"/>
  <c r="G100" i="110" s="1"/>
  <c r="BA100" i="110" s="1"/>
  <c r="S101" i="110"/>
  <c r="H101" i="110"/>
  <c r="T142" i="110"/>
  <c r="V142" i="110" s="1"/>
  <c r="G19" i="103" l="1"/>
  <c r="K19" i="103" s="1"/>
  <c r="Q19" i="103" s="1"/>
  <c r="M20" i="103"/>
  <c r="M101" i="110"/>
  <c r="I101" i="110"/>
  <c r="N101" i="110"/>
  <c r="L101" i="110" s="1"/>
  <c r="G101" i="110" s="1"/>
  <c r="BA101" i="110" s="1"/>
  <c r="Q101" i="110"/>
  <c r="K101" i="110"/>
  <c r="O101" i="110"/>
  <c r="P101" i="110"/>
  <c r="S20" i="103" l="1"/>
  <c r="H20" i="103"/>
  <c r="T61" i="103"/>
  <c r="V61" i="103" s="1"/>
  <c r="BA19" i="103"/>
  <c r="T143" i="110"/>
  <c r="V143" i="110" s="1"/>
  <c r="S102" i="110"/>
  <c r="H102" i="110"/>
  <c r="M102" i="110"/>
  <c r="I20" i="103" l="1"/>
  <c r="U60" i="103"/>
  <c r="O20" i="103"/>
  <c r="P20" i="103"/>
  <c r="I102" i="110"/>
  <c r="Q102" i="110"/>
  <c r="O102" i="110"/>
  <c r="K102" i="110"/>
  <c r="P102" i="110"/>
  <c r="N20" i="103" l="1"/>
  <c r="L20" i="103" s="1"/>
  <c r="M21" i="103" s="1"/>
  <c r="H103" i="110"/>
  <c r="S103" i="110"/>
  <c r="T144" i="110"/>
  <c r="V144" i="110" s="1"/>
  <c r="N102" i="110"/>
  <c r="L102" i="110" s="1"/>
  <c r="G102" i="110" s="1"/>
  <c r="BA102" i="110" s="1"/>
  <c r="G20" i="103" l="1"/>
  <c r="K20" i="103" s="1"/>
  <c r="Q20" i="103" s="1"/>
  <c r="Q103" i="110"/>
  <c r="O103" i="110"/>
  <c r="K103" i="110"/>
  <c r="P103" i="110"/>
  <c r="I103" i="110"/>
  <c r="N103" i="110"/>
  <c r="L103" i="110" s="1"/>
  <c r="G103" i="110" s="1"/>
  <c r="BA103" i="110" s="1"/>
  <c r="M103" i="110"/>
  <c r="S21" i="103" l="1"/>
  <c r="H21" i="103"/>
  <c r="T62" i="103"/>
  <c r="V62" i="103" s="1"/>
  <c r="BA20" i="103"/>
  <c r="M104" i="110"/>
  <c r="H104" i="110"/>
  <c r="S104" i="110"/>
  <c r="T145" i="110"/>
  <c r="V145" i="110" s="1"/>
  <c r="I21" i="103" l="1"/>
  <c r="U61" i="103"/>
  <c r="O21" i="103"/>
  <c r="P21" i="103"/>
  <c r="I104" i="110"/>
  <c r="Q104" i="110"/>
  <c r="O104" i="110"/>
  <c r="K104" i="110"/>
  <c r="P104" i="110"/>
  <c r="N21" i="103" l="1"/>
  <c r="L21" i="103" s="1"/>
  <c r="S105" i="110"/>
  <c r="H105" i="110"/>
  <c r="T146" i="110"/>
  <c r="V146" i="110" s="1"/>
  <c r="N104" i="110"/>
  <c r="L104" i="110" s="1"/>
  <c r="G104" i="110" s="1"/>
  <c r="BA104" i="110" s="1"/>
  <c r="G21" i="103" l="1"/>
  <c r="K21" i="103" s="1"/>
  <c r="Q21" i="103" s="1"/>
  <c r="M22" i="103"/>
  <c r="I105" i="110"/>
  <c r="N105" i="110"/>
  <c r="L105" i="110" s="1"/>
  <c r="G105" i="110" s="1"/>
  <c r="BA105" i="110" s="1"/>
  <c r="Q105" i="110"/>
  <c r="K105" i="110"/>
  <c r="O105" i="110"/>
  <c r="P105" i="110"/>
  <c r="M105" i="110"/>
  <c r="S22" i="103" l="1"/>
  <c r="H22" i="103"/>
  <c r="T63" i="103"/>
  <c r="V63" i="103" s="1"/>
  <c r="BA21" i="103"/>
  <c r="T147" i="110"/>
  <c r="V147" i="110" s="1"/>
  <c r="S106" i="110"/>
  <c r="H106" i="110"/>
  <c r="M106" i="110"/>
  <c r="I22" i="103" l="1"/>
  <c r="U62" i="103"/>
  <c r="O22" i="103"/>
  <c r="P22" i="103"/>
  <c r="I106" i="110"/>
  <c r="Q106" i="110"/>
  <c r="K106" i="110"/>
  <c r="O106" i="110"/>
  <c r="P106" i="110"/>
  <c r="N22" i="103" l="1"/>
  <c r="L22" i="103" s="1"/>
  <c r="H107" i="110"/>
  <c r="S107" i="110"/>
  <c r="T148" i="110"/>
  <c r="V148" i="110" s="1"/>
  <c r="N106" i="110"/>
  <c r="L106" i="110" s="1"/>
  <c r="G106" i="110" s="1"/>
  <c r="BA106" i="110" s="1"/>
  <c r="G22" i="103" l="1"/>
  <c r="K22" i="103" s="1"/>
  <c r="Q22" i="103" s="1"/>
  <c r="M23" i="103"/>
  <c r="M107" i="110"/>
  <c r="Q107" i="110"/>
  <c r="O107" i="110"/>
  <c r="K107" i="110"/>
  <c r="P107" i="110"/>
  <c r="I107" i="110"/>
  <c r="N107" i="110"/>
  <c r="L107" i="110" s="1"/>
  <c r="G107" i="110" s="1"/>
  <c r="BA107" i="110" s="1"/>
  <c r="S23" i="103" l="1"/>
  <c r="H23" i="103"/>
  <c r="T64" i="103"/>
  <c r="V64" i="103" s="1"/>
  <c r="BA22" i="103"/>
  <c r="M108" i="110"/>
  <c r="H108" i="110"/>
  <c r="S108" i="110"/>
  <c r="T149" i="110"/>
  <c r="V149" i="110" s="1"/>
  <c r="I23" i="103" l="1"/>
  <c r="U63" i="103"/>
  <c r="O23" i="103"/>
  <c r="P23" i="103"/>
  <c r="I108" i="110"/>
  <c r="Q108" i="110"/>
  <c r="O108" i="110"/>
  <c r="K108" i="110"/>
  <c r="P108" i="110"/>
  <c r="N23" i="103" l="1"/>
  <c r="L23" i="103" s="1"/>
  <c r="S109" i="110"/>
  <c r="H109" i="110"/>
  <c r="T150" i="110"/>
  <c r="V150" i="110" s="1"/>
  <c r="N108" i="110"/>
  <c r="L108" i="110" s="1"/>
  <c r="G108" i="110" s="1"/>
  <c r="G23" i="103" l="1"/>
  <c r="K23" i="103" s="1"/>
  <c r="Q23" i="103" s="1"/>
  <c r="M24" i="103"/>
  <c r="I109" i="110"/>
  <c r="Q109" i="110"/>
  <c r="K109" i="110"/>
  <c r="O109" i="110"/>
  <c r="N109" i="110" s="1"/>
  <c r="L109" i="110" s="1"/>
  <c r="G109" i="110" s="1"/>
  <c r="P109" i="110"/>
  <c r="M109" i="110"/>
  <c r="S24" i="103" l="1"/>
  <c r="H24" i="103"/>
  <c r="T65" i="103"/>
  <c r="V65" i="103" s="1"/>
  <c r="BA23" i="103"/>
  <c r="T151" i="110"/>
  <c r="V151" i="110" s="1"/>
  <c r="S110" i="110"/>
  <c r="H110" i="110"/>
  <c r="M110" i="110"/>
  <c r="I24" i="103" l="1"/>
  <c r="U64" i="103"/>
  <c r="O24" i="103"/>
  <c r="P24" i="103"/>
  <c r="I110" i="110"/>
  <c r="Q110" i="110"/>
  <c r="O110" i="110"/>
  <c r="K110" i="110"/>
  <c r="P110" i="110"/>
  <c r="N24" i="103" l="1"/>
  <c r="L24" i="103" s="1"/>
  <c r="H111" i="110"/>
  <c r="S111" i="110"/>
  <c r="T152" i="110"/>
  <c r="V152" i="110" s="1"/>
  <c r="N110" i="110"/>
  <c r="L110" i="110" s="1"/>
  <c r="G110" i="110" s="1"/>
  <c r="G24" i="103" l="1"/>
  <c r="K24" i="103" s="1"/>
  <c r="Q24" i="103" s="1"/>
  <c r="M25" i="103"/>
  <c r="Q111" i="110"/>
  <c r="O111" i="110"/>
  <c r="K111" i="110"/>
  <c r="P111" i="110"/>
  <c r="I111" i="110"/>
  <c r="M111" i="110"/>
  <c r="S25" i="103" l="1"/>
  <c r="H25" i="103"/>
  <c r="T66" i="103"/>
  <c r="V66" i="103" s="1"/>
  <c r="BA24" i="103"/>
  <c r="N111" i="110"/>
  <c r="L111" i="110" s="1"/>
  <c r="G111" i="110" s="1"/>
  <c r="H112" i="110"/>
  <c r="S112" i="110"/>
  <c r="T153" i="110"/>
  <c r="V153" i="110" s="1"/>
  <c r="U65" i="103" l="1"/>
  <c r="I25" i="103"/>
  <c r="O25" i="103"/>
  <c r="N25" i="103" s="1"/>
  <c r="L25" i="103" s="1"/>
  <c r="P25" i="103"/>
  <c r="I112" i="110"/>
  <c r="Q112" i="110"/>
  <c r="O112" i="110"/>
  <c r="K112" i="110"/>
  <c r="P112" i="110"/>
  <c r="M112" i="110"/>
  <c r="G25" i="103" l="1"/>
  <c r="BA25" i="103" s="1"/>
  <c r="M26" i="103"/>
  <c r="S113" i="110"/>
  <c r="H113" i="110"/>
  <c r="T154" i="110"/>
  <c r="V154" i="110" s="1"/>
  <c r="N112" i="110"/>
  <c r="L112" i="110" s="1"/>
  <c r="G112" i="110" s="1"/>
  <c r="K25" i="103" l="1"/>
  <c r="Q25" i="103" s="1"/>
  <c r="I113" i="110"/>
  <c r="Q113" i="110"/>
  <c r="K113" i="110"/>
  <c r="P113" i="110"/>
  <c r="O113" i="110"/>
  <c r="M113" i="110"/>
  <c r="H26" i="103" l="1"/>
  <c r="I26" i="103" s="1"/>
  <c r="S26" i="103"/>
  <c r="T67" i="103"/>
  <c r="S114" i="110"/>
  <c r="H114" i="110"/>
  <c r="T155" i="110"/>
  <c r="V155" i="110" s="1"/>
  <c r="N113" i="110"/>
  <c r="L113" i="110" s="1"/>
  <c r="G113" i="110" s="1"/>
  <c r="V67" i="103" l="1"/>
  <c r="U66" i="103"/>
  <c r="P26" i="103"/>
  <c r="O26" i="103"/>
  <c r="N26" i="103" s="1"/>
  <c r="L26" i="103" s="1"/>
  <c r="I114" i="110"/>
  <c r="M114" i="110"/>
  <c r="Q114" i="110"/>
  <c r="O114" i="110"/>
  <c r="K114" i="110"/>
  <c r="P114" i="110"/>
  <c r="G26" i="103" l="1"/>
  <c r="K26" i="103" s="1"/>
  <c r="Q26" i="103" s="1"/>
  <c r="H27" i="103" s="1"/>
  <c r="M27" i="103"/>
  <c r="H115" i="110"/>
  <c r="S115" i="110"/>
  <c r="T156" i="110"/>
  <c r="V156" i="110" s="1"/>
  <c r="N114" i="110"/>
  <c r="L114" i="110" s="1"/>
  <c r="G114" i="110" s="1"/>
  <c r="T68" i="103" l="1"/>
  <c r="V68" i="103" s="1"/>
  <c r="S27" i="103"/>
  <c r="P27" i="103" s="1"/>
  <c r="BA26" i="103"/>
  <c r="I27" i="103"/>
  <c r="O27" i="103"/>
  <c r="M115" i="110"/>
  <c r="Q115" i="110"/>
  <c r="O115" i="110"/>
  <c r="P115" i="110"/>
  <c r="K115" i="110"/>
  <c r="I115" i="110"/>
  <c r="U67" i="103" l="1"/>
  <c r="N27" i="103"/>
  <c r="L27" i="103" s="1"/>
  <c r="M28" i="103" s="1"/>
  <c r="N115" i="110"/>
  <c r="L115" i="110" s="1"/>
  <c r="G115" i="110" s="1"/>
  <c r="H116" i="110"/>
  <c r="S116" i="110"/>
  <c r="T157" i="110"/>
  <c r="V157" i="110" s="1"/>
  <c r="G27" i="103" l="1"/>
  <c r="K27" i="103" s="1"/>
  <c r="Q27" i="103" s="1"/>
  <c r="Q116" i="110"/>
  <c r="O116" i="110"/>
  <c r="K116" i="110"/>
  <c r="P116" i="110"/>
  <c r="I116" i="110"/>
  <c r="M116" i="110"/>
  <c r="S28" i="103" l="1"/>
  <c r="H28" i="103"/>
  <c r="T69" i="103"/>
  <c r="V69" i="103" s="1"/>
  <c r="BA27" i="103"/>
  <c r="N116" i="110"/>
  <c r="L116" i="110" s="1"/>
  <c r="G116" i="110" s="1"/>
  <c r="S117" i="110"/>
  <c r="H117" i="110"/>
  <c r="T158" i="110"/>
  <c r="V158" i="110" s="1"/>
  <c r="I28" i="103" l="1"/>
  <c r="U68" i="103"/>
  <c r="O28" i="103"/>
  <c r="P28" i="103"/>
  <c r="I117" i="110"/>
  <c r="Q117" i="110"/>
  <c r="K117" i="110"/>
  <c r="P117" i="110"/>
  <c r="O117" i="110"/>
  <c r="M117" i="110"/>
  <c r="N28" i="103" l="1"/>
  <c r="L28" i="103" s="1"/>
  <c r="S118" i="110"/>
  <c r="T159" i="110"/>
  <c r="V159" i="110" s="1"/>
  <c r="H118" i="110"/>
  <c r="N117" i="110"/>
  <c r="L117" i="110" s="1"/>
  <c r="G117" i="110" s="1"/>
  <c r="G28" i="103" l="1"/>
  <c r="K28" i="103" s="1"/>
  <c r="Q28" i="103" s="1"/>
  <c r="M29" i="103"/>
  <c r="I118" i="110"/>
  <c r="Q118" i="110"/>
  <c r="O118" i="110"/>
  <c r="K118" i="110"/>
  <c r="P118" i="110"/>
  <c r="M118" i="110"/>
  <c r="S29" i="103" l="1"/>
  <c r="H29" i="103"/>
  <c r="T70" i="103"/>
  <c r="V70" i="103" s="1"/>
  <c r="BA28" i="103"/>
  <c r="H119" i="110"/>
  <c r="S119" i="110"/>
  <c r="T160" i="110"/>
  <c r="V160" i="110" s="1"/>
  <c r="N118" i="110"/>
  <c r="L118" i="110" s="1"/>
  <c r="G118" i="110" s="1"/>
  <c r="U69" i="103" l="1"/>
  <c r="I29" i="103"/>
  <c r="O29" i="103"/>
  <c r="N29" i="103" s="1"/>
  <c r="L29" i="103" s="1"/>
  <c r="P29" i="103"/>
  <c r="Q119" i="110"/>
  <c r="O119" i="110"/>
  <c r="K119" i="110"/>
  <c r="P119" i="110"/>
  <c r="I119" i="110"/>
  <c r="M119" i="110"/>
  <c r="G29" i="103" l="1"/>
  <c r="BA29" i="103" s="1"/>
  <c r="M30" i="103"/>
  <c r="N119" i="110"/>
  <c r="L119" i="110" s="1"/>
  <c r="G119" i="110" s="1"/>
  <c r="H120" i="110"/>
  <c r="S120" i="110"/>
  <c r="T161" i="110"/>
  <c r="V161" i="110" s="1"/>
  <c r="K29" i="103" l="1"/>
  <c r="Q29" i="103" s="1"/>
  <c r="Q120" i="110"/>
  <c r="O120" i="110"/>
  <c r="K120" i="110"/>
  <c r="P120" i="110"/>
  <c r="N120" i="110"/>
  <c r="L120" i="110" s="1"/>
  <c r="G120" i="110" s="1"/>
  <c r="I120" i="110"/>
  <c r="M120" i="110"/>
  <c r="S30" i="103" l="1"/>
  <c r="H30" i="103"/>
  <c r="T71" i="103"/>
  <c r="M121" i="110"/>
  <c r="S121" i="110"/>
  <c r="H121" i="110"/>
  <c r="T162" i="110"/>
  <c r="V162" i="110" s="1"/>
  <c r="I30" i="103" l="1"/>
  <c r="V71" i="103"/>
  <c r="U70" i="103"/>
  <c r="O30" i="103"/>
  <c r="P30" i="103"/>
  <c r="I121" i="110"/>
  <c r="Q121" i="110"/>
  <c r="K121" i="110"/>
  <c r="P121" i="110"/>
  <c r="O121" i="110"/>
  <c r="N30" i="103" l="1"/>
  <c r="L30" i="103" s="1"/>
  <c r="M31" i="103" s="1"/>
  <c r="S122" i="110"/>
  <c r="H122" i="110"/>
  <c r="T163" i="110"/>
  <c r="V163" i="110" s="1"/>
  <c r="N121" i="110"/>
  <c r="L121" i="110" s="1"/>
  <c r="G121" i="110" s="1"/>
  <c r="G30" i="103" l="1"/>
  <c r="K30" i="103" s="1"/>
  <c r="Q30" i="103" s="1"/>
  <c r="I122" i="110"/>
  <c r="M122" i="110"/>
  <c r="Q122" i="110"/>
  <c r="K122" i="110"/>
  <c r="O122" i="110"/>
  <c r="P122" i="110"/>
  <c r="S31" i="103" l="1"/>
  <c r="H31" i="103"/>
  <c r="T72" i="103"/>
  <c r="V72" i="103" s="1"/>
  <c r="BA30" i="103"/>
  <c r="H123" i="110"/>
  <c r="T164" i="110"/>
  <c r="V164" i="110" s="1"/>
  <c r="S123" i="110"/>
  <c r="N122" i="110"/>
  <c r="L122" i="110" s="1"/>
  <c r="G122" i="110" s="1"/>
  <c r="I31" i="103" l="1"/>
  <c r="U71" i="103"/>
  <c r="O31" i="103"/>
  <c r="P31" i="103"/>
  <c r="M123" i="110"/>
  <c r="Q123" i="110"/>
  <c r="O123" i="110"/>
  <c r="P123" i="110"/>
  <c r="K123" i="110"/>
  <c r="I123" i="110"/>
  <c r="N31" i="103" l="1"/>
  <c r="L31" i="103" s="1"/>
  <c r="N123" i="110"/>
  <c r="L123" i="110" s="1"/>
  <c r="G123" i="110" s="1"/>
  <c r="H124" i="110"/>
  <c r="S124" i="110"/>
  <c r="T165" i="110"/>
  <c r="V165" i="110" s="1"/>
  <c r="G31" i="103" l="1"/>
  <c r="K31" i="103" s="1"/>
  <c r="Q31" i="103" s="1"/>
  <c r="M32" i="103"/>
  <c r="Q124" i="110"/>
  <c r="O124" i="110"/>
  <c r="K124" i="110"/>
  <c r="P124" i="110"/>
  <c r="I124" i="110"/>
  <c r="N124" i="110"/>
  <c r="L124" i="110" s="1"/>
  <c r="G124" i="110" s="1"/>
  <c r="M124" i="110"/>
  <c r="S32" i="103" l="1"/>
  <c r="H32" i="103"/>
  <c r="T73" i="103"/>
  <c r="V73" i="103" s="1"/>
  <c r="BA31" i="103"/>
  <c r="M125" i="110"/>
  <c r="S125" i="110"/>
  <c r="H125" i="110"/>
  <c r="T166" i="110"/>
  <c r="V166" i="110" s="1"/>
  <c r="U72" i="103" l="1"/>
  <c r="I32" i="103"/>
  <c r="O32" i="103"/>
  <c r="N32" i="103" s="1"/>
  <c r="L32" i="103" s="1"/>
  <c r="P32" i="103"/>
  <c r="Q125" i="110"/>
  <c r="K125" i="110"/>
  <c r="P125" i="110"/>
  <c r="O125" i="110"/>
  <c r="I125" i="110"/>
  <c r="G32" i="103" l="1"/>
  <c r="BA32" i="103" s="1"/>
  <c r="M33" i="103"/>
  <c r="S126" i="110"/>
  <c r="H126" i="110"/>
  <c r="T167" i="110"/>
  <c r="V167" i="110" s="1"/>
  <c r="N125" i="110"/>
  <c r="L125" i="110" s="1"/>
  <c r="G125" i="110" s="1"/>
  <c r="K32" i="103" l="1"/>
  <c r="Q32" i="103" s="1"/>
  <c r="I126" i="110"/>
  <c r="M126" i="110"/>
  <c r="Q126" i="110"/>
  <c r="P126" i="110"/>
  <c r="O126" i="110"/>
  <c r="K126" i="110"/>
  <c r="S33" i="103" l="1"/>
  <c r="H33" i="103"/>
  <c r="T74" i="103"/>
  <c r="H127" i="110"/>
  <c r="S127" i="110"/>
  <c r="T168" i="110"/>
  <c r="V168" i="110" s="1"/>
  <c r="N126" i="110"/>
  <c r="L126" i="110" s="1"/>
  <c r="G126" i="110" s="1"/>
  <c r="I33" i="103" l="1"/>
  <c r="V74" i="103"/>
  <c r="U73" i="103"/>
  <c r="O33" i="103"/>
  <c r="P33" i="103"/>
  <c r="M127" i="110"/>
  <c r="Q127" i="110"/>
  <c r="O127" i="110"/>
  <c r="K127" i="110"/>
  <c r="P127" i="110"/>
  <c r="I127" i="110"/>
  <c r="N33" i="103" l="1"/>
  <c r="L33" i="103" s="1"/>
  <c r="N127" i="110"/>
  <c r="L127" i="110" s="1"/>
  <c r="G127" i="110" s="1"/>
  <c r="H128" i="110"/>
  <c r="S128" i="110"/>
  <c r="T169" i="110"/>
  <c r="V169" i="110" s="1"/>
  <c r="G33" i="103" l="1"/>
  <c r="K33" i="103" s="1"/>
  <c r="Q33" i="103" s="1"/>
  <c r="M34" i="103"/>
  <c r="Q128" i="110"/>
  <c r="O128" i="110"/>
  <c r="K128" i="110"/>
  <c r="P128" i="110"/>
  <c r="I128" i="110"/>
  <c r="M128" i="110"/>
  <c r="S34" i="103" l="1"/>
  <c r="H34" i="103"/>
  <c r="T75" i="103"/>
  <c r="V75" i="103" s="1"/>
  <c r="BA33" i="103"/>
  <c r="N128" i="110"/>
  <c r="L128" i="110" s="1"/>
  <c r="G128" i="110" s="1"/>
  <c r="S129" i="110"/>
  <c r="H129" i="110"/>
  <c r="T170" i="110"/>
  <c r="V170" i="110" s="1"/>
  <c r="U74" i="103" l="1"/>
  <c r="O34" i="103"/>
  <c r="P34" i="103"/>
  <c r="I34" i="103"/>
  <c r="I129" i="110"/>
  <c r="Q129" i="110"/>
  <c r="K129" i="110"/>
  <c r="P129" i="110"/>
  <c r="O129" i="110"/>
  <c r="M129" i="110"/>
  <c r="N34" i="103" l="1"/>
  <c r="L34" i="103" s="1"/>
  <c r="S130" i="110"/>
  <c r="H130" i="110"/>
  <c r="T171" i="110"/>
  <c r="V171" i="110" s="1"/>
  <c r="N129" i="110"/>
  <c r="L129" i="110" s="1"/>
  <c r="G129" i="110" s="1"/>
  <c r="G34" i="103" l="1"/>
  <c r="K34" i="103" s="1"/>
  <c r="Q34" i="103" s="1"/>
  <c r="M35" i="103"/>
  <c r="I130" i="110"/>
  <c r="M130" i="110"/>
  <c r="Q130" i="110"/>
  <c r="O130" i="110"/>
  <c r="K130" i="110"/>
  <c r="P130" i="110"/>
  <c r="S35" i="103" l="1"/>
  <c r="H35" i="103"/>
  <c r="T76" i="103"/>
  <c r="V76" i="103" s="1"/>
  <c r="BA34" i="103"/>
  <c r="H131" i="110"/>
  <c r="S131" i="110"/>
  <c r="T172" i="110"/>
  <c r="V172" i="110" s="1"/>
  <c r="N130" i="110"/>
  <c r="L130" i="110" s="1"/>
  <c r="G130" i="110" s="1"/>
  <c r="I35" i="103" l="1"/>
  <c r="U75" i="103"/>
  <c r="O35" i="103"/>
  <c r="P35" i="103"/>
  <c r="M131" i="110"/>
  <c r="Q131" i="110"/>
  <c r="O131" i="110"/>
  <c r="K131" i="110"/>
  <c r="P131" i="110"/>
  <c r="I131" i="110"/>
  <c r="N35" i="103" l="1"/>
  <c r="L35" i="103" s="1"/>
  <c r="N131" i="110"/>
  <c r="L131" i="110" s="1"/>
  <c r="G131" i="110" s="1"/>
  <c r="H132" i="110"/>
  <c r="S132" i="110"/>
  <c r="T173" i="110"/>
  <c r="V173" i="110" s="1"/>
  <c r="G35" i="103" l="1"/>
  <c r="K35" i="103" s="1"/>
  <c r="Q35" i="103" s="1"/>
  <c r="M36" i="103"/>
  <c r="I132" i="110"/>
  <c r="Q132" i="110"/>
  <c r="O132" i="110"/>
  <c r="K132" i="110"/>
  <c r="P132" i="110"/>
  <c r="M132" i="110"/>
  <c r="S36" i="103" l="1"/>
  <c r="H36" i="103"/>
  <c r="T77" i="103"/>
  <c r="V77" i="103" s="1"/>
  <c r="BA35" i="103"/>
  <c r="S133" i="110"/>
  <c r="H133" i="110"/>
  <c r="T174" i="110"/>
  <c r="V174" i="110" s="1"/>
  <c r="N132" i="110"/>
  <c r="L132" i="110" s="1"/>
  <c r="G132" i="110" s="1"/>
  <c r="I36" i="103" l="1"/>
  <c r="U76" i="103"/>
  <c r="O36" i="103"/>
  <c r="P36" i="103"/>
  <c r="I133" i="110"/>
  <c r="Q133" i="110"/>
  <c r="K133" i="110"/>
  <c r="P133" i="110"/>
  <c r="O133" i="110"/>
  <c r="M133" i="110"/>
  <c r="N36" i="103" l="1"/>
  <c r="L36" i="103" s="1"/>
  <c r="M37" i="103" s="1"/>
  <c r="S134" i="110"/>
  <c r="T175" i="110"/>
  <c r="V175" i="110" s="1"/>
  <c r="H134" i="110"/>
  <c r="N133" i="110"/>
  <c r="L133" i="110" s="1"/>
  <c r="G133" i="110" s="1"/>
  <c r="G36" i="103" l="1"/>
  <c r="K36" i="103" s="1"/>
  <c r="Q36" i="103" s="1"/>
  <c r="I134" i="110"/>
  <c r="M134" i="110"/>
  <c r="Q134" i="110"/>
  <c r="O134" i="110"/>
  <c r="K134" i="110"/>
  <c r="P134" i="110"/>
  <c r="S37" i="103" l="1"/>
  <c r="H37" i="103"/>
  <c r="T78" i="103"/>
  <c r="V78" i="103" s="1"/>
  <c r="BA36" i="103"/>
  <c r="H135" i="110"/>
  <c r="S135" i="110"/>
  <c r="T176" i="110"/>
  <c r="V176" i="110" s="1"/>
  <c r="N134" i="110"/>
  <c r="L134" i="110" s="1"/>
  <c r="G134" i="110" s="1"/>
  <c r="I37" i="103" l="1"/>
  <c r="U77" i="103"/>
  <c r="O37" i="103"/>
  <c r="P37" i="103"/>
  <c r="M135" i="110"/>
  <c r="Q135" i="110"/>
  <c r="O135" i="110"/>
  <c r="P135" i="110"/>
  <c r="K135" i="110"/>
  <c r="I135" i="110"/>
  <c r="N37" i="103" l="1"/>
  <c r="L37" i="103" s="1"/>
  <c r="N135" i="110"/>
  <c r="L135" i="110" s="1"/>
  <c r="G135" i="110" s="1"/>
  <c r="H136" i="110"/>
  <c r="S136" i="110"/>
  <c r="T177" i="110"/>
  <c r="V177" i="110" s="1"/>
  <c r="G37" i="103" l="1"/>
  <c r="K37" i="103" s="1"/>
  <c r="Q37" i="103" s="1"/>
  <c r="M38" i="103"/>
  <c r="Q136" i="110"/>
  <c r="O136" i="110"/>
  <c r="K136" i="110"/>
  <c r="P136" i="110"/>
  <c r="I136" i="110"/>
  <c r="M136" i="110"/>
  <c r="S38" i="103" l="1"/>
  <c r="H38" i="103"/>
  <c r="T79" i="103"/>
  <c r="V79" i="103" s="1"/>
  <c r="BA37" i="103"/>
  <c r="N136" i="110"/>
  <c r="L136" i="110" s="1"/>
  <c r="G136" i="110" s="1"/>
  <c r="S137" i="110"/>
  <c r="H137" i="110"/>
  <c r="T178" i="110"/>
  <c r="V178" i="110" s="1"/>
  <c r="U78" i="103" l="1"/>
  <c r="I38" i="103"/>
  <c r="O38" i="103"/>
  <c r="N38" i="103" s="1"/>
  <c r="L38" i="103" s="1"/>
  <c r="P38" i="103"/>
  <c r="I137" i="110"/>
  <c r="Q137" i="110"/>
  <c r="K137" i="110"/>
  <c r="P137" i="110"/>
  <c r="O137" i="110"/>
  <c r="M137" i="110"/>
  <c r="G38" i="103" l="1"/>
  <c r="BA38" i="103" s="1"/>
  <c r="M39" i="103"/>
  <c r="S138" i="110"/>
  <c r="H138" i="110"/>
  <c r="T179" i="110"/>
  <c r="V179" i="110" s="1"/>
  <c r="N137" i="110"/>
  <c r="L137" i="110" s="1"/>
  <c r="G137" i="110" s="1"/>
  <c r="K38" i="103" l="1"/>
  <c r="Q38" i="103" s="1"/>
  <c r="I138" i="110"/>
  <c r="M138" i="110"/>
  <c r="Q138" i="110"/>
  <c r="K138" i="110"/>
  <c r="O138" i="110"/>
  <c r="P138" i="110"/>
  <c r="S39" i="103" l="1"/>
  <c r="H39" i="103"/>
  <c r="T80" i="103"/>
  <c r="H139" i="110"/>
  <c r="T180" i="110"/>
  <c r="S139" i="110"/>
  <c r="N138" i="110"/>
  <c r="L138" i="110" s="1"/>
  <c r="G138" i="110" s="1"/>
  <c r="I39" i="103" l="1"/>
  <c r="V80" i="103"/>
  <c r="U79" i="103"/>
  <c r="O39" i="103"/>
  <c r="P39" i="103"/>
  <c r="Q139" i="110"/>
  <c r="O139" i="110"/>
  <c r="K139" i="110"/>
  <c r="P139" i="110"/>
  <c r="V180" i="110"/>
  <c r="T181" i="110"/>
  <c r="M139" i="110"/>
  <c r="N139" i="110"/>
  <c r="L139" i="110" s="1"/>
  <c r="G139" i="110" s="1"/>
  <c r="I139" i="110"/>
  <c r="N39" i="103" l="1"/>
  <c r="L39" i="103" s="1"/>
  <c r="M140" i="110"/>
  <c r="H140" i="110"/>
  <c r="S140" i="110"/>
  <c r="G39" i="103" l="1"/>
  <c r="K39" i="103" s="1"/>
  <c r="Q39" i="103" s="1"/>
  <c r="M40" i="103"/>
  <c r="O140" i="110"/>
  <c r="N140" i="110" s="1"/>
  <c r="L140" i="110" s="1"/>
  <c r="G140" i="110" s="1"/>
  <c r="Q140" i="110"/>
  <c r="P140" i="110"/>
  <c r="K140" i="110"/>
  <c r="I140" i="110"/>
  <c r="S40" i="103" l="1"/>
  <c r="H40" i="103"/>
  <c r="T81" i="103"/>
  <c r="V81" i="103" s="1"/>
  <c r="BA39" i="103"/>
  <c r="S141" i="110"/>
  <c r="H141" i="110"/>
  <c r="M141" i="110"/>
  <c r="I40" i="103" l="1"/>
  <c r="U80" i="103"/>
  <c r="O40" i="103"/>
  <c r="P40" i="103"/>
  <c r="I141" i="110"/>
  <c r="Q141" i="110"/>
  <c r="K141" i="110"/>
  <c r="O141" i="110"/>
  <c r="N141" i="110" s="1"/>
  <c r="L141" i="110" s="1"/>
  <c r="G141" i="110" s="1"/>
  <c r="P141" i="110"/>
  <c r="N40" i="103" l="1"/>
  <c r="L40" i="103" s="1"/>
  <c r="M41" i="103" s="1"/>
  <c r="S142" i="110"/>
  <c r="H142" i="110"/>
  <c r="M142" i="110"/>
  <c r="G40" i="103" l="1"/>
  <c r="K40" i="103" s="1"/>
  <c r="Q40" i="103" s="1"/>
  <c r="I142" i="110"/>
  <c r="Q142" i="110"/>
  <c r="O142" i="110"/>
  <c r="K142" i="110"/>
  <c r="P142" i="110"/>
  <c r="S41" i="103" l="1"/>
  <c r="H41" i="103"/>
  <c r="T82" i="103"/>
  <c r="V82" i="103" s="1"/>
  <c r="BA40" i="103"/>
  <c r="H143" i="110"/>
  <c r="S143" i="110"/>
  <c r="N142" i="110"/>
  <c r="L142" i="110" s="1"/>
  <c r="G142" i="110" s="1"/>
  <c r="I41" i="103" l="1"/>
  <c r="U81" i="103"/>
  <c r="O41" i="103"/>
  <c r="P41" i="103"/>
  <c r="Q143" i="110"/>
  <c r="O143" i="110"/>
  <c r="K143" i="110"/>
  <c r="P143" i="110"/>
  <c r="I143" i="110"/>
  <c r="M143" i="110"/>
  <c r="N41" i="103" l="1"/>
  <c r="L41" i="103" s="1"/>
  <c r="N143" i="110"/>
  <c r="L143" i="110" s="1"/>
  <c r="G143" i="110" s="1"/>
  <c r="H144" i="110"/>
  <c r="S144" i="110"/>
  <c r="G41" i="103" l="1"/>
  <c r="K41" i="103" s="1"/>
  <c r="Q41" i="103" s="1"/>
  <c r="M42" i="103"/>
  <c r="O144" i="110"/>
  <c r="Q144" i="110"/>
  <c r="K144" i="110"/>
  <c r="P144" i="110"/>
  <c r="N144" i="110"/>
  <c r="L144" i="110" s="1"/>
  <c r="G144" i="110" s="1"/>
  <c r="I144" i="110"/>
  <c r="M144" i="110"/>
  <c r="S42" i="103" l="1"/>
  <c r="H42" i="103"/>
  <c r="T83" i="103"/>
  <c r="V83" i="103" s="1"/>
  <c r="BA41" i="103"/>
  <c r="S145" i="110"/>
  <c r="H145" i="110"/>
  <c r="M145" i="110"/>
  <c r="I42" i="103" l="1"/>
  <c r="U82" i="103"/>
  <c r="O42" i="103"/>
  <c r="P42" i="103"/>
  <c r="I145" i="110"/>
  <c r="N145" i="110"/>
  <c r="L145" i="110" s="1"/>
  <c r="G145" i="110" s="1"/>
  <c r="Q145" i="110"/>
  <c r="K145" i="110"/>
  <c r="O145" i="110"/>
  <c r="P145" i="110"/>
  <c r="N42" i="103" l="1"/>
  <c r="L42" i="103" s="1"/>
  <c r="S146" i="110"/>
  <c r="H146" i="110"/>
  <c r="M146" i="110"/>
  <c r="G42" i="103" l="1"/>
  <c r="K42" i="103" s="1"/>
  <c r="Q42" i="103" s="1"/>
  <c r="M43" i="103"/>
  <c r="I146" i="110"/>
  <c r="Q146" i="110"/>
  <c r="K146" i="110"/>
  <c r="O146" i="110"/>
  <c r="P146" i="110"/>
  <c r="S43" i="103" l="1"/>
  <c r="H43" i="103"/>
  <c r="T84" i="103"/>
  <c r="V84" i="103" s="1"/>
  <c r="BA42" i="103"/>
  <c r="H147" i="110"/>
  <c r="S147" i="110"/>
  <c r="N146" i="110"/>
  <c r="L146" i="110" s="1"/>
  <c r="G146" i="110" s="1"/>
  <c r="I43" i="103" l="1"/>
  <c r="U83" i="103"/>
  <c r="O43" i="103"/>
  <c r="P43" i="103"/>
  <c r="M147" i="110"/>
  <c r="N147" i="110"/>
  <c r="L147" i="110" s="1"/>
  <c r="G147" i="110" s="1"/>
  <c r="I147" i="110"/>
  <c r="Q147" i="110"/>
  <c r="O147" i="110"/>
  <c r="K147" i="110"/>
  <c r="P147" i="110"/>
  <c r="N43" i="103" l="1"/>
  <c r="L43" i="103" s="1"/>
  <c r="M44" i="103" s="1"/>
  <c r="H148" i="110"/>
  <c r="S148" i="110"/>
  <c r="M148" i="110"/>
  <c r="G43" i="103" l="1"/>
  <c r="K43" i="103" s="1"/>
  <c r="Q43" i="103" s="1"/>
  <c r="Q148" i="110"/>
  <c r="O148" i="110"/>
  <c r="K148" i="110"/>
  <c r="P148" i="110"/>
  <c r="I148" i="110"/>
  <c r="S44" i="103" l="1"/>
  <c r="H44" i="103"/>
  <c r="T85" i="103"/>
  <c r="V85" i="103" s="1"/>
  <c r="BA43" i="103"/>
  <c r="N148" i="110"/>
  <c r="L148" i="110" s="1"/>
  <c r="G148" i="110" s="1"/>
  <c r="S149" i="110"/>
  <c r="H149" i="110"/>
  <c r="I44" i="103" l="1"/>
  <c r="U84" i="103"/>
  <c r="O44" i="103"/>
  <c r="P44" i="103"/>
  <c r="I149" i="110"/>
  <c r="N149" i="110"/>
  <c r="L149" i="110" s="1"/>
  <c r="G149" i="110" s="1"/>
  <c r="Q149" i="110"/>
  <c r="K149" i="110"/>
  <c r="O149" i="110"/>
  <c r="P149" i="110"/>
  <c r="M149" i="110"/>
  <c r="N44" i="103" l="1"/>
  <c r="L44" i="103" s="1"/>
  <c r="M45" i="103" s="1"/>
  <c r="S150" i="110"/>
  <c r="H150" i="110"/>
  <c r="M150" i="110"/>
  <c r="G44" i="103" l="1"/>
  <c r="K44" i="103" s="1"/>
  <c r="Q44" i="103" s="1"/>
  <c r="I150" i="110"/>
  <c r="Q150" i="110"/>
  <c r="O150" i="110"/>
  <c r="K150" i="110"/>
  <c r="P150" i="110"/>
  <c r="S45" i="103" l="1"/>
  <c r="H45" i="103"/>
  <c r="T86" i="103"/>
  <c r="V86" i="103" s="1"/>
  <c r="BA44" i="103"/>
  <c r="H151" i="110"/>
  <c r="S151" i="110"/>
  <c r="N150" i="110"/>
  <c r="L150" i="110" s="1"/>
  <c r="G150" i="110" s="1"/>
  <c r="I45" i="103" l="1"/>
  <c r="U85" i="103"/>
  <c r="O45" i="103"/>
  <c r="P45" i="103"/>
  <c r="M151" i="110"/>
  <c r="Q151" i="110"/>
  <c r="O151" i="110"/>
  <c r="N151" i="110" s="1"/>
  <c r="L151" i="110" s="1"/>
  <c r="G151" i="110" s="1"/>
  <c r="K151" i="110"/>
  <c r="P151" i="110"/>
  <c r="I151" i="110"/>
  <c r="N45" i="103" l="1"/>
  <c r="L45" i="103" s="1"/>
  <c r="M46" i="103" s="1"/>
  <c r="M152" i="110"/>
  <c r="H152" i="110"/>
  <c r="S152" i="110"/>
  <c r="G45" i="103" l="1"/>
  <c r="K45" i="103" s="1"/>
  <c r="Q45" i="103" s="1"/>
  <c r="Q152" i="110"/>
  <c r="O152" i="110"/>
  <c r="K152" i="110"/>
  <c r="P152" i="110"/>
  <c r="I152" i="110"/>
  <c r="S46" i="103" l="1"/>
  <c r="H46" i="103"/>
  <c r="T87" i="103"/>
  <c r="V87" i="103" s="1"/>
  <c r="BA45" i="103"/>
  <c r="N152" i="110"/>
  <c r="L152" i="110" s="1"/>
  <c r="G152" i="110" s="1"/>
  <c r="S153" i="110"/>
  <c r="H153" i="110"/>
  <c r="I46" i="103" l="1"/>
  <c r="U86" i="103"/>
  <c r="O46" i="103"/>
  <c r="P46" i="103"/>
  <c r="I153" i="110"/>
  <c r="Q153" i="110"/>
  <c r="K153" i="110"/>
  <c r="O153" i="110"/>
  <c r="N153" i="110" s="1"/>
  <c r="L153" i="110" s="1"/>
  <c r="G153" i="110" s="1"/>
  <c r="P153" i="110"/>
  <c r="M153" i="110"/>
  <c r="N46" i="103" l="1"/>
  <c r="L46" i="103" s="1"/>
  <c r="S154" i="110"/>
  <c r="H154" i="110"/>
  <c r="M154" i="110"/>
  <c r="G46" i="103" l="1"/>
  <c r="K46" i="103" s="1"/>
  <c r="Q46" i="103" s="1"/>
  <c r="M47" i="103"/>
  <c r="I154" i="110"/>
  <c r="Q154" i="110"/>
  <c r="K154" i="110"/>
  <c r="O154" i="110"/>
  <c r="P154" i="110"/>
  <c r="S47" i="103" l="1"/>
  <c r="H47" i="103"/>
  <c r="T88" i="103"/>
  <c r="V88" i="103" s="1"/>
  <c r="BA46" i="103"/>
  <c r="H155" i="110"/>
  <c r="S155" i="110"/>
  <c r="N154" i="110"/>
  <c r="L154" i="110" s="1"/>
  <c r="G154" i="110" s="1"/>
  <c r="I47" i="103" l="1"/>
  <c r="U87" i="103"/>
  <c r="O47" i="103"/>
  <c r="P47" i="103"/>
  <c r="M155" i="110"/>
  <c r="Q155" i="110"/>
  <c r="O155" i="110"/>
  <c r="K155" i="110"/>
  <c r="P155" i="110"/>
  <c r="I155" i="110"/>
  <c r="N47" i="103" l="1"/>
  <c r="L47" i="103" s="1"/>
  <c r="M48" i="103" s="1"/>
  <c r="N155" i="110"/>
  <c r="L155" i="110" s="1"/>
  <c r="G155" i="110" s="1"/>
  <c r="H156" i="110"/>
  <c r="S156" i="110"/>
  <c r="G47" i="103" l="1"/>
  <c r="K47" i="103" s="1"/>
  <c r="Q47" i="103" s="1"/>
  <c r="O156" i="110"/>
  <c r="Q156" i="110"/>
  <c r="P156" i="110"/>
  <c r="K156" i="110"/>
  <c r="N156" i="110"/>
  <c r="L156" i="110" s="1"/>
  <c r="G156" i="110" s="1"/>
  <c r="I156" i="110"/>
  <c r="M156" i="110"/>
  <c r="S48" i="103" l="1"/>
  <c r="H48" i="103"/>
  <c r="T89" i="103"/>
  <c r="V89" i="103" s="1"/>
  <c r="BA47" i="103"/>
  <c r="S157" i="110"/>
  <c r="H157" i="110"/>
  <c r="M157" i="110"/>
  <c r="I48" i="103" l="1"/>
  <c r="U88" i="103"/>
  <c r="O48" i="103"/>
  <c r="P48" i="103"/>
  <c r="I157" i="110"/>
  <c r="N157" i="110"/>
  <c r="L157" i="110" s="1"/>
  <c r="G157" i="110" s="1"/>
  <c r="Q157" i="110"/>
  <c r="K157" i="110"/>
  <c r="O157" i="110"/>
  <c r="P157" i="110"/>
  <c r="N48" i="103" l="1"/>
  <c r="L48" i="103" s="1"/>
  <c r="M49" i="103" s="1"/>
  <c r="S158" i="110"/>
  <c r="H158" i="110"/>
  <c r="M158" i="110"/>
  <c r="G48" i="103" l="1"/>
  <c r="K48" i="103" s="1"/>
  <c r="Q48" i="103" s="1"/>
  <c r="I158" i="110"/>
  <c r="Q158" i="110"/>
  <c r="O158" i="110"/>
  <c r="K158" i="110"/>
  <c r="P158" i="110"/>
  <c r="S49" i="103" l="1"/>
  <c r="H49" i="103"/>
  <c r="T90" i="103"/>
  <c r="V90" i="103" s="1"/>
  <c r="BA48" i="103"/>
  <c r="H159" i="110"/>
  <c r="S159" i="110"/>
  <c r="N158" i="110"/>
  <c r="L158" i="110" s="1"/>
  <c r="G158" i="110" s="1"/>
  <c r="BA108" i="110" s="1"/>
  <c r="I49" i="103" l="1"/>
  <c r="U89" i="103"/>
  <c r="O49" i="103"/>
  <c r="P49" i="103"/>
  <c r="O159" i="110"/>
  <c r="P159" i="110"/>
  <c r="Q159" i="110"/>
  <c r="K159" i="110"/>
  <c r="K160" i="110" s="1"/>
  <c r="N159" i="110"/>
  <c r="L159" i="110" s="1"/>
  <c r="I159" i="110"/>
  <c r="H160" i="110"/>
  <c r="C26" i="110" s="1"/>
  <c r="M159" i="110"/>
  <c r="N49" i="103" l="1"/>
  <c r="L49" i="103" s="1"/>
  <c r="M50" i="103" s="1"/>
  <c r="U46" i="110"/>
  <c r="C27" i="110"/>
  <c r="U134" i="110"/>
  <c r="L160" i="110"/>
  <c r="G159" i="110"/>
  <c r="G49" i="103" l="1"/>
  <c r="K49" i="103" s="1"/>
  <c r="Q49" i="103" s="1"/>
  <c r="U135" i="110"/>
  <c r="U136" i="110" s="1"/>
  <c r="U137" i="110" s="1"/>
  <c r="U138" i="110" s="1"/>
  <c r="U139" i="110" s="1"/>
  <c r="U140" i="110" s="1"/>
  <c r="U141" i="110" s="1"/>
  <c r="U142" i="110" s="1"/>
  <c r="U143" i="110" s="1"/>
  <c r="U144" i="110" s="1"/>
  <c r="U145" i="110" s="1"/>
  <c r="U146" i="110" s="1"/>
  <c r="U147" i="110" s="1"/>
  <c r="U148" i="110" s="1"/>
  <c r="U149" i="110" s="1"/>
  <c r="U150" i="110" s="1"/>
  <c r="U151" i="110" s="1"/>
  <c r="U152" i="110" s="1"/>
  <c r="U153" i="110" s="1"/>
  <c r="U154" i="110" s="1"/>
  <c r="U155" i="110" s="1"/>
  <c r="U156" i="110" s="1"/>
  <c r="U157" i="110" s="1"/>
  <c r="U158" i="110" s="1"/>
  <c r="U159" i="110" s="1"/>
  <c r="U160" i="110" s="1"/>
  <c r="U161" i="110" s="1"/>
  <c r="U162" i="110" s="1"/>
  <c r="U163" i="110" s="1"/>
  <c r="U164" i="110" s="1"/>
  <c r="U165" i="110" s="1"/>
  <c r="U166" i="110" s="1"/>
  <c r="U167" i="110" s="1"/>
  <c r="U168" i="110" s="1"/>
  <c r="U169" i="110" s="1"/>
  <c r="U170" i="110" s="1"/>
  <c r="U171" i="110" s="1"/>
  <c r="U172" i="110" s="1"/>
  <c r="U173" i="110" s="1"/>
  <c r="U174" i="110" s="1"/>
  <c r="U175" i="110" s="1"/>
  <c r="U176" i="110" s="1"/>
  <c r="U177" i="110" s="1"/>
  <c r="U178" i="110" s="1"/>
  <c r="U179" i="110" s="1"/>
  <c r="U180" i="110" s="1"/>
  <c r="U181" i="110" s="1"/>
  <c r="BA109" i="110"/>
  <c r="G160" i="110"/>
  <c r="BA110" i="110" s="1"/>
  <c r="S50" i="103" l="1"/>
  <c r="H50" i="103"/>
  <c r="T91" i="103"/>
  <c r="V91" i="103" s="1"/>
  <c r="BA49" i="103"/>
  <c r="AE51" i="110"/>
  <c r="V181" i="110"/>
  <c r="BA116" i="110"/>
  <c r="I50" i="103" l="1"/>
  <c r="U90" i="103"/>
  <c r="O50" i="103"/>
  <c r="P50" i="103"/>
  <c r="N50" i="103" l="1"/>
  <c r="L50" i="103" s="1"/>
  <c r="M51" i="103" s="1"/>
  <c r="G50" i="103" l="1"/>
  <c r="K50" i="103" s="1"/>
  <c r="Q50" i="103" s="1"/>
  <c r="S51" i="103" l="1"/>
  <c r="H51" i="103"/>
  <c r="T92" i="103"/>
  <c r="V92" i="103" s="1"/>
  <c r="BA50" i="103"/>
  <c r="I51" i="103" l="1"/>
  <c r="U91" i="103"/>
  <c r="O51" i="103"/>
  <c r="P51" i="103"/>
  <c r="N51" i="103" l="1"/>
  <c r="L51" i="103" s="1"/>
  <c r="M52" i="103" s="1"/>
  <c r="G51" i="103" l="1"/>
  <c r="K51" i="103" s="1"/>
  <c r="Q51" i="103" s="1"/>
  <c r="S52" i="103" l="1"/>
  <c r="H52" i="103"/>
  <c r="T93" i="103"/>
  <c r="V93" i="103" s="1"/>
  <c r="BA51" i="103"/>
  <c r="I52" i="103" l="1"/>
  <c r="U92" i="103"/>
  <c r="O52" i="103"/>
  <c r="P52" i="103"/>
  <c r="N52" i="103" l="1"/>
  <c r="L52" i="103" s="1"/>
  <c r="M53" i="103" s="1"/>
  <c r="G52" i="103" l="1"/>
  <c r="K52" i="103" s="1"/>
  <c r="Q52" i="103" s="1"/>
  <c r="S53" i="103" l="1"/>
  <c r="H53" i="103"/>
  <c r="T94" i="103"/>
  <c r="V94" i="103" s="1"/>
  <c r="BA52" i="103"/>
  <c r="I53" i="103" l="1"/>
  <c r="U93" i="103"/>
  <c r="O53" i="103"/>
  <c r="P53" i="103"/>
  <c r="N53" i="103" l="1"/>
  <c r="L53" i="103" s="1"/>
  <c r="G53" i="103" l="1"/>
  <c r="K53" i="103" s="1"/>
  <c r="Q53" i="103" s="1"/>
  <c r="M54" i="103"/>
  <c r="S54" i="103" l="1"/>
  <c r="H54" i="103"/>
  <c r="T95" i="103"/>
  <c r="V95" i="103" s="1"/>
  <c r="BA53" i="103"/>
  <c r="U94" i="103" l="1"/>
  <c r="I54" i="103"/>
  <c r="O54" i="103"/>
  <c r="N54" i="103" s="1"/>
  <c r="L54" i="103" s="1"/>
  <c r="P54" i="103"/>
  <c r="G54" i="103" l="1"/>
  <c r="BA54" i="103" s="1"/>
  <c r="M55" i="103"/>
  <c r="K54" i="103" l="1"/>
  <c r="Q54" i="103" s="1"/>
  <c r="S55" i="103" l="1"/>
  <c r="H55" i="103"/>
  <c r="T96" i="103"/>
  <c r="I55" i="103" l="1"/>
  <c r="V96" i="103"/>
  <c r="U95" i="103"/>
  <c r="O55" i="103"/>
  <c r="P55" i="103"/>
  <c r="N55" i="103" l="1"/>
  <c r="L55" i="103" s="1"/>
  <c r="M56" i="103" s="1"/>
  <c r="G55" i="103" l="1"/>
  <c r="K55" i="103" s="1"/>
  <c r="Q55" i="103" s="1"/>
  <c r="H56" i="103" l="1"/>
  <c r="S56" i="103"/>
  <c r="T97" i="103"/>
  <c r="V97" i="103" s="1"/>
  <c r="BA55" i="103"/>
  <c r="O56" i="103" l="1"/>
  <c r="P56" i="103"/>
  <c r="U96" i="103"/>
  <c r="N56" i="103"/>
  <c r="L56" i="103" s="1"/>
  <c r="G56" i="103" s="1"/>
  <c r="BA56" i="103" s="1"/>
  <c r="I56" i="103"/>
  <c r="K56" i="103" l="1"/>
  <c r="Q56" i="103" s="1"/>
  <c r="M57" i="103"/>
  <c r="H57" i="103" l="1"/>
  <c r="S57" i="103"/>
  <c r="T98" i="103"/>
  <c r="V98" i="103" l="1"/>
  <c r="U97" i="103"/>
  <c r="O57" i="103"/>
  <c r="N57" i="103" s="1"/>
  <c r="L57" i="103" s="1"/>
  <c r="G57" i="103" s="1"/>
  <c r="BA57" i="103" s="1"/>
  <c r="P57" i="103"/>
  <c r="I57" i="103"/>
  <c r="K57" i="103" l="1"/>
  <c r="Q57" i="103" s="1"/>
  <c r="M58" i="103"/>
  <c r="H58" i="103" l="1"/>
  <c r="S58" i="103"/>
  <c r="T99" i="103"/>
  <c r="V99" i="103" l="1"/>
  <c r="U98" i="103"/>
  <c r="O58" i="103"/>
  <c r="N58" i="103" s="1"/>
  <c r="L58" i="103" s="1"/>
  <c r="G58" i="103" s="1"/>
  <c r="BA58" i="103" s="1"/>
  <c r="P58" i="103"/>
  <c r="I58" i="103"/>
  <c r="K58" i="103" l="1"/>
  <c r="Q58" i="103" s="1"/>
  <c r="M59" i="103"/>
  <c r="H59" i="103" l="1"/>
  <c r="S59" i="103"/>
  <c r="T100" i="103"/>
  <c r="V100" i="103" l="1"/>
  <c r="U99" i="103"/>
  <c r="O59" i="103"/>
  <c r="P59" i="103"/>
  <c r="I59" i="103"/>
  <c r="N59" i="103" l="1"/>
  <c r="L59" i="103" s="1"/>
  <c r="G59" i="103" l="1"/>
  <c r="K59" i="103" s="1"/>
  <c r="Q59" i="103" s="1"/>
  <c r="M60" i="103"/>
  <c r="H60" i="103" l="1"/>
  <c r="S60" i="103"/>
  <c r="T101" i="103"/>
  <c r="V101" i="103" s="1"/>
  <c r="BA59" i="103"/>
  <c r="O60" i="103" l="1"/>
  <c r="P60" i="103"/>
  <c r="U100" i="103"/>
  <c r="N60" i="103"/>
  <c r="L60" i="103" s="1"/>
  <c r="G60" i="103" s="1"/>
  <c r="BA60" i="103" s="1"/>
  <c r="I60" i="103"/>
  <c r="K60" i="103" l="1"/>
  <c r="Q60" i="103" s="1"/>
  <c r="M61" i="103"/>
  <c r="H61" i="103" l="1"/>
  <c r="S61" i="103"/>
  <c r="T102" i="103"/>
  <c r="V102" i="103" l="1"/>
  <c r="U101" i="103"/>
  <c r="O61" i="103"/>
  <c r="P61" i="103"/>
  <c r="I61" i="103"/>
  <c r="N61" i="103" l="1"/>
  <c r="L61" i="103" s="1"/>
  <c r="G61" i="103" l="1"/>
  <c r="K61" i="103" s="1"/>
  <c r="Q61" i="103" s="1"/>
  <c r="M62" i="103"/>
  <c r="H62" i="103" l="1"/>
  <c r="S62" i="103"/>
  <c r="T103" i="103"/>
  <c r="V103" i="103" s="1"/>
  <c r="BA61" i="103"/>
  <c r="O62" i="103" l="1"/>
  <c r="P62" i="103"/>
  <c r="U102" i="103"/>
  <c r="N62" i="103"/>
  <c r="L62" i="103" s="1"/>
  <c r="G62" i="103" s="1"/>
  <c r="BA62" i="103" s="1"/>
  <c r="I62" i="103"/>
  <c r="K62" i="103" l="1"/>
  <c r="Q62" i="103" s="1"/>
  <c r="M63" i="103"/>
  <c r="H63" i="103" l="1"/>
  <c r="S63" i="103"/>
  <c r="T104" i="103"/>
  <c r="V104" i="103" l="1"/>
  <c r="U103" i="103"/>
  <c r="O63" i="103"/>
  <c r="N63" i="103" s="1"/>
  <c r="L63" i="103" s="1"/>
  <c r="G63" i="103" s="1"/>
  <c r="BA63" i="103" s="1"/>
  <c r="P63" i="103"/>
  <c r="I63" i="103"/>
  <c r="K63" i="103" l="1"/>
  <c r="Q63" i="103" s="1"/>
  <c r="M64" i="103"/>
  <c r="H64" i="103" l="1"/>
  <c r="S64" i="103"/>
  <c r="T105" i="103"/>
  <c r="V105" i="103" l="1"/>
  <c r="U104" i="103"/>
  <c r="N64" i="103"/>
  <c r="L64" i="103" s="1"/>
  <c r="G64" i="103" s="1"/>
  <c r="BA64" i="103" s="1"/>
  <c r="I64" i="103"/>
  <c r="O64" i="103"/>
  <c r="P64" i="103"/>
  <c r="K64" i="103" l="1"/>
  <c r="Q64" i="103" s="1"/>
  <c r="M65" i="103"/>
  <c r="H65" i="103" l="1"/>
  <c r="S65" i="103"/>
  <c r="T106" i="103"/>
  <c r="V106" i="103" l="1"/>
  <c r="U105" i="103"/>
  <c r="O65" i="103"/>
  <c r="N65" i="103" s="1"/>
  <c r="L65" i="103" s="1"/>
  <c r="G65" i="103" s="1"/>
  <c r="BA65" i="103" s="1"/>
  <c r="P65" i="103"/>
  <c r="I65" i="103"/>
  <c r="K65" i="103" l="1"/>
  <c r="Q65" i="103" s="1"/>
  <c r="M66" i="103"/>
  <c r="H66" i="103" l="1"/>
  <c r="S66" i="103"/>
  <c r="T107" i="103"/>
  <c r="V107" i="103" l="1"/>
  <c r="U106" i="103"/>
  <c r="O66" i="103"/>
  <c r="P66" i="103"/>
  <c r="I66" i="103"/>
  <c r="N66" i="103" l="1"/>
  <c r="L66" i="103" s="1"/>
  <c r="G66" i="103" l="1"/>
  <c r="K66" i="103" s="1"/>
  <c r="Q66" i="103" s="1"/>
  <c r="M67" i="103"/>
  <c r="H67" i="103" l="1"/>
  <c r="S67" i="103"/>
  <c r="T108" i="103"/>
  <c r="V108" i="103" s="1"/>
  <c r="BA66" i="103"/>
  <c r="O67" i="103" l="1"/>
  <c r="P67" i="103"/>
  <c r="U107" i="103"/>
  <c r="N67" i="103"/>
  <c r="L67" i="103" s="1"/>
  <c r="G67" i="103" s="1"/>
  <c r="BA67" i="103" s="1"/>
  <c r="I67" i="103"/>
  <c r="K67" i="103" l="1"/>
  <c r="Q67" i="103" s="1"/>
  <c r="M68" i="103"/>
  <c r="H68" i="103" l="1"/>
  <c r="S68" i="103"/>
  <c r="T109" i="103"/>
  <c r="V109" i="103" l="1"/>
  <c r="U108" i="103"/>
  <c r="O68" i="103"/>
  <c r="N68" i="103" s="1"/>
  <c r="L68" i="103" s="1"/>
  <c r="G68" i="103" s="1"/>
  <c r="BA68" i="103" s="1"/>
  <c r="P68" i="103"/>
  <c r="I68" i="103"/>
  <c r="M69" i="103" l="1"/>
  <c r="K68" i="103"/>
  <c r="Q68" i="103" s="1"/>
  <c r="H69" i="103" l="1"/>
  <c r="S69" i="103"/>
  <c r="T110" i="103"/>
  <c r="O69" i="103" l="1"/>
  <c r="P69" i="103"/>
  <c r="V110" i="103"/>
  <c r="U109" i="103"/>
  <c r="N69" i="103"/>
  <c r="L69" i="103" s="1"/>
  <c r="G69" i="103" s="1"/>
  <c r="BA69" i="103" s="1"/>
  <c r="I69" i="103"/>
  <c r="K69" i="103" l="1"/>
  <c r="Q69" i="103" s="1"/>
  <c r="M70" i="103"/>
  <c r="H70" i="103" l="1"/>
  <c r="S70" i="103"/>
  <c r="T111" i="103"/>
  <c r="O70" i="103" l="1"/>
  <c r="P70" i="103"/>
  <c r="V111" i="103"/>
  <c r="U110" i="103"/>
  <c r="N70" i="103"/>
  <c r="L70" i="103" s="1"/>
  <c r="G70" i="103" s="1"/>
  <c r="BA70" i="103" s="1"/>
  <c r="I70" i="103"/>
  <c r="K70" i="103" l="1"/>
  <c r="Q70" i="103" s="1"/>
  <c r="M71" i="103"/>
  <c r="H71" i="103" l="1"/>
  <c r="S71" i="103"/>
  <c r="T112" i="103"/>
  <c r="V112" i="103" l="1"/>
  <c r="U111" i="103"/>
  <c r="O71" i="103"/>
  <c r="N71" i="103" s="1"/>
  <c r="L71" i="103" s="1"/>
  <c r="G71" i="103" s="1"/>
  <c r="BA71" i="103" s="1"/>
  <c r="P71" i="103"/>
  <c r="I71" i="103"/>
  <c r="K71" i="103" l="1"/>
  <c r="Q71" i="103" s="1"/>
  <c r="M72" i="103"/>
  <c r="H72" i="103" l="1"/>
  <c r="S72" i="103"/>
  <c r="T113" i="103"/>
  <c r="V113" i="103" l="1"/>
  <c r="U112" i="103"/>
  <c r="O72" i="103"/>
  <c r="N72" i="103" s="1"/>
  <c r="L72" i="103" s="1"/>
  <c r="G72" i="103" s="1"/>
  <c r="BA72" i="103" s="1"/>
  <c r="P72" i="103"/>
  <c r="I72" i="103"/>
  <c r="K72" i="103" l="1"/>
  <c r="Q72" i="103" s="1"/>
  <c r="M73" i="103"/>
  <c r="H73" i="103" l="1"/>
  <c r="S73" i="103"/>
  <c r="T114" i="103"/>
  <c r="V114" i="103" l="1"/>
  <c r="U113" i="103"/>
  <c r="O73" i="103"/>
  <c r="N73" i="103" s="1"/>
  <c r="L73" i="103" s="1"/>
  <c r="G73" i="103" s="1"/>
  <c r="BA73" i="103" s="1"/>
  <c r="P73" i="103"/>
  <c r="I73" i="103"/>
  <c r="K73" i="103" l="1"/>
  <c r="Q73" i="103" s="1"/>
  <c r="M74" i="103"/>
  <c r="H74" i="103" l="1"/>
  <c r="S74" i="103"/>
  <c r="T115" i="103"/>
  <c r="O74" i="103" l="1"/>
  <c r="P74" i="103"/>
  <c r="V115" i="103"/>
  <c r="U114" i="103"/>
  <c r="N74" i="103"/>
  <c r="L74" i="103" s="1"/>
  <c r="G74" i="103" s="1"/>
  <c r="BA74" i="103" s="1"/>
  <c r="I74" i="103"/>
  <c r="K74" i="103" l="1"/>
  <c r="Q74" i="103" s="1"/>
  <c r="M75" i="103"/>
  <c r="H75" i="103" l="1"/>
  <c r="S75" i="103"/>
  <c r="T116" i="103"/>
  <c r="O75" i="103" l="1"/>
  <c r="P75" i="103"/>
  <c r="V116" i="103"/>
  <c r="U115" i="103"/>
  <c r="N75" i="103"/>
  <c r="L75" i="103" s="1"/>
  <c r="G75" i="103" s="1"/>
  <c r="BA75" i="103" s="1"/>
  <c r="I75" i="103"/>
  <c r="K75" i="103" l="1"/>
  <c r="Q75" i="103" s="1"/>
  <c r="M76" i="103"/>
  <c r="H76" i="103" l="1"/>
  <c r="S76" i="103"/>
  <c r="T117" i="103"/>
  <c r="V117" i="103" l="1"/>
  <c r="U116" i="103"/>
  <c r="O76" i="103"/>
  <c r="N76" i="103" s="1"/>
  <c r="L76" i="103" s="1"/>
  <c r="G76" i="103" s="1"/>
  <c r="BA76" i="103" s="1"/>
  <c r="P76" i="103"/>
  <c r="I76" i="103"/>
  <c r="K76" i="103" l="1"/>
  <c r="Q76" i="103" s="1"/>
  <c r="M77" i="103"/>
  <c r="H77" i="103" l="1"/>
  <c r="S77" i="103"/>
  <c r="T118" i="103"/>
  <c r="O77" i="103" l="1"/>
  <c r="P77" i="103"/>
  <c r="V118" i="103"/>
  <c r="U117" i="103"/>
  <c r="N77" i="103"/>
  <c r="L77" i="103" s="1"/>
  <c r="G77" i="103" s="1"/>
  <c r="BA77" i="103" s="1"/>
  <c r="I77" i="103"/>
  <c r="K77" i="103" l="1"/>
  <c r="Q77" i="103" s="1"/>
  <c r="M78" i="103"/>
  <c r="H78" i="103" l="1"/>
  <c r="S78" i="103"/>
  <c r="T119" i="103"/>
  <c r="O78" i="103" l="1"/>
  <c r="P78" i="103"/>
  <c r="V119" i="103"/>
  <c r="U118" i="103"/>
  <c r="N78" i="103"/>
  <c r="L78" i="103" s="1"/>
  <c r="G78" i="103" s="1"/>
  <c r="BA78" i="103" s="1"/>
  <c r="I78" i="103"/>
  <c r="K78" i="103" l="1"/>
  <c r="Q78" i="103" s="1"/>
  <c r="M79" i="103"/>
  <c r="H79" i="103" l="1"/>
  <c r="S79" i="103"/>
  <c r="T120" i="103"/>
  <c r="O79" i="103" l="1"/>
  <c r="P79" i="103"/>
  <c r="V120" i="103"/>
  <c r="U119" i="103"/>
  <c r="N79" i="103"/>
  <c r="L79" i="103" s="1"/>
  <c r="G79" i="103" s="1"/>
  <c r="BA79" i="103" s="1"/>
  <c r="I79" i="103"/>
  <c r="K79" i="103" l="1"/>
  <c r="Q79" i="103" s="1"/>
  <c r="M80" i="103"/>
  <c r="H80" i="103" l="1"/>
  <c r="S80" i="103"/>
  <c r="T121" i="103"/>
  <c r="V121" i="103" l="1"/>
  <c r="U120" i="103"/>
  <c r="O80" i="103"/>
  <c r="N80" i="103" s="1"/>
  <c r="L80" i="103" s="1"/>
  <c r="G80" i="103" s="1"/>
  <c r="BA80" i="103" s="1"/>
  <c r="P80" i="103"/>
  <c r="I80" i="103"/>
  <c r="K80" i="103" l="1"/>
  <c r="Q80" i="103" s="1"/>
  <c r="M81" i="103"/>
  <c r="H81" i="103" l="1"/>
  <c r="S81" i="103"/>
  <c r="T122" i="103"/>
  <c r="O81" i="103" l="1"/>
  <c r="P81" i="103"/>
  <c r="V122" i="103"/>
  <c r="U121" i="103"/>
  <c r="N81" i="103"/>
  <c r="L81" i="103" s="1"/>
  <c r="G81" i="103" s="1"/>
  <c r="BA81" i="103" s="1"/>
  <c r="I81" i="103"/>
  <c r="K81" i="103" l="1"/>
  <c r="Q81" i="103" s="1"/>
  <c r="M82" i="103"/>
  <c r="H82" i="103" l="1"/>
  <c r="S82" i="103"/>
  <c r="T123" i="103"/>
  <c r="O82" i="103" l="1"/>
  <c r="P82" i="103"/>
  <c r="V123" i="103"/>
  <c r="U122" i="103"/>
  <c r="N82" i="103"/>
  <c r="L82" i="103" s="1"/>
  <c r="G82" i="103" s="1"/>
  <c r="BA82" i="103" s="1"/>
  <c r="I82" i="103"/>
  <c r="K82" i="103" l="1"/>
  <c r="Q82" i="103" s="1"/>
  <c r="M83" i="103"/>
  <c r="H83" i="103" l="1"/>
  <c r="S83" i="103"/>
  <c r="T124" i="103"/>
  <c r="V124" i="103" l="1"/>
  <c r="U123" i="103"/>
  <c r="O83" i="103"/>
  <c r="P83" i="103"/>
  <c r="I83" i="103"/>
  <c r="N83" i="103" l="1"/>
  <c r="L83" i="103" s="1"/>
  <c r="G83" i="103" l="1"/>
  <c r="K83" i="103" s="1"/>
  <c r="Q83" i="103" s="1"/>
  <c r="M84" i="103"/>
  <c r="H84" i="103" l="1"/>
  <c r="S84" i="103"/>
  <c r="T125" i="103"/>
  <c r="V125" i="103" s="1"/>
  <c r="BA83" i="103"/>
  <c r="O84" i="103" l="1"/>
  <c r="P84" i="103"/>
  <c r="U124" i="103"/>
  <c r="N84" i="103"/>
  <c r="L84" i="103" s="1"/>
  <c r="G84" i="103" s="1"/>
  <c r="BA84" i="103" s="1"/>
  <c r="I84" i="103"/>
  <c r="K84" i="103" l="1"/>
  <c r="Q84" i="103" s="1"/>
  <c r="M85" i="103"/>
  <c r="H85" i="103" l="1"/>
  <c r="S85" i="103"/>
  <c r="T126" i="103"/>
  <c r="V126" i="103" l="1"/>
  <c r="U125" i="103"/>
  <c r="O85" i="103"/>
  <c r="N85" i="103" s="1"/>
  <c r="L85" i="103" s="1"/>
  <c r="G85" i="103" s="1"/>
  <c r="BA85" i="103" s="1"/>
  <c r="P85" i="103"/>
  <c r="I85" i="103"/>
  <c r="K85" i="103" l="1"/>
  <c r="Q85" i="103" s="1"/>
  <c r="M86" i="103"/>
  <c r="H86" i="103" l="1"/>
  <c r="S86" i="103"/>
  <c r="T127" i="103"/>
  <c r="V127" i="103" l="1"/>
  <c r="U126" i="103"/>
  <c r="O86" i="103"/>
  <c r="N86" i="103" s="1"/>
  <c r="L86" i="103" s="1"/>
  <c r="G86" i="103" s="1"/>
  <c r="BA86" i="103" s="1"/>
  <c r="P86" i="103"/>
  <c r="I86" i="103"/>
  <c r="K86" i="103" l="1"/>
  <c r="Q86" i="103" s="1"/>
  <c r="M87" i="103"/>
  <c r="H87" i="103" l="1"/>
  <c r="S87" i="103"/>
  <c r="T128" i="103"/>
  <c r="O87" i="103" l="1"/>
  <c r="P87" i="103"/>
  <c r="V128" i="103"/>
  <c r="U127" i="103"/>
  <c r="N87" i="103"/>
  <c r="L87" i="103" s="1"/>
  <c r="G87" i="103" s="1"/>
  <c r="BA87" i="103" s="1"/>
  <c r="I87" i="103"/>
  <c r="K87" i="103" l="1"/>
  <c r="Q87" i="103" s="1"/>
  <c r="M88" i="103"/>
  <c r="H88" i="103" l="1"/>
  <c r="S88" i="103"/>
  <c r="T129" i="103"/>
  <c r="O88" i="103" l="1"/>
  <c r="P88" i="103"/>
  <c r="V129" i="103"/>
  <c r="U128" i="103"/>
  <c r="N88" i="103"/>
  <c r="L88" i="103" s="1"/>
  <c r="G88" i="103" s="1"/>
  <c r="BA88" i="103" s="1"/>
  <c r="I88" i="103"/>
  <c r="K88" i="103" l="1"/>
  <c r="Q88" i="103" s="1"/>
  <c r="M89" i="103"/>
  <c r="H89" i="103" l="1"/>
  <c r="S89" i="103"/>
  <c r="T130" i="103"/>
  <c r="V130" i="103" l="1"/>
  <c r="U129" i="103"/>
  <c r="O89" i="103"/>
  <c r="N89" i="103" s="1"/>
  <c r="L89" i="103" s="1"/>
  <c r="G89" i="103" s="1"/>
  <c r="BA89" i="103" s="1"/>
  <c r="P89" i="103"/>
  <c r="I89" i="103"/>
  <c r="K89" i="103" l="1"/>
  <c r="Q89" i="103" s="1"/>
  <c r="M90" i="103"/>
  <c r="H90" i="103" l="1"/>
  <c r="S90" i="103"/>
  <c r="T131" i="103"/>
  <c r="O90" i="103" l="1"/>
  <c r="P90" i="103"/>
  <c r="V131" i="103"/>
  <c r="U130" i="103"/>
  <c r="N90" i="103"/>
  <c r="L90" i="103" s="1"/>
  <c r="G90" i="103" s="1"/>
  <c r="BA90" i="103" s="1"/>
  <c r="I90" i="103"/>
  <c r="K90" i="103" l="1"/>
  <c r="Q90" i="103" s="1"/>
  <c r="M91" i="103"/>
  <c r="H91" i="103" l="1"/>
  <c r="S91" i="103"/>
  <c r="T132" i="103"/>
  <c r="V132" i="103" l="1"/>
  <c r="U131" i="103"/>
  <c r="O91" i="103"/>
  <c r="N91" i="103" s="1"/>
  <c r="L91" i="103" s="1"/>
  <c r="G91" i="103" s="1"/>
  <c r="BA91" i="103" s="1"/>
  <c r="P91" i="103"/>
  <c r="I91" i="103"/>
  <c r="K91" i="103" l="1"/>
  <c r="Q91" i="103" s="1"/>
  <c r="M92" i="103"/>
  <c r="S92" i="103" l="1"/>
  <c r="H92" i="103"/>
  <c r="T133" i="103"/>
  <c r="V133" i="103" l="1"/>
  <c r="U132" i="103"/>
  <c r="I92" i="103"/>
  <c r="Q92" i="103"/>
  <c r="O92" i="103"/>
  <c r="N92" i="103" s="1"/>
  <c r="L92" i="103" s="1"/>
  <c r="K92" i="103"/>
  <c r="P92" i="103"/>
  <c r="M93" i="103" l="1"/>
  <c r="S93" i="103"/>
  <c r="H93" i="103"/>
  <c r="T134" i="103"/>
  <c r="V134" i="103" s="1"/>
  <c r="Q93" i="103" l="1"/>
  <c r="O93" i="103"/>
  <c r="N93" i="103" s="1"/>
  <c r="L93" i="103" s="1"/>
  <c r="K93" i="103"/>
  <c r="P93" i="103"/>
  <c r="I93" i="103"/>
  <c r="G92" i="103"/>
  <c r="BA92" i="103" l="1"/>
  <c r="U133" i="103"/>
  <c r="M94" i="103"/>
  <c r="G93" i="103"/>
  <c r="BA93" i="103" s="1"/>
  <c r="S94" i="103"/>
  <c r="H94" i="103"/>
  <c r="T135" i="103"/>
  <c r="V135" i="103" s="1"/>
  <c r="I94" i="103" l="1"/>
  <c r="U134" i="103"/>
  <c r="Q94" i="103"/>
  <c r="K94" i="103"/>
  <c r="O94" i="103"/>
  <c r="P94" i="103"/>
  <c r="S95" i="103" l="1"/>
  <c r="H95" i="103"/>
  <c r="T136" i="103"/>
  <c r="V136" i="103" s="1"/>
  <c r="N94" i="103"/>
  <c r="L94" i="103" s="1"/>
  <c r="G94" i="103" s="1"/>
  <c r="BA94" i="103" s="1"/>
  <c r="U135" i="103" l="1"/>
  <c r="I95" i="103"/>
  <c r="N95" i="103"/>
  <c r="L95" i="103" s="1"/>
  <c r="G95" i="103" s="1"/>
  <c r="BA95" i="103" s="1"/>
  <c r="M95" i="103"/>
  <c r="Q95" i="103"/>
  <c r="O95" i="103"/>
  <c r="K95" i="103"/>
  <c r="P95" i="103"/>
  <c r="S96" i="103" l="1"/>
  <c r="H96" i="103"/>
  <c r="T137" i="103"/>
  <c r="V137" i="103" s="1"/>
  <c r="M96" i="103"/>
  <c r="I96" i="103" l="1"/>
  <c r="U136" i="103"/>
  <c r="Q96" i="103"/>
  <c r="O96" i="103"/>
  <c r="K96" i="103"/>
  <c r="P96" i="103"/>
  <c r="S97" i="103" l="1"/>
  <c r="H97" i="103"/>
  <c r="T138" i="103"/>
  <c r="V138" i="103" s="1"/>
  <c r="N96" i="103"/>
  <c r="L96" i="103" s="1"/>
  <c r="G96" i="103" s="1"/>
  <c r="BA96" i="103" s="1"/>
  <c r="I97" i="103" l="1"/>
  <c r="M97" i="103"/>
  <c r="U137" i="103"/>
  <c r="Q97" i="103"/>
  <c r="O97" i="103"/>
  <c r="K97" i="103"/>
  <c r="P97" i="103"/>
  <c r="S98" i="103" l="1"/>
  <c r="H98" i="103"/>
  <c r="T139" i="103"/>
  <c r="V139" i="103" s="1"/>
  <c r="N97" i="103"/>
  <c r="L97" i="103" s="1"/>
  <c r="G97" i="103" s="1"/>
  <c r="BA97" i="103" s="1"/>
  <c r="I98" i="103" l="1"/>
  <c r="N98" i="103"/>
  <c r="L98" i="103" s="1"/>
  <c r="G98" i="103" s="1"/>
  <c r="BA98" i="103" s="1"/>
  <c r="Q98" i="103"/>
  <c r="K98" i="103"/>
  <c r="O98" i="103"/>
  <c r="P98" i="103"/>
  <c r="U138" i="103"/>
  <c r="M98" i="103"/>
  <c r="S99" i="103" l="1"/>
  <c r="H99" i="103"/>
  <c r="T140" i="103"/>
  <c r="V140" i="103" s="1"/>
  <c r="M99" i="103"/>
  <c r="Q99" i="103" l="1"/>
  <c r="O99" i="103"/>
  <c r="N99" i="103" s="1"/>
  <c r="L99" i="103" s="1"/>
  <c r="G99" i="103" s="1"/>
  <c r="BA99" i="103" s="1"/>
  <c r="K99" i="103"/>
  <c r="P99" i="103"/>
  <c r="I99" i="103"/>
  <c r="U139" i="103"/>
  <c r="M100" i="103" l="1"/>
  <c r="S100" i="103"/>
  <c r="H100" i="103"/>
  <c r="T141" i="103"/>
  <c r="V141" i="103" s="1"/>
  <c r="I100" i="103" l="1"/>
  <c r="Q100" i="103"/>
  <c r="O100" i="103"/>
  <c r="K100" i="103"/>
  <c r="P100" i="103"/>
  <c r="U140" i="103"/>
  <c r="S101" i="103" l="1"/>
  <c r="H101" i="103"/>
  <c r="T142" i="103"/>
  <c r="V142" i="103" s="1"/>
  <c r="N100" i="103"/>
  <c r="L100" i="103" s="1"/>
  <c r="G100" i="103" s="1"/>
  <c r="BA100" i="103" s="1"/>
  <c r="I101" i="103" l="1"/>
  <c r="Q101" i="103"/>
  <c r="O101" i="103"/>
  <c r="K101" i="103"/>
  <c r="P101" i="103"/>
  <c r="M101" i="103"/>
  <c r="U141" i="103"/>
  <c r="S102" i="103" l="1"/>
  <c r="H102" i="103"/>
  <c r="T143" i="103"/>
  <c r="V143" i="103" s="1"/>
  <c r="N101" i="103"/>
  <c r="L101" i="103" s="1"/>
  <c r="G101" i="103" s="1"/>
  <c r="BA101" i="103" s="1"/>
  <c r="I102" i="103" l="1"/>
  <c r="N102" i="103"/>
  <c r="L102" i="103" s="1"/>
  <c r="G102" i="103" s="1"/>
  <c r="BA102" i="103" s="1"/>
  <c r="Q102" i="103"/>
  <c r="K102" i="103"/>
  <c r="O102" i="103"/>
  <c r="P102" i="103"/>
  <c r="M102" i="103"/>
  <c r="U142" i="103"/>
  <c r="S103" i="103" l="1"/>
  <c r="H103" i="103"/>
  <c r="T144" i="103"/>
  <c r="V144" i="103" s="1"/>
  <c r="M103" i="103"/>
  <c r="I103" i="103" l="1"/>
  <c r="Q103" i="103"/>
  <c r="O103" i="103"/>
  <c r="K103" i="103"/>
  <c r="P103" i="103"/>
  <c r="U143" i="103"/>
  <c r="S104" i="103" l="1"/>
  <c r="T145" i="103"/>
  <c r="V145" i="103" s="1"/>
  <c r="H104" i="103"/>
  <c r="N103" i="103"/>
  <c r="L103" i="103" s="1"/>
  <c r="G103" i="103" s="1"/>
  <c r="BA103" i="103" s="1"/>
  <c r="Q104" i="103" l="1"/>
  <c r="O104" i="103"/>
  <c r="K104" i="103"/>
  <c r="P104" i="103"/>
  <c r="I104" i="103"/>
  <c r="U144" i="103"/>
  <c r="M104" i="103"/>
  <c r="N104" i="103" l="1"/>
  <c r="L104" i="103" s="1"/>
  <c r="G104" i="103" s="1"/>
  <c r="BA104" i="103" s="1"/>
  <c r="S105" i="103"/>
  <c r="H105" i="103"/>
  <c r="T146" i="103"/>
  <c r="V146" i="103" s="1"/>
  <c r="Q105" i="103" l="1"/>
  <c r="O105" i="103"/>
  <c r="N105" i="103" s="1"/>
  <c r="L105" i="103" s="1"/>
  <c r="G105" i="103" s="1"/>
  <c r="BA105" i="103" s="1"/>
  <c r="K105" i="103"/>
  <c r="P105" i="103"/>
  <c r="U145" i="103"/>
  <c r="I105" i="103"/>
  <c r="M105" i="103"/>
  <c r="M106" i="103" l="1"/>
  <c r="S106" i="103"/>
  <c r="H106" i="103"/>
  <c r="T147" i="103"/>
  <c r="V147" i="103" s="1"/>
  <c r="I106" i="103" l="1"/>
  <c r="O106" i="103"/>
  <c r="Q106" i="103"/>
  <c r="K106" i="103"/>
  <c r="P106" i="103"/>
  <c r="U146" i="103"/>
  <c r="S107" i="103" l="1"/>
  <c r="H107" i="103"/>
  <c r="T148" i="103"/>
  <c r="V148" i="103" s="1"/>
  <c r="N106" i="103"/>
  <c r="L106" i="103" s="1"/>
  <c r="G106" i="103" s="1"/>
  <c r="BA106" i="103" s="1"/>
  <c r="I107" i="103" l="1"/>
  <c r="M107" i="103"/>
  <c r="U147" i="103"/>
  <c r="Q107" i="103"/>
  <c r="O107" i="103"/>
  <c r="K107" i="103"/>
  <c r="P107" i="103"/>
  <c r="S108" i="103" l="1"/>
  <c r="T149" i="103"/>
  <c r="V149" i="103" s="1"/>
  <c r="H108" i="103"/>
  <c r="N107" i="103"/>
  <c r="L107" i="103" s="1"/>
  <c r="G107" i="103" s="1"/>
  <c r="BA107" i="103" s="1"/>
  <c r="O108" i="103" l="1"/>
  <c r="Q108" i="103"/>
  <c r="K108" i="103"/>
  <c r="P108" i="103"/>
  <c r="N108" i="103"/>
  <c r="L108" i="103" s="1"/>
  <c r="G108" i="103" s="1"/>
  <c r="I108" i="103"/>
  <c r="M108" i="103"/>
  <c r="U148" i="103"/>
  <c r="S109" i="103" l="1"/>
  <c r="H109" i="103"/>
  <c r="T150" i="103"/>
  <c r="V150" i="103" s="1"/>
  <c r="M109" i="103"/>
  <c r="I109" i="103" l="1"/>
  <c r="Q109" i="103"/>
  <c r="O109" i="103"/>
  <c r="K109" i="103"/>
  <c r="P109" i="103"/>
  <c r="U149" i="103"/>
  <c r="S110" i="103" l="1"/>
  <c r="H110" i="103"/>
  <c r="T151" i="103"/>
  <c r="V151" i="103" s="1"/>
  <c r="N109" i="103"/>
  <c r="L109" i="103" s="1"/>
  <c r="G109" i="103" s="1"/>
  <c r="I110" i="103" l="1"/>
  <c r="O110" i="103"/>
  <c r="Q110" i="103"/>
  <c r="K110" i="103"/>
  <c r="P110" i="103"/>
  <c r="M110" i="103"/>
  <c r="U150" i="103"/>
  <c r="S111" i="103" l="1"/>
  <c r="H111" i="103"/>
  <c r="T152" i="103"/>
  <c r="V152" i="103" s="1"/>
  <c r="N110" i="103"/>
  <c r="L110" i="103" s="1"/>
  <c r="G110" i="103" s="1"/>
  <c r="I111" i="103" l="1"/>
  <c r="M111" i="103"/>
  <c r="Q111" i="103"/>
  <c r="O111" i="103"/>
  <c r="K111" i="103"/>
  <c r="P111" i="103"/>
  <c r="U151" i="103"/>
  <c r="S112" i="103" l="1"/>
  <c r="T153" i="103"/>
  <c r="V153" i="103" s="1"/>
  <c r="H112" i="103"/>
  <c r="N111" i="103"/>
  <c r="L111" i="103" s="1"/>
  <c r="G111" i="103" s="1"/>
  <c r="M112" i="103" l="1"/>
  <c r="O112" i="103"/>
  <c r="Q112" i="103"/>
  <c r="K112" i="103"/>
  <c r="P112" i="103"/>
  <c r="N112" i="103"/>
  <c r="L112" i="103" s="1"/>
  <c r="G112" i="103" s="1"/>
  <c r="I112" i="103"/>
  <c r="U152" i="103"/>
  <c r="S113" i="103" l="1"/>
  <c r="H113" i="103"/>
  <c r="T154" i="103"/>
  <c r="V154" i="103" s="1"/>
  <c r="M113" i="103"/>
  <c r="I113" i="103" l="1"/>
  <c r="U153" i="103"/>
  <c r="Q113" i="103"/>
  <c r="O113" i="103"/>
  <c r="K113" i="103"/>
  <c r="P113" i="103"/>
  <c r="S114" i="103" l="1"/>
  <c r="H114" i="103"/>
  <c r="T155" i="103"/>
  <c r="V155" i="103" s="1"/>
  <c r="N113" i="103"/>
  <c r="L113" i="103" s="1"/>
  <c r="G113" i="103" s="1"/>
  <c r="I114" i="103" l="1"/>
  <c r="M114" i="103"/>
  <c r="U154" i="103"/>
  <c r="O114" i="103"/>
  <c r="Q114" i="103"/>
  <c r="K114" i="103"/>
  <c r="P114" i="103"/>
  <c r="S115" i="103" l="1"/>
  <c r="H115" i="103"/>
  <c r="T156" i="103"/>
  <c r="V156" i="103" s="1"/>
  <c r="N114" i="103"/>
  <c r="L114" i="103" s="1"/>
  <c r="G114" i="103" s="1"/>
  <c r="I115" i="103" l="1"/>
  <c r="M115" i="103"/>
  <c r="Q115" i="103"/>
  <c r="O115" i="103"/>
  <c r="K115" i="103"/>
  <c r="P115" i="103"/>
  <c r="U155" i="103"/>
  <c r="H116" i="103" l="1"/>
  <c r="S116" i="103"/>
  <c r="T157" i="103"/>
  <c r="V157" i="103" s="1"/>
  <c r="N115" i="103"/>
  <c r="L115" i="103" s="1"/>
  <c r="G115" i="103" s="1"/>
  <c r="M116" i="103" l="1"/>
  <c r="O116" i="103"/>
  <c r="Q116" i="103"/>
  <c r="K116" i="103"/>
  <c r="P116" i="103"/>
  <c r="I116" i="103"/>
  <c r="U156" i="103"/>
  <c r="S117" i="103" l="1"/>
  <c r="H117" i="103"/>
  <c r="T158" i="103"/>
  <c r="V158" i="103" s="1"/>
  <c r="N116" i="103"/>
  <c r="L116" i="103" s="1"/>
  <c r="G116" i="103" s="1"/>
  <c r="I117" i="103" l="1"/>
  <c r="Q117" i="103"/>
  <c r="O117" i="103"/>
  <c r="K117" i="103"/>
  <c r="P117" i="103"/>
  <c r="U157" i="103"/>
  <c r="M117" i="103"/>
  <c r="H118" i="103" l="1"/>
  <c r="S118" i="103"/>
  <c r="T159" i="103"/>
  <c r="V159" i="103" s="1"/>
  <c r="N117" i="103"/>
  <c r="L117" i="103" s="1"/>
  <c r="G117" i="103" s="1"/>
  <c r="O118" i="103" l="1"/>
  <c r="Q118" i="103"/>
  <c r="K118" i="103"/>
  <c r="P118" i="103"/>
  <c r="N118" i="103"/>
  <c r="L118" i="103" s="1"/>
  <c r="G118" i="103" s="1"/>
  <c r="I118" i="103"/>
  <c r="M118" i="103"/>
  <c r="U158" i="103"/>
  <c r="S119" i="103" l="1"/>
  <c r="H119" i="103"/>
  <c r="T160" i="103"/>
  <c r="V160" i="103" s="1"/>
  <c r="M119" i="103"/>
  <c r="I119" i="103" l="1"/>
  <c r="U159" i="103"/>
  <c r="Q119" i="103"/>
  <c r="O119" i="103"/>
  <c r="K119" i="103"/>
  <c r="P119" i="103"/>
  <c r="H120" i="103" l="1"/>
  <c r="S120" i="103"/>
  <c r="T161" i="103"/>
  <c r="V161" i="103" s="1"/>
  <c r="AE51" i="103"/>
  <c r="N119" i="103"/>
  <c r="L119" i="103" s="1"/>
  <c r="G119" i="103" s="1"/>
  <c r="M120" i="103" l="1"/>
  <c r="O120" i="103"/>
  <c r="Q120" i="103"/>
  <c r="K120" i="103"/>
  <c r="P120" i="103"/>
  <c r="U160" i="103"/>
  <c r="N120" i="103"/>
  <c r="L120" i="103" s="1"/>
  <c r="G120" i="103" s="1"/>
  <c r="I120" i="103"/>
  <c r="S121" i="103" l="1"/>
  <c r="H121" i="103"/>
  <c r="T162" i="103"/>
  <c r="V162" i="103" s="1"/>
  <c r="M121" i="103"/>
  <c r="I121" i="103" l="1"/>
  <c r="U161" i="103"/>
  <c r="Q121" i="103"/>
  <c r="O121" i="103"/>
  <c r="K121" i="103"/>
  <c r="P121" i="103"/>
  <c r="H122" i="103" l="1"/>
  <c r="S122" i="103"/>
  <c r="T163" i="103"/>
  <c r="V163" i="103" s="1"/>
  <c r="N121" i="103"/>
  <c r="L121" i="103" s="1"/>
  <c r="G121" i="103" s="1"/>
  <c r="U162" i="103" l="1"/>
  <c r="M122" i="103"/>
  <c r="O122" i="103"/>
  <c r="Q122" i="103"/>
  <c r="K122" i="103"/>
  <c r="P122" i="103"/>
  <c r="N122" i="103"/>
  <c r="L122" i="103" s="1"/>
  <c r="G122" i="103" s="1"/>
  <c r="I122" i="103"/>
  <c r="S123" i="103" l="1"/>
  <c r="H123" i="103"/>
  <c r="T164" i="103"/>
  <c r="V164" i="103" s="1"/>
  <c r="M123" i="103"/>
  <c r="I123" i="103" l="1"/>
  <c r="U163" i="103"/>
  <c r="Q123" i="103"/>
  <c r="O123" i="103"/>
  <c r="K123" i="103"/>
  <c r="P123" i="103"/>
  <c r="H124" i="103" l="1"/>
  <c r="S124" i="103"/>
  <c r="T165" i="103"/>
  <c r="V165" i="103" s="1"/>
  <c r="N123" i="103"/>
  <c r="L123" i="103" s="1"/>
  <c r="G123" i="103" s="1"/>
  <c r="M124" i="103" l="1"/>
  <c r="O124" i="103"/>
  <c r="Q124" i="103"/>
  <c r="K124" i="103"/>
  <c r="P124" i="103"/>
  <c r="N124" i="103"/>
  <c r="L124" i="103" s="1"/>
  <c r="G124" i="103" s="1"/>
  <c r="I124" i="103"/>
  <c r="U164" i="103"/>
  <c r="S125" i="103" l="1"/>
  <c r="H125" i="103"/>
  <c r="T166" i="103"/>
  <c r="V166" i="103" s="1"/>
  <c r="M125" i="103"/>
  <c r="I125" i="103" l="1"/>
  <c r="Q125" i="103"/>
  <c r="O125" i="103"/>
  <c r="K125" i="103"/>
  <c r="P125" i="103"/>
  <c r="U165" i="103"/>
  <c r="H126" i="103" l="1"/>
  <c r="S126" i="103"/>
  <c r="T167" i="103"/>
  <c r="V167" i="103" s="1"/>
  <c r="N125" i="103"/>
  <c r="L125" i="103" s="1"/>
  <c r="G125" i="103" s="1"/>
  <c r="I126" i="103" l="1"/>
  <c r="U166" i="103"/>
  <c r="O126" i="103"/>
  <c r="Q126" i="103"/>
  <c r="K126" i="103"/>
  <c r="P126" i="103"/>
  <c r="M126" i="103"/>
  <c r="S127" i="103" l="1"/>
  <c r="H127" i="103"/>
  <c r="T168" i="103"/>
  <c r="V168" i="103" s="1"/>
  <c r="N126" i="103"/>
  <c r="L126" i="103" s="1"/>
  <c r="G126" i="103" s="1"/>
  <c r="I127" i="103" l="1"/>
  <c r="Q127" i="103"/>
  <c r="O127" i="103"/>
  <c r="K127" i="103"/>
  <c r="P127" i="103"/>
  <c r="M127" i="103"/>
  <c r="U167" i="103"/>
  <c r="H128" i="103" l="1"/>
  <c r="S128" i="103"/>
  <c r="T169" i="103"/>
  <c r="V169" i="103" s="1"/>
  <c r="N127" i="103"/>
  <c r="L127" i="103" s="1"/>
  <c r="G127" i="103" s="1"/>
  <c r="O128" i="103" l="1"/>
  <c r="N128" i="103" s="1"/>
  <c r="L128" i="103" s="1"/>
  <c r="G128" i="103" s="1"/>
  <c r="Q128" i="103"/>
  <c r="K128" i="103"/>
  <c r="P128" i="103"/>
  <c r="M128" i="103"/>
  <c r="I128" i="103"/>
  <c r="U168" i="103"/>
  <c r="S129" i="103" l="1"/>
  <c r="H129" i="103"/>
  <c r="T170" i="103"/>
  <c r="V170" i="103" s="1"/>
  <c r="M129" i="103"/>
  <c r="I129" i="103" l="1"/>
  <c r="Q129" i="103"/>
  <c r="O129" i="103"/>
  <c r="K129" i="103"/>
  <c r="P129" i="103"/>
  <c r="U169" i="103"/>
  <c r="H130" i="103" l="1"/>
  <c r="S130" i="103"/>
  <c r="T171" i="103"/>
  <c r="V171" i="103" s="1"/>
  <c r="N129" i="103"/>
  <c r="L129" i="103" s="1"/>
  <c r="G129" i="103" s="1"/>
  <c r="O130" i="103" l="1"/>
  <c r="Q130" i="103"/>
  <c r="K130" i="103"/>
  <c r="P130" i="103"/>
  <c r="N130" i="103"/>
  <c r="L130" i="103" s="1"/>
  <c r="G130" i="103" s="1"/>
  <c r="I130" i="103"/>
  <c r="M130" i="103"/>
  <c r="U170" i="103"/>
  <c r="S131" i="103" l="1"/>
  <c r="H131" i="103"/>
  <c r="T172" i="103"/>
  <c r="V172" i="103" s="1"/>
  <c r="M131" i="103"/>
  <c r="I131" i="103" l="1"/>
  <c r="Q131" i="103"/>
  <c r="O131" i="103"/>
  <c r="K131" i="103"/>
  <c r="P131" i="103"/>
  <c r="U171" i="103"/>
  <c r="H132" i="103" l="1"/>
  <c r="S132" i="103"/>
  <c r="T173" i="103"/>
  <c r="V173" i="103" s="1"/>
  <c r="N131" i="103"/>
  <c r="L131" i="103" s="1"/>
  <c r="G131" i="103" s="1"/>
  <c r="O132" i="103" l="1"/>
  <c r="Q132" i="103"/>
  <c r="K132" i="103"/>
  <c r="P132" i="103"/>
  <c r="N132" i="103"/>
  <c r="L132" i="103" s="1"/>
  <c r="G132" i="103" s="1"/>
  <c r="I132" i="103"/>
  <c r="M132" i="103"/>
  <c r="U172" i="103"/>
  <c r="S133" i="103" l="1"/>
  <c r="H133" i="103"/>
  <c r="T174" i="103"/>
  <c r="V174" i="103" s="1"/>
  <c r="M133" i="103"/>
  <c r="I133" i="103" l="1"/>
  <c r="Q133" i="103"/>
  <c r="O133" i="103"/>
  <c r="K133" i="103"/>
  <c r="P133" i="103"/>
  <c r="U173" i="103"/>
  <c r="H134" i="103" l="1"/>
  <c r="S134" i="103"/>
  <c r="T175" i="103"/>
  <c r="V175" i="103" s="1"/>
  <c r="N133" i="103"/>
  <c r="L133" i="103" s="1"/>
  <c r="G133" i="103" s="1"/>
  <c r="M134" i="103" l="1"/>
  <c r="O134" i="103"/>
  <c r="Q134" i="103"/>
  <c r="K134" i="103"/>
  <c r="P134" i="103"/>
  <c r="N134" i="103"/>
  <c r="L134" i="103" s="1"/>
  <c r="G134" i="103" s="1"/>
  <c r="I134" i="103"/>
  <c r="U174" i="103"/>
  <c r="S135" i="103" l="1"/>
  <c r="H135" i="103"/>
  <c r="T176" i="103"/>
  <c r="V176" i="103" s="1"/>
  <c r="M135" i="103"/>
  <c r="I135" i="103" l="1"/>
  <c r="U175" i="103"/>
  <c r="Q135" i="103"/>
  <c r="O135" i="103"/>
  <c r="K135" i="103"/>
  <c r="P135" i="103"/>
  <c r="H136" i="103" l="1"/>
  <c r="S136" i="103"/>
  <c r="T177" i="103"/>
  <c r="V177" i="103" s="1"/>
  <c r="N135" i="103"/>
  <c r="L135" i="103" s="1"/>
  <c r="G135" i="103" s="1"/>
  <c r="M136" i="103" l="1"/>
  <c r="O136" i="103"/>
  <c r="Q136" i="103"/>
  <c r="K136" i="103"/>
  <c r="P136" i="103"/>
  <c r="N136" i="103"/>
  <c r="L136" i="103" s="1"/>
  <c r="G136" i="103" s="1"/>
  <c r="I136" i="103"/>
  <c r="U176" i="103"/>
  <c r="S137" i="103" l="1"/>
  <c r="H137" i="103"/>
  <c r="T178" i="103"/>
  <c r="V178" i="103" s="1"/>
  <c r="M137" i="103"/>
  <c r="I137" i="103" l="1"/>
  <c r="Q137" i="103"/>
  <c r="O137" i="103"/>
  <c r="K137" i="103"/>
  <c r="P137" i="103"/>
  <c r="U177" i="103"/>
  <c r="H138" i="103" l="1"/>
  <c r="S138" i="103"/>
  <c r="T179" i="103"/>
  <c r="V179" i="103" s="1"/>
  <c r="N137" i="103"/>
  <c r="L137" i="103" s="1"/>
  <c r="G137" i="103" s="1"/>
  <c r="O138" i="103" l="1"/>
  <c r="Q138" i="103"/>
  <c r="K138" i="103"/>
  <c r="P138" i="103"/>
  <c r="N138" i="103"/>
  <c r="L138" i="103" s="1"/>
  <c r="G138" i="103" s="1"/>
  <c r="I138" i="103"/>
  <c r="M138" i="103"/>
  <c r="U178" i="103"/>
  <c r="S139" i="103" l="1"/>
  <c r="H139" i="103"/>
  <c r="T180" i="103"/>
  <c r="M139" i="103"/>
  <c r="I139" i="103" l="1"/>
  <c r="Q139" i="103"/>
  <c r="O139" i="103"/>
  <c r="K139" i="103"/>
  <c r="P139" i="103"/>
  <c r="V180" i="103"/>
  <c r="T181" i="103"/>
  <c r="U179" i="103"/>
  <c r="H140" i="103" l="1"/>
  <c r="S140" i="103"/>
  <c r="U180" i="103"/>
  <c r="N139" i="103"/>
  <c r="L139" i="103" s="1"/>
  <c r="G139" i="103" s="1"/>
  <c r="O140" i="103" l="1"/>
  <c r="Q140" i="103"/>
  <c r="P140" i="103"/>
  <c r="K140" i="103"/>
  <c r="N140" i="103"/>
  <c r="L140" i="103" s="1"/>
  <c r="G140" i="103" s="1"/>
  <c r="I140" i="103"/>
  <c r="U181" i="103"/>
  <c r="V181" i="103"/>
  <c r="M140" i="103"/>
  <c r="S141" i="103" l="1"/>
  <c r="H141" i="103"/>
  <c r="M141" i="103"/>
  <c r="I141" i="103" l="1"/>
  <c r="Q141" i="103"/>
  <c r="O141" i="103"/>
  <c r="P141" i="103"/>
  <c r="K141" i="103"/>
  <c r="H142" i="103" l="1"/>
  <c r="S142" i="103"/>
  <c r="N141" i="103"/>
  <c r="L141" i="103" s="1"/>
  <c r="G141" i="103" s="1"/>
  <c r="O142" i="103" l="1"/>
  <c r="Q142" i="103"/>
  <c r="K142" i="103"/>
  <c r="P142" i="103"/>
  <c r="N142" i="103"/>
  <c r="L142" i="103" s="1"/>
  <c r="G142" i="103" s="1"/>
  <c r="I142" i="103"/>
  <c r="M142" i="103"/>
  <c r="S143" i="103" l="1"/>
  <c r="H143" i="103"/>
  <c r="M143" i="103"/>
  <c r="I143" i="103" l="1"/>
  <c r="Q143" i="103"/>
  <c r="O143" i="103"/>
  <c r="K143" i="103"/>
  <c r="P143" i="103"/>
  <c r="H144" i="103" l="1"/>
  <c r="S144" i="103"/>
  <c r="N143" i="103"/>
  <c r="L143" i="103" s="1"/>
  <c r="G143" i="103" s="1"/>
  <c r="O144" i="103" l="1"/>
  <c r="Q144" i="103"/>
  <c r="P144" i="103"/>
  <c r="K144" i="103"/>
  <c r="N144" i="103"/>
  <c r="L144" i="103" s="1"/>
  <c r="G144" i="103" s="1"/>
  <c r="I144" i="103"/>
  <c r="M144" i="103"/>
  <c r="S145" i="103" l="1"/>
  <c r="H145" i="103"/>
  <c r="M145" i="103"/>
  <c r="I145" i="103" l="1"/>
  <c r="Q145" i="103"/>
  <c r="O145" i="103"/>
  <c r="P145" i="103"/>
  <c r="K145" i="103"/>
  <c r="H146" i="103" l="1"/>
  <c r="S146" i="103"/>
  <c r="N145" i="103"/>
  <c r="L145" i="103" s="1"/>
  <c r="G145" i="103" s="1"/>
  <c r="O146" i="103" l="1"/>
  <c r="Q146" i="103"/>
  <c r="K146" i="103"/>
  <c r="P146" i="103"/>
  <c r="N146" i="103"/>
  <c r="L146" i="103" s="1"/>
  <c r="G146" i="103" s="1"/>
  <c r="I146" i="103"/>
  <c r="M146" i="103"/>
  <c r="S147" i="103" l="1"/>
  <c r="H147" i="103"/>
  <c r="M147" i="103"/>
  <c r="I147" i="103" l="1"/>
  <c r="Q147" i="103"/>
  <c r="O147" i="103"/>
  <c r="K147" i="103"/>
  <c r="P147" i="103"/>
  <c r="H148" i="103" l="1"/>
  <c r="S148" i="103"/>
  <c r="N147" i="103"/>
  <c r="L147" i="103" s="1"/>
  <c r="G147" i="103" s="1"/>
  <c r="O148" i="103" l="1"/>
  <c r="Q148" i="103"/>
  <c r="K148" i="103"/>
  <c r="P148" i="103"/>
  <c r="N148" i="103"/>
  <c r="L148" i="103" s="1"/>
  <c r="G148" i="103" s="1"/>
  <c r="I148" i="103"/>
  <c r="M148" i="103"/>
  <c r="S149" i="103" l="1"/>
  <c r="H149" i="103"/>
  <c r="M149" i="103"/>
  <c r="I149" i="103" l="1"/>
  <c r="Q149" i="103"/>
  <c r="O149" i="103"/>
  <c r="P149" i="103"/>
  <c r="K149" i="103"/>
  <c r="H150" i="103" l="1"/>
  <c r="S150" i="103"/>
  <c r="N149" i="103"/>
  <c r="L149" i="103" s="1"/>
  <c r="G149" i="103" s="1"/>
  <c r="O150" i="103" l="1"/>
  <c r="Q150" i="103"/>
  <c r="K150" i="103"/>
  <c r="P150" i="103"/>
  <c r="N150" i="103"/>
  <c r="L150" i="103" s="1"/>
  <c r="G150" i="103" s="1"/>
  <c r="I150" i="103"/>
  <c r="M150" i="103"/>
  <c r="S151" i="103" l="1"/>
  <c r="H151" i="103"/>
  <c r="M151" i="103"/>
  <c r="I151" i="103" l="1"/>
  <c r="Q151" i="103"/>
  <c r="O151" i="103"/>
  <c r="K151" i="103"/>
  <c r="P151" i="103"/>
  <c r="H152" i="103" l="1"/>
  <c r="S152" i="103"/>
  <c r="N151" i="103"/>
  <c r="L151" i="103" s="1"/>
  <c r="G151" i="103" s="1"/>
  <c r="O152" i="103" l="1"/>
  <c r="Q152" i="103"/>
  <c r="K152" i="103"/>
  <c r="P152" i="103"/>
  <c r="N152" i="103"/>
  <c r="L152" i="103" s="1"/>
  <c r="G152" i="103" s="1"/>
  <c r="I152" i="103"/>
  <c r="M152" i="103"/>
  <c r="S153" i="103" l="1"/>
  <c r="H153" i="103"/>
  <c r="M153" i="103"/>
  <c r="I153" i="103" l="1"/>
  <c r="Q153" i="103"/>
  <c r="O153" i="103"/>
  <c r="P153" i="103"/>
  <c r="K153" i="103"/>
  <c r="H154" i="103" l="1"/>
  <c r="S154" i="103"/>
  <c r="N153" i="103"/>
  <c r="L153" i="103" s="1"/>
  <c r="G153" i="103" s="1"/>
  <c r="O154" i="103" l="1"/>
  <c r="Q154" i="103"/>
  <c r="K154" i="103"/>
  <c r="P154" i="103"/>
  <c r="N154" i="103"/>
  <c r="L154" i="103" s="1"/>
  <c r="G154" i="103" s="1"/>
  <c r="I154" i="103"/>
  <c r="M154" i="103"/>
  <c r="S155" i="103" l="1"/>
  <c r="H155" i="103"/>
  <c r="M155" i="103"/>
  <c r="I155" i="103" l="1"/>
  <c r="Q155" i="103"/>
  <c r="O155" i="103"/>
  <c r="K155" i="103"/>
  <c r="P155" i="103"/>
  <c r="H156" i="103" l="1"/>
  <c r="S156" i="103"/>
  <c r="N155" i="103"/>
  <c r="L155" i="103" s="1"/>
  <c r="G155" i="103" s="1"/>
  <c r="O156" i="103" l="1"/>
  <c r="Q156" i="103"/>
  <c r="K156" i="103"/>
  <c r="P156" i="103"/>
  <c r="N156" i="103"/>
  <c r="L156" i="103" s="1"/>
  <c r="G156" i="103" s="1"/>
  <c r="I156" i="103"/>
  <c r="M156" i="103"/>
  <c r="S157" i="103" l="1"/>
  <c r="H157" i="103"/>
  <c r="M157" i="103"/>
  <c r="I157" i="103" l="1"/>
  <c r="Q157" i="103"/>
  <c r="O157" i="103"/>
  <c r="P157" i="103"/>
  <c r="K157" i="103"/>
  <c r="H158" i="103" l="1"/>
  <c r="S158" i="103"/>
  <c r="N157" i="103"/>
  <c r="L157" i="103" s="1"/>
  <c r="G157" i="103" s="1"/>
  <c r="M158" i="103" l="1"/>
  <c r="O158" i="103"/>
  <c r="Q158" i="103"/>
  <c r="K158" i="103"/>
  <c r="P158" i="103"/>
  <c r="I158" i="103"/>
  <c r="H159" i="103" l="1"/>
  <c r="S159" i="103"/>
  <c r="N158" i="103"/>
  <c r="L158" i="103" s="1"/>
  <c r="G158" i="103" s="1"/>
  <c r="BA108" i="103" s="1"/>
  <c r="O159" i="103" l="1"/>
  <c r="P159" i="103"/>
  <c r="K159" i="103"/>
  <c r="K160" i="103" s="1"/>
  <c r="Q159" i="103"/>
  <c r="N159" i="103"/>
  <c r="L159" i="103" s="1"/>
  <c r="I159" i="103"/>
  <c r="H160" i="103"/>
  <c r="M159" i="103"/>
  <c r="L160" i="103" l="1"/>
  <c r="G159" i="103"/>
  <c r="BA109" i="103" l="1"/>
  <c r="G160" i="103"/>
  <c r="BA110" i="103" s="1"/>
  <c r="BA116" i="103" s="1"/>
  <c r="G4" i="76"/>
  <c r="G8" i="76"/>
</calcChain>
</file>

<file path=xl/sharedStrings.xml><?xml version="1.0" encoding="utf-8"?>
<sst xmlns="http://schemas.openxmlformats.org/spreadsheetml/2006/main" count="3176" uniqueCount="496">
  <si>
    <t>Дата предоставления кредита</t>
  </si>
  <si>
    <t>Срок кредита, мес.</t>
  </si>
  <si>
    <t>Ставка по кредиту (годовая)</t>
  </si>
  <si>
    <t>№№</t>
  </si>
  <si>
    <t>Дата платежа</t>
  </si>
  <si>
    <t>Сумма платежа</t>
  </si>
  <si>
    <t>Остаток основного долга</t>
  </si>
  <si>
    <t>Итого</t>
  </si>
  <si>
    <t xml:space="preserve">Размер первоначального взноса </t>
  </si>
  <si>
    <t>Сумма кредита</t>
  </si>
  <si>
    <t>Цена со скидкой</t>
  </si>
  <si>
    <t>Скидка (для б/п кредитов)</t>
  </si>
  <si>
    <t>В т.ч. проценты</t>
  </si>
  <si>
    <t>Сумма всех выплат</t>
  </si>
  <si>
    <t>Платеж с учетом страховки</t>
  </si>
  <si>
    <t>Кратность округления платежа</t>
  </si>
  <si>
    <t>Участие в программе страхования</t>
  </si>
  <si>
    <t>Ставка страхования</t>
  </si>
  <si>
    <t>Ежемесячный платеж по кредиту</t>
  </si>
  <si>
    <t>Результат расчета кредита</t>
  </si>
  <si>
    <t>да</t>
  </si>
  <si>
    <t xml:space="preserve">Размер платежа по услуге Уменьшаю платеж </t>
  </si>
  <si>
    <t>Легкий платеж по кредиту</t>
  </si>
  <si>
    <t xml:space="preserve">Максимальный срок по услуге Уменьшаю платеж </t>
  </si>
  <si>
    <t xml:space="preserve">Ставка по кредиту по услуге Уменьшаю платеж </t>
  </si>
  <si>
    <t>Дата получения кредита</t>
  </si>
  <si>
    <t>В т.ч.  Часть основного долга</t>
  </si>
  <si>
    <t>1. Параметры запроса кредита</t>
  </si>
  <si>
    <t>2. График ежемесячных платежей</t>
  </si>
  <si>
    <t>нет</t>
  </si>
  <si>
    <t>Суперставка</t>
  </si>
  <si>
    <t>Осталось платежей фактически</t>
  </si>
  <si>
    <t>Осталось платежей по графику</t>
  </si>
  <si>
    <t>Базовый</t>
  </si>
  <si>
    <t>Продукт</t>
  </si>
  <si>
    <t>Нет</t>
  </si>
  <si>
    <t>В т.ч. Комиссии+страховка</t>
  </si>
  <si>
    <t>Полная сумма комиссии</t>
  </si>
  <si>
    <t>Сумма процентов и комиссии</t>
  </si>
  <si>
    <t>Остаток комиссии, не вошедший в платеж</t>
  </si>
  <si>
    <t>Страховка</t>
  </si>
  <si>
    <t>Потребительский кредит/Кредит наличными/Персональная ссуда</t>
  </si>
  <si>
    <t>Переплата</t>
  </si>
  <si>
    <t>от суммы кредита наличными</t>
  </si>
  <si>
    <t>Общая сумма страховки</t>
  </si>
  <si>
    <t>Тариф за страховку, ежем.</t>
  </si>
  <si>
    <t>Запрошенная сумма(сумма кредита наличными)</t>
  </si>
  <si>
    <t>Да</t>
  </si>
  <si>
    <t>Гарантированная ставка</t>
  </si>
  <si>
    <t>Комиссия за Гарантированную ставку</t>
  </si>
  <si>
    <t>Возврат по Гарантированной ставке составит</t>
  </si>
  <si>
    <t>Лайт</t>
  </si>
  <si>
    <t>список ставок по кредиту</t>
  </si>
  <si>
    <t>Все виды Рефинансирования</t>
  </si>
  <si>
    <t>Правило</t>
  </si>
  <si>
    <t>Возможные даты для переноса</t>
  </si>
  <si>
    <t xml:space="preserve"> </t>
  </si>
  <si>
    <t>! Не менять этот блок</t>
  </si>
  <si>
    <t>Зеленый мир</t>
  </si>
  <si>
    <t>Дата оформления договора и первой операции</t>
  </si>
  <si>
    <t>Образовательный</t>
  </si>
  <si>
    <t>СуперЛето</t>
  </si>
  <si>
    <t>ЛетоДеньги (29,9)</t>
  </si>
  <si>
    <t>СуперЛето (29,9)</t>
  </si>
  <si>
    <t>Наше Лето</t>
  </si>
  <si>
    <t>Шаг навстречу</t>
  </si>
  <si>
    <t>Срок транша</t>
  </si>
  <si>
    <t>ПСК</t>
  </si>
  <si>
    <t>Образование.Кардиф</t>
  </si>
  <si>
    <t>Забота</t>
  </si>
  <si>
    <t>Забота плюс</t>
  </si>
  <si>
    <t>Активный</t>
  </si>
  <si>
    <t>Зарплатный</t>
  </si>
  <si>
    <t>Пенсионный</t>
  </si>
  <si>
    <t>Зарплатный пенсионер</t>
  </si>
  <si>
    <t>Проценты за весь срок кредита, руб.</t>
  </si>
  <si>
    <t>Услуга "Гарантированная ставка"</t>
  </si>
  <si>
    <t>Возврат, % от суммы кредита наличными</t>
  </si>
  <si>
    <t>Сумма всех выплат, руб.</t>
  </si>
  <si>
    <t>Для комиссии за ГС  в % (первый столбец)</t>
  </si>
  <si>
    <t>Для комиссии за ГС  в % (второй столбец)</t>
  </si>
  <si>
    <t>При обращении</t>
  </si>
  <si>
    <t>Разница значений</t>
  </si>
  <si>
    <t>Стоимость страхования (ежемесячно)</t>
  </si>
  <si>
    <t>Расходы по кредиту в год</t>
  </si>
  <si>
    <t>=</t>
  </si>
  <si>
    <t>Расходы по кредиту за весь срок</t>
  </si>
  <si>
    <t>Срок кредита (лет)</t>
  </si>
  <si>
    <t>.</t>
  </si>
  <si>
    <t>Х</t>
  </si>
  <si>
    <t>Расходы по кредиту в месяц</t>
  </si>
  <si>
    <t>12 мес.</t>
  </si>
  <si>
    <t>Расходы по кредиту в день</t>
  </si>
  <si>
    <t>30 дней</t>
  </si>
  <si>
    <t>Формулы для расчета расходов Клиента по кредиту в год / месяц / день</t>
  </si>
  <si>
    <t>числовые значения указаны в разделе "3. Используйте сумму расходов по кредиту..." (строки 33-37)</t>
  </si>
  <si>
    <t>Сумма кредита от</t>
  </si>
  <si>
    <t>Сумма кредита до (вкл-но)</t>
  </si>
  <si>
    <t>Коэфф. для страховой суммы</t>
  </si>
  <si>
    <t>20000  </t>
  </si>
  <si>
    <t>Тариф по страхованию, % от страховой суммы в месяц</t>
  </si>
  <si>
    <t>300001 для макси</t>
  </si>
  <si>
    <t>Подключить услугу?</t>
  </si>
  <si>
    <t>Вездедоход</t>
  </si>
  <si>
    <t>Пакет услуг "Все под контролем"</t>
  </si>
  <si>
    <t>Комиссия за услугу</t>
  </si>
  <si>
    <t xml:space="preserve">Пакет 1 </t>
  </si>
  <si>
    <t xml:space="preserve">Пакет 2 </t>
  </si>
  <si>
    <t>Пакет 3</t>
  </si>
  <si>
    <t>Пакет 4</t>
  </si>
  <si>
    <t>Пакет 5</t>
  </si>
  <si>
    <t>Максимум</t>
  </si>
  <si>
    <t>Максимум_страх.сумма</t>
  </si>
  <si>
    <t>Лайт_страх. сумма</t>
  </si>
  <si>
    <t>Уверенность</t>
  </si>
  <si>
    <t>Уверенность плюс</t>
  </si>
  <si>
    <t>Уверенность_страх. сумма</t>
  </si>
  <si>
    <t>Уверенность плюс_страх. сумма</t>
  </si>
  <si>
    <t>Гарантия стандарт</t>
  </si>
  <si>
    <t>Гарантия плюс</t>
  </si>
  <si>
    <t>Гарантия пакет</t>
  </si>
  <si>
    <t>Гарантия плюс_страх. сумма</t>
  </si>
  <si>
    <t>Гарантия стандарт_страх. сумма</t>
  </si>
  <si>
    <t>200001  </t>
  </si>
  <si>
    <t>600001  </t>
  </si>
  <si>
    <t>Коэфф. для страховой премии</t>
  </si>
  <si>
    <t>Пакет</t>
  </si>
  <si>
    <t>Базовый с оборотом &gt;=10 тыс.руб.</t>
  </si>
  <si>
    <t>КРЕДИТ "СНИЖАЕМ СТАВКУ"</t>
  </si>
  <si>
    <t>Гарантия стандарт/пакет</t>
  </si>
  <si>
    <t xml:space="preserve">Не предоставляется </t>
  </si>
  <si>
    <t>Акция "Особые условия"</t>
  </si>
  <si>
    <t>Не предоставляется</t>
  </si>
  <si>
    <t>Услуга "Уменьшаю платеж"</t>
  </si>
  <si>
    <t>Страховая Сумма от</t>
  </si>
  <si>
    <t>Страховая Сумма до (вкл-но)</t>
  </si>
  <si>
    <t>Кредитный лимит, руб.</t>
  </si>
  <si>
    <t>Вид первой операции</t>
  </si>
  <si>
    <t>Снятие наличных / Перевод</t>
  </si>
  <si>
    <t>Сумма первой операции, руб.</t>
  </si>
  <si>
    <t>% ставка</t>
  </si>
  <si>
    <t>Комиссия за обслуживание карты, руб.</t>
  </si>
  <si>
    <t>Услуга "СМС-информирование"</t>
  </si>
  <si>
    <t>Дата заключения договора:</t>
  </si>
  <si>
    <t>Базовый размер платежа, руб.</t>
  </si>
  <si>
    <t>Рекомендуемый платеж</t>
  </si>
  <si>
    <t>Базовый график платежей:</t>
  </si>
  <si>
    <t>Рекомендуемый график платежей:</t>
  </si>
  <si>
    <t>№</t>
  </si>
  <si>
    <t>Дата начала платежного периода</t>
  </si>
  <si>
    <t>Сумма основного долга, руб.</t>
  </si>
  <si>
    <t>Минимальный ежемесячный платеж, руб.</t>
  </si>
  <si>
    <t>Рекомендуемый ежемесячный платеж, руб.</t>
  </si>
  <si>
    <t>ОД</t>
  </si>
  <si>
    <t>%%</t>
  </si>
  <si>
    <t>Комиссия за карту и СМС</t>
  </si>
  <si>
    <t>Совокупный платеж</t>
  </si>
  <si>
    <t>Сумма всех выплат по кредиту, руб.</t>
  </si>
  <si>
    <t>Пакет "Почетный клиент"</t>
  </si>
  <si>
    <t>Базовый (статус Активный)</t>
  </si>
  <si>
    <t>Полная стоимость кредита</t>
  </si>
  <si>
    <t>Сумма переплаты</t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</si>
  <si>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</si>
  <si>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день, руб.</t>
    </r>
  </si>
  <si>
    <t>ПАРАМЕТРЫ</t>
  </si>
  <si>
    <t>ЗНАЧЕНИЯ</t>
  </si>
  <si>
    <t>РАЗНИЦА ЗНАЧЕНИЙ</t>
  </si>
  <si>
    <t>ПОТРЕБИТЕЛЬСКИЙ КРЕДИТ ЛИНЕЙКА "ПРАЙМ"</t>
  </si>
  <si>
    <t xml:space="preserve">                      ПАКЕТ УСЛУГ
                    "ВСЕ ПОД КОНТРОЛЕМ"</t>
  </si>
  <si>
    <t xml:space="preserve">                   ПАКЕТ ПРИВИЛЕГИЙ
                   "ПОЧЕТНЫЙ КЛИЕНТ"</t>
  </si>
  <si>
    <t>Наличие пакета "ПОЧЕТНЫЙ КЛИЕНТ"</t>
  </si>
  <si>
    <t>Льготная % ставка</t>
  </si>
  <si>
    <r>
      <t xml:space="preserve">Базовая ставка </t>
    </r>
    <r>
      <rPr>
        <sz val="9"/>
        <rFont val="Century Gothic"/>
        <family val="1"/>
      </rPr>
      <t>по кредиту, % годовых</t>
    </r>
  </si>
  <si>
    <r>
      <t xml:space="preserve">Тарифный план </t>
    </r>
    <r>
      <rPr>
        <sz val="9"/>
        <rFont val="Century Gothic"/>
        <family val="1"/>
      </rPr>
      <t xml:space="preserve">по Сберегательному счету </t>
    </r>
  </si>
  <si>
    <t>СРАВНИ ВЫГОДУ ПО КРЕДИТУ С "ПОЧЕТНЫМ КЛИЕНТОМ"</t>
  </si>
  <si>
    <r>
      <rPr>
        <b/>
        <sz val="20"/>
        <color theme="0"/>
        <rFont val="Century Gothic"/>
        <family val="1"/>
      </rPr>
      <t xml:space="preserve">РАСЧЕТ РАСХОДОВ ПО КРЕДИТУ В ДЕНЬ </t>
    </r>
    <r>
      <rPr>
        <b/>
        <sz val="10"/>
        <color theme="0"/>
        <rFont val="Century Gothic"/>
        <family val="1"/>
      </rPr>
      <t xml:space="preserve">
</t>
    </r>
    <r>
      <rPr>
        <sz val="10"/>
        <color theme="0"/>
        <rFont val="Century Gothic"/>
        <family val="1"/>
      </rPr>
      <t>Используй данную информацию для отработки возражения о высокой % ставке / сумме % . Ссравнени % по кредиту в день с чашкой кафе / стоимостью проезда и т.п.)</t>
    </r>
  </si>
  <si>
    <r>
      <t xml:space="preserve">Расходы по кредиту </t>
    </r>
    <r>
      <rPr>
        <b/>
        <sz val="12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</si>
  <si>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</si>
  <si>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t>НЕТ</t>
  </si>
  <si>
    <t>ДА</t>
  </si>
  <si>
    <t>Числовое выражение, руб.</t>
  </si>
  <si>
    <r>
      <rPr>
        <b/>
        <sz val="9"/>
        <rFont val="Century Gothic"/>
        <family val="1"/>
      </rPr>
      <t>%</t>
    </r>
    <r>
      <rPr>
        <sz val="9"/>
        <rFont val="Century Gothic"/>
        <family val="1"/>
      </rPr>
      <t xml:space="preserve"> от суммы кредита</t>
    </r>
  </si>
  <si>
    <t>Стоимость:</t>
  </si>
  <si>
    <t>Минимальный пакет для снижения % ставки</t>
  </si>
  <si>
    <t>Стоимость пакета, руб / месяц.</t>
  </si>
  <si>
    <t>Стоимость Финансовой защиты (страховая премия), руб.</t>
  </si>
  <si>
    <r>
      <t xml:space="preserve">                          Расходы по кредиту </t>
    </r>
    <r>
      <rPr>
        <b/>
        <sz val="11"/>
        <rFont val="Century Gothic"/>
        <family val="1"/>
      </rPr>
      <t>В ГОД</t>
    </r>
  </si>
  <si>
    <t>ДАТА ПЛАТЕЖА</t>
  </si>
  <si>
    <t>% СТАВКА ПО КРЕДИТУ</t>
  </si>
  <si>
    <t>ЕЖЕМЕСЯЧНЫЙ ПЛАТЕЖ + "ПОЧЕТНЫЙ КЛИЕНТ"</t>
  </si>
  <si>
    <t>ЕЖЕМЕСЯЧНЫЙ ПЛАТЕЖ БЕЗ ПАКЕТА  "ПК"</t>
  </si>
  <si>
    <t>ПРОЦЕНТЫ ПО КРЕДИТУ</t>
  </si>
  <si>
    <t>ПОГАШЕНИЕ ОСНОВНОГО ДОЛГА</t>
  </si>
  <si>
    <t>ОСТАТОК ОСНОВНОГО ДОЛГА</t>
  </si>
  <si>
    <t>ЕЖЕМЕСЯЧНЫЙ ПЛАТЕЖ</t>
  </si>
  <si>
    <t>СТОИМОСТЬ ПАКЕТА "ПОЧЕТНЫЙ КЛИЕНТ" (ежемесячная оплата)</t>
  </si>
  <si>
    <r>
      <rPr>
        <b/>
        <sz val="10"/>
        <color rgb="FFC00149"/>
        <rFont val="Century Gothic"/>
        <family val="1"/>
      </rPr>
      <t>ВАЖНО</t>
    </r>
    <r>
      <rPr>
        <sz val="10"/>
        <color rgb="FFAC2653"/>
        <rFont val="Century Gothic"/>
        <family val="1"/>
      </rPr>
      <t>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</si>
  <si>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10"/>
        <color rgb="FFC00149"/>
        <rFont val="Century Gothic"/>
        <family val="1"/>
      </rPr>
      <t>ВАЖНО: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</si>
  <si>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9"/>
        <rFont val="Century Gothic"/>
        <family val="1"/>
      </rPr>
      <t>Срок</t>
    </r>
    <r>
      <rPr>
        <sz val="9"/>
        <rFont val="Century Gothic"/>
        <family val="1"/>
      </rPr>
      <t xml:space="preserve"> кредита, мес.</t>
    </r>
  </si>
  <si>
    <r>
      <rPr>
        <b/>
        <sz val="9"/>
        <rFont val="Century Gothic"/>
        <family val="1"/>
      </rPr>
      <t>Дата</t>
    </r>
    <r>
      <rPr>
        <sz val="9"/>
        <rFont val="Century Gothic"/>
        <family val="1"/>
      </rPr>
      <t xml:space="preserve"> выдачи кредита</t>
    </r>
  </si>
  <si>
    <r>
      <rPr>
        <b/>
        <sz val="9"/>
        <rFont val="Century Gothic"/>
        <family val="1"/>
      </rPr>
      <t>Сумма</t>
    </r>
    <r>
      <rPr>
        <sz val="9"/>
        <rFont val="Century Gothic"/>
        <family val="1"/>
      </rPr>
      <t xml:space="preserve"> кредита наличными (руб).</t>
    </r>
  </si>
  <si>
    <r>
      <t xml:space="preserve">Базовая % </t>
    </r>
    <r>
      <rPr>
        <sz val="9"/>
        <rFont val="Century Gothic"/>
        <family val="1"/>
      </rPr>
      <t>ставка по кредиту</t>
    </r>
  </si>
  <si>
    <r>
      <t xml:space="preserve">Тарифный план </t>
    </r>
    <r>
      <rPr>
        <sz val="9"/>
        <rFont val="Century Gothic"/>
        <family val="1"/>
      </rPr>
      <t>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СС</t>
    </r>
  </si>
  <si>
    <t>Льготная % ставка по кредиту</t>
  </si>
  <si>
    <t xml:space="preserve">Финансовая защита (программа страхования) </t>
  </si>
  <si>
    <t xml:space="preserve">                     ПАКЕТ УСЛУГ 
                "ВСЕ ПОД КОНТРОЛЕМ"</t>
  </si>
  <si>
    <r>
      <t xml:space="preserve">Ежемесячный платеж </t>
    </r>
    <r>
      <rPr>
        <b/>
        <sz val="9"/>
        <rFont val="Century Gothic"/>
        <family val="1"/>
      </rPr>
      <t>в первый год</t>
    </r>
    <r>
      <rPr>
        <sz val="9"/>
        <rFont val="Century Gothic"/>
        <family val="1"/>
      </rPr>
      <t>, руб.</t>
    </r>
  </si>
  <si>
    <r>
      <rPr>
        <sz val="9"/>
        <rFont val="Century Gothic"/>
        <family val="1"/>
      </rPr>
      <t xml:space="preserve">Ежемесячный платеж </t>
    </r>
    <r>
      <rPr>
        <b/>
        <sz val="9"/>
        <rFont val="Century Gothic"/>
        <family val="1"/>
      </rPr>
      <t>в последний год, руб.</t>
    </r>
  </si>
  <si>
    <t>УСЛОВИЯ ПО КРЕДИТУ:</t>
  </si>
  <si>
    <r>
      <t xml:space="preserve">Итоговая сумма расходов Клиента, руб.
</t>
    </r>
    <r>
      <rPr>
        <b/>
        <i/>
        <sz val="9"/>
        <rFont val="Arial"/>
        <family val="2"/>
        <charset val="204"/>
      </rPr>
      <t>(проценты по кредиту + пакет услуг "Все под контролем")</t>
    </r>
  </si>
  <si>
    <t>Числовое выражение в, руб.</t>
  </si>
  <si>
    <t>% от суммы кредита</t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</si>
  <si>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</si>
  <si>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4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</si>
  <si>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t>ВАЖНО!</t>
  </si>
  <si>
    <t>ДАТА 
ПЛАТЕЖА</t>
  </si>
  <si>
    <t>СУММА 
ПЛАТЕЖА</t>
  </si>
  <si>
    <t>ПРОЦЕНТЫ 
ПО КРЕДИТУ</t>
  </si>
  <si>
    <t xml:space="preserve">                          ПАКЕТ УСЛУГ
                           "ВСЕ ПОД КОНТРОЛЕМ"</t>
  </si>
  <si>
    <r>
      <t xml:space="preserve">                           Расходы по кредиту </t>
    </r>
    <r>
      <rPr>
        <b/>
        <sz val="18"/>
        <rFont val="Century Gothic"/>
        <family val="1"/>
      </rPr>
      <t>в год</t>
    </r>
  </si>
  <si>
    <t xml:space="preserve">                           УСЛУГА
                      "ГАРАНТИРОВАННАЯ СТАВКА"</t>
  </si>
  <si>
    <t>Стоимость подключения "ГС", руб.</t>
  </si>
  <si>
    <t>Возврат , руб.</t>
  </si>
  <si>
    <t>% ставка при подключении "ГС"</t>
  </si>
  <si>
    <t>Наличие услуги "Гарантированная ставка"</t>
  </si>
  <si>
    <t>ПОТРЕБИТЕЛЬСКИЙ КРЕДИТ (БАЗОВАЯ ЛИНЕЙКА)</t>
  </si>
  <si>
    <t xml:space="preserve">ПАРАМЕТРЫ </t>
  </si>
  <si>
    <t>ДАТА</t>
  </si>
  <si>
    <t>Дата обращения (сегодня)</t>
  </si>
  <si>
    <t xml:space="preserve">Дата ближайшего планового платежа </t>
  </si>
  <si>
    <t xml:space="preserve">Укажи дату ежемесячного платежа </t>
  </si>
  <si>
    <t>Возможный интервал для переноса даты                                           с</t>
  </si>
  <si>
    <t xml:space="preserve">                                                                                                                             по </t>
  </si>
  <si>
    <t xml:space="preserve">
КРЕДИТ НА ОБРАЗОВАНИЕ 	
"ЗНАНИЕ - СИЛА"
</t>
  </si>
  <si>
    <t>Название кредита</t>
  </si>
  <si>
    <r>
      <rPr>
        <sz val="10"/>
        <color rgb="FFC00149"/>
        <rFont val="Century Gothic"/>
        <family val="1"/>
      </rPr>
      <t xml:space="preserve">ВАЖНО: </t>
    </r>
    <r>
      <rPr>
        <sz val="10"/>
        <rFont val="Century Gothic"/>
        <family val="1"/>
      </rPr>
      <t>для расчета условий заполни параметры кредита в поле "значения".</t>
    </r>
  </si>
  <si>
    <r>
      <rPr>
        <b/>
        <sz val="9"/>
        <color theme="1"/>
        <rFont val="Century Gothic"/>
        <family val="1"/>
      </rPr>
      <t>Сумма</t>
    </r>
    <r>
      <rPr>
        <sz val="9"/>
        <color theme="1"/>
        <rFont val="Century Gothic"/>
        <family val="1"/>
      </rPr>
      <t xml:space="preserve"> транша по кредиту </t>
    </r>
  </si>
  <si>
    <r>
      <rPr>
        <b/>
        <sz val="9"/>
        <color theme="1"/>
        <rFont val="Century Gothic"/>
        <family val="1"/>
      </rPr>
      <t>Количество</t>
    </r>
    <r>
      <rPr>
        <sz val="9"/>
        <color theme="1"/>
        <rFont val="Century Gothic"/>
        <family val="1"/>
      </rPr>
      <t xml:space="preserve"> траншей</t>
    </r>
  </si>
  <si>
    <r>
      <rPr>
        <b/>
        <sz val="9"/>
        <color theme="1"/>
        <rFont val="Century Gothic"/>
        <family val="1"/>
      </rPr>
      <t xml:space="preserve">Финансовая защита </t>
    </r>
    <r>
      <rPr>
        <sz val="9"/>
        <color theme="1"/>
        <rFont val="Century Gothic"/>
        <family val="1"/>
      </rPr>
      <t>(программа страхования)</t>
    </r>
  </si>
  <si>
    <r>
      <rPr>
        <b/>
        <sz val="9"/>
        <color theme="1"/>
        <rFont val="Century Gothic"/>
        <family val="1"/>
      </rPr>
      <t>Дата выдачи</t>
    </r>
    <r>
      <rPr>
        <sz val="9"/>
        <color theme="1"/>
        <rFont val="Century Gothic"/>
        <family val="1"/>
      </rPr>
      <t xml:space="preserve"> кредита</t>
    </r>
  </si>
  <si>
    <r>
      <rPr>
        <b/>
        <sz val="9"/>
        <color theme="1"/>
        <rFont val="Century Gothic"/>
        <family val="1"/>
      </rPr>
      <t xml:space="preserve">Срок кредита </t>
    </r>
    <r>
      <rPr>
        <sz val="9"/>
        <color theme="1"/>
        <rFont val="Century Gothic"/>
        <family val="1"/>
      </rPr>
      <t>для аннуитентного погашения, мес.</t>
    </r>
  </si>
  <si>
    <t>Сумма кредита для расчета ПДП</t>
  </si>
  <si>
    <r>
      <rPr>
        <b/>
        <sz val="9"/>
        <color theme="1"/>
        <rFont val="Century Gothic"/>
        <family val="1"/>
      </rPr>
      <t>Срок кредита</t>
    </r>
    <r>
      <rPr>
        <sz val="9"/>
        <color theme="1"/>
        <rFont val="Century Gothic"/>
        <family val="1"/>
      </rPr>
      <t>, мес.</t>
    </r>
  </si>
  <si>
    <r>
      <rPr>
        <b/>
        <sz val="9"/>
        <color theme="1"/>
        <rFont val="Century Gothic"/>
        <family val="1"/>
      </rPr>
      <t>Ежемесячный платеж</t>
    </r>
    <r>
      <rPr>
        <sz val="9"/>
        <color theme="1"/>
        <rFont val="Century Gothic"/>
        <family val="1"/>
      </rPr>
      <t xml:space="preserve"> с учетом финансовой защиты</t>
    </r>
  </si>
  <si>
    <t xml:space="preserve">ДАТА ПЛАТЕЖА </t>
  </si>
  <si>
    <t xml:space="preserve">ЕЖЕМЕСЯЧНЫЙ ПЛАТЕЖ </t>
  </si>
  <si>
    <t xml:space="preserve">КОМИССИИ + СТРАХОВАНИЕ </t>
  </si>
  <si>
    <t>ОСТАТОК ПЛАТЕЖЕЙ ПО КРЕДИТУ</t>
  </si>
  <si>
    <t>ГРАФИК ПЛАТЕЖЕЙ</t>
  </si>
  <si>
    <t xml:space="preserve">           РАСЧЕТ ДАТЫ ПЛАТЕЖА ДЛЯ ПЕРЕНОСА</t>
  </si>
  <si>
    <t xml:space="preserve">Кредитная карта </t>
  </si>
  <si>
    <t xml:space="preserve">                 Сумма первого МЕП по КК</t>
  </si>
  <si>
    <r>
      <t xml:space="preserve">Предложение лучшим Клиентам 
</t>
    </r>
    <r>
      <rPr>
        <sz val="9"/>
        <color rgb="FFC00149"/>
        <rFont val="Century Gothic"/>
        <family val="1"/>
      </rPr>
      <t>(бесплатное оформление)</t>
    </r>
  </si>
  <si>
    <r>
      <rPr>
        <b/>
        <sz val="9"/>
        <color theme="1"/>
        <rFont val="Century Gothic"/>
        <family val="1"/>
      </rPr>
      <t xml:space="preserve">Сумма оплаты </t>
    </r>
    <r>
      <rPr>
        <sz val="9"/>
        <color theme="1"/>
        <rFont val="Century Gothic"/>
        <family val="1"/>
      </rPr>
      <t xml:space="preserve">покупки по карте </t>
    </r>
  </si>
  <si>
    <r>
      <rPr>
        <b/>
        <sz val="9"/>
        <color theme="1"/>
        <rFont val="Century Gothic"/>
        <family val="1"/>
      </rPr>
      <t>Сумма снятия</t>
    </r>
    <r>
      <rPr>
        <sz val="9"/>
        <color theme="1"/>
        <rFont val="Century Gothic"/>
        <family val="1"/>
      </rPr>
      <t xml:space="preserve"> наличных с карты </t>
    </r>
  </si>
  <si>
    <t>Первая расчетная дата (для внесения платежа)</t>
  </si>
  <si>
    <t>ВОЗВРАТ ПОТРАЧЕННОЙ СУММЫ</t>
  </si>
  <si>
    <t>Погашение основного долга (за покупки по карте)</t>
  </si>
  <si>
    <t>Погашение основного долга (за снятие д/с с карты)</t>
  </si>
  <si>
    <t xml:space="preserve">Комиссия за оформление карты </t>
  </si>
  <si>
    <t xml:space="preserve">Комиссия за снятие д/с с карты </t>
  </si>
  <si>
    <t>Погашение % за первый месяц</t>
  </si>
  <si>
    <t xml:space="preserve">СОСТАВ ЕЖЕМЕСЯЧНОГО ПЛАТЕЖА ПО КАРТЕ </t>
  </si>
  <si>
    <t xml:space="preserve">Выбери карту </t>
  </si>
  <si>
    <t xml:space="preserve">Выбери да / нет </t>
  </si>
  <si>
    <t>Напиши сумму</t>
  </si>
  <si>
    <t xml:space="preserve">Напиши дату </t>
  </si>
  <si>
    <t xml:space="preserve">Напиши сумму </t>
  </si>
  <si>
    <r>
      <rPr>
        <b/>
        <sz val="10"/>
        <color theme="0"/>
        <rFont val="Century Gothic"/>
        <family val="1"/>
      </rPr>
      <t>ВАЖНО!</t>
    </r>
    <r>
      <rPr>
        <sz val="10"/>
        <color theme="0"/>
        <rFont val="Century Gothic"/>
        <family val="1"/>
      </rPr>
      <t xml:space="preserve">
Данный пример расчета составлен из ситуации, в которой Клиент совершает </t>
    </r>
    <r>
      <rPr>
        <b/>
        <sz val="10"/>
        <color theme="0"/>
        <rFont val="Century Gothic"/>
        <family val="1"/>
      </rPr>
      <t>только одну или две</t>
    </r>
    <r>
      <rPr>
        <sz val="10"/>
        <color theme="0"/>
        <rFont val="Century Gothic"/>
        <family val="1"/>
      </rPr>
      <t xml:space="preserve"> расходные операции (оплата или снятие д/с) в день заключения договора и не гасит задолженность до первой расчетной даты. Количество дней в году принято равным 365. Расчет является примером, конкретное значение первого платежа будет зависеть от использование карты конкретным Клиентом.</t>
    </r>
  </si>
  <si>
    <r>
      <rPr>
        <b/>
        <sz val="9"/>
        <rFont val="Century Gothic"/>
        <family val="1"/>
      </rPr>
      <t xml:space="preserve">Месяц активации </t>
    </r>
    <r>
      <rPr>
        <sz val="9"/>
        <rFont val="Century Gothic"/>
        <family val="1"/>
      </rPr>
      <t>льготного периода со ставкой 0%</t>
    </r>
  </si>
  <si>
    <t>выбери "Да" или "нет"</t>
  </si>
  <si>
    <r>
      <rPr>
        <b/>
        <sz val="9"/>
        <rFont val="Century Gothic"/>
        <family val="1"/>
      </rPr>
      <t>Тарифный план</t>
    </r>
    <r>
      <rPr>
        <sz val="9"/>
        <rFont val="Century Gothic"/>
        <family val="1"/>
      </rPr>
      <t xml:space="preserve"> по Сберегательному счету</t>
    </r>
  </si>
  <si>
    <r>
      <rPr>
        <b/>
        <sz val="9"/>
        <rFont val="Century Gothic"/>
        <family val="1"/>
      </rPr>
      <t>Базовая ставка</t>
    </r>
    <r>
      <rPr>
        <sz val="9"/>
        <rFont val="Century Gothic"/>
        <family val="1"/>
      </rPr>
      <t xml:space="preserve"> по кредиту, % годовых</t>
    </r>
  </si>
  <si>
    <r>
      <rPr>
        <b/>
        <sz val="9"/>
        <color theme="0"/>
        <rFont val="Century Gothic"/>
        <family val="1"/>
      </rPr>
      <t xml:space="preserve">ВАЖНО! </t>
    </r>
    <r>
      <rPr>
        <sz val="9"/>
        <color theme="0"/>
        <rFont val="Century Gothic"/>
        <family val="1"/>
      </rPr>
      <t>Для активации акции "Ноль сомнений" необходимо наличие действующего договора Финансовой защиты.</t>
    </r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</si>
  <si>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при активации льготного периода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</si>
  <si>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</si>
  <si>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 xml:space="preserve">Финансовая защита </t>
    </r>
    <r>
      <rPr>
        <sz val="9"/>
        <rFont val="Century Gothic"/>
        <family val="1"/>
      </rPr>
      <t xml:space="preserve">(программа страхования) 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</si>
  <si>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1"/>
        <rFont val="Century Gothic"/>
        <family val="1"/>
      </rPr>
      <t>за 1 месяц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</si>
  <si>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2"/>
        <rFont val="Century Gothic"/>
        <family val="1"/>
      </rPr>
      <t>за 1 день</t>
    </r>
    <r>
      <rPr>
        <sz val="9"/>
        <rFont val="Century Gothic"/>
        <family val="1"/>
      </rPr>
      <t>, руб.</t>
    </r>
  </si>
  <si>
    <r>
      <t xml:space="preserve">Итоговая сумма расходов Клиента, руб.
</t>
    </r>
    <r>
      <rPr>
        <sz val="9"/>
        <color rgb="FF161667"/>
        <rFont val="Century Gothic"/>
        <family val="1"/>
      </rPr>
      <t>(проценты по кредиту + комиссия за ГС - возврат д/с по ГС (при наличии)</t>
    </r>
  </si>
  <si>
    <t>ПОДКЛЮЧЕНИЕ УСЛУГИ "УМЕНЬШАЮ ПЛАТЕЖ"</t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</si>
  <si>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платеж"),</t>
    </r>
    <r>
      <rPr>
        <sz val="9"/>
        <rFont val="Century Gothic"/>
        <family val="1"/>
      </rPr>
      <t xml:space="preserve"> руб.</t>
    </r>
  </si>
  <si>
    <r>
      <rPr>
        <b/>
        <sz val="9"/>
        <rFont val="Century Gothic"/>
        <family val="1"/>
      </rPr>
      <t>Максимальный срок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</t>
    </r>
    <r>
      <rPr>
        <sz val="9"/>
        <rFont val="Century Gothic"/>
        <family val="1"/>
      </rPr>
      <t>, мес.</t>
    </r>
  </si>
  <si>
    <r>
      <rPr>
        <b/>
        <sz val="9"/>
        <rFont val="Century Gothic"/>
        <family val="1"/>
      </rPr>
      <t>Ставка по кредиту</t>
    </r>
    <r>
      <rPr>
        <sz val="9"/>
        <rFont val="Century Gothic"/>
        <family val="1"/>
      </rPr>
      <t xml:space="preserve"> , % годовых</t>
    </r>
  </si>
  <si>
    <r>
      <t xml:space="preserve">                                           Расходы по кредиту </t>
    </r>
    <r>
      <rPr>
        <b/>
        <sz val="11"/>
        <rFont val="Century Gothic"/>
        <family val="1"/>
      </rPr>
      <t>В ГОД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</si>
  <si>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 xml:space="preserve"> , руб.</t>
    </r>
  </si>
  <si>
    <t>Срок погашения, мес.</t>
  </si>
  <si>
    <t xml:space="preserve">Комиссия за услугу, % от суммы кредита </t>
  </si>
  <si>
    <t>Финансовая защита</t>
  </si>
  <si>
    <t>СУММА ЧДП / ПДП
(сверх ЕП)</t>
  </si>
  <si>
    <r>
      <rPr>
        <b/>
        <sz val="9"/>
        <rFont val="Century Gothic"/>
        <family val="1"/>
      </rPr>
      <t>Стоимость пакета</t>
    </r>
    <r>
      <rPr>
        <sz val="9"/>
        <rFont val="Century Gothic"/>
        <family val="1"/>
      </rPr>
      <t xml:space="preserve"> "Почетный клиент", руб. (6 платежей)</t>
    </r>
  </si>
  <si>
    <t>Снижение на 3 п.п.</t>
  </si>
  <si>
    <t>Снижение на 4 п.п.</t>
  </si>
  <si>
    <t>ЭКОНОМИЯ КЛИЕНТА НА %</t>
  </si>
  <si>
    <r>
      <t xml:space="preserve">Программа лояльности </t>
    </r>
    <r>
      <rPr>
        <b/>
        <sz val="9"/>
        <rFont val="Century Gothic"/>
        <family val="1"/>
      </rPr>
      <t>"Мультибонус"</t>
    </r>
    <r>
      <rPr>
        <sz val="9"/>
        <rFont val="Century Gothic"/>
        <family val="1"/>
      </rPr>
      <t xml:space="preserve"> (для Почетных Клиентов)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</si>
  <si>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500 руб в год)</t>
    </r>
  </si>
  <si>
    <t>"Любые покупки" руб.</t>
  </si>
  <si>
    <t>"Одежда / Обувь" руб.</t>
  </si>
  <si>
    <t>"Рестораны / Фастфуд" руб.</t>
  </si>
  <si>
    <t>"Ремонт /  Товары для дома" руб.</t>
  </si>
  <si>
    <t>бонусов / рублей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</si>
  <si>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theme="1"/>
        <rFont val="Century Gothic"/>
        <family val="1"/>
      </rPr>
      <t>Ма</t>
    </r>
    <r>
      <rPr>
        <sz val="9"/>
        <rFont val="Century Gothic"/>
        <family val="1"/>
      </rPr>
      <t>ксимальное вознаграждение</t>
    </r>
    <r>
      <rPr>
        <b/>
        <sz val="9"/>
        <rFont val="Century Gothic"/>
        <family val="1"/>
      </rPr>
      <t xml:space="preserve"> в месяц </t>
    </r>
    <r>
      <rPr>
        <sz val="9"/>
        <rFont val="Century Gothic"/>
        <family val="1"/>
      </rPr>
      <t>по пакету "Серебряный" - 10 000 руб.; "Золотой" - 15 000 руб.; "Платиновый" - 20 000 руб.</t>
    </r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</si>
  <si>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+ 6 платежей по пакету "Почетный клиент" (при наличии).</t>
    </r>
  </si>
  <si>
    <t>АКЦИЯ "СНИЖАЕМ СТАВКУ 2,0"</t>
  </si>
  <si>
    <t>Подключается автоматически при наличии пакета "ПК"</t>
  </si>
  <si>
    <t>ДИСКОНТ 2 П П</t>
  </si>
  <si>
    <t>ДИСКОНТ 3 П П</t>
  </si>
  <si>
    <t xml:space="preserve">ЕЖЕГОДНОЕ СНИЖЕНИЕ % СТАВКИ </t>
  </si>
  <si>
    <t>ОБЩАЯ ВЫГОДА КЛИЕНТА ПО ПАКЕТУ "ПОЧЕТНЫЙ КЛИЕНТ" 
(снижение % + бонусы за покупки за 13 периодов /мес.+ бонусы по расходованию кредитных средств)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</si>
  <si>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rgb="FF161667"/>
        <rFont val="Century Gothic"/>
        <family val="1"/>
      </rPr>
      <t>Акция доступна только при подключении "ФЗ" + "Почетный Клиент".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</si>
  <si>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</si>
  <si>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день, руб.</t>
    </r>
  </si>
  <si>
    <t xml:space="preserve">РАСЧЕТ ВЫГОДЫ ЗА ПОКУПКИ </t>
  </si>
  <si>
    <r>
      <t xml:space="preserve">         ЭКОНОМИЯ КЛИЕНТА 
          </t>
    </r>
    <r>
      <rPr>
        <sz val="14"/>
        <color theme="0"/>
        <rFont val="Century Gothic"/>
        <family val="1"/>
      </rPr>
      <t xml:space="preserve"> (ПОКУПКИ ЗА СЧЕТ КРЕДИТНЫХ СРЕДСТВ)</t>
    </r>
  </si>
  <si>
    <r>
      <t xml:space="preserve">         ЭКОНОМИЯ КЛИЕНТА 
</t>
    </r>
    <r>
      <rPr>
        <sz val="14"/>
        <color theme="0"/>
        <rFont val="Century Gothic"/>
        <family val="1"/>
      </rPr>
      <t xml:space="preserve">(РЕГУЛЯРНЫЕ ПОКУПКИ В МЕСЯЦ) </t>
    </r>
  </si>
  <si>
    <r>
      <t xml:space="preserve"> ПОКУПКИ ЗА СЧЕТ КРЕДИТНЫХ СРЕДСТВ </t>
    </r>
    <r>
      <rPr>
        <sz val="8"/>
        <rFont val="Century Gothic"/>
        <family val="2"/>
        <charset val="204"/>
      </rPr>
      <t>(ОПЛАТА КАРТОЙ К СС)</t>
    </r>
  </si>
  <si>
    <t xml:space="preserve"> ПОКУПКИ ПО КАРТЕ к СС 
(в мес.)</t>
  </si>
  <si>
    <t>КРЕДИТ "ДЕНЬГИ И ВСЁ!"</t>
  </si>
  <si>
    <t>Тариф</t>
  </si>
  <si>
    <t>Максимально доступная сумма, руб.</t>
  </si>
  <si>
    <t>Ставки</t>
  </si>
  <si>
    <t>CASH</t>
  </si>
  <si>
    <t>POS</t>
  </si>
  <si>
    <t>Сумма кредита до (вкл-но) для максимума</t>
  </si>
  <si>
    <t>Страховая сумма, руб.</t>
  </si>
  <si>
    <r>
      <rPr>
        <b/>
        <sz val="9"/>
        <rFont val="Century Gothic"/>
        <family val="1"/>
      </rPr>
      <t>Страховая сумма</t>
    </r>
    <r>
      <rPr>
        <sz val="9"/>
        <rFont val="Century Gothic"/>
        <family val="1"/>
      </rPr>
      <t>, руб.</t>
    </r>
  </si>
  <si>
    <t>Пакет 6</t>
  </si>
  <si>
    <t>Пакет 7</t>
  </si>
  <si>
    <t>График платежей</t>
  </si>
  <si>
    <t>ПРОЦЕНТНАЯ СТАВКА</t>
  </si>
  <si>
    <t>Зона комфорта</t>
  </si>
  <si>
    <t>Зона комфорта_страх.сумма</t>
  </si>
  <si>
    <t xml:space="preserve">                      ПОТРЕБИТЕЛЬСКИЙ КРЕДИТ ЛИНЕЙКА
                        "ПЕРСПЕКТИВА"</t>
  </si>
  <si>
    <t xml:space="preserve">                    ПОТРЕБИТЕЛЬСКИЙ КРЕДИТ ЛИНЕЙКА "ПЕРСПЕКТИВА ЛАЙТ"</t>
  </si>
  <si>
    <t xml:space="preserve">Сумма кредита от (вкл-но) для макксимума </t>
  </si>
  <si>
    <t>Грейс?</t>
  </si>
  <si>
    <t>Ноль, если на карте есть беспроцентный период</t>
  </si>
  <si>
    <t>Ежемесячный платеж (первый)</t>
  </si>
  <si>
    <t>АКЦИЯ "СНИЖАЕМ СТАВКУ 2.0"</t>
  </si>
  <si>
    <r>
      <t xml:space="preserve">ЭКОНОМИЯ КЛИЕНТА 
</t>
    </r>
    <r>
      <rPr>
        <sz val="11"/>
        <color theme="0"/>
        <rFont val="Century Gothic"/>
        <family val="1"/>
      </rPr>
      <t xml:space="preserve">(РЕГУЛЯРНЫЕ ПОКУПКИ В МЕСЯЦ) </t>
    </r>
  </si>
  <si>
    <r>
      <t xml:space="preserve">         ЭКОНОМИЯ КЛИЕНТА 
          </t>
    </r>
    <r>
      <rPr>
        <sz val="11"/>
        <color theme="0"/>
        <rFont val="Century Gothic"/>
        <family val="1"/>
      </rPr>
      <t xml:space="preserve"> (ПОКУПКИ ЗА СЧЕТ </t>
    </r>
    <r>
      <rPr>
        <b/>
        <sz val="11"/>
        <color theme="0"/>
        <rFont val="Century Gothic"/>
        <family val="1"/>
      </rPr>
      <t xml:space="preserve">КРЕДИТНЫХ </t>
    </r>
    <r>
      <rPr>
        <sz val="11"/>
        <color theme="0"/>
        <rFont val="Century Gothic"/>
        <family val="1"/>
      </rPr>
      <t>СРЕДСТВ)</t>
    </r>
  </si>
  <si>
    <r>
      <t xml:space="preserve">                   </t>
    </r>
    <r>
      <rPr>
        <sz val="10"/>
        <color theme="0"/>
        <rFont val="Century Gothic"/>
        <family val="1"/>
      </rPr>
      <t>ПАКЕТ ПРИВИЛЕГИЙ
                   "ПОЧЕТНЫЙ КЛИЕНТ"</t>
    </r>
  </si>
  <si>
    <r>
      <t xml:space="preserve">ВАЖНО! </t>
    </r>
    <r>
      <rPr>
        <sz val="9"/>
        <color rgb="FFC00149"/>
        <rFont val="Century Gothic"/>
        <family val="1"/>
      </rPr>
      <t xml:space="preserve">Акция доступна только при подключении "Финансовой защиты" </t>
    </r>
    <r>
      <rPr>
        <b/>
        <sz val="9"/>
        <color rgb="FFC00149"/>
        <rFont val="Century Gothic"/>
        <family val="1"/>
      </rPr>
      <t>и</t>
    </r>
    <r>
      <rPr>
        <sz val="9"/>
        <color rgb="FFC00149"/>
        <rFont val="Century Gothic"/>
        <family val="1"/>
      </rPr>
      <t xml:space="preserve"> пакета  "Почетный Клиент".</t>
    </r>
  </si>
  <si>
    <t>ПОДСКАЗКА! СРАВНИ ВЫГОДУ ПО КРЕДИТУ С АКЦИЙ "СНИЖАЕМ СТАВКУ 2.0"</t>
  </si>
  <si>
    <t xml:space="preserve">ПОДСКАЗКА! РАСЧЕТАЙ КЛИЕНТУ ВЫГОДУ ЗА ПОКУПКИ </t>
  </si>
  <si>
    <r>
      <rPr>
        <b/>
        <sz val="10"/>
        <color rgb="FF002060"/>
        <rFont val="Century Gothic"/>
        <family val="1"/>
      </rPr>
      <t xml:space="preserve"> Подсказка! </t>
    </r>
    <r>
      <rPr>
        <sz val="10"/>
        <rFont val="Century Gothic"/>
        <family val="1"/>
      </rPr>
      <t xml:space="preserve">Укажи ежедневные  и регулярные покупки по карте к Сберегательному счету </t>
    </r>
  </si>
  <si>
    <r>
      <rPr>
        <b/>
        <sz val="10"/>
        <color rgb="FF002060"/>
        <rFont val="Century Gothic"/>
        <family val="1"/>
      </rPr>
      <t xml:space="preserve"> Подсказка!</t>
    </r>
    <r>
      <rPr>
        <sz val="10"/>
        <rFont val="Century Gothic"/>
        <family val="1"/>
      </rPr>
      <t xml:space="preserve"> Укажи покупки за счет кредитных средств при оплате картой к Сберегательному счету 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</si>
  <si>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69 руб в мес.)</t>
    </r>
  </si>
  <si>
    <t xml:space="preserve">Выбери ее наличие "Да" или "Нет" </t>
  </si>
  <si>
    <t xml:space="preserve">                      ПОТРЕБИТЕЛЬСКИЙ КРЕДИТ ЛИНЕЙКА
                        "РЕФИНАНСИРОВАНИЕ-ПЕРСПЕКТИВА"</t>
  </si>
  <si>
    <t>СРАВНИ ВЫГОДУ ПО КРЕДИТУ С "ГАРАНТИРОВАННОЙ СТАВКОЙ"</t>
  </si>
  <si>
    <t>Услуга "ГАРАНТИРОВАННАЯ СТАВКА"</t>
  </si>
  <si>
    <t xml:space="preserve">Стоимость ГС, % </t>
  </si>
  <si>
    <t>Стоимость ГС, руб.</t>
  </si>
  <si>
    <r>
      <rPr>
        <b/>
        <sz val="9"/>
        <rFont val="Century Gothic"/>
        <family val="1"/>
      </rPr>
      <t xml:space="preserve">Выплата по </t>
    </r>
    <r>
      <rPr>
        <sz val="9"/>
        <rFont val="Century Gothic"/>
        <family val="1"/>
      </rPr>
      <t xml:space="preserve"> "Гарантированной ставке", руб.</t>
    </r>
  </si>
  <si>
    <t>ГРАФИК ПЛАТЕЖЕЙ - ТАРИФ СУПЕРСМАРТ БЕЗ ГАРАНТИРОВАННОЙ СТАВКИ</t>
  </si>
  <si>
    <t xml:space="preserve">                  УСЛУГА
                   "ГАРАНТИРОВАННАЯ
                  СТАВКА"</t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</si>
  <si>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- возврат по "Гарантированной ставке" (при наличии).</t>
    </r>
  </si>
  <si>
    <t>Выгода для клиента</t>
  </si>
  <si>
    <t xml:space="preserve">                      ПОТРЕБИТЕЛЬСКИЙ КРЕДИТ ЛИНЕЙКА
                        "ПРАКТИЧНЫЙ"</t>
  </si>
  <si>
    <t>Оптимум</t>
  </si>
  <si>
    <t>Оптимум + Максимум</t>
  </si>
  <si>
    <t>СУММА КРЕДИТА С УЧЁТОМ ДОПОЛНИТЕЛЬНЫХ УСЛУГ</t>
  </si>
  <si>
    <t>ГРАФИК ПЛАТЕЖЕЙ - ТАРИФ ПРАКТИЧНЫЙ БЕЗ ФЗ</t>
  </si>
  <si>
    <t>% ставка при подключении ГС</t>
  </si>
  <si>
    <t>размер ГС</t>
  </si>
  <si>
    <t>Максимум  плюс</t>
  </si>
  <si>
    <t>Максимум  плюс/ Забота плюс</t>
  </si>
  <si>
    <t>Наименование страховой программы:</t>
  </si>
  <si>
    <t>Страховая сумма, рубли</t>
  </si>
  <si>
    <t>Страховая премия, % от страховой суммы в месяц</t>
  </si>
  <si>
    <t>от 1 000 001 до 5 000 000 включительно</t>
  </si>
  <si>
    <t>до 5 000 000 включительно</t>
  </si>
  <si>
    <t>Страховая сумма</t>
  </si>
  <si>
    <t>Стоимость страховки</t>
  </si>
  <si>
    <t>Актуальный</t>
  </si>
  <si>
    <t xml:space="preserve">                      ПОТРЕБИТЕЛЬСКИЙ КРЕДИТ ЛИНЕЙКА "СТАБИЛЬНЫЙ"</t>
  </si>
  <si>
    <t>ЕСЛИ(C8="Уверенность плюс";(C7*C10*BZ13*BZ20);ЕСЛИ(C8="нет";0;ЕСЛИ(C8="Оптимум";(C7*C10*BZ7*BZ21);ЕСЛИ(C8="Максимум";ЕСЛИ(C7&lt;=148000;(C7*C10*BZ24);ЕСЛИ(148000&lt;C7&lt;=220000;(C7*C10*BZ25);ЕСЛИ(220000&lt;C7&lt;=500000;C7*C10*BZ26);ЕСЛИ(500000&lt;C7&lt;=658000;(C7*C10*BZ27);ЕСЛИ(658000&lt;C7&lt;=1000000;(C7*C10*BZ28);ЕСЛИ(1000000&lt;C7;(C7*C10*BZ29);(C7*C10*0,65%))))))))))))</t>
  </si>
  <si>
    <t>Базовый 35</t>
  </si>
  <si>
    <t>Коэфф. для страховой премии (тарифы)</t>
  </si>
  <si>
    <t>Оптимум + Уверенность</t>
  </si>
  <si>
    <t>Оптимум+Максимум</t>
  </si>
  <si>
    <t>Оптимум+Уверенность</t>
  </si>
  <si>
    <t>Оформление в ДБО?</t>
  </si>
  <si>
    <t>Комиссия</t>
  </si>
  <si>
    <t>МЕП</t>
  </si>
  <si>
    <t>1.0</t>
  </si>
  <si>
    <t>2.0</t>
  </si>
  <si>
    <t>3.0</t>
  </si>
  <si>
    <t>4.0</t>
  </si>
  <si>
    <t>Сумма мин</t>
  </si>
  <si>
    <t>Сумма макс</t>
  </si>
  <si>
    <t>Тариф ФЗ_1</t>
  </si>
  <si>
    <t>Срок ФЗ_1</t>
  </si>
  <si>
    <t>Тариф ФЗ_2</t>
  </si>
  <si>
    <t>Срок ФЗ_2 (до 47 мес.)</t>
  </si>
  <si>
    <t>Срок ФЗ_2 (от 48 мес.)</t>
  </si>
  <si>
    <t>30 001,00  </t>
  </si>
  <si>
    <t>199 000,00  </t>
  </si>
  <si>
    <t>4 мес.</t>
  </si>
  <si>
    <t>17 мес.</t>
  </si>
  <si>
    <t>20 мес.</t>
  </si>
  <si>
    <t>199 001,00  </t>
  </si>
  <si>
    <t>500 000,00  </t>
  </si>
  <si>
    <t>13 мес.</t>
  </si>
  <si>
    <t>500 001,00  </t>
  </si>
  <si>
    <t>1 000 000,00  </t>
  </si>
  <si>
    <t>1 000 001,00  </t>
  </si>
  <si>
    <t>5 000 000,00  </t>
  </si>
  <si>
    <t>Базовая ставка</t>
  </si>
  <si>
    <t>16 мес.</t>
  </si>
  <si>
    <t>10 мес.</t>
  </si>
  <si>
    <t>1. Уточните у Клиента параметры кредита</t>
  </si>
  <si>
    <t>Параметр</t>
  </si>
  <si>
    <t>Расчет с учетом ГС и АСПСМ</t>
  </si>
  <si>
    <t>Расчет с учетом СПСД2</t>
  </si>
  <si>
    <t>30-199</t>
  </si>
  <si>
    <t>Запрошенная сумма(сумма кредита наличными), руб.</t>
  </si>
  <si>
    <t>Срок кредита</t>
  </si>
  <si>
    <t>36-47</t>
  </si>
  <si>
    <t>48-60</t>
  </si>
  <si>
    <t>Программа страхования</t>
  </si>
  <si>
    <t>5 мес</t>
  </si>
  <si>
    <t>6 мес</t>
  </si>
  <si>
    <t>Оптимум плюс / Уверенность</t>
  </si>
  <si>
    <t>8 мес</t>
  </si>
  <si>
    <t>9 мес</t>
  </si>
  <si>
    <t>Пакет услуг 
"Всё под контролем"</t>
  </si>
  <si>
    <t>199-500</t>
  </si>
  <si>
    <t>7 мес</t>
  </si>
  <si>
    <t>Месяц активации</t>
  </si>
  <si>
    <t>10 мес</t>
  </si>
  <si>
    <t>500-1М</t>
  </si>
  <si>
    <t>Базовая ставка по кредиту, % годовых</t>
  </si>
  <si>
    <t>Оптимум+</t>
  </si>
  <si>
    <t>48-84</t>
  </si>
  <si>
    <t>Тарифный план Сберсчета</t>
  </si>
  <si>
    <t>Акционная ставка со страховкой</t>
  </si>
  <si>
    <t>Ставка по Гарантии</t>
  </si>
  <si>
    <t>1М+</t>
  </si>
  <si>
    <t>Ставка по услуге, % годовых</t>
  </si>
  <si>
    <t>Комиссия за услугу, % от суммы кредита наличными</t>
  </si>
  <si>
    <t>Комиссия за услугу, руб.</t>
  </si>
  <si>
    <t>Планируемый возврат</t>
  </si>
  <si>
    <t>Реальный возврат</t>
  </si>
  <si>
    <t>Срок страховки</t>
  </si>
  <si>
    <t>Страховая премия (общая сумма за страховку), руб.</t>
  </si>
  <si>
    <t>Услуга УП включена в ВПК</t>
  </si>
  <si>
    <t>Возврат ГС включен в ПСК</t>
  </si>
  <si>
    <t>Пакет6</t>
  </si>
  <si>
    <t>Пакет7</t>
  </si>
  <si>
    <t>Страховка включена в ПСК</t>
  </si>
  <si>
    <t>Услуга не подключается</t>
  </si>
  <si>
    <t>Оптимум + Уверенность плюс</t>
  </si>
  <si>
    <t>Страховая сумма кредита до (вкл-но)</t>
  </si>
  <si>
    <t>Оптимум_страх.сумма</t>
  </si>
  <si>
    <t>до 36</t>
  </si>
  <si>
    <t>до 48</t>
  </si>
  <si>
    <t>до 60</t>
  </si>
  <si>
    <t>до 72</t>
  </si>
  <si>
    <t>до 84</t>
  </si>
  <si>
    <t>Справочники</t>
  </si>
  <si>
    <t>страховки</t>
  </si>
  <si>
    <t>базовые ставки</t>
  </si>
  <si>
    <t>Гарантированная ставка, %</t>
  </si>
  <si>
    <t>Срок страхования, мес</t>
  </si>
  <si>
    <r>
      <rPr>
        <sz val="9"/>
        <rFont val="Century Gothic"/>
        <family val="2"/>
        <charset val="204"/>
      </rPr>
      <t>Общая выплата 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"Гарантированной ставке", руб.</t>
    </r>
  </si>
  <si>
    <r>
      <rPr>
        <b/>
        <sz val="9"/>
        <rFont val="Century Gothic"/>
        <family val="2"/>
        <charset val="204"/>
      </rPr>
      <t>Реальный возврат по</t>
    </r>
    <r>
      <rPr>
        <sz val="9"/>
        <rFont val="Century Gothic"/>
        <family val="1"/>
      </rPr>
      <t xml:space="preserve"> "Гарантированной ставке", руб.</t>
    </r>
  </si>
  <si>
    <r>
      <t xml:space="preserve">Тарифный план </t>
    </r>
    <r>
      <rPr>
        <sz val="9"/>
        <color theme="0"/>
        <rFont val="Century Gothic"/>
        <family val="1"/>
      </rPr>
      <t xml:space="preserve">по Сберегательному счету </t>
    </r>
  </si>
  <si>
    <t>Проверка параметров</t>
  </si>
  <si>
    <r>
      <t xml:space="preserve">                      ПОТРЕБИТЕЛЬСКИЙ КРЕДИТ ЛИНЕЙКА "ОПТИМИСТИЧНЫЙ</t>
    </r>
    <r>
      <rPr>
        <b/>
        <sz val="18"/>
        <rFont val="Century Gothic"/>
        <family val="2"/>
        <charset val="204"/>
      </rPr>
      <t>"</t>
    </r>
  </si>
  <si>
    <t>ГРАФИК ПЛАТЕЖЕЙ - ТАРИФ ОПТИМИСТИЧНЫЙ БЕЗ ГАРАНТИРОВАННОЙ СТАВКИ</t>
  </si>
  <si>
    <t>учёт выплаты по ГС</t>
  </si>
  <si>
    <t>ВЫПЛАТА ПО ГС В ПДП</t>
  </si>
  <si>
    <t>4 мес</t>
  </si>
  <si>
    <t xml:space="preserve">                      ПОТРЕБИТЕЛЬСКИЙ КРЕДИТ ЛИНЕЙКА "СУПЕРСМАРТ ПРОМО"</t>
  </si>
  <si>
    <t>% ставка на первые 30 дней</t>
  </si>
  <si>
    <t>Покупка по карте</t>
  </si>
  <si>
    <r>
      <t xml:space="preserve">                      ПОТРЕБИТЕЛЬСКИЙ КРЕДИТ ЛИНЕЙКА "АВТОМОБИЛЬНЫЙ</t>
    </r>
    <r>
      <rPr>
        <b/>
        <sz val="18"/>
        <rFont val="Century Gothic"/>
        <family val="2"/>
        <charset val="204"/>
      </rPr>
      <t>"</t>
    </r>
  </si>
  <si>
    <t>12 мес</t>
  </si>
  <si>
    <t>300-1М</t>
  </si>
  <si>
    <t>Платёж при отсутствии залога</t>
  </si>
  <si>
    <t>Пакеты</t>
  </si>
  <si>
    <t>Пакет БВ + ГС</t>
  </si>
  <si>
    <t>Пакет БВ</t>
  </si>
  <si>
    <t>ГС</t>
  </si>
  <si>
    <t>ГС+БВ</t>
  </si>
  <si>
    <t>ОПТИ_ПакетБВ+ГС_48</t>
  </si>
  <si>
    <t>ОПТИ_ПакетБВ_48</t>
  </si>
  <si>
    <t>ОПТИ_ПакетБВ_36</t>
  </si>
  <si>
    <t>АВТО_ПакетБВ_36</t>
  </si>
  <si>
    <t>АВТО_ПакетБВ_48</t>
  </si>
  <si>
    <t>ОПТИ_ПакетБВ+ГС_36</t>
  </si>
  <si>
    <t>АВТО_ПакетБВ+ГС_36</t>
  </si>
  <si>
    <t>АВТО_ПакетБВ+ГС_48</t>
  </si>
  <si>
    <t>ГРАФИК ПЛАТЕЖЕЙ - ТАРИФ АВТОМОБИЛЬНЫЙ БЕЗ ГАРАНТИРОВАННОЙ СТАВКИ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</si>
</sst>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8" formatCode="#,##0.00\ &quot;₽&quot;;[Red]\-#,##0.00\ &quot;₽&quot;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.00_р_."/>
    <numFmt numFmtId="168" formatCode="#,##0.00&quot;р.&quot;"/>
    <numFmt numFmtId="169" formatCode="0.000%"/>
    <numFmt numFmtId="170" formatCode="#,##0&quot;р.&quot;"/>
    <numFmt numFmtId="171" formatCode="[$$-C09]#,##0"/>
    <numFmt numFmtId="172" formatCode="#,##0_р_."/>
    <numFmt numFmtId="173" formatCode="_-* #,##0_р_._-;\-* #,##0_р_._-;_-* &quot;-&quot;??_р_._-;_-@_-"/>
    <numFmt numFmtId="174" formatCode="0.0%"/>
    <numFmt numFmtId="175" formatCode="#,##0\ &quot;₽&quot;"/>
    <numFmt numFmtId="176" formatCode="#,##0.00000"/>
    <numFmt numFmtId="177" formatCode="#,##0.00\ &quot;₽&quot;"/>
    <numFmt numFmtId="178" formatCode="[$-419]mmmm\ yyyy;@"/>
    <numFmt numFmtId="179" formatCode="_-* #,##0.0000\ _₽_-;\-* #,##0.0000\ _₽_-;_-* &quot;-&quot;??\ _₽_-;_-@_-"/>
  </numFmts>
  <fonts count="162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9"/>
      <name val="Arial"/>
      <family val="2"/>
    </font>
    <font>
      <sz val="9"/>
      <name val="Arial"/>
      <family val="2"/>
    </font>
    <font>
      <b/>
      <sz val="9"/>
      <color theme="0"/>
      <name val="Arial"/>
      <family val="2"/>
      <charset val="204"/>
    </font>
    <font>
      <b/>
      <sz val="9"/>
      <color rgb="FFC00000"/>
      <name val="Arial"/>
      <family val="2"/>
      <charset val="204"/>
    </font>
    <font>
      <sz val="9"/>
      <color rgb="FFC00000"/>
      <name val="Arial"/>
      <family val="2"/>
      <charset val="204"/>
    </font>
    <font>
      <b/>
      <sz val="9"/>
      <color theme="3"/>
      <name val="Arial"/>
      <family val="2"/>
      <charset val="204"/>
    </font>
    <font>
      <sz val="9"/>
      <color theme="3"/>
      <name val="Arial"/>
      <family val="2"/>
      <charset val="204"/>
    </font>
    <font>
      <i/>
      <sz val="9"/>
      <color theme="3"/>
      <name val="Arial"/>
      <family val="2"/>
      <charset val="204"/>
    </font>
    <font>
      <b/>
      <sz val="18"/>
      <color theme="0"/>
      <name val="Arial"/>
      <family val="2"/>
      <charset val="204"/>
    </font>
    <font>
      <b/>
      <sz val="20"/>
      <color rgb="FFC00000"/>
      <name val="Arial"/>
      <family val="2"/>
      <charset val="204"/>
    </font>
    <font>
      <b/>
      <sz val="8"/>
      <color theme="3"/>
      <name val="Arial"/>
      <family val="2"/>
      <charset val="204"/>
    </font>
    <font>
      <b/>
      <u/>
      <sz val="10"/>
      <color rgb="FFC00000"/>
      <name val="Arial"/>
      <family val="2"/>
      <charset val="204"/>
    </font>
    <font>
      <b/>
      <sz val="14"/>
      <name val="Arial"/>
      <family val="2"/>
      <charset val="204"/>
    </font>
    <font>
      <b/>
      <sz val="10"/>
      <color rgb="FFFF0000"/>
      <name val="Arial Cyr"/>
      <charset val="204"/>
    </font>
    <font>
      <b/>
      <sz val="12"/>
      <name val="Arial"/>
      <family val="2"/>
      <charset val="204"/>
    </font>
    <font>
      <sz val="30"/>
      <name val="Arial"/>
      <family val="2"/>
      <charset val="204"/>
    </font>
    <font>
      <b/>
      <sz val="15"/>
      <name val="Arial"/>
      <family val="2"/>
      <charset val="204"/>
    </font>
    <font>
      <sz val="10"/>
      <name val="Arial"/>
      <family val="2"/>
      <charset val="204"/>
    </font>
    <font>
      <b/>
      <sz val="16"/>
      <color rgb="FFC00000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9"/>
      <name val="Calibri"/>
      <family val="2"/>
      <charset val="204"/>
    </font>
    <font>
      <b/>
      <sz val="10"/>
      <name val="Arial"/>
      <family val="2"/>
      <charset val="204"/>
    </font>
    <font>
      <b/>
      <i/>
      <sz val="9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2"/>
      <color rgb="FFC00000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8"/>
      <name val="Century Gothic"/>
      <family val="1"/>
    </font>
    <font>
      <b/>
      <sz val="20"/>
      <color rgb="FFC00000"/>
      <name val="Century Gothic"/>
      <family val="1"/>
    </font>
    <font>
      <b/>
      <sz val="12"/>
      <name val="Century Gothic"/>
      <family val="1"/>
    </font>
    <font>
      <sz val="9"/>
      <name val="Century Gothic"/>
      <family val="1"/>
    </font>
    <font>
      <b/>
      <sz val="9"/>
      <name val="Century Gothic"/>
      <family val="1"/>
    </font>
    <font>
      <sz val="16"/>
      <color rgb="FFFF0000"/>
      <name val="Century Gothic"/>
      <family val="1"/>
    </font>
    <font>
      <b/>
      <sz val="10"/>
      <name val="Century Gothic"/>
      <family val="1"/>
    </font>
    <font>
      <b/>
      <sz val="11"/>
      <color rgb="FFFF0000"/>
      <name val="Century Gothic"/>
      <family val="1"/>
    </font>
    <font>
      <sz val="16"/>
      <color rgb="FF002060"/>
      <name val="Century Gothic"/>
      <family val="1"/>
    </font>
    <font>
      <b/>
      <sz val="12"/>
      <color theme="0"/>
      <name val="Century Gothic"/>
      <family val="1"/>
    </font>
    <font>
      <b/>
      <sz val="16"/>
      <color theme="0"/>
      <name val="Century Gothic"/>
      <family val="1"/>
    </font>
    <font>
      <sz val="10"/>
      <color rgb="FF002060"/>
      <name val="Century Gothic"/>
      <family val="1"/>
    </font>
    <font>
      <sz val="10"/>
      <color rgb="FFAC2653"/>
      <name val="Century Gothic"/>
      <family val="1"/>
    </font>
    <font>
      <sz val="11"/>
      <color theme="0"/>
      <name val="Century Gothic"/>
      <family val="1"/>
    </font>
    <font>
      <b/>
      <sz val="9"/>
      <color theme="0"/>
      <name val="Century Gothic"/>
      <family val="1"/>
    </font>
    <font>
      <b/>
      <sz val="18"/>
      <color theme="0"/>
      <name val="Century Gothic"/>
      <family val="1"/>
    </font>
    <font>
      <b/>
      <sz val="20"/>
      <color theme="0"/>
      <name val="Century Gothic"/>
      <family val="1"/>
    </font>
    <font>
      <b/>
      <sz val="10"/>
      <color theme="0"/>
      <name val="Century Gothic"/>
      <family val="1"/>
    </font>
    <font>
      <sz val="10"/>
      <color theme="0"/>
      <name val="Century Gothic"/>
      <family val="1"/>
    </font>
    <font>
      <b/>
      <sz val="14"/>
      <color theme="0"/>
      <name val="Century Gothic"/>
      <family val="1"/>
    </font>
    <font>
      <b/>
      <sz val="11"/>
      <name val="Century Gothic"/>
      <family val="1"/>
    </font>
    <font>
      <sz val="9"/>
      <color rgb="FF161667"/>
      <name val="Century Gothic"/>
      <family val="1"/>
    </font>
    <font>
      <b/>
      <sz val="10"/>
      <color rgb="FFC00149"/>
      <name val="Century Gothic"/>
      <family val="1"/>
    </font>
    <font>
      <sz val="9"/>
      <color theme="0"/>
      <name val="Century Gothic"/>
      <family val="1"/>
    </font>
    <font>
      <b/>
      <sz val="14"/>
      <color rgb="FF161667"/>
      <name val="Century Gothic"/>
      <family val="1"/>
    </font>
    <font>
      <b/>
      <sz val="10"/>
      <color rgb="FF161667"/>
      <name val="Century Gothic"/>
      <family val="1"/>
    </font>
    <font>
      <b/>
      <sz val="10"/>
      <color rgb="FFB4003C"/>
      <name val="Century Gothic"/>
      <family val="1"/>
    </font>
    <font>
      <i/>
      <sz val="9"/>
      <color theme="0"/>
      <name val="Century Gothic"/>
      <family val="1"/>
    </font>
    <font>
      <sz val="20"/>
      <color rgb="FFC00000"/>
      <name val="Century Gothic"/>
      <family val="1"/>
    </font>
    <font>
      <b/>
      <sz val="9"/>
      <color rgb="FFC00149"/>
      <name val="Arial"/>
      <family val="2"/>
    </font>
    <font>
      <b/>
      <sz val="14"/>
      <color theme="1" tint="0.14999847407452621"/>
      <name val="Century Gothic"/>
      <family val="1"/>
    </font>
    <font>
      <b/>
      <sz val="12"/>
      <color theme="1" tint="0.14999847407452621"/>
      <name val="Century Gothic"/>
      <family val="1"/>
    </font>
    <font>
      <sz val="20"/>
      <color theme="0"/>
      <name val="Century Gothic"/>
      <family val="1"/>
    </font>
    <font>
      <b/>
      <sz val="16"/>
      <color rgb="FFC00000"/>
      <name val="Century Gothic"/>
      <family val="1"/>
    </font>
    <font>
      <b/>
      <sz val="9"/>
      <color theme="1"/>
      <name val="Century Gothic"/>
      <family val="1"/>
    </font>
    <font>
      <b/>
      <sz val="10"/>
      <color rgb="FFFF0000"/>
      <name val="Century Gothic"/>
      <family val="1"/>
    </font>
    <font>
      <sz val="12"/>
      <name val="Century Gothic"/>
      <family val="1"/>
    </font>
    <font>
      <sz val="14"/>
      <name val="Century Gothic"/>
      <family val="1"/>
    </font>
    <font>
      <sz val="10"/>
      <name val="Century Gothic"/>
      <family val="1"/>
    </font>
    <font>
      <b/>
      <sz val="14"/>
      <name val="Century Gothic"/>
      <family val="1"/>
    </font>
    <font>
      <b/>
      <sz val="11"/>
      <color rgb="FFC00149"/>
      <name val="Century Gothic"/>
      <family val="1"/>
    </font>
    <font>
      <b/>
      <sz val="12"/>
      <color rgb="FFC00149"/>
      <name val="Century Gothic"/>
      <family val="1"/>
    </font>
    <font>
      <b/>
      <sz val="18"/>
      <color rgb="FFC00149"/>
      <name val="Century Gothic"/>
      <family val="1"/>
    </font>
    <font>
      <sz val="10"/>
      <color rgb="FFC00149"/>
      <name val="Century Gothic"/>
      <family val="1"/>
    </font>
    <font>
      <b/>
      <sz val="9"/>
      <color rgb="FFC00000"/>
      <name val="Century Gothic"/>
      <family val="1"/>
    </font>
    <font>
      <sz val="12"/>
      <color theme="0"/>
      <name val="Century Gothic"/>
      <family val="1"/>
    </font>
    <font>
      <sz val="11"/>
      <color theme="1"/>
      <name val="Century Gothic"/>
      <family val="1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b/>
      <sz val="18"/>
      <color theme="1" tint="0.249977111117893"/>
      <name val="Century Gothic"/>
      <family val="1"/>
    </font>
    <font>
      <sz val="12"/>
      <color rgb="FFC00149"/>
      <name val="Century Gothic"/>
      <family val="1"/>
    </font>
    <font>
      <sz val="12"/>
      <color rgb="FF161667"/>
      <name val="Century Gothic"/>
      <family val="1"/>
    </font>
    <font>
      <b/>
      <sz val="18"/>
      <color rgb="FFC00149"/>
      <name val="Arial"/>
      <family val="2"/>
      <charset val="204"/>
    </font>
    <font>
      <sz val="9"/>
      <color theme="1"/>
      <name val="Century Gothic"/>
      <family val="1"/>
    </font>
    <font>
      <sz val="8"/>
      <color theme="0"/>
      <name val="Century Gothic"/>
      <family val="1"/>
    </font>
    <font>
      <sz val="10"/>
      <color rgb="FF161667"/>
      <name val="Century Gothic"/>
      <family val="1"/>
    </font>
    <font>
      <sz val="10"/>
      <color theme="0"/>
      <name val="Arial Cyr"/>
      <charset val="204"/>
    </font>
    <font>
      <sz val="9"/>
      <color rgb="FFC00149"/>
      <name val="Century Gothic"/>
      <family val="1"/>
    </font>
    <font>
      <sz val="9"/>
      <color rgb="FF7B81C7"/>
      <name val="Century Gothic"/>
      <family val="1"/>
    </font>
    <font>
      <b/>
      <sz val="8"/>
      <color rgb="FFC00149"/>
      <name val="Century Gothic"/>
      <family val="1"/>
    </font>
    <font>
      <sz val="16"/>
      <color rgb="FFEFF3FF"/>
      <name val="Century Gothic"/>
      <family val="1"/>
    </font>
    <font>
      <b/>
      <sz val="9"/>
      <color theme="3"/>
      <name val="Century Gothic"/>
      <family val="1"/>
    </font>
    <font>
      <sz val="9"/>
      <color theme="3"/>
      <name val="Century Gothic"/>
      <family val="1"/>
    </font>
    <font>
      <sz val="11"/>
      <name val="Century Gothic"/>
      <family val="1"/>
    </font>
    <font>
      <b/>
      <sz val="14"/>
      <color theme="1"/>
      <name val="Century Gothic"/>
      <family val="1"/>
    </font>
    <font>
      <b/>
      <sz val="11"/>
      <color theme="1"/>
      <name val="Century Gothic"/>
      <family val="1"/>
    </font>
    <font>
      <b/>
      <sz val="16"/>
      <color theme="1"/>
      <name val="Century Gothic"/>
      <family val="1"/>
    </font>
    <font>
      <sz val="9"/>
      <color theme="0"/>
      <name val="Arial"/>
      <family val="2"/>
      <charset val="204"/>
    </font>
    <font>
      <sz val="12"/>
      <color theme="1"/>
      <name val="Century Gothic"/>
      <family val="1"/>
    </font>
    <font>
      <b/>
      <sz val="12"/>
      <color theme="1"/>
      <name val="Century Gothic"/>
      <family val="1"/>
    </font>
    <font>
      <b/>
      <sz val="16"/>
      <color rgb="FFEFF3FF"/>
      <name val="Century Gothic"/>
      <family val="2"/>
      <charset val="204"/>
    </font>
    <font>
      <b/>
      <sz val="9"/>
      <color rgb="FFC00149"/>
      <name val="Century Gothic"/>
      <family val="1"/>
    </font>
    <font>
      <b/>
      <sz val="24"/>
      <name val="Century Gothic"/>
      <family val="1"/>
    </font>
    <font>
      <b/>
      <sz val="10"/>
      <name val="Century Gothic"/>
      <family val="2"/>
      <charset val="204"/>
    </font>
    <font>
      <sz val="9"/>
      <color theme="0" tint="-0.34998626667073579"/>
      <name val="Century Gothic"/>
      <family val="1"/>
    </font>
    <font>
      <b/>
      <sz val="11"/>
      <color theme="0" tint="-0.34998626667073579"/>
      <name val="Arial"/>
      <family val="2"/>
      <charset val="204"/>
    </font>
    <font>
      <sz val="8"/>
      <name val="Century Gothic"/>
      <family val="2"/>
      <charset val="204"/>
    </font>
    <font>
      <b/>
      <sz val="9"/>
      <color rgb="FF161667"/>
      <name val="Century Gothic"/>
      <family val="1"/>
    </font>
    <font>
      <sz val="14"/>
      <color theme="0"/>
      <name val="Century Gothic"/>
      <family val="1"/>
    </font>
    <font>
      <sz val="11"/>
      <color theme="0"/>
      <name val="Calibri"/>
      <family val="2"/>
      <charset val="204"/>
      <scheme val="minor"/>
    </font>
    <font>
      <sz val="9"/>
      <name val="Arial Cyr"/>
      <charset val="204"/>
    </font>
    <font>
      <b/>
      <sz val="10"/>
      <name val="Arial Cyr"/>
      <charset val="204"/>
    </font>
    <font>
      <b/>
      <sz val="9"/>
      <color rgb="FFFF0000"/>
      <name val="Arial"/>
      <family val="2"/>
      <charset val="204"/>
    </font>
    <font>
      <sz val="10"/>
      <color rgb="FFFF0000"/>
      <name val="Arial Cyr"/>
      <charset val="204"/>
    </font>
    <font>
      <sz val="16"/>
      <color theme="0"/>
      <name val="Century Gothic"/>
      <family val="1"/>
    </font>
    <font>
      <sz val="20"/>
      <name val="Century Gothic"/>
      <family val="1"/>
    </font>
    <font>
      <b/>
      <sz val="11"/>
      <color theme="0"/>
      <name val="Century Gothic"/>
      <family val="1"/>
    </font>
    <font>
      <b/>
      <sz val="10"/>
      <color rgb="FF002060"/>
      <name val="Century Gothic"/>
      <family val="1"/>
    </font>
    <font>
      <b/>
      <sz val="16"/>
      <color theme="0"/>
      <name val="Century Gothic"/>
      <family val="2"/>
      <charset val="204"/>
    </font>
    <font>
      <sz val="10"/>
      <name val="Century Gothic"/>
      <family val="2"/>
      <charset val="204"/>
    </font>
    <font>
      <b/>
      <sz val="15.5"/>
      <color theme="0"/>
      <name val="Century Gothic"/>
      <family val="1"/>
    </font>
    <font>
      <b/>
      <sz val="18"/>
      <name val="Century Gothic"/>
      <family val="2"/>
      <charset val="204"/>
    </font>
    <font>
      <b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0"/>
      <color rgb="FF000000"/>
      <name val="Calibri"/>
      <family val="2"/>
      <charset val="204"/>
    </font>
    <font>
      <b/>
      <sz val="8"/>
      <color rgb="FF000000"/>
      <name val="Times New Roman"/>
      <family val="1"/>
      <charset val="204"/>
    </font>
    <font>
      <sz val="9"/>
      <color theme="1"/>
      <name val="Arial"/>
      <family val="2"/>
      <charset val="204"/>
    </font>
    <font>
      <sz val="8"/>
      <name val="Arial Cyr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rgb="FFC00000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rgb="FFC00000"/>
      <name val="Arial"/>
      <family val="2"/>
      <charset val="204"/>
    </font>
    <font>
      <b/>
      <sz val="10"/>
      <name val="Calibri"/>
      <family val="2"/>
      <charset val="204"/>
    </font>
    <font>
      <sz val="10"/>
      <name val="Times New Roman"/>
      <family val="1"/>
      <charset val="204"/>
    </font>
    <font>
      <b/>
      <sz val="1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212121"/>
      <name val="Times New Roman"/>
      <family val="1"/>
      <charset val="204"/>
    </font>
    <font>
      <sz val="9"/>
      <name val="Century Gothic"/>
      <family val="2"/>
      <charset val="204"/>
    </font>
    <font>
      <b/>
      <sz val="9"/>
      <name val="Century Gothic"/>
      <family val="2"/>
      <charset val="204"/>
    </font>
    <font>
      <b/>
      <sz val="9"/>
      <color rgb="FFFF0000"/>
      <name val="Century Gothic"/>
      <family val="1"/>
    </font>
    <font>
      <sz val="10"/>
      <name val="Calibri"/>
      <family val="2"/>
      <charset val="204"/>
    </font>
    <font>
      <sz val="10"/>
      <color rgb="FFFF0000"/>
      <name val="Calibri"/>
      <family val="2"/>
      <charset val="204"/>
    </font>
    <font>
      <b/>
      <sz val="10"/>
      <color theme="1"/>
      <name val="Century Gothic"/>
      <family val="2"/>
      <charset val="204"/>
    </font>
    <font>
      <b/>
      <sz val="11"/>
      <name val="Century Gothic"/>
      <family val="2"/>
      <charset val="204"/>
    </font>
    <font>
      <b/>
      <sz val="8"/>
      <color rgb="FFC00000"/>
      <name val="Century Gothic"/>
      <family val="1"/>
    </font>
    <font>
      <b/>
      <sz val="10"/>
      <color theme="1" tint="0.499984740745262"/>
      <name val="Century Gothic"/>
      <family val="1"/>
    </font>
    <font>
      <sz val="9"/>
      <color rgb="FFFF0000"/>
      <name val="Arial"/>
      <family val="2"/>
      <charset val="204"/>
    </font>
    <font>
      <sz val="10"/>
      <color rgb="FF000000"/>
      <name val="Calibri"/>
      <family val="2"/>
      <charset val="204"/>
    </font>
    <font>
      <sz val="10"/>
      <color rgb="FFC00000"/>
      <name val="Calibr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AE3FF"/>
        <bgColor indexed="64"/>
      </patternFill>
    </fill>
    <fill>
      <patternFill patternType="solid">
        <fgColor rgb="FFC00049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161667"/>
        <bgColor indexed="64"/>
      </patternFill>
    </fill>
    <fill>
      <patternFill patternType="solid">
        <fgColor rgb="FFF9ECF9"/>
        <bgColor rgb="FFF4D4EF"/>
      </patternFill>
    </fill>
    <fill>
      <patternFill patternType="solid">
        <fgColor rgb="FFF2E4EE"/>
        <bgColor indexed="64"/>
      </patternFill>
    </fill>
    <fill>
      <patternFill patternType="solid">
        <fgColor rgb="FFC00149"/>
        <bgColor indexed="64"/>
      </patternFill>
    </fill>
    <fill>
      <patternFill patternType="solid">
        <fgColor rgb="FFEFF3FF"/>
        <bgColor rgb="FFF4D4EF"/>
      </patternFill>
    </fill>
    <fill>
      <patternFill patternType="solid">
        <fgColor rgb="FF7B81C7"/>
        <bgColor indexed="64"/>
      </patternFill>
    </fill>
    <fill>
      <patternFill patternType="solid">
        <fgColor rgb="FFFFEB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83D68"/>
        <bgColor indexed="64"/>
      </patternFill>
    </fill>
    <fill>
      <patternFill patternType="solid">
        <fgColor rgb="FF647ED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B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4D4EF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</fills>
  <borders count="12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medium">
        <color rgb="FFC00049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medium">
        <color rgb="FFC00049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thin">
        <color rgb="FF7B81C7"/>
      </bottom>
      <diagonal/>
    </border>
    <border>
      <left style="thin">
        <color rgb="FF8990E0"/>
      </left>
      <right/>
      <top style="thin">
        <color rgb="FF8990E0"/>
      </top>
      <bottom style="thin">
        <color rgb="FF8990E0"/>
      </bottom>
      <diagonal/>
    </border>
    <border>
      <left style="thin">
        <color rgb="FF8990E0"/>
      </left>
      <right/>
      <top style="thin">
        <color rgb="FF8990E0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/>
      <diagonal/>
    </border>
    <border>
      <left/>
      <right/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 style="thin">
        <color rgb="FFC00149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 style="thin">
        <color rgb="FF7B81C7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8990E0"/>
      </left>
      <right/>
      <top/>
      <bottom style="thin">
        <color rgb="FF8990E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medium">
        <color rgb="FFC00149"/>
      </bottom>
      <diagonal/>
    </border>
    <border>
      <left/>
      <right style="thin">
        <color rgb="FFC00149"/>
      </right>
      <top style="thin">
        <color rgb="FFC00149"/>
      </top>
      <bottom style="thin">
        <color rgb="FFC0014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/>
      <top style="thin">
        <color rgb="FF7B81C7"/>
      </top>
      <bottom style="thin">
        <color rgb="FF7B81C7"/>
      </bottom>
      <diagonal/>
    </border>
    <border>
      <left style="medium">
        <color rgb="FFC00149"/>
      </left>
      <right/>
      <top style="medium">
        <color rgb="FFC00149"/>
      </top>
      <bottom/>
      <diagonal/>
    </border>
    <border>
      <left/>
      <right/>
      <top style="medium">
        <color rgb="FFC00149"/>
      </top>
      <bottom/>
      <diagonal/>
    </border>
    <border>
      <left/>
      <right style="medium">
        <color rgb="FFC00149"/>
      </right>
      <top style="medium">
        <color rgb="FFC00149"/>
      </top>
      <bottom/>
      <diagonal/>
    </border>
    <border>
      <left style="thin">
        <color rgb="FFEFF3FF"/>
      </left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medium">
        <color rgb="FFC00049"/>
      </left>
      <right/>
      <top style="medium">
        <color rgb="FFC00049"/>
      </top>
      <bottom/>
      <diagonal/>
    </border>
    <border>
      <left/>
      <right/>
      <top style="medium">
        <color rgb="FFC00049"/>
      </top>
      <bottom/>
      <diagonal/>
    </border>
    <border>
      <left/>
      <right style="thin">
        <color theme="0" tint="-0.14999847407452621"/>
      </right>
      <top style="medium">
        <color rgb="FFC00049"/>
      </top>
      <bottom/>
      <diagonal/>
    </border>
    <border>
      <left style="medium">
        <color rgb="FFC00049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rgb="FF7B81C7"/>
      </right>
      <top/>
      <bottom/>
      <diagonal/>
    </border>
    <border>
      <left style="thin">
        <color rgb="FF7B81C7"/>
      </left>
      <right style="thin">
        <color rgb="FF7B81C7"/>
      </right>
      <top/>
      <bottom style="thin">
        <color rgb="FF7B81C7"/>
      </bottom>
      <diagonal/>
    </border>
    <border>
      <left style="thin">
        <color rgb="FFC00149"/>
      </left>
      <right/>
      <top style="thin">
        <color rgb="FFC00149"/>
      </top>
      <bottom/>
      <diagonal/>
    </border>
    <border>
      <left/>
      <right/>
      <top style="thin">
        <color rgb="FFC00149"/>
      </top>
      <bottom/>
      <diagonal/>
    </border>
    <border>
      <left/>
      <right style="thin">
        <color rgb="FFC00149"/>
      </right>
      <top style="thin">
        <color rgb="FFC00149"/>
      </top>
      <bottom/>
      <diagonal/>
    </border>
    <border>
      <left style="thin">
        <color rgb="FF7B81C7"/>
      </left>
      <right/>
      <top style="thin">
        <color rgb="FF7B81C7"/>
      </top>
      <bottom/>
      <diagonal/>
    </border>
    <border>
      <left/>
      <right style="thin">
        <color rgb="FF7B81C7"/>
      </right>
      <top/>
      <bottom style="medium">
        <color rgb="FF161667"/>
      </bottom>
      <diagonal/>
    </border>
    <border>
      <left/>
      <right/>
      <top/>
      <bottom style="medium">
        <color rgb="FF161667"/>
      </bottom>
      <diagonal/>
    </border>
    <border>
      <left/>
      <right style="thin">
        <color rgb="FF7B81C7"/>
      </right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/>
      <bottom/>
      <diagonal/>
    </border>
    <border>
      <left style="medium">
        <color rgb="FFC00049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rgb="FFEFF3FF"/>
      </left>
      <right/>
      <top style="thin">
        <color rgb="FFEFF3FF"/>
      </top>
      <bottom style="thin">
        <color rgb="FFEFF3FF"/>
      </bottom>
      <diagonal/>
    </border>
    <border>
      <left/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C00149"/>
      </left>
      <right/>
      <top/>
      <bottom/>
      <diagonal/>
    </border>
    <border>
      <left/>
      <right style="medium">
        <color rgb="FFC00149"/>
      </right>
      <top/>
      <bottom/>
      <diagonal/>
    </border>
    <border>
      <left style="medium">
        <color rgb="FFC00149"/>
      </left>
      <right/>
      <top/>
      <bottom style="thin">
        <color rgb="FFC00149"/>
      </bottom>
      <diagonal/>
    </border>
    <border>
      <left/>
      <right/>
      <top/>
      <bottom style="thin">
        <color rgb="FFC00149"/>
      </bottom>
      <diagonal/>
    </border>
    <border>
      <left/>
      <right style="medium">
        <color rgb="FFC00149"/>
      </right>
      <top/>
      <bottom style="thin">
        <color rgb="FFC00149"/>
      </bottom>
      <diagonal/>
    </border>
    <border>
      <left style="thin">
        <color rgb="FF7B81C7"/>
      </left>
      <right/>
      <top/>
      <bottom/>
      <diagonal/>
    </border>
    <border>
      <left style="thin">
        <color rgb="FFC00149"/>
      </left>
      <right/>
      <top style="thin">
        <color rgb="FFC00149"/>
      </top>
      <bottom style="thin">
        <color rgb="FFC00149"/>
      </bottom>
      <diagonal/>
    </border>
    <border>
      <left/>
      <right/>
      <top style="thin">
        <color rgb="FFC00149"/>
      </top>
      <bottom style="thin">
        <color rgb="FFC00149"/>
      </bottom>
      <diagonal/>
    </border>
    <border>
      <left style="thin">
        <color rgb="FF7B81C7"/>
      </left>
      <right/>
      <top/>
      <bottom style="thin">
        <color rgb="FF7B81C7"/>
      </bottom>
      <diagonal/>
    </border>
    <border>
      <left style="thin">
        <color rgb="FFC00149"/>
      </left>
      <right style="thin">
        <color rgb="FFC00149"/>
      </right>
      <top/>
      <bottom style="thin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 style="thin">
        <color rgb="FF647ED1"/>
      </bottom>
      <diagonal/>
    </border>
    <border>
      <left/>
      <right style="thin">
        <color rgb="FF647ED1"/>
      </right>
      <top style="thin">
        <color rgb="FF647ED1"/>
      </top>
      <bottom/>
      <diagonal/>
    </border>
    <border>
      <left style="thin">
        <color rgb="FF647ED1"/>
      </left>
      <right/>
      <top style="thin">
        <color rgb="FF647ED1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rgb="FF7B81C7"/>
      </top>
      <bottom style="thin">
        <color rgb="FF7B81C7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rgb="FFEFF3FF"/>
      </top>
      <bottom/>
      <diagonal/>
    </border>
    <border>
      <left/>
      <right style="thin">
        <color theme="0"/>
      </right>
      <top/>
      <bottom/>
      <diagonal/>
    </border>
  </borders>
  <cellStyleXfs count="16">
    <xf numFmtId="0" fontId="0" fillId="0" borderId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40" fillId="0" borderId="0"/>
    <xf numFmtId="164" fontId="2" fillId="0" borderId="0" applyFont="0" applyFill="0" applyBorder="0" applyAlignment="0" applyProtection="0"/>
    <xf numFmtId="0" fontId="1" fillId="0" borderId="0"/>
  </cellStyleXfs>
  <cellXfs count="1103">
    <xf numFmtId="0" fontId="0" fillId="0" borderId="0" xfId="0"/>
    <xf numFmtId="0" fontId="11" fillId="0" borderId="0" xfId="0" applyFont="1" applyAlignment="1" applyProtection="1">
      <alignment horizontal="center"/>
      <protection hidden="1"/>
    </xf>
    <xf numFmtId="0" fontId="11" fillId="0" borderId="0" xfId="0" applyFont="1" applyProtection="1">
      <protection hidden="1"/>
    </xf>
    <xf numFmtId="0" fontId="0" fillId="0" borderId="0" xfId="0" applyProtection="1">
      <protection hidden="1"/>
    </xf>
    <xf numFmtId="0" fontId="18" fillId="8" borderId="0" xfId="0" applyFont="1" applyFill="1" applyProtection="1">
      <protection hidden="1"/>
    </xf>
    <xf numFmtId="0" fontId="19" fillId="8" borderId="0" xfId="0" applyFont="1" applyFill="1" applyAlignment="1" applyProtection="1">
      <alignment horizontal="left"/>
      <protection hidden="1"/>
    </xf>
    <xf numFmtId="167" fontId="14" fillId="0" borderId="0" xfId="0" applyNumberFormat="1" applyFont="1" applyAlignment="1" applyProtection="1">
      <alignment horizontal="left"/>
      <protection hidden="1"/>
    </xf>
    <xf numFmtId="14" fontId="12" fillId="0" borderId="0" xfId="0" applyNumberFormat="1" applyFont="1" applyAlignment="1" applyProtection="1">
      <alignment horizontal="center"/>
      <protection hidden="1"/>
    </xf>
    <xf numFmtId="0" fontId="19" fillId="8" borderId="0" xfId="0" applyFont="1" applyFill="1" applyProtection="1">
      <protection hidden="1"/>
    </xf>
    <xf numFmtId="171" fontId="13" fillId="0" borderId="0" xfId="0" applyNumberFormat="1" applyFont="1" applyAlignment="1" applyProtection="1">
      <alignment horizontal="center"/>
      <protection hidden="1"/>
    </xf>
    <xf numFmtId="10" fontId="11" fillId="0" borderId="0" xfId="1" applyNumberFormat="1" applyFont="1" applyFill="1" applyBorder="1" applyAlignment="1" applyProtection="1">
      <alignment horizontal="center"/>
      <protection hidden="1"/>
    </xf>
    <xf numFmtId="167" fontId="11" fillId="0" borderId="0" xfId="0" applyNumberFormat="1" applyFont="1" applyProtection="1">
      <protection hidden="1"/>
    </xf>
    <xf numFmtId="9" fontId="11" fillId="0" borderId="1" xfId="1" applyFont="1" applyFill="1" applyBorder="1" applyAlignment="1" applyProtection="1">
      <alignment horizontal="center"/>
      <protection hidden="1"/>
    </xf>
    <xf numFmtId="166" fontId="11" fillId="0" borderId="0" xfId="0" applyNumberFormat="1" applyFont="1" applyProtection="1">
      <protection hidden="1"/>
    </xf>
    <xf numFmtId="9" fontId="11" fillId="0" borderId="2" xfId="1" applyFont="1" applyFill="1" applyBorder="1" applyAlignment="1" applyProtection="1">
      <alignment horizontal="center"/>
      <protection hidden="1"/>
    </xf>
    <xf numFmtId="10" fontId="11" fillId="0" borderId="0" xfId="0" applyNumberFormat="1" applyFont="1" applyProtection="1">
      <protection hidden="1"/>
    </xf>
    <xf numFmtId="0" fontId="12" fillId="0" borderId="0" xfId="0" applyFont="1" applyProtection="1">
      <protection hidden="1"/>
    </xf>
    <xf numFmtId="10" fontId="19" fillId="8" borderId="0" xfId="1" applyNumberFormat="1" applyFont="1" applyFill="1" applyBorder="1" applyAlignment="1" applyProtection="1">
      <alignment horizontal="center"/>
      <protection hidden="1"/>
    </xf>
    <xf numFmtId="170" fontId="11" fillId="0" borderId="0" xfId="0" applyNumberFormat="1" applyFont="1" applyProtection="1">
      <protection hidden="1"/>
    </xf>
    <xf numFmtId="0" fontId="18" fillId="6" borderId="0" xfId="0" applyFont="1" applyFill="1" applyAlignment="1" applyProtection="1">
      <alignment horizontal="center" vertical="top" wrapText="1"/>
      <protection hidden="1"/>
    </xf>
    <xf numFmtId="0" fontId="20" fillId="6" borderId="0" xfId="0" applyFont="1" applyFill="1" applyAlignment="1" applyProtection="1">
      <alignment horizontal="center" vertical="top" wrapText="1"/>
      <protection hidden="1"/>
    </xf>
    <xf numFmtId="0" fontId="18" fillId="7" borderId="0" xfId="0" applyFont="1" applyFill="1" applyAlignment="1" applyProtection="1">
      <alignment vertical="top"/>
      <protection hidden="1"/>
    </xf>
    <xf numFmtId="14" fontId="15" fillId="9" borderId="0" xfId="0" applyNumberFormat="1" applyFont="1" applyFill="1" applyAlignment="1" applyProtection="1">
      <alignment horizontal="center"/>
      <protection hidden="1"/>
    </xf>
    <xf numFmtId="170" fontId="18" fillId="5" borderId="0" xfId="0" applyNumberFormat="1" applyFont="1" applyFill="1" applyAlignment="1" applyProtection="1">
      <alignment horizontal="center"/>
      <protection hidden="1"/>
    </xf>
    <xf numFmtId="166" fontId="19" fillId="7" borderId="0" xfId="2" applyFont="1" applyFill="1" applyBorder="1" applyAlignment="1" applyProtection="1">
      <alignment horizontal="center" vertical="top"/>
      <protection hidden="1"/>
    </xf>
    <xf numFmtId="165" fontId="19" fillId="7" borderId="0" xfId="0" applyNumberFormat="1" applyFont="1" applyFill="1" applyAlignment="1" applyProtection="1">
      <alignment horizontal="center" vertical="top"/>
      <protection hidden="1"/>
    </xf>
    <xf numFmtId="165" fontId="19" fillId="7" borderId="0" xfId="0" quotePrefix="1" applyNumberFormat="1" applyFont="1" applyFill="1" applyAlignment="1" applyProtection="1">
      <alignment horizontal="right"/>
      <protection hidden="1"/>
    </xf>
    <xf numFmtId="14" fontId="19" fillId="7" borderId="0" xfId="0" applyNumberFormat="1" applyFont="1" applyFill="1" applyAlignment="1" applyProtection="1">
      <alignment horizontal="center"/>
      <protection hidden="1"/>
    </xf>
    <xf numFmtId="0" fontId="19" fillId="3" borderId="0" xfId="0" applyFont="1" applyFill="1" applyProtection="1">
      <protection hidden="1"/>
    </xf>
    <xf numFmtId="0" fontId="18" fillId="3" borderId="0" xfId="0" applyFont="1" applyFill="1" applyAlignment="1" applyProtection="1">
      <alignment horizontal="right"/>
      <protection hidden="1"/>
    </xf>
    <xf numFmtId="167" fontId="18" fillId="2" borderId="0" xfId="0" applyNumberFormat="1" applyFont="1" applyFill="1" applyAlignment="1" applyProtection="1">
      <alignment horizontal="center"/>
      <protection hidden="1"/>
    </xf>
    <xf numFmtId="167" fontId="18" fillId="3" borderId="0" xfId="0" applyNumberFormat="1" applyFont="1" applyFill="1" applyAlignment="1" applyProtection="1">
      <alignment horizontal="center"/>
      <protection hidden="1"/>
    </xf>
    <xf numFmtId="0" fontId="13" fillId="0" borderId="0" xfId="0" applyFont="1" applyProtection="1">
      <protection hidden="1"/>
    </xf>
    <xf numFmtId="10" fontId="12" fillId="0" borderId="0" xfId="0" applyNumberFormat="1" applyFont="1" applyAlignment="1" applyProtection="1">
      <alignment horizontal="center"/>
      <protection hidden="1"/>
    </xf>
    <xf numFmtId="168" fontId="12" fillId="0" borderId="0" xfId="0" applyNumberFormat="1" applyFont="1" applyProtection="1">
      <protection hidden="1"/>
    </xf>
    <xf numFmtId="168" fontId="11" fillId="0" borderId="0" xfId="0" applyNumberFormat="1" applyFont="1" applyProtection="1">
      <protection hidden="1"/>
    </xf>
    <xf numFmtId="173" fontId="19" fillId="7" borderId="0" xfId="2" applyNumberFormat="1" applyFont="1" applyFill="1" applyBorder="1" applyAlignment="1" applyProtection="1">
      <alignment horizontal="center" vertical="top"/>
      <protection hidden="1"/>
    </xf>
    <xf numFmtId="0" fontId="12" fillId="8" borderId="0" xfId="0" applyFont="1" applyFill="1" applyAlignment="1" applyProtection="1">
      <alignment horizontal="center"/>
      <protection hidden="1"/>
    </xf>
    <xf numFmtId="0" fontId="17" fillId="6" borderId="0" xfId="0" applyFont="1" applyFill="1" applyAlignment="1" applyProtection="1">
      <alignment horizontal="center"/>
      <protection hidden="1"/>
    </xf>
    <xf numFmtId="170" fontId="17" fillId="6" borderId="0" xfId="0" applyNumberFormat="1" applyFont="1" applyFill="1" applyAlignment="1" applyProtection="1">
      <alignment horizontal="center"/>
      <protection hidden="1"/>
    </xf>
    <xf numFmtId="0" fontId="11" fillId="8" borderId="0" xfId="0" applyFont="1" applyFill="1" applyAlignment="1" applyProtection="1">
      <alignment horizontal="center"/>
      <protection hidden="1"/>
    </xf>
    <xf numFmtId="170" fontId="16" fillId="6" borderId="0" xfId="0" applyNumberFormat="1" applyFont="1" applyFill="1" applyAlignment="1" applyProtection="1">
      <alignment horizontal="center"/>
      <protection hidden="1"/>
    </xf>
    <xf numFmtId="0" fontId="16" fillId="6" borderId="0" xfId="0" applyFont="1" applyFill="1" applyAlignment="1" applyProtection="1">
      <alignment horizontal="center"/>
      <protection hidden="1"/>
    </xf>
    <xf numFmtId="0" fontId="18" fillId="6" borderId="0" xfId="0" applyFont="1" applyFill="1" applyAlignment="1" applyProtection="1">
      <alignment vertical="top" wrapText="1"/>
      <protection hidden="1"/>
    </xf>
    <xf numFmtId="173" fontId="11" fillId="0" borderId="0" xfId="2" applyNumberFormat="1" applyFont="1" applyProtection="1">
      <protection hidden="1"/>
    </xf>
    <xf numFmtId="0" fontId="23" fillId="6" borderId="0" xfId="0" applyFont="1" applyFill="1" applyAlignment="1" applyProtection="1">
      <alignment horizontal="center" vertical="top" wrapText="1"/>
      <protection hidden="1"/>
    </xf>
    <xf numFmtId="16" fontId="11" fillId="0" borderId="0" xfId="0" applyNumberFormat="1" applyFont="1" applyProtection="1">
      <protection hidden="1"/>
    </xf>
    <xf numFmtId="173" fontId="12" fillId="0" borderId="0" xfId="2" applyNumberFormat="1" applyFont="1" applyFill="1" applyAlignment="1" applyProtection="1">
      <alignment horizontal="center"/>
      <protection hidden="1"/>
    </xf>
    <xf numFmtId="173" fontId="12" fillId="0" borderId="0" xfId="2" applyNumberFormat="1" applyFont="1" applyAlignment="1" applyProtection="1">
      <alignment horizontal="center"/>
      <protection hidden="1"/>
    </xf>
    <xf numFmtId="173" fontId="22" fillId="7" borderId="0" xfId="2" applyNumberFormat="1" applyFont="1" applyFill="1" applyAlignment="1" applyProtection="1">
      <alignment horizontal="left" vertical="center"/>
      <protection hidden="1"/>
    </xf>
    <xf numFmtId="173" fontId="18" fillId="6" borderId="0" xfId="2" applyNumberFormat="1" applyFont="1" applyFill="1" applyBorder="1" applyAlignment="1" applyProtection="1">
      <alignment horizontal="center" vertical="top" wrapText="1"/>
      <protection hidden="1"/>
    </xf>
    <xf numFmtId="173" fontId="18" fillId="3" borderId="0" xfId="2" applyNumberFormat="1" applyFont="1" applyFill="1" applyBorder="1" applyAlignment="1" applyProtection="1">
      <alignment horizontal="center"/>
      <protection hidden="1"/>
    </xf>
    <xf numFmtId="173" fontId="12" fillId="0" borderId="0" xfId="2" applyNumberFormat="1" applyFont="1" applyBorder="1" applyAlignment="1" applyProtection="1">
      <alignment horizontal="center"/>
      <protection hidden="1"/>
    </xf>
    <xf numFmtId="16" fontId="11" fillId="0" borderId="0" xfId="0" applyNumberFormat="1" applyFont="1" applyAlignment="1" applyProtection="1">
      <alignment horizontal="center"/>
      <protection hidden="1"/>
    </xf>
    <xf numFmtId="2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wrapText="1"/>
      <protection hidden="1"/>
    </xf>
    <xf numFmtId="170" fontId="19" fillId="7" borderId="0" xfId="2" applyNumberFormat="1" applyFont="1" applyFill="1" applyBorder="1" applyAlignment="1" applyProtection="1">
      <alignment horizontal="center" vertical="top"/>
      <protection hidden="1"/>
    </xf>
    <xf numFmtId="14" fontId="11" fillId="0" borderId="0" xfId="0" applyNumberFormat="1" applyFont="1" applyProtection="1">
      <protection hidden="1"/>
    </xf>
    <xf numFmtId="9" fontId="11" fillId="0" borderId="0" xfId="1" applyFont="1" applyFill="1" applyBorder="1" applyAlignment="1" applyProtection="1">
      <alignment horizontal="center"/>
      <protection hidden="1"/>
    </xf>
    <xf numFmtId="16" fontId="19" fillId="7" borderId="0" xfId="2" applyNumberFormat="1" applyFont="1" applyFill="1" applyBorder="1" applyAlignment="1" applyProtection="1">
      <alignment horizontal="center" vertical="top"/>
      <protection hidden="1"/>
    </xf>
    <xf numFmtId="14" fontId="12" fillId="0" borderId="0" xfId="0" applyNumberFormat="1" applyFont="1" applyProtection="1">
      <protection hidden="1"/>
    </xf>
    <xf numFmtId="14" fontId="0" fillId="0" borderId="0" xfId="0" applyNumberFormat="1"/>
    <xf numFmtId="10" fontId="11" fillId="0" borderId="0" xfId="1" applyNumberFormat="1" applyFont="1" applyProtection="1">
      <protection hidden="1"/>
    </xf>
    <xf numFmtId="0" fontId="11" fillId="0" borderId="0" xfId="0" applyFont="1" applyAlignment="1" applyProtection="1">
      <alignment horizontal="center" vertical="center"/>
      <protection hidden="1"/>
    </xf>
    <xf numFmtId="9" fontId="11" fillId="0" borderId="0" xfId="1" applyFont="1" applyProtection="1">
      <protection hidden="1"/>
    </xf>
    <xf numFmtId="0" fontId="11" fillId="2" borderId="0" xfId="0" applyFont="1" applyFill="1" applyProtection="1">
      <protection hidden="1"/>
    </xf>
    <xf numFmtId="169" fontId="11" fillId="0" borderId="0" xfId="0" applyNumberFormat="1" applyFont="1" applyProtection="1">
      <protection hidden="1"/>
    </xf>
    <xf numFmtId="0" fontId="19" fillId="6" borderId="3" xfId="0" applyFont="1" applyFill="1" applyBorder="1" applyAlignment="1" applyProtection="1">
      <alignment horizontal="left"/>
      <protection hidden="1"/>
    </xf>
    <xf numFmtId="0" fontId="18" fillId="12" borderId="3" xfId="0" applyFont="1" applyFill="1" applyBorder="1" applyAlignment="1" applyProtection="1">
      <alignment horizontal="center"/>
      <protection hidden="1"/>
    </xf>
    <xf numFmtId="0" fontId="11" fillId="12" borderId="3" xfId="0" applyFont="1" applyFill="1" applyBorder="1" applyAlignment="1" applyProtection="1">
      <alignment horizontal="center"/>
      <protection hidden="1"/>
    </xf>
    <xf numFmtId="172" fontId="12" fillId="12" borderId="3" xfId="0" applyNumberFormat="1" applyFont="1" applyFill="1" applyBorder="1" applyAlignment="1" applyProtection="1">
      <alignment horizontal="center"/>
      <protection hidden="1"/>
    </xf>
    <xf numFmtId="168" fontId="11" fillId="12" borderId="3" xfId="0" applyNumberFormat="1" applyFont="1" applyFill="1" applyBorder="1" applyAlignment="1" applyProtection="1">
      <alignment horizontal="center"/>
      <protection hidden="1"/>
    </xf>
    <xf numFmtId="170" fontId="12" fillId="12" borderId="3" xfId="0" applyNumberFormat="1" applyFont="1" applyFill="1" applyBorder="1" applyAlignment="1" applyProtection="1">
      <alignment horizontal="center"/>
      <protection hidden="1"/>
    </xf>
    <xf numFmtId="10" fontId="19" fillId="12" borderId="3" xfId="1" applyNumberFormat="1" applyFont="1" applyFill="1" applyBorder="1" applyAlignment="1" applyProtection="1">
      <alignment horizontal="center"/>
      <protection hidden="1"/>
    </xf>
    <xf numFmtId="170" fontId="16" fillId="12" borderId="3" xfId="0" applyNumberFormat="1" applyFont="1" applyFill="1" applyBorder="1" applyAlignment="1" applyProtection="1">
      <alignment horizontal="center"/>
      <protection hidden="1"/>
    </xf>
    <xf numFmtId="172" fontId="16" fillId="12" borderId="3" xfId="0" applyNumberFormat="1" applyFont="1" applyFill="1" applyBorder="1" applyAlignment="1" applyProtection="1">
      <alignment horizontal="center"/>
      <protection hidden="1"/>
    </xf>
    <xf numFmtId="10" fontId="16" fillId="12" borderId="3" xfId="1" applyNumberFormat="1" applyFont="1" applyFill="1" applyBorder="1" applyAlignment="1" applyProtection="1">
      <alignment horizontal="center"/>
      <protection hidden="1"/>
    </xf>
    <xf numFmtId="175" fontId="12" fillId="6" borderId="3" xfId="0" applyNumberFormat="1" applyFont="1" applyFill="1" applyBorder="1" applyAlignment="1" applyProtection="1">
      <alignment horizontal="center"/>
      <protection hidden="1"/>
    </xf>
    <xf numFmtId="10" fontId="12" fillId="6" borderId="3" xfId="1" applyNumberFormat="1" applyFont="1" applyFill="1" applyBorder="1" applyAlignment="1" applyProtection="1">
      <alignment horizontal="center"/>
      <protection hidden="1"/>
    </xf>
    <xf numFmtId="174" fontId="16" fillId="11" borderId="3" xfId="1" applyNumberFormat="1" applyFont="1" applyFill="1" applyBorder="1" applyAlignment="1" applyProtection="1">
      <alignment horizontal="center"/>
      <protection hidden="1"/>
    </xf>
    <xf numFmtId="10" fontId="11" fillId="13" borderId="0" xfId="0" applyNumberFormat="1" applyFont="1" applyFill="1" applyProtection="1">
      <protection hidden="1"/>
    </xf>
    <xf numFmtId="0" fontId="0" fillId="13" borderId="0" xfId="0" applyFill="1" applyProtection="1">
      <protection hidden="1"/>
    </xf>
    <xf numFmtId="0" fontId="11" fillId="13" borderId="0" xfId="0" applyFont="1" applyFill="1" applyProtection="1">
      <protection hidden="1"/>
    </xf>
    <xf numFmtId="10" fontId="16" fillId="11" borderId="3" xfId="1" applyNumberFormat="1" applyFont="1" applyFill="1" applyBorder="1" applyAlignment="1" applyProtection="1">
      <alignment horizontal="center"/>
      <protection hidden="1"/>
    </xf>
    <xf numFmtId="10" fontId="11" fillId="14" borderId="0" xfId="0" applyNumberFormat="1" applyFont="1" applyFill="1" applyProtection="1">
      <protection hidden="1"/>
    </xf>
    <xf numFmtId="0" fontId="11" fillId="14" borderId="0" xfId="0" applyFont="1" applyFill="1" applyAlignment="1" applyProtection="1">
      <alignment wrapText="1"/>
      <protection hidden="1"/>
    </xf>
    <xf numFmtId="10" fontId="11" fillId="14" borderId="0" xfId="1" applyNumberFormat="1" applyFont="1" applyFill="1" applyProtection="1">
      <protection hidden="1"/>
    </xf>
    <xf numFmtId="0" fontId="11" fillId="14" borderId="0" xfId="0" applyFont="1" applyFill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 applyProtection="1">
      <protection hidden="1"/>
    </xf>
    <xf numFmtId="0" fontId="26" fillId="0" borderId="0" xfId="0" applyFont="1" applyAlignment="1">
      <alignment horizontal="center" vertical="top" wrapText="1"/>
    </xf>
    <xf numFmtId="0" fontId="0" fillId="15" borderId="0" xfId="0" applyFill="1"/>
    <xf numFmtId="174" fontId="0" fillId="15" borderId="0" xfId="1" applyNumberFormat="1" applyFont="1" applyFill="1"/>
    <xf numFmtId="10" fontId="0" fillId="15" borderId="0" xfId="0" applyNumberFormat="1" applyFill="1"/>
    <xf numFmtId="173" fontId="21" fillId="4" borderId="0" xfId="2" applyNumberFormat="1" applyFont="1" applyFill="1" applyAlignment="1" applyProtection="1">
      <alignment horizontal="left" vertical="center"/>
      <protection hidden="1"/>
    </xf>
    <xf numFmtId="176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vertical="top"/>
      <protection hidden="1"/>
    </xf>
    <xf numFmtId="9" fontId="11" fillId="0" borderId="0" xfId="0" applyNumberFormat="1" applyFont="1" applyProtection="1">
      <protection hidden="1"/>
    </xf>
    <xf numFmtId="14" fontId="18" fillId="3" borderId="0" xfId="0" applyNumberFormat="1" applyFont="1" applyFill="1" applyAlignment="1" applyProtection="1">
      <alignment horizontal="center"/>
      <protection hidden="1"/>
    </xf>
    <xf numFmtId="14" fontId="11" fillId="0" borderId="0" xfId="0" applyNumberFormat="1" applyFont="1" applyAlignment="1" applyProtection="1">
      <alignment wrapText="1"/>
      <protection hidden="1"/>
    </xf>
    <xf numFmtId="10" fontId="11" fillId="2" borderId="0" xfId="0" applyNumberFormat="1" applyFont="1" applyFill="1" applyProtection="1">
      <protection hidden="1"/>
    </xf>
    <xf numFmtId="173" fontId="22" fillId="16" borderId="0" xfId="2" applyNumberFormat="1" applyFont="1" applyFill="1" applyAlignment="1" applyProtection="1">
      <alignment horizontal="left" vertical="center"/>
      <protection hidden="1"/>
    </xf>
    <xf numFmtId="0" fontId="22" fillId="16" borderId="0" xfId="0" applyFont="1" applyFill="1" applyAlignment="1" applyProtection="1">
      <alignment horizontal="left" vertical="center"/>
      <protection hidden="1"/>
    </xf>
    <xf numFmtId="173" fontId="18" fillId="16" borderId="0" xfId="2" applyNumberFormat="1" applyFont="1" applyFill="1" applyBorder="1" applyAlignment="1" applyProtection="1">
      <alignment horizontal="center" vertical="top" wrapText="1"/>
      <protection hidden="1"/>
    </xf>
    <xf numFmtId="166" fontId="19" fillId="16" borderId="0" xfId="2" applyFont="1" applyFill="1" applyBorder="1" applyAlignment="1" applyProtection="1">
      <alignment horizontal="center" vertical="top"/>
      <protection hidden="1"/>
    </xf>
    <xf numFmtId="165" fontId="19" fillId="16" borderId="0" xfId="0" applyNumberFormat="1" applyFont="1" applyFill="1" applyAlignment="1" applyProtection="1">
      <alignment horizontal="center" vertical="top"/>
      <protection hidden="1"/>
    </xf>
    <xf numFmtId="170" fontId="19" fillId="16" borderId="0" xfId="2" applyNumberFormat="1" applyFont="1" applyFill="1" applyBorder="1" applyAlignment="1" applyProtection="1">
      <alignment horizontal="center" vertical="top"/>
      <protection hidden="1"/>
    </xf>
    <xf numFmtId="173" fontId="19" fillId="16" borderId="0" xfId="2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right"/>
      <protection hidden="1"/>
    </xf>
    <xf numFmtId="14" fontId="19" fillId="16" borderId="0" xfId="0" applyNumberFormat="1" applyFont="1" applyFill="1" applyAlignment="1" applyProtection="1">
      <alignment horizontal="center"/>
      <protection hidden="1"/>
    </xf>
    <xf numFmtId="14" fontId="19" fillId="7" borderId="0" xfId="0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vertical="top"/>
      <protection hidden="1"/>
    </xf>
    <xf numFmtId="0" fontId="0" fillId="0" borderId="0" xfId="0" applyAlignment="1" applyProtection="1">
      <alignment vertical="top"/>
      <protection hidden="1"/>
    </xf>
    <xf numFmtId="165" fontId="19" fillId="7" borderId="0" xfId="0" quotePrefix="1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horizontal="center" vertical="top"/>
      <protection hidden="1"/>
    </xf>
    <xf numFmtId="0" fontId="11" fillId="0" borderId="0" xfId="0" applyFont="1" applyAlignment="1" applyProtection="1">
      <alignment horizontal="center" vertical="top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4" fontId="11" fillId="0" borderId="0" xfId="0" applyNumberFormat="1" applyFont="1" applyProtection="1">
      <protection hidden="1"/>
    </xf>
    <xf numFmtId="177" fontId="11" fillId="12" borderId="15" xfId="0" applyNumberFormat="1" applyFont="1" applyFill="1" applyBorder="1" applyAlignment="1" applyProtection="1">
      <alignment horizontal="center" vertical="center"/>
      <protection hidden="1"/>
    </xf>
    <xf numFmtId="10" fontId="11" fillId="12" borderId="16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1" applyNumberFormat="1" applyFont="1" applyFill="1" applyBorder="1" applyAlignment="1" applyProtection="1">
      <alignment horizontal="center" vertical="center"/>
      <protection hidden="1"/>
    </xf>
    <xf numFmtId="10" fontId="11" fillId="14" borderId="0" xfId="0" applyNumberFormat="1" applyFont="1" applyFill="1" applyAlignment="1" applyProtection="1">
      <alignment horizontal="right" vertical="top"/>
      <protection hidden="1"/>
    </xf>
    <xf numFmtId="4" fontId="11" fillId="0" borderId="0" xfId="0" applyNumberFormat="1" applyFont="1" applyAlignment="1" applyProtection="1">
      <alignment horizontal="center"/>
      <protection hidden="1"/>
    </xf>
    <xf numFmtId="0" fontId="28" fillId="0" borderId="7" xfId="0" applyFont="1" applyBorder="1" applyAlignment="1" applyProtection="1">
      <alignment horizont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8" fillId="0" borderId="10" xfId="0" applyFont="1" applyBorder="1" applyAlignment="1" applyProtection="1">
      <alignment horizontal="center"/>
      <protection hidden="1"/>
    </xf>
    <xf numFmtId="0" fontId="27" fillId="0" borderId="17" xfId="0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1" xfId="0" applyFont="1" applyBorder="1" applyAlignment="1" applyProtection="1">
      <alignment horizontal="center" vertical="center"/>
      <protection hidden="1"/>
    </xf>
    <xf numFmtId="1" fontId="11" fillId="0" borderId="0" xfId="0" applyNumberFormat="1" applyFont="1" applyProtection="1">
      <protection hidden="1"/>
    </xf>
    <xf numFmtId="0" fontId="33" fillId="0" borderId="0" xfId="0" applyFont="1" applyProtection="1">
      <protection hidden="1"/>
    </xf>
    <xf numFmtId="4" fontId="11" fillId="0" borderId="0" xfId="0" applyNumberFormat="1" applyFont="1" applyProtection="1">
      <protection hidden="1"/>
    </xf>
    <xf numFmtId="10" fontId="11" fillId="0" borderId="3" xfId="0" applyNumberFormat="1" applyFont="1" applyBorder="1" applyProtection="1">
      <protection hidden="1"/>
    </xf>
    <xf numFmtId="0" fontId="11" fillId="0" borderId="3" xfId="0" applyFont="1" applyBorder="1" applyProtection="1">
      <protection hidden="1"/>
    </xf>
    <xf numFmtId="0" fontId="11" fillId="0" borderId="3" xfId="0" applyFont="1" applyBorder="1" applyAlignment="1" applyProtection="1">
      <alignment horizontal="left"/>
      <protection hidden="1"/>
    </xf>
    <xf numFmtId="177" fontId="27" fillId="5" borderId="15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0" applyNumberFormat="1" applyFont="1" applyFill="1" applyBorder="1" applyAlignment="1" applyProtection="1">
      <alignment horizontal="center" vertical="center"/>
      <protection hidden="1"/>
    </xf>
    <xf numFmtId="0" fontId="12" fillId="17" borderId="0" xfId="0" applyFont="1" applyFill="1" applyProtection="1">
      <protection hidden="1"/>
    </xf>
    <xf numFmtId="0" fontId="11" fillId="17" borderId="0" xfId="0" applyFont="1" applyFill="1" applyProtection="1">
      <protection hidden="1"/>
    </xf>
    <xf numFmtId="0" fontId="36" fillId="17" borderId="3" xfId="0" applyFont="1" applyFill="1" applyBorder="1" applyAlignment="1">
      <alignment horizontal="right" wrapText="1"/>
    </xf>
    <xf numFmtId="0" fontId="37" fillId="17" borderId="3" xfId="0" applyFont="1" applyFill="1" applyBorder="1" applyAlignment="1">
      <alignment horizontal="right" wrapText="1"/>
    </xf>
    <xf numFmtId="0" fontId="0" fillId="17" borderId="3" xfId="0" applyFill="1" applyBorder="1" applyAlignment="1">
      <alignment horizontal="right"/>
    </xf>
    <xf numFmtId="177" fontId="12" fillId="0" borderId="0" xfId="0" applyNumberFormat="1" applyFont="1" applyProtection="1">
      <protection hidden="1"/>
    </xf>
    <xf numFmtId="0" fontId="11" fillId="14" borderId="0" xfId="0" applyFont="1" applyFill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wrapText="1"/>
      <protection hidden="1"/>
    </xf>
    <xf numFmtId="173" fontId="22" fillId="7" borderId="0" xfId="2" applyNumberFormat="1" applyFont="1" applyFill="1" applyAlignment="1" applyProtection="1">
      <alignment horizontal="center" vertical="center"/>
      <protection hidden="1"/>
    </xf>
    <xf numFmtId="10" fontId="11" fillId="0" borderId="0" xfId="0" applyNumberFormat="1" applyFont="1" applyAlignment="1" applyProtection="1">
      <alignment horizontal="center"/>
      <protection hidden="1"/>
    </xf>
    <xf numFmtId="10" fontId="11" fillId="14" borderId="0" xfId="0" applyNumberFormat="1" applyFont="1" applyFill="1" applyAlignment="1" applyProtection="1">
      <alignment horizontal="center"/>
      <protection hidden="1"/>
    </xf>
    <xf numFmtId="0" fontId="23" fillId="2" borderId="0" xfId="0" applyFont="1" applyFill="1" applyAlignment="1" applyProtection="1">
      <alignment horizontal="center" vertical="top" wrapText="1"/>
      <protection hidden="1"/>
    </xf>
    <xf numFmtId="173" fontId="18" fillId="2" borderId="0" xfId="2" applyNumberFormat="1" applyFont="1" applyFill="1" applyBorder="1" applyAlignment="1" applyProtection="1">
      <alignment horizontal="center" vertical="top" wrapText="1"/>
      <protection hidden="1"/>
    </xf>
    <xf numFmtId="1" fontId="11" fillId="2" borderId="0" xfId="0" applyNumberFormat="1" applyFont="1" applyFill="1" applyProtection="1">
      <protection hidden="1"/>
    </xf>
    <xf numFmtId="10" fontId="18" fillId="3" borderId="0" xfId="1" applyNumberFormat="1" applyFont="1" applyFill="1" applyBorder="1" applyAlignment="1" applyProtection="1">
      <alignment horizontal="center"/>
      <protection hidden="1"/>
    </xf>
    <xf numFmtId="14" fontId="18" fillId="7" borderId="0" xfId="0" applyNumberFormat="1" applyFont="1" applyFill="1" applyAlignment="1" applyProtection="1">
      <alignment horizontal="center" vertical="top" wrapText="1"/>
      <protection hidden="1"/>
    </xf>
    <xf numFmtId="10" fontId="12" fillId="0" borderId="0" xfId="1" applyNumberFormat="1" applyFont="1" applyProtection="1">
      <protection hidden="1"/>
    </xf>
    <xf numFmtId="0" fontId="12" fillId="0" borderId="3" xfId="0" applyFont="1" applyBorder="1" applyProtection="1">
      <protection hidden="1"/>
    </xf>
    <xf numFmtId="0" fontId="12" fillId="0" borderId="0" xfId="2" applyNumberFormat="1" applyFont="1" applyAlignment="1" applyProtection="1">
      <alignment horizontal="center"/>
      <protection hidden="1"/>
    </xf>
    <xf numFmtId="0" fontId="11" fillId="0" borderId="0" xfId="2" applyNumberFormat="1" applyFont="1" applyProtection="1">
      <protection hidden="1"/>
    </xf>
    <xf numFmtId="0" fontId="0" fillId="17" borderId="0" xfId="0" applyFill="1" applyAlignment="1">
      <alignment horizontal="right"/>
    </xf>
    <xf numFmtId="0" fontId="38" fillId="7" borderId="17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 wrapText="1"/>
      <protection hidden="1"/>
    </xf>
    <xf numFmtId="0" fontId="18" fillId="16" borderId="0" xfId="0" applyFont="1" applyFill="1" applyAlignment="1" applyProtection="1">
      <alignment horizontal="center" vertical="top" wrapText="1"/>
      <protection hidden="1"/>
    </xf>
    <xf numFmtId="0" fontId="20" fillId="16" borderId="0" xfId="0" applyFont="1" applyFill="1" applyAlignment="1" applyProtection="1">
      <alignment horizontal="center" vertical="top" wrapText="1"/>
      <protection hidden="1"/>
    </xf>
    <xf numFmtId="0" fontId="23" fillId="16" borderId="0" xfId="0" applyFont="1" applyFill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/>
      <protection hidden="1"/>
    </xf>
    <xf numFmtId="14" fontId="18" fillId="16" borderId="0" xfId="0" applyNumberFormat="1" applyFont="1" applyFill="1" applyAlignment="1" applyProtection="1">
      <alignment horizontal="center"/>
      <protection hidden="1"/>
    </xf>
    <xf numFmtId="165" fontId="19" fillId="16" borderId="0" xfId="0" quotePrefix="1" applyNumberFormat="1" applyFont="1" applyFill="1" applyAlignment="1" applyProtection="1">
      <alignment horizontal="right" vertical="top"/>
      <protection hidden="1"/>
    </xf>
    <xf numFmtId="14" fontId="19" fillId="16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center" vertical="top"/>
      <protection hidden="1"/>
    </xf>
    <xf numFmtId="10" fontId="12" fillId="0" borderId="0" xfId="0" applyNumberFormat="1" applyFont="1" applyProtection="1">
      <protection hidden="1"/>
    </xf>
    <xf numFmtId="166" fontId="11" fillId="0" borderId="3" xfId="2" applyFont="1" applyBorder="1" applyProtection="1">
      <protection hidden="1"/>
    </xf>
    <xf numFmtId="166" fontId="11" fillId="0" borderId="3" xfId="2" applyFont="1" applyBorder="1" applyAlignment="1" applyProtection="1">
      <alignment horizontal="left"/>
      <protection hidden="1"/>
    </xf>
    <xf numFmtId="166" fontId="12" fillId="0" borderId="0" xfId="2" applyFont="1" applyProtection="1">
      <protection hidden="1"/>
    </xf>
    <xf numFmtId="173" fontId="11" fillId="0" borderId="0" xfId="0" applyNumberFormat="1" applyFont="1" applyProtection="1">
      <protection hidden="1"/>
    </xf>
    <xf numFmtId="10" fontId="0" fillId="0" borderId="0" xfId="0" applyNumberFormat="1"/>
    <xf numFmtId="8" fontId="0" fillId="0" borderId="0" xfId="0" applyNumberFormat="1" applyProtection="1">
      <protection hidden="1"/>
    </xf>
    <xf numFmtId="10" fontId="19" fillId="7" borderId="0" xfId="1" applyNumberFormat="1" applyFont="1" applyFill="1" applyBorder="1" applyAlignment="1" applyProtection="1">
      <alignment horizontal="center" vertical="top"/>
      <protection hidden="1"/>
    </xf>
    <xf numFmtId="10" fontId="19" fillId="16" borderId="0" xfId="0" applyNumberFormat="1" applyFont="1" applyFill="1" applyAlignment="1" applyProtection="1">
      <alignment horizontal="center"/>
      <protection hidden="1"/>
    </xf>
    <xf numFmtId="0" fontId="45" fillId="0" borderId="0" xfId="0" applyFont="1" applyProtection="1">
      <protection hidden="1"/>
    </xf>
    <xf numFmtId="10" fontId="45" fillId="0" borderId="0" xfId="0" applyNumberFormat="1" applyFont="1" applyProtection="1">
      <protection hidden="1"/>
    </xf>
    <xf numFmtId="0" fontId="46" fillId="0" borderId="0" xfId="0" applyFont="1" applyProtection="1">
      <protection hidden="1"/>
    </xf>
    <xf numFmtId="16" fontId="45" fillId="0" borderId="0" xfId="0" applyNumberFormat="1" applyFont="1" applyProtection="1">
      <protection hidden="1"/>
    </xf>
    <xf numFmtId="166" fontId="45" fillId="0" borderId="0" xfId="0" applyNumberFormat="1" applyFont="1" applyProtection="1">
      <protection hidden="1"/>
    </xf>
    <xf numFmtId="16" fontId="45" fillId="0" borderId="0" xfId="0" applyNumberFormat="1" applyFont="1" applyAlignment="1" applyProtection="1">
      <alignment horizontal="center"/>
      <protection hidden="1"/>
    </xf>
    <xf numFmtId="0" fontId="45" fillId="0" borderId="0" xfId="0" applyFont="1" applyAlignment="1" applyProtection="1">
      <alignment horizontal="center"/>
      <protection hidden="1"/>
    </xf>
    <xf numFmtId="0" fontId="43" fillId="7" borderId="20" xfId="0" applyFont="1" applyFill="1" applyBorder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43" fillId="7" borderId="25" xfId="0" applyFont="1" applyFill="1" applyBorder="1" applyAlignment="1" applyProtection="1">
      <alignment vertical="center"/>
      <protection hidden="1"/>
    </xf>
    <xf numFmtId="0" fontId="43" fillId="7" borderId="26" xfId="0" applyFont="1" applyFill="1" applyBorder="1" applyAlignment="1" applyProtection="1">
      <alignment vertical="center"/>
      <protection hidden="1"/>
    </xf>
    <xf numFmtId="0" fontId="51" fillId="19" borderId="0" xfId="0" applyFont="1" applyFill="1" applyAlignment="1" applyProtection="1">
      <alignment horizontal="center" vertical="center"/>
      <protection hidden="1"/>
    </xf>
    <xf numFmtId="177" fontId="46" fillId="0" borderId="0" xfId="0" applyNumberFormat="1" applyFont="1" applyAlignment="1" applyProtection="1">
      <alignment horizontal="center" vertical="center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0" borderId="0" xfId="1" applyNumberFormat="1" applyFont="1" applyFill="1" applyBorder="1" applyAlignment="1" applyProtection="1">
      <alignment horizontal="center" vertical="center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7" fontId="46" fillId="20" borderId="30" xfId="1" applyNumberFormat="1" applyFont="1" applyFill="1" applyBorder="1" applyAlignment="1" applyProtection="1">
      <alignment horizontal="center" vertical="center"/>
      <protection hidden="1"/>
    </xf>
    <xf numFmtId="0" fontId="22" fillId="23" borderId="0" xfId="0" applyFont="1" applyFill="1" applyAlignment="1" applyProtection="1">
      <alignment horizontal="left" vertical="center"/>
      <protection hidden="1"/>
    </xf>
    <xf numFmtId="0" fontId="23" fillId="23" borderId="0" xfId="0" applyFont="1" applyFill="1" applyAlignment="1" applyProtection="1">
      <alignment horizontal="center" vertical="top" wrapText="1"/>
      <protection hidden="1"/>
    </xf>
    <xf numFmtId="165" fontId="19" fillId="23" borderId="0" xfId="0" applyNumberFormat="1" applyFont="1" applyFill="1" applyAlignment="1" applyProtection="1">
      <alignment horizontal="center" vertical="top"/>
      <protection hidden="1"/>
    </xf>
    <xf numFmtId="173" fontId="19" fillId="23" borderId="0" xfId="2" applyNumberFormat="1" applyFont="1" applyFill="1" applyBorder="1" applyAlignment="1" applyProtection="1">
      <alignment horizontal="center" vertical="top"/>
      <protection hidden="1"/>
    </xf>
    <xf numFmtId="177" fontId="46" fillId="20" borderId="31" xfId="0" applyNumberFormat="1" applyFont="1" applyFill="1" applyBorder="1" applyAlignment="1" applyProtection="1">
      <alignment horizontal="center" vertical="center"/>
      <protection hidden="1"/>
    </xf>
    <xf numFmtId="177" fontId="44" fillId="18" borderId="32" xfId="1" applyNumberFormat="1" applyFont="1" applyFill="1" applyBorder="1" applyAlignment="1" applyProtection="1">
      <alignment horizontal="center" vertical="center"/>
      <protection hidden="1"/>
    </xf>
    <xf numFmtId="10" fontId="45" fillId="0" borderId="0" xfId="0" applyNumberFormat="1" applyFont="1" applyAlignment="1" applyProtection="1">
      <alignment horizontal="center" vertical="center"/>
      <protection hidden="1"/>
    </xf>
    <xf numFmtId="177" fontId="45" fillId="0" borderId="33" xfId="0" applyNumberFormat="1" applyFont="1" applyBorder="1" applyAlignment="1" applyProtection="1">
      <alignment horizontal="center" vertical="center"/>
      <protection hidden="1"/>
    </xf>
    <xf numFmtId="177" fontId="46" fillId="0" borderId="33" xfId="0" applyNumberFormat="1" applyFont="1" applyBorder="1" applyAlignment="1" applyProtection="1">
      <alignment horizontal="center" vertical="center"/>
      <protection hidden="1"/>
    </xf>
    <xf numFmtId="177" fontId="59" fillId="0" borderId="35" xfId="0" applyNumberFormat="1" applyFont="1" applyBorder="1" applyAlignment="1" applyProtection="1">
      <alignment horizontal="center" vertical="center"/>
      <protection hidden="1"/>
    </xf>
    <xf numFmtId="10" fontId="65" fillId="0" borderId="35" xfId="1" applyNumberFormat="1" applyFont="1" applyFill="1" applyBorder="1" applyAlignment="1" applyProtection="1">
      <alignment horizontal="center" vertical="center"/>
      <protection hidden="1"/>
    </xf>
    <xf numFmtId="177" fontId="65" fillId="0" borderId="35" xfId="0" applyNumberFormat="1" applyFont="1" applyBorder="1" applyAlignment="1" applyProtection="1">
      <alignment horizontal="center" vertical="center"/>
      <protection hidden="1"/>
    </xf>
    <xf numFmtId="177" fontId="46" fillId="22" borderId="34" xfId="0" applyNumberFormat="1" applyFont="1" applyFill="1" applyBorder="1" applyAlignment="1" applyProtection="1">
      <alignment horizontal="center" vertical="center"/>
      <protection hidden="1"/>
    </xf>
    <xf numFmtId="177" fontId="45" fillId="22" borderId="34" xfId="0" applyNumberFormat="1" applyFont="1" applyFill="1" applyBorder="1" applyAlignment="1" applyProtection="1">
      <alignment horizontal="center" vertical="center"/>
      <protection hidden="1"/>
    </xf>
    <xf numFmtId="177" fontId="46" fillId="22" borderId="34" xfId="1" applyNumberFormat="1" applyFont="1" applyFill="1" applyBorder="1" applyAlignment="1" applyProtection="1">
      <alignment horizontal="center" vertical="center"/>
      <protection hidden="1"/>
    </xf>
    <xf numFmtId="177" fontId="65" fillId="0" borderId="37" xfId="0" applyNumberFormat="1" applyFont="1" applyBorder="1" applyAlignment="1" applyProtection="1">
      <alignment horizontal="center" vertical="center"/>
      <protection hidden="1"/>
    </xf>
    <xf numFmtId="177" fontId="66" fillId="20" borderId="32" xfId="1" applyNumberFormat="1" applyFont="1" applyFill="1" applyBorder="1" applyAlignment="1" applyProtection="1">
      <alignment horizontal="center" vertical="center"/>
      <protection hidden="1"/>
    </xf>
    <xf numFmtId="177" fontId="61" fillId="24" borderId="36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9" fontId="47" fillId="10" borderId="0" xfId="1" applyFont="1" applyFill="1" applyBorder="1" applyAlignment="1" applyProtection="1">
      <alignment horizontal="center" vertical="center" wrapText="1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29" xfId="0" applyFont="1" applyFill="1" applyBorder="1" applyAlignment="1" applyProtection="1">
      <alignment horizontal="center" vertical="center"/>
      <protection hidden="1"/>
    </xf>
    <xf numFmtId="10" fontId="46" fillId="25" borderId="29" xfId="1" applyNumberFormat="1" applyFont="1" applyFill="1" applyBorder="1" applyAlignment="1" applyProtection="1">
      <alignment horizontal="center" vertical="center"/>
      <protection hidden="1"/>
    </xf>
    <xf numFmtId="177" fontId="46" fillId="25" borderId="29" xfId="0" applyNumberFormat="1" applyFont="1" applyFill="1" applyBorder="1" applyAlignment="1" applyProtection="1">
      <alignment horizontal="center" vertical="center"/>
      <protection hidden="1"/>
    </xf>
    <xf numFmtId="9" fontId="47" fillId="10" borderId="0" xfId="1" applyFont="1" applyFill="1" applyBorder="1" applyAlignment="1" applyProtection="1">
      <alignment vertical="center" wrapText="1"/>
      <protection hidden="1"/>
    </xf>
    <xf numFmtId="10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29" xfId="1" applyNumberFormat="1" applyFont="1" applyFill="1" applyBorder="1" applyAlignment="1" applyProtection="1">
      <alignment horizontal="center" vertical="center"/>
      <protection locked="0" hidden="1"/>
    </xf>
    <xf numFmtId="10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46" fillId="20" borderId="32" xfId="0" applyFont="1" applyFill="1" applyBorder="1" applyAlignment="1" applyProtection="1">
      <alignment horizontal="center" vertical="center"/>
      <protection hidden="1"/>
    </xf>
    <xf numFmtId="177" fontId="59" fillId="0" borderId="0" xfId="0" applyNumberFormat="1" applyFont="1" applyAlignment="1" applyProtection="1">
      <alignment horizontal="center" vertical="center"/>
      <protection hidden="1"/>
    </xf>
    <xf numFmtId="10" fontId="65" fillId="0" borderId="0" xfId="1" applyNumberFormat="1" applyFont="1" applyFill="1" applyBorder="1" applyAlignment="1" applyProtection="1">
      <alignment horizontal="center" vertical="center"/>
      <protection hidden="1"/>
    </xf>
    <xf numFmtId="177" fontId="65" fillId="0" borderId="0" xfId="0" applyNumberFormat="1" applyFont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wrapText="1"/>
      <protection hidden="1"/>
    </xf>
    <xf numFmtId="0" fontId="43" fillId="0" borderId="0" xfId="0" applyFont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/>
      <protection hidden="1"/>
    </xf>
    <xf numFmtId="0" fontId="51" fillId="0" borderId="0" xfId="0" applyFont="1" applyAlignment="1" applyProtection="1">
      <alignment horizontal="center" vertical="center"/>
      <protection hidden="1"/>
    </xf>
    <xf numFmtId="9" fontId="47" fillId="0" borderId="0" xfId="1" applyFont="1" applyFill="1" applyBorder="1" applyAlignment="1" applyProtection="1">
      <alignment vertical="center" wrapText="1"/>
      <protection hidden="1"/>
    </xf>
    <xf numFmtId="9" fontId="47" fillId="0" borderId="0" xfId="1" applyFont="1" applyFill="1" applyBorder="1" applyAlignment="1" applyProtection="1">
      <alignment horizontal="center" vertical="center" wrapText="1"/>
      <protection hidden="1"/>
    </xf>
    <xf numFmtId="0" fontId="52" fillId="0" borderId="0" xfId="0" applyFont="1" applyAlignment="1" applyProtection="1">
      <alignment horizontal="center" vertical="center" wrapText="1"/>
      <protection hidden="1"/>
    </xf>
    <xf numFmtId="177" fontId="44" fillId="0" borderId="0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0" borderId="0" xfId="0" applyFont="1" applyAlignment="1" applyProtection="1">
      <alignment horizontal="center" vertical="top" wrapText="1"/>
      <protection hidden="1"/>
    </xf>
    <xf numFmtId="0" fontId="69" fillId="24" borderId="0" xfId="0" applyFont="1" applyFill="1" applyAlignment="1" applyProtection="1">
      <alignment horizontal="center" vertical="center" wrapText="1"/>
      <protection hidden="1"/>
    </xf>
    <xf numFmtId="0" fontId="70" fillId="23" borderId="0" xfId="0" applyFont="1" applyFill="1" applyAlignment="1" applyProtection="1">
      <alignment horizontal="left"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hidden="1"/>
    </xf>
    <xf numFmtId="14" fontId="15" fillId="23" borderId="0" xfId="0" applyNumberFormat="1" applyFont="1" applyFill="1" applyAlignment="1" applyProtection="1">
      <alignment horizontal="center" vertical="center"/>
      <protection hidden="1"/>
    </xf>
    <xf numFmtId="170" fontId="18" fillId="23" borderId="0" xfId="0" applyNumberFormat="1" applyFont="1" applyFill="1" applyAlignment="1" applyProtection="1">
      <alignment horizontal="center" vertical="center"/>
      <protection hidden="1"/>
    </xf>
    <xf numFmtId="166" fontId="19" fillId="23" borderId="0" xfId="2" applyFont="1" applyFill="1" applyBorder="1" applyAlignment="1" applyProtection="1">
      <alignment horizontal="center" vertical="center"/>
      <protection hidden="1"/>
    </xf>
    <xf numFmtId="165" fontId="19" fillId="23" borderId="0" xfId="0" applyNumberFormat="1" applyFont="1" applyFill="1" applyAlignment="1" applyProtection="1">
      <alignment horizontal="center" vertical="center"/>
      <protection hidden="1"/>
    </xf>
    <xf numFmtId="165" fontId="19" fillId="23" borderId="0" xfId="0" quotePrefix="1" applyNumberFormat="1" applyFont="1" applyFill="1" applyAlignment="1" applyProtection="1">
      <alignment horizontal="center" vertical="center"/>
      <protection hidden="1"/>
    </xf>
    <xf numFmtId="14" fontId="19" fillId="23" borderId="0" xfId="0" applyNumberFormat="1" applyFont="1" applyFill="1" applyAlignment="1" applyProtection="1">
      <alignment horizontal="center" vertical="center"/>
      <protection hidden="1"/>
    </xf>
    <xf numFmtId="10" fontId="19" fillId="23" borderId="0" xfId="1" applyNumberFormat="1" applyFont="1" applyFill="1" applyBorder="1" applyAlignment="1" applyProtection="1">
      <alignment horizontal="center" vertical="center"/>
      <protection hidden="1"/>
    </xf>
    <xf numFmtId="166" fontId="71" fillId="23" borderId="0" xfId="2" applyFont="1" applyFill="1" applyBorder="1" applyAlignment="1" applyProtection="1">
      <alignment horizontal="center" vertical="center"/>
      <protection hidden="1"/>
    </xf>
    <xf numFmtId="165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3" borderId="33" xfId="0" applyNumberFormat="1" applyFont="1" applyFill="1" applyBorder="1" applyAlignment="1" applyProtection="1">
      <alignment horizontal="center" vertical="center"/>
      <protection hidden="1"/>
    </xf>
    <xf numFmtId="10" fontId="19" fillId="23" borderId="33" xfId="1" applyNumberFormat="1" applyFont="1" applyFill="1" applyBorder="1" applyAlignment="1" applyProtection="1">
      <alignment horizontal="center" vertical="center"/>
      <protection hidden="1"/>
    </xf>
    <xf numFmtId="166" fontId="71" fillId="23" borderId="33" xfId="2" applyFont="1" applyFill="1" applyBorder="1" applyAlignment="1" applyProtection="1">
      <alignment horizontal="center" vertical="center"/>
      <protection hidden="1"/>
    </xf>
    <xf numFmtId="166" fontId="19" fillId="23" borderId="33" xfId="2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vertical="center" wrapText="1"/>
      <protection hidden="1"/>
    </xf>
    <xf numFmtId="0" fontId="18" fillId="20" borderId="0" xfId="0" applyFont="1" applyFill="1" applyAlignment="1" applyProtection="1">
      <alignment vertical="top"/>
      <protection hidden="1"/>
    </xf>
    <xf numFmtId="14" fontId="18" fillId="20" borderId="0" xfId="0" applyNumberFormat="1" applyFont="1" applyFill="1" applyAlignment="1" applyProtection="1">
      <alignment horizontal="center"/>
      <protection hidden="1"/>
    </xf>
    <xf numFmtId="170" fontId="18" fillId="20" borderId="0" xfId="0" applyNumberFormat="1" applyFont="1" applyFill="1" applyAlignment="1" applyProtection="1">
      <alignment horizontal="center"/>
      <protection hidden="1"/>
    </xf>
    <xf numFmtId="166" fontId="19" fillId="20" borderId="0" xfId="2" applyFont="1" applyFill="1" applyBorder="1" applyAlignment="1" applyProtection="1">
      <alignment horizontal="center" vertical="top"/>
      <protection hidden="1"/>
    </xf>
    <xf numFmtId="165" fontId="19" fillId="20" borderId="0" xfId="0" applyNumberFormat="1" applyFont="1" applyFill="1" applyAlignment="1" applyProtection="1">
      <alignment horizontal="center" vertical="top"/>
      <protection hidden="1"/>
    </xf>
    <xf numFmtId="170" fontId="19" fillId="20" borderId="0" xfId="2" applyNumberFormat="1" applyFont="1" applyFill="1" applyBorder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right"/>
      <protection hidden="1"/>
    </xf>
    <xf numFmtId="14" fontId="19" fillId="20" borderId="0" xfId="0" applyNumberFormat="1" applyFont="1" applyFill="1" applyAlignment="1" applyProtection="1">
      <alignment horizontal="center"/>
      <protection hidden="1"/>
    </xf>
    <xf numFmtId="10" fontId="19" fillId="20" borderId="0" xfId="0" applyNumberFormat="1" applyFont="1" applyFill="1" applyAlignment="1" applyProtection="1">
      <alignment horizontal="center"/>
      <protection hidden="1"/>
    </xf>
    <xf numFmtId="165" fontId="19" fillId="20" borderId="0" xfId="0" quotePrefix="1" applyNumberFormat="1" applyFont="1" applyFill="1" applyAlignment="1" applyProtection="1">
      <alignment horizontal="right" vertical="top"/>
      <protection hidden="1"/>
    </xf>
    <xf numFmtId="14" fontId="19" fillId="20" borderId="0" xfId="0" applyNumberFormat="1" applyFont="1" applyFill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center" vertical="top"/>
      <protection hidden="1"/>
    </xf>
    <xf numFmtId="0" fontId="74" fillId="26" borderId="0" xfId="0" applyFont="1" applyFill="1" applyAlignment="1" applyProtection="1">
      <alignment horizontal="left" vertical="center"/>
      <protection hidden="1"/>
    </xf>
    <xf numFmtId="177" fontId="45" fillId="12" borderId="12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1" applyNumberFormat="1" applyFont="1" applyFill="1" applyBorder="1" applyAlignment="1" applyProtection="1">
      <alignment horizontal="center" vertical="center"/>
      <protection hidden="1"/>
    </xf>
    <xf numFmtId="174" fontId="56" fillId="0" borderId="0" xfId="1" applyNumberFormat="1" applyFont="1" applyFill="1" applyBorder="1" applyAlignment="1" applyProtection="1">
      <alignment horizontal="center" vertical="center"/>
      <protection hidden="1"/>
    </xf>
    <xf numFmtId="10" fontId="56" fillId="0" borderId="0" xfId="1" applyNumberFormat="1" applyFont="1" applyFill="1" applyBorder="1" applyAlignment="1" applyProtection="1">
      <alignment horizontal="center" vertical="center"/>
      <protection hidden="1"/>
    </xf>
    <xf numFmtId="0" fontId="44" fillId="0" borderId="0" xfId="0" applyFont="1" applyAlignment="1" applyProtection="1">
      <alignment vertical="center" wrapText="1"/>
      <protection hidden="1"/>
    </xf>
    <xf numFmtId="0" fontId="45" fillId="0" borderId="0" xfId="0" applyFont="1" applyAlignment="1" applyProtection="1">
      <alignment vertical="center"/>
      <protection hidden="1"/>
    </xf>
    <xf numFmtId="177" fontId="56" fillId="0" borderId="0" xfId="1" applyNumberFormat="1" applyFont="1" applyFill="1" applyBorder="1" applyAlignment="1" applyProtection="1">
      <alignment horizontal="center" vertical="center"/>
      <protection hidden="1"/>
    </xf>
    <xf numFmtId="177" fontId="45" fillId="12" borderId="13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0" applyNumberFormat="1" applyFont="1" applyFill="1" applyBorder="1" applyAlignment="1" applyProtection="1">
      <alignment horizontal="center" vertical="center"/>
      <protection hidden="1"/>
    </xf>
    <xf numFmtId="177" fontId="44" fillId="5" borderId="13" xfId="1" applyNumberFormat="1" applyFont="1" applyFill="1" applyBorder="1" applyAlignment="1" applyProtection="1">
      <alignment horizontal="center" vertical="center"/>
      <protection hidden="1"/>
    </xf>
    <xf numFmtId="172" fontId="45" fillId="12" borderId="12" xfId="0" applyNumberFormat="1" applyFont="1" applyFill="1" applyBorder="1" applyAlignment="1" applyProtection="1">
      <alignment horizontal="center" vertical="center"/>
      <protection hidden="1"/>
    </xf>
    <xf numFmtId="10" fontId="45" fillId="12" borderId="14" xfId="1" applyNumberFormat="1" applyFont="1" applyFill="1" applyBorder="1" applyAlignment="1" applyProtection="1">
      <alignment horizontal="center" vertical="center"/>
      <protection hidden="1"/>
    </xf>
    <xf numFmtId="0" fontId="77" fillId="7" borderId="17" xfId="0" applyFont="1" applyFill="1" applyBorder="1" applyAlignment="1" applyProtection="1">
      <alignment horizontal="center" vertical="top" wrapText="1"/>
      <protection hidden="1"/>
    </xf>
    <xf numFmtId="177" fontId="45" fillId="12" borderId="5" xfId="0" applyNumberFormat="1" applyFont="1" applyFill="1" applyBorder="1" applyAlignment="1" applyProtection="1">
      <alignment horizontal="center" vertical="center"/>
      <protection hidden="1"/>
    </xf>
    <xf numFmtId="10" fontId="45" fillId="12" borderId="5" xfId="0" applyNumberFormat="1" applyFont="1" applyFill="1" applyBorder="1" applyAlignment="1" applyProtection="1">
      <alignment horizontal="center" vertical="center"/>
      <protection hidden="1"/>
    </xf>
    <xf numFmtId="0" fontId="27" fillId="5" borderId="0" xfId="0" applyFont="1" applyFill="1" applyAlignment="1" applyProtection="1">
      <alignment horizontal="center" vertical="center"/>
      <protection hidden="1"/>
    </xf>
    <xf numFmtId="0" fontId="31" fillId="7" borderId="0" xfId="0" applyFont="1" applyFill="1" applyAlignment="1" applyProtection="1">
      <alignment horizontal="center" vertical="center" wrapText="1"/>
      <protection hidden="1"/>
    </xf>
    <xf numFmtId="174" fontId="16" fillId="12" borderId="0" xfId="1" applyNumberFormat="1" applyFont="1" applyFill="1" applyBorder="1" applyAlignment="1" applyProtection="1">
      <alignment horizontal="center" vertical="center"/>
      <protection hidden="1"/>
    </xf>
    <xf numFmtId="10" fontId="12" fillId="12" borderId="0" xfId="1" applyNumberFormat="1" applyFont="1" applyFill="1" applyBorder="1" applyAlignment="1" applyProtection="1">
      <alignment horizontal="center" vertical="center"/>
      <protection hidden="1"/>
    </xf>
    <xf numFmtId="174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11" fillId="12" borderId="0" xfId="0" applyNumberFormat="1" applyFont="1" applyFill="1" applyAlignment="1" applyProtection="1">
      <alignment horizontal="center" vertical="center"/>
      <protection hidden="1"/>
    </xf>
    <xf numFmtId="177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34" fillId="5" borderId="0" xfId="0" applyNumberFormat="1" applyFont="1" applyFill="1" applyAlignment="1" applyProtection="1">
      <alignment horizontal="center" vertical="center"/>
      <protection hidden="1"/>
    </xf>
    <xf numFmtId="10" fontId="11" fillId="12" borderId="0" xfId="1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vertical="center" wrapText="1"/>
      <protection hidden="1"/>
    </xf>
    <xf numFmtId="0" fontId="22" fillId="0" borderId="0" xfId="0" applyFont="1" applyAlignment="1" applyProtection="1">
      <alignment vertical="center"/>
      <protection hidden="1"/>
    </xf>
    <xf numFmtId="0" fontId="22" fillId="0" borderId="0" xfId="0" applyFont="1" applyAlignment="1" applyProtection="1">
      <alignment horizontal="center" vertical="center"/>
      <protection hidden="1"/>
    </xf>
    <xf numFmtId="0" fontId="27" fillId="0" borderId="0" xfId="0" applyFont="1" applyAlignment="1" applyProtection="1">
      <alignment horizontal="center" vertical="center"/>
      <protection hidden="1"/>
    </xf>
    <xf numFmtId="10" fontId="39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31" fillId="0" borderId="0" xfId="0" applyFont="1" applyAlignment="1" applyProtection="1">
      <alignment horizontal="center" vertical="center" wrapText="1"/>
      <protection hidden="1"/>
    </xf>
    <xf numFmtId="174" fontId="16" fillId="0" borderId="0" xfId="1" applyNumberFormat="1" applyFont="1" applyFill="1" applyBorder="1" applyAlignment="1" applyProtection="1">
      <alignment horizontal="center" vertical="center"/>
      <protection hidden="1"/>
    </xf>
    <xf numFmtId="10" fontId="12" fillId="0" borderId="0" xfId="1" applyNumberFormat="1" applyFont="1" applyFill="1" applyBorder="1" applyAlignment="1" applyProtection="1">
      <alignment horizontal="center" vertical="center"/>
      <protection hidden="1"/>
    </xf>
    <xf numFmtId="174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11" fillId="0" borderId="0" xfId="0" applyNumberFormat="1" applyFont="1" applyAlignment="1" applyProtection="1">
      <alignment horizontal="center" vertical="center"/>
      <protection hidden="1"/>
    </xf>
    <xf numFmtId="177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34" fillId="0" borderId="0" xfId="0" applyNumberFormat="1" applyFont="1" applyAlignment="1" applyProtection="1">
      <alignment horizontal="center" vertical="center"/>
      <protection hidden="1"/>
    </xf>
    <xf numFmtId="10" fontId="11" fillId="0" borderId="0" xfId="1" applyNumberFormat="1" applyFont="1" applyFill="1" applyBorder="1" applyAlignment="1" applyProtection="1">
      <alignment horizontal="center" vertical="center"/>
      <protection hidden="1"/>
    </xf>
    <xf numFmtId="177" fontId="12" fillId="0" borderId="0" xfId="0" applyNumberFormat="1" applyFont="1" applyAlignment="1" applyProtection="1">
      <alignment horizontal="center" vertical="center"/>
      <protection hidden="1"/>
    </xf>
    <xf numFmtId="177" fontId="27" fillId="0" borderId="0" xfId="1" applyNumberFormat="1" applyFont="1" applyFill="1" applyBorder="1" applyAlignment="1" applyProtection="1">
      <alignment horizontal="center" vertical="center"/>
      <protection hidden="1"/>
    </xf>
    <xf numFmtId="0" fontId="38" fillId="0" borderId="0" xfId="0" applyFont="1" applyAlignment="1" applyProtection="1">
      <alignment horizontal="center" vertical="top" wrapText="1"/>
      <protection hidden="1"/>
    </xf>
    <xf numFmtId="177" fontId="45" fillId="12" borderId="39" xfId="0" applyNumberFormat="1" applyFont="1" applyFill="1" applyBorder="1" applyAlignment="1" applyProtection="1">
      <alignment horizontal="center" vertical="center"/>
      <protection hidden="1"/>
    </xf>
    <xf numFmtId="177" fontId="11" fillId="12" borderId="18" xfId="0" applyNumberFormat="1" applyFont="1" applyFill="1" applyBorder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vertical="center"/>
      <protection hidden="1"/>
    </xf>
    <xf numFmtId="0" fontId="46" fillId="0" borderId="0" xfId="0" applyFont="1" applyAlignment="1" applyProtection="1">
      <alignment horizontal="center" vertical="center"/>
      <protection locked="0" hidden="1"/>
    </xf>
    <xf numFmtId="174" fontId="46" fillId="0" borderId="0" xfId="1" applyNumberFormat="1" applyFont="1" applyFill="1" applyBorder="1" applyAlignment="1" applyProtection="1">
      <alignment horizontal="center" vertical="center"/>
      <protection locked="0" hidden="1"/>
    </xf>
    <xf numFmtId="0" fontId="46" fillId="12" borderId="0" xfId="0" applyFont="1" applyFill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/>
      <protection hidden="1"/>
    </xf>
    <xf numFmtId="169" fontId="45" fillId="12" borderId="0" xfId="1" applyNumberFormat="1" applyFont="1" applyFill="1" applyBorder="1" applyAlignment="1" applyProtection="1">
      <alignment horizontal="center" vertical="center"/>
      <protection hidden="1"/>
    </xf>
    <xf numFmtId="0" fontId="75" fillId="7" borderId="0" xfId="0" applyFont="1" applyFill="1" applyAlignment="1" applyProtection="1">
      <alignment horizontal="center" vertical="center" wrapText="1"/>
      <protection hidden="1"/>
    </xf>
    <xf numFmtId="1" fontId="46" fillId="10" borderId="0" xfId="0" applyNumberFormat="1" applyFont="1" applyFill="1" applyAlignment="1" applyProtection="1">
      <alignment horizontal="center" vertical="center"/>
      <protection locked="0" hidden="1"/>
    </xf>
    <xf numFmtId="174" fontId="76" fillId="12" borderId="0" xfId="1" applyNumberFormat="1" applyFont="1" applyFill="1" applyBorder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 wrapText="1"/>
      <protection hidden="1"/>
    </xf>
    <xf numFmtId="174" fontId="46" fillId="12" borderId="0" xfId="1" applyNumberFormat="1" applyFont="1" applyFill="1" applyBorder="1" applyAlignment="1" applyProtection="1">
      <alignment horizontal="center" vertical="center"/>
      <protection hidden="1"/>
    </xf>
    <xf numFmtId="177" fontId="46" fillId="12" borderId="0" xfId="1" applyNumberFormat="1" applyFont="1" applyFill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horizontal="center" vertical="center"/>
      <protection locked="0" hidden="1"/>
    </xf>
    <xf numFmtId="177" fontId="48" fillId="5" borderId="0" xfId="0" applyNumberFormat="1" applyFont="1" applyFill="1" applyAlignment="1" applyProtection="1">
      <alignment horizontal="center" vertical="center"/>
      <protection hidden="1"/>
    </xf>
    <xf numFmtId="10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45" fillId="20" borderId="29" xfId="0" applyFont="1" applyFill="1" applyBorder="1" applyAlignment="1" applyProtection="1">
      <alignment horizontal="left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hidden="1"/>
    </xf>
    <xf numFmtId="175" fontId="45" fillId="20" borderId="29" xfId="0" applyNumberFormat="1" applyFont="1" applyFill="1" applyBorder="1" applyAlignment="1" applyProtection="1">
      <alignment horizontal="center" vertical="center"/>
      <protection hidden="1"/>
    </xf>
    <xf numFmtId="169" fontId="45" fillId="20" borderId="29" xfId="1" applyNumberFormat="1" applyFont="1" applyFill="1" applyBorder="1" applyAlignment="1" applyProtection="1">
      <alignment horizontal="center" vertical="center"/>
      <protection hidden="1"/>
    </xf>
    <xf numFmtId="177" fontId="45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32" xfId="1" applyNumberFormat="1" applyFont="1" applyFill="1" applyBorder="1" applyAlignment="1" applyProtection="1">
      <alignment horizontal="center" vertical="center"/>
      <protection hidden="1"/>
    </xf>
    <xf numFmtId="175" fontId="27" fillId="20" borderId="29" xfId="1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Alignment="1" applyProtection="1">
      <alignment horizontal="left" vertical="center"/>
      <protection hidden="1"/>
    </xf>
    <xf numFmtId="0" fontId="85" fillId="0" borderId="29" xfId="0" applyFont="1" applyBorder="1" applyAlignment="1" applyProtection="1">
      <alignment horizontal="center" vertical="center"/>
      <protection hidden="1"/>
    </xf>
    <xf numFmtId="0" fontId="85" fillId="0" borderId="40" xfId="0" applyFont="1" applyBorder="1" applyAlignment="1" applyProtection="1">
      <alignment horizontal="center" vertical="center"/>
      <protection hidden="1"/>
    </xf>
    <xf numFmtId="0" fontId="22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horizontal="center" vertical="top" wrapText="1"/>
      <protection hidden="1"/>
    </xf>
    <xf numFmtId="166" fontId="19" fillId="23" borderId="0" xfId="2" applyFont="1" applyFill="1" applyBorder="1" applyAlignment="1" applyProtection="1">
      <alignment horizontal="center" vertical="top"/>
      <protection hidden="1"/>
    </xf>
    <xf numFmtId="170" fontId="19" fillId="23" borderId="0" xfId="2" applyNumberFormat="1" applyFont="1" applyFill="1" applyBorder="1" applyAlignment="1" applyProtection="1">
      <alignment horizontal="center" vertical="top"/>
      <protection hidden="1"/>
    </xf>
    <xf numFmtId="0" fontId="43" fillId="7" borderId="0" xfId="0" applyFont="1" applyFill="1" applyAlignment="1" applyProtection="1">
      <alignment vertical="center"/>
      <protection hidden="1"/>
    </xf>
    <xf numFmtId="177" fontId="45" fillId="0" borderId="0" xfId="0" applyNumberFormat="1" applyFont="1" applyProtection="1">
      <protection hidden="1"/>
    </xf>
    <xf numFmtId="8" fontId="45" fillId="0" borderId="0" xfId="0" applyNumberFormat="1" applyFont="1" applyProtection="1">
      <protection hidden="1"/>
    </xf>
    <xf numFmtId="10" fontId="47" fillId="0" borderId="0" xfId="1" applyNumberFormat="1" applyFont="1" applyFill="1" applyBorder="1" applyAlignment="1" applyProtection="1">
      <alignment vertical="center" wrapText="1"/>
      <protection hidden="1"/>
    </xf>
    <xf numFmtId="174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left" vertical="center"/>
      <protection hidden="1"/>
    </xf>
    <xf numFmtId="174" fontId="86" fillId="0" borderId="0" xfId="1" applyNumberFormat="1" applyFont="1" applyFill="1" applyBorder="1" applyAlignment="1" applyProtection="1">
      <alignment horizontal="center" vertical="center"/>
      <protection hidden="1"/>
    </xf>
    <xf numFmtId="0" fontId="86" fillId="0" borderId="0" xfId="0" applyFont="1" applyAlignment="1" applyProtection="1">
      <alignment vertical="center"/>
      <protection hidden="1"/>
    </xf>
    <xf numFmtId="177" fontId="48" fillId="0" borderId="0" xfId="0" applyNumberFormat="1" applyFont="1" applyAlignment="1" applyProtection="1">
      <alignment horizontal="center" vertical="center"/>
      <protection hidden="1"/>
    </xf>
    <xf numFmtId="10" fontId="45" fillId="0" borderId="0" xfId="1" applyNumberFormat="1" applyFont="1" applyFill="1" applyBorder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top" wrapText="1"/>
      <protection hidden="1"/>
    </xf>
    <xf numFmtId="177" fontId="45" fillId="20" borderId="38" xfId="0" applyNumberFormat="1" applyFont="1" applyFill="1" applyBorder="1" applyAlignment="1" applyProtection="1">
      <alignment horizontal="center" vertical="center"/>
      <protection hidden="1"/>
    </xf>
    <xf numFmtId="177" fontId="48" fillId="22" borderId="41" xfId="0" applyNumberFormat="1" applyFont="1" applyFill="1" applyBorder="1" applyAlignment="1" applyProtection="1">
      <alignment horizontal="center" vertical="center"/>
      <protection hidden="1"/>
    </xf>
    <xf numFmtId="169" fontId="45" fillId="22" borderId="41" xfId="1" applyNumberFormat="1" applyFont="1" applyFill="1" applyBorder="1" applyAlignment="1" applyProtection="1">
      <alignment horizontal="center" vertical="center"/>
      <protection hidden="1"/>
    </xf>
    <xf numFmtId="177" fontId="45" fillId="22" borderId="41" xfId="0" applyNumberFormat="1" applyFont="1" applyFill="1" applyBorder="1" applyAlignment="1" applyProtection="1">
      <alignment horizontal="center" vertical="center"/>
      <protection hidden="1"/>
    </xf>
    <xf numFmtId="177" fontId="48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43" xfId="0" applyFont="1" applyFill="1" applyBorder="1" applyAlignment="1" applyProtection="1">
      <alignment horizontal="center" vertical="center"/>
      <protection locked="0" hidden="1"/>
    </xf>
    <xf numFmtId="10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46" fillId="20" borderId="43" xfId="1" applyNumberFormat="1" applyFont="1" applyFill="1" applyBorder="1" applyAlignment="1" applyProtection="1">
      <alignment horizontal="center" vertical="center"/>
      <protection hidden="1"/>
    </xf>
    <xf numFmtId="10" fontId="47" fillId="0" borderId="35" xfId="1" applyNumberFormat="1" applyFont="1" applyFill="1" applyBorder="1" applyAlignment="1" applyProtection="1">
      <alignment vertical="center" wrapText="1"/>
      <protection hidden="1"/>
    </xf>
    <xf numFmtId="174" fontId="56" fillId="0" borderId="35" xfId="1" applyNumberFormat="1" applyFont="1" applyFill="1" applyBorder="1" applyAlignment="1" applyProtection="1">
      <alignment horizontal="center" vertical="center"/>
      <protection hidden="1"/>
    </xf>
    <xf numFmtId="10" fontId="56" fillId="0" borderId="35" xfId="1" applyNumberFormat="1" applyFont="1" applyFill="1" applyBorder="1" applyAlignment="1" applyProtection="1">
      <alignment horizontal="center" vertical="center"/>
      <protection hidden="1"/>
    </xf>
    <xf numFmtId="177" fontId="56" fillId="0" borderId="35" xfId="1" applyNumberFormat="1" applyFont="1" applyFill="1" applyBorder="1" applyAlignment="1" applyProtection="1">
      <alignment horizontal="center" vertical="center"/>
      <protection hidden="1"/>
    </xf>
    <xf numFmtId="0" fontId="80" fillId="20" borderId="29" xfId="0" applyFont="1" applyFill="1" applyBorder="1" applyAlignment="1" applyProtection="1">
      <alignment horizontal="left" vertical="center" wrapText="1"/>
      <protection hidden="1"/>
    </xf>
    <xf numFmtId="0" fontId="80" fillId="20" borderId="40" xfId="0" applyFont="1" applyFill="1" applyBorder="1" applyAlignment="1" applyProtection="1">
      <alignment horizontal="left" vertical="center" wrapText="1"/>
      <protection hidden="1"/>
    </xf>
    <xf numFmtId="0" fontId="21" fillId="0" borderId="0" xfId="0" applyFont="1" applyAlignment="1" applyProtection="1">
      <alignment vertical="center"/>
      <protection hidden="1"/>
    </xf>
    <xf numFmtId="0" fontId="79" fillId="0" borderId="0" xfId="0" applyFont="1" applyProtection="1">
      <protection hidden="1"/>
    </xf>
    <xf numFmtId="0" fontId="57" fillId="24" borderId="0" xfId="0" applyFont="1" applyFill="1" applyAlignment="1" applyProtection="1">
      <alignment horizontal="center" vertical="center"/>
      <protection hidden="1"/>
    </xf>
    <xf numFmtId="0" fontId="79" fillId="0" borderId="33" xfId="0" applyFont="1" applyBorder="1" applyProtection="1">
      <protection hidden="1"/>
    </xf>
    <xf numFmtId="0" fontId="92" fillId="0" borderId="0" xfId="0" applyFont="1" applyAlignment="1" applyProtection="1">
      <alignment vertical="center"/>
      <protection hidden="1"/>
    </xf>
    <xf numFmtId="10" fontId="83" fillId="20" borderId="29" xfId="1" applyNumberFormat="1" applyFont="1" applyFill="1" applyBorder="1" applyAlignment="1" applyProtection="1">
      <alignment horizontal="center" vertical="center"/>
      <protection hidden="1"/>
    </xf>
    <xf numFmtId="0" fontId="94" fillId="0" borderId="0" xfId="0" applyFont="1" applyAlignment="1" applyProtection="1">
      <alignment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69" fontId="95" fillId="20" borderId="40" xfId="1" applyNumberFormat="1" applyFont="1" applyFill="1" applyBorder="1" applyAlignment="1" applyProtection="1">
      <alignment horizontal="center" vertical="center"/>
      <protection hidden="1"/>
    </xf>
    <xf numFmtId="168" fontId="76" fillId="20" borderId="40" xfId="0" applyNumberFormat="1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vertical="top"/>
      <protection hidden="1"/>
    </xf>
    <xf numFmtId="14" fontId="15" fillId="23" borderId="0" xfId="0" applyNumberFormat="1" applyFont="1" applyFill="1" applyAlignment="1" applyProtection="1">
      <alignment horizontal="center"/>
      <protection hidden="1"/>
    </xf>
    <xf numFmtId="170" fontId="18" fillId="23" borderId="0" xfId="0" applyNumberFormat="1" applyFont="1" applyFill="1" applyAlignment="1" applyProtection="1">
      <alignment horizontal="center"/>
      <protection hidden="1"/>
    </xf>
    <xf numFmtId="14" fontId="19" fillId="23" borderId="0" xfId="2" applyNumberFormat="1" applyFont="1" applyFill="1" applyBorder="1" applyAlignment="1" applyProtection="1">
      <alignment horizontal="center" vertical="top"/>
      <protection hidden="1"/>
    </xf>
    <xf numFmtId="165" fontId="19" fillId="23" borderId="0" xfId="0" quotePrefix="1" applyNumberFormat="1" applyFont="1" applyFill="1" applyAlignment="1" applyProtection="1">
      <alignment horizontal="right"/>
      <protection hidden="1"/>
    </xf>
    <xf numFmtId="14" fontId="19" fillId="23" borderId="0" xfId="0" applyNumberFormat="1" applyFont="1" applyFill="1" applyAlignment="1" applyProtection="1">
      <alignment horizontal="center"/>
      <protection hidden="1"/>
    </xf>
    <xf numFmtId="14" fontId="69" fillId="24" borderId="0" xfId="0" applyNumberFormat="1" applyFont="1" applyFill="1" applyAlignment="1" applyProtection="1">
      <alignment horizontal="center" vertical="center" wrapText="1"/>
      <protection hidden="1"/>
    </xf>
    <xf numFmtId="0" fontId="96" fillId="24" borderId="0" xfId="0" applyFont="1" applyFill="1" applyAlignment="1" applyProtection="1">
      <alignment horizontal="center" vertical="center" wrapText="1"/>
      <protection hidden="1"/>
    </xf>
    <xf numFmtId="170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>
      <alignment horizontal="center" vertical="center"/>
    </xf>
    <xf numFmtId="170" fontId="63" fillId="20" borderId="29" xfId="0" applyNumberFormat="1" applyFont="1" applyFill="1" applyBorder="1" applyAlignment="1">
      <alignment horizontal="center" vertical="center"/>
    </xf>
    <xf numFmtId="168" fontId="63" fillId="20" borderId="40" xfId="0" applyNumberFormat="1" applyFont="1" applyFill="1" applyBorder="1" applyAlignment="1">
      <alignment horizontal="center" vertical="center"/>
    </xf>
    <xf numFmtId="0" fontId="95" fillId="0" borderId="0" xfId="0" applyFont="1" applyAlignment="1" applyProtection="1">
      <alignment horizontal="center" vertical="center"/>
      <protection hidden="1"/>
    </xf>
    <xf numFmtId="0" fontId="95" fillId="0" borderId="0" xfId="0" applyFont="1" applyAlignment="1" applyProtection="1">
      <alignment horizontal="center" vertical="center" wrapText="1"/>
      <protection hidden="1"/>
    </xf>
    <xf numFmtId="0" fontId="95" fillId="0" borderId="33" xfId="0" applyFont="1" applyBorder="1" applyAlignment="1" applyProtection="1">
      <alignment horizontal="center" vertical="center"/>
      <protection hidden="1"/>
    </xf>
    <xf numFmtId="170" fontId="63" fillId="20" borderId="54" xfId="0" applyNumberFormat="1" applyFont="1" applyFill="1" applyBorder="1" applyAlignment="1" applyProtection="1">
      <alignment horizontal="center" vertical="center"/>
      <protection locked="0"/>
    </xf>
    <xf numFmtId="14" fontId="63" fillId="20" borderId="3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left" vertical="center" wrapText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78" fontId="11" fillId="0" borderId="0" xfId="0" applyNumberFormat="1" applyFont="1" applyProtection="1">
      <protection hidden="1"/>
    </xf>
    <xf numFmtId="174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95" fillId="0" borderId="35" xfId="0" applyNumberFormat="1" applyFont="1" applyBorder="1" applyAlignment="1" applyProtection="1">
      <alignment horizontal="center" vertical="center"/>
      <protection hidden="1"/>
    </xf>
    <xf numFmtId="174" fontId="82" fillId="20" borderId="29" xfId="1" applyNumberFormat="1" applyFont="1" applyFill="1" applyBorder="1" applyAlignment="1" applyProtection="1">
      <alignment horizontal="center" vertical="center"/>
      <protection hidden="1"/>
    </xf>
    <xf numFmtId="174" fontId="10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46" fillId="20" borderId="58" xfId="0" applyFont="1" applyFill="1" applyBorder="1" applyAlignment="1" applyProtection="1">
      <alignment horizontal="center" vertical="center"/>
      <protection hidden="1"/>
    </xf>
    <xf numFmtId="10" fontId="47" fillId="0" borderId="37" xfId="1" applyNumberFormat="1" applyFont="1" applyFill="1" applyBorder="1" applyAlignment="1" applyProtection="1">
      <alignment vertical="center" wrapText="1"/>
      <protection hidden="1"/>
    </xf>
    <xf numFmtId="0" fontId="45" fillId="0" borderId="61" xfId="0" applyFont="1" applyBorder="1" applyAlignment="1" applyProtection="1">
      <alignment vertical="center"/>
      <protection hidden="1"/>
    </xf>
    <xf numFmtId="174" fontId="76" fillId="0" borderId="29" xfId="1" applyNumberFormat="1" applyFont="1" applyFill="1" applyBorder="1" applyAlignment="1" applyProtection="1">
      <alignment horizontal="center" vertical="center"/>
      <protection hidden="1"/>
    </xf>
    <xf numFmtId="177" fontId="48" fillId="0" borderId="29" xfId="0" applyNumberFormat="1" applyFont="1" applyBorder="1" applyAlignment="1" applyProtection="1">
      <alignment horizontal="center" vertical="center"/>
      <protection hidden="1"/>
    </xf>
    <xf numFmtId="169" fontId="45" fillId="0" borderId="29" xfId="1" applyNumberFormat="1" applyFont="1" applyFill="1" applyBorder="1" applyAlignment="1" applyProtection="1">
      <alignment horizontal="center" vertical="center"/>
      <protection hidden="1"/>
    </xf>
    <xf numFmtId="177" fontId="45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1" applyNumberFormat="1" applyFont="1" applyFill="1" applyBorder="1" applyAlignment="1" applyProtection="1">
      <alignment horizontal="center" vertical="center"/>
      <protection hidden="1"/>
    </xf>
    <xf numFmtId="172" fontId="45" fillId="0" borderId="29" xfId="0" applyNumberFormat="1" applyFont="1" applyBorder="1" applyAlignment="1" applyProtection="1">
      <alignment horizontal="center" vertical="center"/>
      <protection hidden="1"/>
    </xf>
    <xf numFmtId="10" fontId="45" fillId="0" borderId="29" xfId="1" applyNumberFormat="1" applyFont="1" applyFill="1" applyBorder="1" applyAlignment="1" applyProtection="1">
      <alignment horizontal="center" vertical="center"/>
      <protection hidden="1"/>
    </xf>
    <xf numFmtId="0" fontId="45" fillId="21" borderId="0" xfId="0" applyFont="1" applyFill="1" applyAlignment="1" applyProtection="1">
      <alignment vertical="center"/>
      <protection hidden="1"/>
    </xf>
    <xf numFmtId="10" fontId="45" fillId="0" borderId="29" xfId="0" applyNumberFormat="1" applyFont="1" applyBorder="1" applyAlignment="1" applyProtection="1">
      <alignment horizontal="center" vertical="center"/>
      <protection hidden="1"/>
    </xf>
    <xf numFmtId="177" fontId="45" fillId="0" borderId="40" xfId="0" applyNumberFormat="1" applyFont="1" applyBorder="1" applyAlignment="1" applyProtection="1">
      <alignment horizontal="center" vertical="center"/>
      <protection hidden="1"/>
    </xf>
    <xf numFmtId="0" fontId="45" fillId="0" borderId="64" xfId="0" applyFont="1" applyBorder="1" applyAlignment="1" applyProtection="1">
      <alignment horizontal="right" vertical="center"/>
      <protection hidden="1"/>
    </xf>
    <xf numFmtId="0" fontId="45" fillId="10" borderId="0" xfId="0" applyFont="1" applyFill="1" applyAlignment="1" applyProtection="1">
      <alignment horizontal="right" vertical="center"/>
      <protection hidden="1"/>
    </xf>
    <xf numFmtId="0" fontId="103" fillId="23" borderId="0" xfId="0" applyFont="1" applyFill="1" applyAlignment="1" applyProtection="1">
      <alignment vertical="top"/>
      <protection hidden="1"/>
    </xf>
    <xf numFmtId="14" fontId="56" fillId="23" borderId="0" xfId="0" applyNumberFormat="1" applyFont="1" applyFill="1" applyAlignment="1" applyProtection="1">
      <alignment horizontal="center"/>
      <protection hidden="1"/>
    </xf>
    <xf numFmtId="170" fontId="103" fillId="23" borderId="0" xfId="0" applyNumberFormat="1" applyFont="1" applyFill="1" applyAlignment="1" applyProtection="1">
      <alignment horizontal="center"/>
      <protection hidden="1"/>
    </xf>
    <xf numFmtId="166" fontId="104" fillId="23" borderId="0" xfId="2" applyFont="1" applyFill="1" applyBorder="1" applyAlignment="1" applyProtection="1">
      <alignment horizontal="center" vertical="top"/>
      <protection hidden="1"/>
    </xf>
    <xf numFmtId="165" fontId="104" fillId="23" borderId="0" xfId="0" applyNumberFormat="1" applyFont="1" applyFill="1" applyAlignment="1" applyProtection="1">
      <alignment horizontal="center" vertical="top"/>
      <protection hidden="1"/>
    </xf>
    <xf numFmtId="170" fontId="104" fillId="23" borderId="0" xfId="2" applyNumberFormat="1" applyFont="1" applyFill="1" applyBorder="1" applyAlignment="1" applyProtection="1">
      <alignment horizontal="center" vertical="top"/>
      <protection hidden="1"/>
    </xf>
    <xf numFmtId="165" fontId="104" fillId="23" borderId="0" xfId="0" quotePrefix="1" applyNumberFormat="1" applyFont="1" applyFill="1" applyAlignment="1" applyProtection="1">
      <alignment horizontal="center" vertical="top"/>
      <protection hidden="1"/>
    </xf>
    <xf numFmtId="14" fontId="104" fillId="23" borderId="0" xfId="0" applyNumberFormat="1" applyFont="1" applyFill="1" applyAlignment="1" applyProtection="1">
      <alignment horizontal="center" vertical="top"/>
      <protection hidden="1"/>
    </xf>
    <xf numFmtId="177" fontId="66" fillId="20" borderId="29" xfId="1" applyNumberFormat="1" applyFont="1" applyFill="1" applyBorder="1" applyAlignment="1" applyProtection="1">
      <alignment horizontal="center" vertical="center"/>
      <protection hidden="1"/>
    </xf>
    <xf numFmtId="177" fontId="66" fillId="20" borderId="0" xfId="1" applyNumberFormat="1" applyFont="1" applyFill="1" applyBorder="1" applyAlignment="1" applyProtection="1">
      <alignment horizontal="center" vertical="center"/>
      <protection hidden="1"/>
    </xf>
    <xf numFmtId="0" fontId="22" fillId="21" borderId="0" xfId="0" applyFont="1" applyFill="1" applyAlignment="1" applyProtection="1">
      <alignment horizontal="left" vertical="center"/>
      <protection hidden="1"/>
    </xf>
    <xf numFmtId="0" fontId="20" fillId="21" borderId="0" xfId="0" applyFont="1" applyFill="1" applyAlignment="1" applyProtection="1">
      <alignment horizontal="center" vertical="top" wrapText="1"/>
      <protection hidden="1"/>
    </xf>
    <xf numFmtId="0" fontId="103" fillId="20" borderId="0" xfId="0" applyFont="1" applyFill="1" applyAlignment="1" applyProtection="1">
      <alignment vertical="top"/>
      <protection hidden="1"/>
    </xf>
    <xf numFmtId="14" fontId="103" fillId="20" borderId="0" xfId="0" applyNumberFormat="1" applyFont="1" applyFill="1" applyAlignment="1" applyProtection="1">
      <alignment horizontal="center"/>
      <protection hidden="1"/>
    </xf>
    <xf numFmtId="170" fontId="103" fillId="20" borderId="0" xfId="0" applyNumberFormat="1" applyFont="1" applyFill="1" applyAlignment="1" applyProtection="1">
      <alignment horizontal="center"/>
      <protection hidden="1"/>
    </xf>
    <xf numFmtId="166" fontId="104" fillId="20" borderId="0" xfId="2" applyFont="1" applyFill="1" applyBorder="1" applyAlignment="1" applyProtection="1">
      <alignment horizontal="center" vertical="top"/>
      <protection hidden="1"/>
    </xf>
    <xf numFmtId="165" fontId="104" fillId="20" borderId="0" xfId="0" applyNumberFormat="1" applyFont="1" applyFill="1" applyAlignment="1" applyProtection="1">
      <alignment horizontal="center" vertical="top"/>
      <protection hidden="1"/>
    </xf>
    <xf numFmtId="170" fontId="104" fillId="20" borderId="0" xfId="2" applyNumberFormat="1" applyFont="1" applyFill="1" applyBorder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right"/>
      <protection hidden="1"/>
    </xf>
    <xf numFmtId="14" fontId="104" fillId="20" borderId="0" xfId="0" applyNumberFormat="1" applyFont="1" applyFill="1" applyAlignment="1" applyProtection="1">
      <alignment horizontal="center"/>
      <protection hidden="1"/>
    </xf>
    <xf numFmtId="165" fontId="104" fillId="20" borderId="0" xfId="0" quotePrefix="1" applyNumberFormat="1" applyFont="1" applyFill="1" applyAlignment="1" applyProtection="1">
      <alignment horizontal="right" vertical="top"/>
      <protection hidden="1"/>
    </xf>
    <xf numFmtId="14" fontId="104" fillId="20" borderId="0" xfId="0" applyNumberFormat="1" applyFont="1" applyFill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center" vertical="top"/>
      <protection hidden="1"/>
    </xf>
    <xf numFmtId="0" fontId="104" fillId="23" borderId="0" xfId="0" applyFont="1" applyFill="1" applyProtection="1">
      <protection hidden="1"/>
    </xf>
    <xf numFmtId="0" fontId="103" fillId="23" borderId="0" xfId="0" applyFont="1" applyFill="1" applyAlignment="1" applyProtection="1">
      <alignment horizontal="right"/>
      <protection hidden="1"/>
    </xf>
    <xf numFmtId="167" fontId="103" fillId="23" borderId="0" xfId="0" applyNumberFormat="1" applyFont="1" applyFill="1" applyAlignment="1" applyProtection="1">
      <alignment horizontal="center"/>
      <protection hidden="1"/>
    </xf>
    <xf numFmtId="0" fontId="80" fillId="0" borderId="0" xfId="0" applyFont="1" applyProtection="1">
      <protection hidden="1"/>
    </xf>
    <xf numFmtId="177" fontId="67" fillId="20" borderId="29" xfId="0" applyNumberFormat="1" applyFont="1" applyFill="1" applyBorder="1" applyAlignment="1" applyProtection="1">
      <alignment horizontal="center" vertical="center"/>
      <protection hidden="1"/>
    </xf>
    <xf numFmtId="177" fontId="68" fillId="22" borderId="29" xfId="0" applyNumberFormat="1" applyFont="1" applyFill="1" applyBorder="1" applyAlignment="1" applyProtection="1">
      <alignment horizontal="center" vertical="center"/>
      <protection hidden="1"/>
    </xf>
    <xf numFmtId="177" fontId="56" fillId="21" borderId="29" xfId="0" applyNumberFormat="1" applyFont="1" applyFill="1" applyBorder="1" applyAlignment="1" applyProtection="1">
      <alignment horizontal="center" vertical="center"/>
      <protection hidden="1"/>
    </xf>
    <xf numFmtId="177" fontId="46" fillId="22" borderId="29" xfId="0" applyNumberFormat="1" applyFont="1" applyFill="1" applyBorder="1" applyAlignment="1" applyProtection="1">
      <alignment horizontal="center" vertical="center"/>
      <protection hidden="1"/>
    </xf>
    <xf numFmtId="14" fontId="93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vertical="center"/>
      <protection locked="0" hidden="1"/>
    </xf>
    <xf numFmtId="14" fontId="78" fillId="20" borderId="0" xfId="0" applyNumberFormat="1" applyFont="1" applyFill="1" applyAlignment="1" applyProtection="1">
      <alignment vertical="center"/>
      <protection hidden="1"/>
    </xf>
    <xf numFmtId="14" fontId="78" fillId="20" borderId="33" xfId="0" applyNumberFormat="1" applyFont="1" applyFill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horizontal="center" vertical="center"/>
      <protection hidden="1"/>
    </xf>
    <xf numFmtId="14" fontId="44" fillId="18" borderId="0" xfId="0" applyNumberFormat="1" applyFont="1" applyFill="1" applyAlignment="1" applyProtection="1">
      <alignment horizontal="center" vertical="center"/>
      <protection hidden="1"/>
    </xf>
    <xf numFmtId="14" fontId="78" fillId="0" borderId="0" xfId="0" applyNumberFormat="1" applyFont="1" applyAlignment="1" applyProtection="1">
      <alignment horizontal="right" vertical="center"/>
      <protection hidden="1"/>
    </xf>
    <xf numFmtId="14" fontId="78" fillId="0" borderId="33" xfId="0" applyNumberFormat="1" applyFont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horizontal="center" vertical="center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109" fillId="0" borderId="0" xfId="0" applyFont="1" applyProtection="1">
      <protection hidden="1"/>
    </xf>
    <xf numFmtId="0" fontId="110" fillId="0" borderId="0" xfId="0" applyFont="1" applyAlignment="1" applyProtection="1">
      <alignment vertical="center"/>
      <protection hidden="1"/>
    </xf>
    <xf numFmtId="0" fontId="111" fillId="0" borderId="0" xfId="0" applyFont="1" applyAlignment="1" applyProtection="1">
      <alignment vertical="center"/>
      <protection hidden="1"/>
    </xf>
    <xf numFmtId="0" fontId="111" fillId="0" borderId="33" xfId="0" applyFont="1" applyBorder="1" applyAlignment="1" applyProtection="1">
      <alignment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locked="0" hidden="1"/>
    </xf>
    <xf numFmtId="166" fontId="19" fillId="23" borderId="0" xfId="2" applyFont="1" applyFill="1" applyBorder="1" applyAlignment="1" applyProtection="1">
      <alignment horizontal="center" vertical="center"/>
      <protection locked="0" hidden="1"/>
    </xf>
    <xf numFmtId="166" fontId="19" fillId="23" borderId="33" xfId="2" applyFont="1" applyFill="1" applyBorder="1" applyAlignment="1" applyProtection="1">
      <alignment horizontal="center" vertical="center"/>
      <protection locked="0" hidden="1"/>
    </xf>
    <xf numFmtId="170" fontId="104" fillId="23" borderId="0" xfId="2" applyNumberFormat="1" applyFont="1" applyFill="1" applyBorder="1" applyAlignment="1" applyProtection="1">
      <alignment horizontal="center" vertical="top"/>
      <protection locked="0" hidden="1"/>
    </xf>
    <xf numFmtId="166" fontId="104" fillId="23" borderId="0" xfId="2" applyFont="1" applyFill="1" applyBorder="1" applyAlignment="1" applyProtection="1">
      <alignment horizontal="center" vertical="top"/>
      <protection locked="0" hidden="1"/>
    </xf>
    <xf numFmtId="0" fontId="45" fillId="0" borderId="69" xfId="0" applyFont="1" applyBorder="1" applyAlignment="1" applyProtection="1">
      <alignment horizontal="left" vertical="center"/>
      <protection hidden="1"/>
    </xf>
    <xf numFmtId="0" fontId="115" fillId="0" borderId="0" xfId="0" applyFont="1" applyAlignment="1" applyProtection="1">
      <alignment horizontal="right" vertical="center"/>
      <protection hidden="1"/>
    </xf>
    <xf numFmtId="177" fontId="56" fillId="0" borderId="0" xfId="0" applyNumberFormat="1" applyFont="1" applyAlignment="1" applyProtection="1">
      <alignment horizontal="center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173" fontId="0" fillId="0" borderId="0" xfId="2" applyNumberFormat="1" applyFont="1"/>
    <xf numFmtId="0" fontId="0" fillId="2" borderId="0" xfId="0" applyFill="1"/>
    <xf numFmtId="10" fontId="11" fillId="16" borderId="0" xfId="0" applyNumberFormat="1" applyFont="1" applyFill="1" applyProtection="1">
      <protection hidden="1"/>
    </xf>
    <xf numFmtId="10" fontId="11" fillId="2" borderId="0" xfId="1" applyNumberFormat="1" applyFont="1" applyFill="1" applyProtection="1">
      <protection hidden="1"/>
    </xf>
    <xf numFmtId="0" fontId="52" fillId="24" borderId="0" xfId="0" applyFont="1" applyFill="1" applyAlignment="1" applyProtection="1">
      <alignment vertical="center" wrapText="1"/>
      <protection hidden="1"/>
    </xf>
    <xf numFmtId="10" fontId="45" fillId="20" borderId="29" xfId="1" applyNumberFormat="1" applyFont="1" applyFill="1" applyBorder="1" applyAlignment="1" applyProtection="1">
      <alignment horizontal="center" vertical="center"/>
      <protection hidden="1"/>
    </xf>
    <xf numFmtId="10" fontId="0" fillId="0" borderId="0" xfId="0" applyNumberFormat="1" applyProtection="1">
      <protection hidden="1"/>
    </xf>
    <xf numFmtId="10" fontId="12" fillId="2" borderId="0" xfId="0" applyNumberFormat="1" applyFont="1" applyFill="1" applyProtection="1">
      <protection hidden="1"/>
    </xf>
    <xf numFmtId="0" fontId="12" fillId="2" borderId="0" xfId="0" applyFont="1" applyFill="1" applyProtection="1">
      <protection hidden="1"/>
    </xf>
    <xf numFmtId="8" fontId="0" fillId="0" borderId="0" xfId="0" applyNumberFormat="1"/>
    <xf numFmtId="177" fontId="67" fillId="20" borderId="54" xfId="0" applyNumberFormat="1" applyFont="1" applyFill="1" applyBorder="1" applyAlignment="1" applyProtection="1">
      <alignment horizontal="center" vertical="center"/>
      <protection hidden="1"/>
    </xf>
    <xf numFmtId="0" fontId="45" fillId="10" borderId="0" xfId="0" applyFont="1" applyFill="1" applyAlignment="1" applyProtection="1">
      <alignment horizontal="left" vertical="center"/>
      <protection hidden="1"/>
    </xf>
    <xf numFmtId="177" fontId="31" fillId="0" borderId="0" xfId="0" applyNumberFormat="1" applyFont="1" applyAlignment="1" applyProtection="1">
      <alignment horizontal="center" vertical="center" wrapText="1"/>
      <protection hidden="1"/>
    </xf>
    <xf numFmtId="0" fontId="122" fillId="0" borderId="0" xfId="0" applyFont="1"/>
    <xf numFmtId="0" fontId="122" fillId="2" borderId="0" xfId="0" applyFont="1" applyFill="1"/>
    <xf numFmtId="0" fontId="123" fillId="0" borderId="0" xfId="0" applyFont="1"/>
    <xf numFmtId="0" fontId="123" fillId="2" borderId="0" xfId="0" applyFont="1" applyFill="1"/>
    <xf numFmtId="10" fontId="104" fillId="23" borderId="0" xfId="0" applyNumberFormat="1" applyFont="1" applyFill="1" applyAlignment="1" applyProtection="1">
      <alignment horizontal="center" vertical="top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0" fillId="3" borderId="0" xfId="0" applyFill="1"/>
    <xf numFmtId="0" fontId="124" fillId="3" borderId="0" xfId="0" applyFont="1" applyFill="1" applyProtection="1">
      <protection hidden="1"/>
    </xf>
    <xf numFmtId="0" fontId="125" fillId="3" borderId="0" xfId="0" applyFont="1" applyFill="1"/>
    <xf numFmtId="0" fontId="74" fillId="0" borderId="0" xfId="0" applyFont="1" applyAlignment="1" applyProtection="1">
      <alignment horizontal="left" vertical="center"/>
      <protection hidden="1"/>
    </xf>
    <xf numFmtId="0" fontId="45" fillId="0" borderId="69" xfId="0" applyFont="1" applyBorder="1" applyAlignment="1" applyProtection="1">
      <alignment horizontal="right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43" xfId="1" applyNumberFormat="1" applyFont="1" applyFill="1" applyBorder="1" applyAlignment="1" applyProtection="1">
      <alignment horizontal="center" vertical="center"/>
      <protection locked="0" hidden="1"/>
    </xf>
    <xf numFmtId="0" fontId="46" fillId="20" borderId="43" xfId="0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21" borderId="43" xfId="0" applyNumberFormat="1" applyFont="1" applyFill="1" applyBorder="1" applyAlignment="1" applyProtection="1">
      <alignment horizontal="center" vertical="center"/>
      <protection hidden="1"/>
    </xf>
    <xf numFmtId="177" fontId="45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0" borderId="0" xfId="0" applyNumberFormat="1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vertical="center" wrapText="1"/>
      <protection hidden="1"/>
    </xf>
    <xf numFmtId="169" fontId="56" fillId="0" borderId="0" xfId="0" applyNumberFormat="1" applyFont="1" applyAlignment="1" applyProtection="1">
      <alignment horizontal="center" vertical="center"/>
      <protection hidden="1"/>
    </xf>
    <xf numFmtId="14" fontId="56" fillId="0" borderId="0" xfId="0" applyNumberFormat="1" applyFont="1" applyAlignment="1" applyProtection="1">
      <alignment vertical="center"/>
      <protection locked="0" hidden="1"/>
    </xf>
    <xf numFmtId="0" fontId="56" fillId="0" borderId="0" xfId="0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177" fontId="48" fillId="20" borderId="43" xfId="0" applyNumberFormat="1" applyFont="1" applyFill="1" applyBorder="1" applyAlignment="1" applyProtection="1">
      <alignment horizontal="center" vertical="center"/>
      <protection hidden="1"/>
    </xf>
    <xf numFmtId="169" fontId="45" fillId="20" borderId="43" xfId="1" applyNumberFormat="1" applyFont="1" applyFill="1" applyBorder="1" applyAlignment="1" applyProtection="1">
      <alignment horizontal="center" vertical="center"/>
      <protection hidden="1"/>
    </xf>
    <xf numFmtId="177" fontId="66" fillId="20" borderId="58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/>
      <protection hidden="1"/>
    </xf>
    <xf numFmtId="177" fontId="51" fillId="0" borderId="0" xfId="1" applyNumberFormat="1" applyFont="1" applyFill="1" applyBorder="1" applyAlignment="1" applyProtection="1">
      <alignment horizontal="center" vertical="center"/>
      <protection hidden="1"/>
    </xf>
    <xf numFmtId="0" fontId="43" fillId="7" borderId="20" xfId="0" applyFont="1" applyFill="1" applyBorder="1" applyAlignment="1" applyProtection="1">
      <alignment horizontal="center" vertical="center"/>
      <protection hidden="1"/>
    </xf>
    <xf numFmtId="177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0" fontId="46" fillId="0" borderId="0" xfId="0" applyFont="1" applyAlignment="1" applyProtection="1">
      <alignment horizontal="center"/>
      <protection hidden="1"/>
    </xf>
    <xf numFmtId="166" fontId="45" fillId="0" borderId="0" xfId="0" applyNumberFormat="1" applyFont="1" applyAlignment="1" applyProtection="1">
      <alignment horizontal="center"/>
      <protection hidden="1"/>
    </xf>
    <xf numFmtId="174" fontId="121" fillId="10" borderId="3" xfId="1" applyNumberFormat="1" applyFont="1" applyFill="1" applyBorder="1" applyProtection="1"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27" fillId="0" borderId="0" xfId="0" applyFont="1" applyAlignment="1" applyProtection="1">
      <alignment horizontal="left" vertical="center"/>
      <protection hidden="1"/>
    </xf>
    <xf numFmtId="0" fontId="100" fillId="0" borderId="0" xfId="0" applyFont="1" applyAlignment="1">
      <alignment vertical="center" wrapText="1"/>
    </xf>
    <xf numFmtId="177" fontId="68" fillId="22" borderId="34" xfId="0" applyNumberFormat="1" applyFont="1" applyFill="1" applyBorder="1" applyAlignment="1" applyProtection="1">
      <alignment horizontal="center" vertical="center"/>
      <protection hidden="1"/>
    </xf>
    <xf numFmtId="177" fontId="48" fillId="22" borderId="34" xfId="0" applyNumberFormat="1" applyFont="1" applyFill="1" applyBorder="1" applyAlignment="1" applyProtection="1">
      <alignment horizontal="center" vertical="center"/>
      <protection hidden="1"/>
    </xf>
    <xf numFmtId="169" fontId="45" fillId="22" borderId="34" xfId="1" applyNumberFormat="1" applyFont="1" applyFill="1" applyBorder="1" applyAlignment="1" applyProtection="1">
      <alignment horizontal="center" vertical="center"/>
      <protection hidden="1"/>
    </xf>
    <xf numFmtId="0" fontId="51" fillId="28" borderId="0" xfId="0" applyFont="1" applyFill="1" applyAlignment="1" applyProtection="1">
      <alignment horizontal="center" vertical="center"/>
      <protection hidden="1"/>
    </xf>
    <xf numFmtId="177" fontId="46" fillId="22" borderId="78" xfId="0" applyNumberFormat="1" applyFont="1" applyFill="1" applyBorder="1" applyAlignment="1" applyProtection="1">
      <alignment horizontal="center" vertical="center"/>
      <protection hidden="1"/>
    </xf>
    <xf numFmtId="9" fontId="47" fillId="10" borderId="73" xfId="1" applyFont="1" applyFill="1" applyBorder="1" applyAlignment="1" applyProtection="1">
      <alignment horizontal="center" vertical="center" wrapText="1"/>
      <protection hidden="1"/>
    </xf>
    <xf numFmtId="177" fontId="66" fillId="20" borderId="80" xfId="1" applyNumberFormat="1" applyFont="1" applyFill="1" applyBorder="1" applyAlignment="1" applyProtection="1">
      <alignment horizontal="center" vertical="center"/>
      <protection hidden="1"/>
    </xf>
    <xf numFmtId="177" fontId="61" fillId="29" borderId="81" xfId="1" applyNumberFormat="1" applyFont="1" applyFill="1" applyBorder="1" applyAlignment="1" applyProtection="1">
      <alignment horizontal="center" vertical="center"/>
      <protection hidden="1"/>
    </xf>
    <xf numFmtId="177" fontId="67" fillId="20" borderId="58" xfId="0" applyNumberFormat="1" applyFont="1" applyFill="1" applyBorder="1" applyAlignment="1" applyProtection="1">
      <alignment horizontal="center" vertical="center"/>
      <protection hidden="1"/>
    </xf>
    <xf numFmtId="177" fontId="68" fillId="22" borderId="78" xfId="0" applyNumberFormat="1" applyFont="1" applyFill="1" applyBorder="1" applyAlignment="1" applyProtection="1">
      <alignment horizontal="center" vertical="center"/>
      <protection hidden="1"/>
    </xf>
    <xf numFmtId="177" fontId="48" fillId="20" borderId="76" xfId="0" applyNumberFormat="1" applyFont="1" applyFill="1" applyBorder="1" applyAlignment="1" applyProtection="1">
      <alignment horizontal="center" vertical="center"/>
      <protection hidden="1"/>
    </xf>
    <xf numFmtId="177" fontId="48" fillId="22" borderId="77" xfId="0" applyNumberFormat="1" applyFont="1" applyFill="1" applyBorder="1" applyAlignment="1" applyProtection="1">
      <alignment horizontal="center" vertical="center"/>
      <protection hidden="1"/>
    </xf>
    <xf numFmtId="177" fontId="59" fillId="0" borderId="83" xfId="0" applyNumberFormat="1" applyFont="1" applyBorder="1" applyAlignment="1" applyProtection="1">
      <alignment horizontal="center" vertical="center"/>
      <protection hidden="1"/>
    </xf>
    <xf numFmtId="0" fontId="127" fillId="30" borderId="0" xfId="0" applyFont="1" applyFill="1" applyAlignment="1" applyProtection="1">
      <alignment horizontal="left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9" fontId="56" fillId="21" borderId="43" xfId="1" applyFont="1" applyFill="1" applyBorder="1" applyAlignment="1" applyProtection="1">
      <alignment horizontal="center" vertical="center"/>
      <protection hidden="1"/>
    </xf>
    <xf numFmtId="166" fontId="19" fillId="20" borderId="0" xfId="2" applyFont="1" applyFill="1" applyBorder="1" applyAlignment="1" applyProtection="1">
      <alignment horizontal="center" vertical="center"/>
      <protection hidden="1"/>
    </xf>
    <xf numFmtId="166" fontId="19" fillId="20" borderId="33" xfId="2" applyFont="1" applyFill="1" applyBorder="1" applyAlignment="1" applyProtection="1">
      <alignment horizontal="center" vertical="center"/>
      <protection hidden="1"/>
    </xf>
    <xf numFmtId="0" fontId="18" fillId="20" borderId="0" xfId="0" applyFont="1" applyFill="1" applyAlignment="1" applyProtection="1">
      <alignment vertical="center"/>
      <protection hidden="1"/>
    </xf>
    <xf numFmtId="14" fontId="18" fillId="20" borderId="0" xfId="0" applyNumberFormat="1" applyFont="1" applyFill="1" applyAlignment="1" applyProtection="1">
      <alignment horizontal="center" vertical="center"/>
      <protection hidden="1"/>
    </xf>
    <xf numFmtId="170" fontId="18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0" xfId="0" applyNumberFormat="1" applyFont="1" applyFill="1" applyAlignment="1" applyProtection="1">
      <alignment horizontal="center" vertical="center"/>
      <protection hidden="1"/>
    </xf>
    <xf numFmtId="170" fontId="19" fillId="20" borderId="0" xfId="2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right" vertical="center"/>
      <protection hidden="1"/>
    </xf>
    <xf numFmtId="14" fontId="19" fillId="20" borderId="0" xfId="0" applyNumberFormat="1" applyFont="1" applyFill="1" applyAlignment="1" applyProtection="1">
      <alignment horizontal="center" vertical="center"/>
      <protection hidden="1"/>
    </xf>
    <xf numFmtId="10" fontId="19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33" xfId="0" quotePrefix="1" applyNumberFormat="1" applyFont="1" applyFill="1" applyBorder="1" applyAlignment="1" applyProtection="1">
      <alignment horizontal="right" vertical="center"/>
      <protection hidden="1"/>
    </xf>
    <xf numFmtId="10" fontId="19" fillId="20" borderId="33" xfId="0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center" vertical="center"/>
      <protection hidden="1"/>
    </xf>
    <xf numFmtId="166" fontId="19" fillId="16" borderId="0" xfId="2" applyFont="1" applyFill="1" applyBorder="1" applyAlignment="1" applyProtection="1">
      <alignment horizontal="center" vertical="center"/>
      <protection hidden="1"/>
    </xf>
    <xf numFmtId="166" fontId="19" fillId="16" borderId="33" xfId="2" applyFont="1" applyFill="1" applyBorder="1" applyAlignment="1" applyProtection="1">
      <alignment horizontal="center" vertical="center"/>
      <protection hidden="1"/>
    </xf>
    <xf numFmtId="177" fontId="131" fillId="22" borderId="41" xfId="0" applyNumberFormat="1" applyFont="1" applyFill="1" applyBorder="1" applyAlignment="1" applyProtection="1">
      <alignment horizontal="center" vertical="center"/>
      <protection hidden="1"/>
    </xf>
    <xf numFmtId="10" fontId="19" fillId="16" borderId="0" xfId="1" applyNumberFormat="1" applyFont="1" applyFill="1" applyBorder="1" applyAlignment="1" applyProtection="1">
      <alignment horizontal="center" vertical="top"/>
      <protection hidden="1"/>
    </xf>
    <xf numFmtId="10" fontId="121" fillId="10" borderId="3" xfId="1" applyNumberFormat="1" applyFont="1" applyFill="1" applyBorder="1" applyProtection="1"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0" fontId="11" fillId="31" borderId="0" xfId="0" applyNumberFormat="1" applyFont="1" applyFill="1" applyProtection="1">
      <protection hidden="1"/>
    </xf>
    <xf numFmtId="10" fontId="11" fillId="31" borderId="0" xfId="0" applyNumberFormat="1" applyFont="1" applyFill="1" applyAlignment="1" applyProtection="1">
      <alignment vertical="top"/>
      <protection hidden="1"/>
    </xf>
    <xf numFmtId="174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12" fillId="3" borderId="0" xfId="0" applyNumberFormat="1" applyFont="1" applyFill="1" applyProtection="1">
      <protection hidden="1"/>
    </xf>
    <xf numFmtId="0" fontId="65" fillId="24" borderId="0" xfId="0" applyFont="1" applyFill="1" applyAlignment="1" applyProtection="1">
      <alignment vertical="center" wrapText="1"/>
      <protection hidden="1"/>
    </xf>
    <xf numFmtId="0" fontId="134" fillId="0" borderId="85" xfId="0" applyFont="1" applyBorder="1" applyAlignment="1">
      <alignment horizontal="center" vertical="center"/>
    </xf>
    <xf numFmtId="0" fontId="135" fillId="0" borderId="2" xfId="0" applyFont="1" applyBorder="1" applyAlignment="1">
      <alignment vertical="center"/>
    </xf>
    <xf numFmtId="10" fontId="135" fillId="0" borderId="2" xfId="0" applyNumberFormat="1" applyFont="1" applyBorder="1" applyAlignment="1">
      <alignment horizontal="center" vertical="center"/>
    </xf>
    <xf numFmtId="0" fontId="136" fillId="0" borderId="86" xfId="0" applyFont="1" applyBorder="1" applyAlignment="1">
      <alignment vertical="center" wrapText="1"/>
    </xf>
    <xf numFmtId="0" fontId="137" fillId="0" borderId="84" xfId="0" applyFont="1" applyBorder="1" applyAlignment="1">
      <alignment horizontal="center" vertical="center"/>
    </xf>
    <xf numFmtId="0" fontId="137" fillId="0" borderId="85" xfId="0" applyFont="1" applyBorder="1" applyAlignment="1">
      <alignment horizontal="center" vertical="center" wrapText="1"/>
    </xf>
    <xf numFmtId="17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5" borderId="29" xfId="1" applyNumberFormat="1" applyFont="1" applyFill="1" applyBorder="1" applyAlignment="1" applyProtection="1">
      <alignment horizontal="center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hidden="1"/>
    </xf>
    <xf numFmtId="166" fontId="138" fillId="0" borderId="3" xfId="2" applyFont="1" applyBorder="1" applyAlignment="1">
      <alignment horizontal="center" vertical="center" wrapText="1"/>
    </xf>
    <xf numFmtId="14" fontId="19" fillId="23" borderId="33" xfId="2" applyNumberFormat="1" applyFont="1" applyFill="1" applyBorder="1" applyAlignment="1" applyProtection="1">
      <alignment horizontal="center" vertical="center"/>
      <protection hidden="1"/>
    </xf>
    <xf numFmtId="14" fontId="19" fillId="20" borderId="33" xfId="2" applyNumberFormat="1" applyFont="1" applyFill="1" applyBorder="1" applyAlignment="1" applyProtection="1">
      <alignment horizontal="center" vertical="center"/>
      <protection hidden="1"/>
    </xf>
    <xf numFmtId="0" fontId="134" fillId="0" borderId="87" xfId="0" applyFont="1" applyBorder="1" applyAlignment="1">
      <alignment vertical="center" wrapText="1"/>
    </xf>
    <xf numFmtId="9" fontId="126" fillId="0" borderId="0" xfId="1" applyFont="1" applyFill="1" applyBorder="1" applyAlignment="1" applyProtection="1">
      <alignment horizontal="center" vertical="center" wrapText="1"/>
      <protection hidden="1"/>
    </xf>
    <xf numFmtId="166" fontId="11" fillId="0" borderId="0" xfId="2" applyFont="1" applyProtection="1">
      <protection hidden="1"/>
    </xf>
    <xf numFmtId="0" fontId="141" fillId="0" borderId="88" xfId="0" applyFont="1" applyBorder="1" applyAlignment="1">
      <alignment vertical="center" wrapText="1"/>
    </xf>
    <xf numFmtId="0" fontId="141" fillId="0" borderId="89" xfId="0" applyFont="1" applyBorder="1" applyAlignment="1">
      <alignment vertical="center" wrapText="1"/>
    </xf>
    <xf numFmtId="0" fontId="141" fillId="0" borderId="90" xfId="0" applyFont="1" applyBorder="1" applyAlignment="1">
      <alignment vertical="center" wrapText="1"/>
    </xf>
    <xf numFmtId="0" fontId="141" fillId="0" borderId="91" xfId="0" applyFont="1" applyBorder="1" applyAlignment="1">
      <alignment vertical="center" wrapText="1"/>
    </xf>
    <xf numFmtId="10" fontId="141" fillId="0" borderId="91" xfId="0" applyNumberFormat="1" applyFont="1" applyBorder="1" applyAlignment="1">
      <alignment vertical="center" wrapText="1"/>
    </xf>
    <xf numFmtId="0" fontId="142" fillId="0" borderId="91" xfId="0" applyFont="1" applyBorder="1" applyAlignment="1">
      <alignment vertical="center" wrapText="1"/>
    </xf>
    <xf numFmtId="0" fontId="141" fillId="0" borderId="92" xfId="0" applyFont="1" applyBorder="1" applyAlignment="1">
      <alignment vertical="center" wrapText="1"/>
    </xf>
    <xf numFmtId="0" fontId="142" fillId="0" borderId="85" xfId="0" applyFont="1" applyBorder="1" applyAlignment="1">
      <alignment vertical="center" wrapText="1"/>
    </xf>
    <xf numFmtId="0" fontId="141" fillId="0" borderId="93" xfId="0" applyFont="1" applyBorder="1" applyAlignment="1">
      <alignment vertical="center" wrapText="1"/>
    </xf>
    <xf numFmtId="10" fontId="142" fillId="0" borderId="2" xfId="0" applyNumberFormat="1" applyFont="1" applyBorder="1" applyAlignment="1">
      <alignment vertical="center" wrapText="1"/>
    </xf>
    <xf numFmtId="0" fontId="141" fillId="0" borderId="94" xfId="0" applyFont="1" applyBorder="1" applyAlignment="1">
      <alignment vertical="center" wrapText="1"/>
    </xf>
    <xf numFmtId="0" fontId="141" fillId="0" borderId="2" xfId="0" applyFont="1" applyBorder="1" applyAlignment="1">
      <alignment vertical="center" wrapText="1"/>
    </xf>
    <xf numFmtId="10" fontId="141" fillId="0" borderId="95" xfId="0" applyNumberFormat="1" applyFont="1" applyBorder="1" applyAlignment="1">
      <alignment vertical="center" wrapText="1"/>
    </xf>
    <xf numFmtId="0" fontId="141" fillId="0" borderId="95" xfId="0" applyFont="1" applyBorder="1" applyAlignment="1">
      <alignment vertical="center" wrapText="1"/>
    </xf>
    <xf numFmtId="0" fontId="142" fillId="0" borderId="95" xfId="0" applyFont="1" applyBorder="1" applyAlignment="1">
      <alignment vertical="center" wrapText="1"/>
    </xf>
    <xf numFmtId="0" fontId="141" fillId="0" borderId="86" xfId="0" applyFont="1" applyBorder="1" applyAlignment="1">
      <alignment vertical="center" wrapText="1"/>
    </xf>
    <xf numFmtId="10" fontId="141" fillId="0" borderId="2" xfId="0" applyNumberFormat="1" applyFont="1" applyBorder="1" applyAlignment="1">
      <alignment vertical="center" wrapText="1"/>
    </xf>
    <xf numFmtId="0" fontId="142" fillId="0" borderId="2" xfId="0" applyFont="1" applyBorder="1" applyAlignment="1">
      <alignment vertical="center" wrapText="1"/>
    </xf>
    <xf numFmtId="0" fontId="22" fillId="7" borderId="0" xfId="0" applyFont="1" applyFill="1" applyAlignment="1" applyProtection="1">
      <alignment horizontal="left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177" fontId="11" fillId="0" borderId="0" xfId="0" applyNumberFormat="1" applyFont="1" applyProtection="1">
      <protection hidden="1"/>
    </xf>
    <xf numFmtId="0" fontId="27" fillId="5" borderId="3" xfId="0" applyFont="1" applyFill="1" applyBorder="1" applyAlignment="1" applyProtection="1">
      <alignment vertical="center"/>
      <protection hidden="1"/>
    </xf>
    <xf numFmtId="166" fontId="12" fillId="10" borderId="100" xfId="2" applyFont="1" applyFill="1" applyBorder="1" applyAlignment="1" applyProtection="1">
      <alignment horizontal="center" vertical="center"/>
      <protection locked="0" hidden="1"/>
    </xf>
    <xf numFmtId="166" fontId="12" fillId="12" borderId="102" xfId="2" applyFont="1" applyFill="1" applyBorder="1" applyAlignment="1" applyProtection="1">
      <alignment horizontal="center" vertical="center"/>
      <protection hidden="1"/>
    </xf>
    <xf numFmtId="0" fontId="18" fillId="7" borderId="0" xfId="0" applyFont="1" applyFill="1" applyAlignment="1" applyProtection="1">
      <alignment vertical="top" wrapText="1"/>
      <protection hidden="1"/>
    </xf>
    <xf numFmtId="0" fontId="18" fillId="7" borderId="0" xfId="0" applyFont="1" applyFill="1" applyAlignment="1" applyProtection="1">
      <alignment horizontal="center" vertical="top" wrapText="1"/>
      <protection hidden="1"/>
    </xf>
    <xf numFmtId="0" fontId="20" fillId="7" borderId="0" xfId="0" applyFont="1" applyFill="1" applyAlignment="1" applyProtection="1">
      <alignment horizontal="center" vertical="top" wrapText="1"/>
      <protection hidden="1"/>
    </xf>
    <xf numFmtId="169" fontId="12" fillId="10" borderId="12" xfId="0" applyNumberFormat="1" applyFont="1" applyFill="1" applyBorder="1" applyAlignment="1" applyProtection="1">
      <alignment horizontal="center" vertical="center"/>
      <protection locked="0" hidden="1"/>
    </xf>
    <xf numFmtId="169" fontId="12" fillId="12" borderId="13" xfId="0" applyNumberFormat="1" applyFont="1" applyFill="1" applyBorder="1" applyAlignment="1" applyProtection="1">
      <alignment horizontal="center" vertical="center"/>
      <protection locked="0" hidden="1"/>
    </xf>
    <xf numFmtId="14" fontId="12" fillId="10" borderId="3" xfId="0" applyNumberFormat="1" applyFont="1" applyFill="1" applyBorder="1" applyAlignment="1" applyProtection="1">
      <alignment horizontal="center" vertical="center"/>
      <protection locked="0" hidden="1"/>
    </xf>
    <xf numFmtId="14" fontId="12" fillId="12" borderId="3" xfId="0" applyNumberFormat="1" applyFont="1" applyFill="1" applyBorder="1" applyAlignment="1" applyProtection="1">
      <alignment horizontal="center" vertical="center"/>
      <protection locked="0" hidden="1"/>
    </xf>
    <xf numFmtId="0" fontId="12" fillId="10" borderId="100" xfId="0" applyFont="1" applyFill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locked="0" hidden="1"/>
    </xf>
    <xf numFmtId="0" fontId="146" fillId="0" borderId="0" xfId="0" applyFont="1" applyAlignment="1">
      <alignment vertical="center"/>
    </xf>
    <xf numFmtId="0" fontId="11" fillId="12" borderId="101" xfId="0" applyFont="1" applyFill="1" applyBorder="1" applyAlignment="1" applyProtection="1">
      <alignment horizontal="left" vertical="center"/>
      <protection hidden="1"/>
    </xf>
    <xf numFmtId="0" fontId="12" fillId="0" borderId="100" xfId="0" applyFont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hidden="1"/>
    </xf>
    <xf numFmtId="174" fontId="16" fillId="12" borderId="13" xfId="1" applyNumberFormat="1" applyFont="1" applyFill="1" applyBorder="1" applyAlignment="1" applyProtection="1">
      <alignment horizontal="center" vertical="center"/>
      <protection hidden="1"/>
    </xf>
    <xf numFmtId="0" fontId="16" fillId="12" borderId="100" xfId="0" applyFont="1" applyFill="1" applyBorder="1" applyAlignment="1" applyProtection="1">
      <alignment vertical="center"/>
      <protection hidden="1"/>
    </xf>
    <xf numFmtId="0" fontId="16" fillId="12" borderId="104" xfId="0" applyFont="1" applyFill="1" applyBorder="1" applyAlignment="1" applyProtection="1">
      <alignment vertical="center"/>
      <protection hidden="1"/>
    </xf>
    <xf numFmtId="174" fontId="148" fillId="12" borderId="12" xfId="1" applyNumberFormat="1" applyFont="1" applyFill="1" applyBorder="1" applyAlignment="1" applyProtection="1">
      <alignment horizontal="center" vertical="center"/>
      <protection hidden="1"/>
    </xf>
    <xf numFmtId="174" fontId="148" fillId="12" borderId="13" xfId="1" applyNumberFormat="1" applyFont="1" applyFill="1" applyBorder="1" applyAlignment="1" applyProtection="1">
      <alignment horizontal="center" vertical="center"/>
      <protection hidden="1"/>
    </xf>
    <xf numFmtId="10" fontId="12" fillId="0" borderId="107" xfId="0" applyNumberFormat="1" applyFont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/>
      <protection hidden="1"/>
    </xf>
    <xf numFmtId="174" fontId="12" fillId="0" borderId="12" xfId="1" applyNumberFormat="1" applyFont="1" applyFill="1" applyBorder="1" applyAlignment="1" applyProtection="1">
      <alignment horizontal="center" vertical="center"/>
      <protection locked="0" hidden="1"/>
    </xf>
    <xf numFmtId="174" fontId="12" fillId="12" borderId="13" xfId="1" applyNumberFormat="1" applyFont="1" applyFill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 wrapText="1"/>
      <protection hidden="1"/>
    </xf>
    <xf numFmtId="0" fontId="11" fillId="12" borderId="4" xfId="0" applyFont="1" applyFill="1" applyBorder="1" applyAlignment="1" applyProtection="1">
      <alignment vertical="center"/>
      <protection hidden="1"/>
    </xf>
    <xf numFmtId="0" fontId="12" fillId="0" borderId="13" xfId="0" applyFont="1" applyBorder="1" applyAlignment="1" applyProtection="1">
      <alignment horizontal="center" vertical="center"/>
      <protection locked="0" hidden="1"/>
    </xf>
    <xf numFmtId="174" fontId="12" fillId="12" borderId="12" xfId="1" applyNumberFormat="1" applyFont="1" applyFill="1" applyBorder="1" applyAlignment="1" applyProtection="1">
      <alignment horizontal="center" vertical="center" wrapText="1"/>
      <protection hidden="1"/>
    </xf>
    <xf numFmtId="164" fontId="12" fillId="0" borderId="0" xfId="0" applyNumberFormat="1" applyFont="1" applyProtection="1">
      <protection hidden="1"/>
    </xf>
    <xf numFmtId="10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3" xfId="1" applyNumberFormat="1" applyFont="1" applyFill="1" applyBorder="1" applyAlignment="1" applyProtection="1">
      <alignment horizontal="center" vertical="center"/>
      <protection hidden="1"/>
    </xf>
    <xf numFmtId="0" fontId="11" fillId="34" borderId="4" xfId="0" applyFont="1" applyFill="1" applyBorder="1" applyAlignment="1" applyProtection="1">
      <alignment vertical="center"/>
      <protection hidden="1"/>
    </xf>
    <xf numFmtId="177" fontId="12" fillId="34" borderId="12" xfId="1" applyNumberFormat="1" applyFont="1" applyFill="1" applyBorder="1" applyAlignment="1" applyProtection="1">
      <alignment horizontal="center" vertical="center"/>
      <protection hidden="1"/>
    </xf>
    <xf numFmtId="10" fontId="12" fillId="12" borderId="13" xfId="1" applyNumberFormat="1" applyFont="1" applyFill="1" applyBorder="1" applyAlignment="1" applyProtection="1">
      <alignment horizontal="center" vertical="center"/>
      <protection hidden="1"/>
    </xf>
    <xf numFmtId="177" fontId="34" fillId="5" borderId="12" xfId="0" applyNumberFormat="1" applyFont="1" applyFill="1" applyBorder="1" applyAlignment="1" applyProtection="1">
      <alignment horizontal="center" vertical="center"/>
      <protection hidden="1"/>
    </xf>
    <xf numFmtId="173" fontId="34" fillId="5" borderId="13" xfId="2" applyNumberFormat="1" applyFont="1" applyFill="1" applyBorder="1" applyAlignment="1" applyProtection="1">
      <alignment horizontal="center" vertical="center"/>
      <protection hidden="1"/>
    </xf>
    <xf numFmtId="173" fontId="34" fillId="5" borderId="13" xfId="0" applyNumberFormat="1" applyFont="1" applyFill="1" applyBorder="1" applyAlignment="1" applyProtection="1">
      <alignment horizontal="center" vertical="center"/>
      <protection hidden="1"/>
    </xf>
    <xf numFmtId="0" fontId="11" fillId="12" borderId="12" xfId="1" applyNumberFormat="1" applyFont="1" applyFill="1" applyBorder="1" applyAlignment="1" applyProtection="1">
      <alignment horizontal="center" vertical="center"/>
      <protection hidden="1"/>
    </xf>
    <xf numFmtId="0" fontId="11" fillId="12" borderId="13" xfId="1" applyNumberFormat="1" applyFont="1" applyFill="1" applyBorder="1" applyAlignment="1" applyProtection="1">
      <alignment horizontal="center" vertical="center"/>
      <protection hidden="1"/>
    </xf>
    <xf numFmtId="169" fontId="11" fillId="12" borderId="12" xfId="1" applyNumberFormat="1" applyFont="1" applyFill="1" applyBorder="1" applyAlignment="1" applyProtection="1">
      <alignment horizontal="center" vertical="center"/>
      <protection hidden="1"/>
    </xf>
    <xf numFmtId="177" fontId="11" fillId="12" borderId="13" xfId="0" applyNumberFormat="1" applyFont="1" applyFill="1" applyBorder="1" applyAlignment="1" applyProtection="1">
      <alignment horizontal="center" vertical="center"/>
      <protection hidden="1"/>
    </xf>
    <xf numFmtId="169" fontId="11" fillId="0" borderId="3" xfId="0" applyNumberFormat="1" applyFont="1" applyBorder="1" applyProtection="1">
      <protection hidden="1"/>
    </xf>
    <xf numFmtId="0" fontId="149" fillId="35" borderId="110" xfId="0" applyFont="1" applyFill="1" applyBorder="1" applyAlignment="1">
      <alignment horizontal="right" vertical="center"/>
    </xf>
    <xf numFmtId="0" fontId="11" fillId="0" borderId="111" xfId="0" applyFont="1" applyBorder="1" applyProtection="1">
      <protection hidden="1"/>
    </xf>
    <xf numFmtId="0" fontId="11" fillId="0" borderId="112" xfId="0" applyFont="1" applyBorder="1" applyProtection="1">
      <protection hidden="1"/>
    </xf>
    <xf numFmtId="0" fontId="11" fillId="0" borderId="113" xfId="0" applyFont="1" applyBorder="1" applyProtection="1">
      <protection hidden="1"/>
    </xf>
    <xf numFmtId="0" fontId="11" fillId="0" borderId="115" xfId="0" applyFont="1" applyBorder="1" applyProtection="1">
      <protection hidden="1"/>
    </xf>
    <xf numFmtId="0" fontId="11" fillId="0" borderId="116" xfId="0" applyFont="1" applyBorder="1" applyProtection="1">
      <protection hidden="1"/>
    </xf>
    <xf numFmtId="10" fontId="11" fillId="0" borderId="112" xfId="0" applyNumberFormat="1" applyFont="1" applyBorder="1" applyProtection="1">
      <protection hidden="1"/>
    </xf>
    <xf numFmtId="10" fontId="11" fillId="0" borderId="114" xfId="0" applyNumberFormat="1" applyFont="1" applyBorder="1" applyProtection="1">
      <protection hidden="1"/>
    </xf>
    <xf numFmtId="10" fontId="11" fillId="0" borderId="116" xfId="0" applyNumberFormat="1" applyFont="1" applyBorder="1" applyProtection="1">
      <protection hidden="1"/>
    </xf>
    <xf numFmtId="0" fontId="45" fillId="20" borderId="29" xfId="0" applyNumberFormat="1" applyFont="1" applyFill="1" applyBorder="1" applyAlignment="1" applyProtection="1">
      <alignment horizontal="center" vertical="center"/>
      <protection hidden="1"/>
    </xf>
    <xf numFmtId="177" fontId="150" fillId="20" borderId="30" xfId="1" applyNumberFormat="1" applyFont="1" applyFill="1" applyBorder="1" applyAlignment="1" applyProtection="1">
      <alignment horizontal="center" vertical="center"/>
      <protection hidden="1"/>
    </xf>
    <xf numFmtId="174" fontId="56" fillId="10" borderId="117" xfId="1" applyNumberFormat="1" applyFont="1" applyFill="1" applyBorder="1" applyAlignment="1" applyProtection="1">
      <alignment horizontal="center" vertical="center"/>
      <protection hidden="1"/>
    </xf>
    <xf numFmtId="177" fontId="56" fillId="36" borderId="117" xfId="0" applyNumberFormat="1" applyFont="1" applyFill="1" applyBorder="1" applyAlignment="1" applyProtection="1">
      <alignment horizontal="center" vertical="center"/>
      <protection hidden="1"/>
    </xf>
    <xf numFmtId="9" fontId="126" fillId="10" borderId="118" xfId="1" applyFont="1" applyFill="1" applyBorder="1" applyAlignment="1" applyProtection="1">
      <alignment horizontal="center" vertical="center" wrapText="1"/>
      <protection hidden="1"/>
    </xf>
    <xf numFmtId="10" fontId="45" fillId="22" borderId="41" xfId="1" applyNumberFormat="1" applyFont="1" applyFill="1" applyBorder="1" applyAlignment="1" applyProtection="1">
      <alignment horizontal="center" vertical="center"/>
      <protection hidden="1"/>
    </xf>
    <xf numFmtId="0" fontId="45" fillId="22" borderId="41" xfId="0" applyNumberFormat="1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14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0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16" borderId="0" xfId="0" applyNumberFormat="1" applyFont="1" applyFill="1" applyAlignment="1" applyProtection="1">
      <alignment horizontal="center" vertical="center"/>
      <protection hidden="1"/>
    </xf>
    <xf numFmtId="179" fontId="11" fillId="0" borderId="0" xfId="0" applyNumberFormat="1" applyFont="1" applyProtection="1">
      <protection hidden="1"/>
    </xf>
    <xf numFmtId="166" fontId="19" fillId="23" borderId="0" xfId="2" applyNumberFormat="1" applyFont="1" applyFill="1" applyBorder="1" applyAlignment="1" applyProtection="1">
      <alignment horizontal="center" vertical="center"/>
      <protection hidden="1"/>
    </xf>
    <xf numFmtId="0" fontId="153" fillId="0" borderId="86" xfId="0" applyFont="1" applyBorder="1" applyAlignment="1">
      <alignment vertical="center"/>
    </xf>
    <xf numFmtId="0" fontId="153" fillId="0" borderId="2" xfId="0" applyFont="1" applyBorder="1" applyAlignment="1">
      <alignment vertical="center"/>
    </xf>
    <xf numFmtId="0" fontId="145" fillId="32" borderId="86" xfId="0" applyFont="1" applyFill="1" applyBorder="1" applyAlignment="1">
      <alignment vertical="center"/>
    </xf>
    <xf numFmtId="0" fontId="145" fillId="32" borderId="2" xfId="0" applyFont="1" applyFill="1" applyBorder="1" applyAlignment="1">
      <alignment vertical="center"/>
    </xf>
    <xf numFmtId="0" fontId="154" fillId="0" borderId="2" xfId="0" applyFont="1" applyBorder="1" applyAlignment="1">
      <alignment vertical="center"/>
    </xf>
    <xf numFmtId="0" fontId="22" fillId="7" borderId="0" xfId="0" applyFont="1" applyFill="1" applyAlignment="1" applyProtection="1">
      <alignment horizontal="left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1" fillId="10" borderId="0" xfId="15" applyFill="1" applyProtection="1">
      <protection hidden="1"/>
    </xf>
    <xf numFmtId="0" fontId="36" fillId="10" borderId="0" xfId="15" applyFont="1" applyFill="1" applyProtection="1">
      <protection hidden="1"/>
    </xf>
    <xf numFmtId="10" fontId="1" fillId="10" borderId="0" xfId="15" applyNumberFormat="1" applyFill="1" applyProtection="1">
      <protection hidden="1"/>
    </xf>
    <xf numFmtId="9" fontId="1" fillId="10" borderId="0" xfId="15" applyNumberFormat="1" applyFill="1" applyProtection="1">
      <protection hidden="1"/>
    </xf>
    <xf numFmtId="177" fontId="36" fillId="10" borderId="0" xfId="15" applyNumberFormat="1" applyFont="1" applyFill="1" applyProtection="1">
      <protection hidden="1"/>
    </xf>
    <xf numFmtId="177" fontId="1" fillId="10" borderId="0" xfId="15" applyNumberFormat="1" applyFill="1" applyProtection="1">
      <protection hidden="1"/>
    </xf>
    <xf numFmtId="8" fontId="1" fillId="10" borderId="0" xfId="15" applyNumberFormat="1" applyFill="1" applyProtection="1">
      <protection hidden="1"/>
    </xf>
    <xf numFmtId="0" fontId="121" fillId="10" borderId="0" xfId="15" applyFont="1" applyFill="1" applyProtection="1">
      <protection hidden="1"/>
    </xf>
    <xf numFmtId="0" fontId="89" fillId="10" borderId="0" xfId="15" applyFont="1" applyFill="1" applyProtection="1">
      <protection hidden="1"/>
    </xf>
    <xf numFmtId="0" fontId="121" fillId="10" borderId="3" xfId="15" applyFont="1" applyFill="1" applyBorder="1" applyProtection="1"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59" fillId="24" borderId="67" xfId="15" applyFont="1" applyFill="1" applyBorder="1" applyAlignment="1" applyProtection="1">
      <alignment horizontal="center" vertical="center"/>
      <protection hidden="1"/>
    </xf>
    <xf numFmtId="10" fontId="121" fillId="10" borderId="3" xfId="15" applyNumberFormat="1" applyFont="1" applyFill="1" applyBorder="1" applyProtection="1">
      <protection hidden="1"/>
    </xf>
    <xf numFmtId="14" fontId="89" fillId="10" borderId="0" xfId="15" applyNumberFormat="1" applyFont="1" applyFill="1" applyProtection="1">
      <protection hidden="1"/>
    </xf>
    <xf numFmtId="177" fontId="89" fillId="10" borderId="0" xfId="15" applyNumberFormat="1" applyFont="1" applyFill="1" applyProtection="1">
      <protection hidden="1"/>
    </xf>
    <xf numFmtId="177" fontId="90" fillId="10" borderId="0" xfId="15" applyNumberFormat="1" applyFont="1" applyFill="1" applyProtection="1">
      <protection hidden="1"/>
    </xf>
    <xf numFmtId="9" fontId="121" fillId="10" borderId="3" xfId="15" applyNumberFormat="1" applyFont="1" applyFill="1" applyBorder="1" applyProtection="1">
      <protection hidden="1"/>
    </xf>
    <xf numFmtId="174" fontId="1" fillId="10" borderId="0" xfId="1" applyNumberFormat="1" applyFont="1" applyFill="1" applyProtection="1">
      <protection hidden="1"/>
    </xf>
    <xf numFmtId="0" fontId="88" fillId="10" borderId="0" xfId="15" applyFont="1" applyFill="1" applyProtection="1">
      <protection hidden="1"/>
    </xf>
    <xf numFmtId="0" fontId="107" fillId="10" borderId="0" xfId="15" applyFont="1" applyFill="1" applyProtection="1"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59" fillId="24" borderId="47" xfId="15" applyFont="1" applyFill="1" applyBorder="1" applyAlignment="1" applyProtection="1">
      <alignment horizontal="center" vertical="center"/>
      <protection hidden="1"/>
    </xf>
    <xf numFmtId="14" fontId="88" fillId="10" borderId="0" xfId="15" applyNumberFormat="1" applyFont="1" applyFill="1" applyProtection="1">
      <protection hidden="1"/>
    </xf>
    <xf numFmtId="177" fontId="88" fillId="10" borderId="0" xfId="15" applyNumberFormat="1" applyFont="1" applyFill="1" applyProtection="1">
      <protection hidden="1"/>
    </xf>
    <xf numFmtId="177" fontId="107" fillId="10" borderId="0" xfId="15" applyNumberFormat="1" applyFont="1" applyFill="1" applyProtection="1">
      <protection hidden="1"/>
    </xf>
    <xf numFmtId="0" fontId="1" fillId="10" borderId="19" xfId="15" applyFill="1" applyBorder="1" applyProtection="1">
      <protection hidden="1"/>
    </xf>
    <xf numFmtId="14" fontId="1" fillId="10" borderId="19" xfId="15" applyNumberFormat="1" applyFill="1" applyBorder="1" applyProtection="1">
      <protection hidden="1"/>
    </xf>
    <xf numFmtId="177" fontId="1" fillId="10" borderId="19" xfId="15" applyNumberFormat="1" applyFill="1" applyBorder="1" applyProtection="1">
      <protection hidden="1"/>
    </xf>
    <xf numFmtId="14" fontId="1" fillId="10" borderId="0" xfId="15" applyNumberFormat="1" applyFill="1" applyProtection="1">
      <protection hidden="1"/>
    </xf>
    <xf numFmtId="0" fontId="150" fillId="0" borderId="0" xfId="0" applyFont="1" applyProtection="1">
      <protection hidden="1"/>
    </xf>
    <xf numFmtId="0" fontId="11" fillId="0" borderId="0" xfId="0" applyFont="1" applyBorder="1" applyProtection="1">
      <protection hidden="1"/>
    </xf>
    <xf numFmtId="0" fontId="145" fillId="32" borderId="0" xfId="0" applyFont="1" applyFill="1" applyBorder="1" applyAlignment="1">
      <alignment vertical="center"/>
    </xf>
    <xf numFmtId="0" fontId="153" fillId="0" borderId="0" xfId="0" applyFont="1" applyBorder="1" applyAlignment="1">
      <alignment vertical="center"/>
    </xf>
    <xf numFmtId="0" fontId="146" fillId="0" borderId="0" xfId="0" applyFont="1" applyBorder="1" applyAlignment="1">
      <alignment vertical="center"/>
    </xf>
    <xf numFmtId="177" fontId="157" fillId="0" borderId="0" xfId="0" applyNumberFormat="1" applyFont="1" applyAlignment="1" applyProtection="1">
      <alignment horizontal="center" vertical="center"/>
      <protection hidden="1"/>
    </xf>
    <xf numFmtId="177" fontId="158" fillId="0" borderId="0" xfId="0" applyNumberFormat="1" applyFont="1" applyAlignment="1" applyProtection="1">
      <alignment horizontal="center" vertical="center"/>
      <protection hidden="1"/>
    </xf>
    <xf numFmtId="10" fontId="159" fillId="0" borderId="0" xfId="0" applyNumberFormat="1" applyFont="1" applyProtection="1"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19" fillId="12" borderId="4" xfId="0" applyFont="1" applyFill="1" applyBorder="1" applyAlignment="1" applyProtection="1">
      <alignment horizontal="center"/>
      <protection hidden="1"/>
    </xf>
    <xf numFmtId="0" fontId="19" fillId="12" borderId="5" xfId="0" applyFont="1" applyFill="1" applyBorder="1" applyAlignment="1" applyProtection="1">
      <alignment horizontal="center"/>
      <protection hidden="1"/>
    </xf>
    <xf numFmtId="169" fontId="12" fillId="10" borderId="3" xfId="0" applyNumberFormat="1" applyFont="1" applyFill="1" applyBorder="1" applyAlignment="1" applyProtection="1">
      <alignment horizontal="center"/>
      <protection locked="0"/>
    </xf>
    <xf numFmtId="0" fontId="21" fillId="4" borderId="0" xfId="0" applyFont="1" applyFill="1" applyAlignment="1" applyProtection="1">
      <alignment horizontal="center" vertical="center" wrapText="1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7" fontId="19" fillId="12" borderId="4" xfId="0" applyNumberFormat="1" applyFont="1" applyFill="1" applyBorder="1" applyAlignment="1" applyProtection="1">
      <alignment horizontal="center" vertical="center"/>
      <protection hidden="1"/>
    </xf>
    <xf numFmtId="167" fontId="19" fillId="12" borderId="5" xfId="0" applyNumberFormat="1" applyFont="1" applyFill="1" applyBorder="1" applyAlignment="1" applyProtection="1">
      <alignment horizontal="center" vertical="center"/>
      <protection hidden="1"/>
    </xf>
    <xf numFmtId="170" fontId="16" fillId="10" borderId="3" xfId="0" applyNumberFormat="1" applyFont="1" applyFill="1" applyBorder="1" applyAlignment="1" applyProtection="1">
      <alignment horizontal="center" vertical="center"/>
      <protection locked="0"/>
    </xf>
    <xf numFmtId="14" fontId="12" fillId="10" borderId="3" xfId="0" applyNumberFormat="1" applyFont="1" applyFill="1" applyBorder="1" applyAlignment="1" applyProtection="1">
      <alignment horizontal="center"/>
      <protection locked="0"/>
    </xf>
    <xf numFmtId="168" fontId="12" fillId="10" borderId="3" xfId="0" applyNumberFormat="1" applyFont="1" applyFill="1" applyBorder="1" applyAlignment="1" applyProtection="1">
      <alignment horizontal="center"/>
      <protection locked="0"/>
    </xf>
    <xf numFmtId="0" fontId="12" fillId="10" borderId="3" xfId="0" applyFont="1" applyFill="1" applyBorder="1" applyAlignment="1" applyProtection="1">
      <alignment horizontal="center"/>
      <protection locked="0"/>
    </xf>
    <xf numFmtId="0" fontId="16" fillId="11" borderId="4" xfId="0" applyFont="1" applyFill="1" applyBorder="1" applyAlignment="1" applyProtection="1">
      <alignment horizontal="center"/>
      <protection hidden="1"/>
    </xf>
    <xf numFmtId="0" fontId="16" fillId="11" borderId="5" xfId="0" applyFont="1" applyFill="1" applyBorder="1" applyAlignment="1" applyProtection="1">
      <alignment horizontal="center"/>
      <protection hidden="1"/>
    </xf>
    <xf numFmtId="0" fontId="16" fillId="11" borderId="3" xfId="0" applyFont="1" applyFill="1" applyBorder="1" applyAlignment="1" applyProtection="1">
      <alignment horizontal="center" wrapText="1"/>
      <protection locked="0"/>
    </xf>
    <xf numFmtId="170" fontId="24" fillId="12" borderId="3" xfId="0" applyNumberFormat="1" applyFont="1" applyFill="1" applyBorder="1" applyAlignment="1" applyProtection="1">
      <alignment horizontal="center"/>
      <protection hidden="1"/>
    </xf>
    <xf numFmtId="0" fontId="42" fillId="10" borderId="22" xfId="0" applyFont="1" applyFill="1" applyBorder="1" applyAlignment="1" applyProtection="1">
      <alignment horizontal="center" vertical="center" wrapText="1"/>
      <protection hidden="1"/>
    </xf>
    <xf numFmtId="0" fontId="42" fillId="10" borderId="23" xfId="0" applyFont="1" applyFill="1" applyBorder="1" applyAlignment="1" applyProtection="1">
      <alignment horizontal="center" vertical="center" wrapText="1"/>
      <protection hidden="1"/>
    </xf>
    <xf numFmtId="0" fontId="42" fillId="10" borderId="24" xfId="0" applyFont="1" applyFill="1" applyBorder="1" applyAlignment="1" applyProtection="1">
      <alignment horizontal="center" vertical="center" wrapText="1"/>
      <protection hidden="1"/>
    </xf>
    <xf numFmtId="0" fontId="42" fillId="10" borderId="27" xfId="0" applyFont="1" applyFill="1" applyBorder="1" applyAlignment="1" applyProtection="1">
      <alignment horizontal="center" vertical="center" wrapText="1"/>
      <protection hidden="1"/>
    </xf>
    <xf numFmtId="0" fontId="42" fillId="10" borderId="21" xfId="0" applyFont="1" applyFill="1" applyBorder="1" applyAlignment="1" applyProtection="1">
      <alignment horizontal="center" vertical="center" wrapText="1"/>
      <protection hidden="1"/>
    </xf>
    <xf numFmtId="0" fontId="42" fillId="10" borderId="28" xfId="0" applyFont="1" applyFill="1" applyBorder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/>
      <protection hidden="1"/>
    </xf>
    <xf numFmtId="0" fontId="43" fillId="7" borderId="10" xfId="0" applyFont="1" applyFill="1" applyBorder="1" applyAlignment="1" applyProtection="1">
      <alignment horizontal="center" vertical="center"/>
      <protection hidden="1"/>
    </xf>
    <xf numFmtId="0" fontId="42" fillId="10" borderId="0" xfId="0" applyFont="1" applyFill="1" applyAlignment="1" applyProtection="1">
      <alignment horizontal="center" wrapText="1"/>
      <protection hidden="1"/>
    </xf>
    <xf numFmtId="0" fontId="45" fillId="10" borderId="0" xfId="0" applyFont="1" applyFill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87" fillId="21" borderId="0" xfId="0" applyFont="1" applyFill="1" applyAlignment="1" applyProtection="1">
      <alignment horizontal="center" vertical="center" wrapText="1"/>
      <protection hidden="1"/>
    </xf>
    <xf numFmtId="0" fontId="46" fillId="0" borderId="0" xfId="0" applyFont="1" applyAlignment="1" applyProtection="1">
      <alignment horizontal="center" vertical="center" wrapText="1"/>
      <protection hidden="1"/>
    </xf>
    <xf numFmtId="0" fontId="53" fillId="0" borderId="25" xfId="0" applyFont="1" applyBorder="1" applyAlignment="1" applyProtection="1">
      <alignment horizontal="center" vertical="center"/>
      <protection hidden="1"/>
    </xf>
    <xf numFmtId="0" fontId="50" fillId="0" borderId="20" xfId="0" applyFont="1" applyBorder="1" applyAlignment="1" applyProtection="1">
      <alignment horizontal="center" vertical="center"/>
      <protection hidden="1"/>
    </xf>
    <xf numFmtId="0" fontId="50" fillId="0" borderId="26" xfId="0" applyFont="1" applyBorder="1" applyAlignment="1" applyProtection="1">
      <alignment horizontal="center" vertical="center"/>
      <protection hidden="1"/>
    </xf>
    <xf numFmtId="0" fontId="55" fillId="24" borderId="0" xfId="0" applyFont="1" applyFill="1" applyAlignment="1" applyProtection="1">
      <alignment horizontal="center" vertical="center" wrapText="1"/>
      <protection hidden="1"/>
    </xf>
    <xf numFmtId="0" fontId="55" fillId="24" borderId="0" xfId="0" applyFont="1" applyFill="1" applyAlignment="1" applyProtection="1">
      <alignment horizontal="center" vertical="center"/>
      <protection hidden="1"/>
    </xf>
    <xf numFmtId="0" fontId="57" fillId="19" borderId="0" xfId="0" applyFont="1" applyFill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11" fillId="0" borderId="7" xfId="0" applyFont="1" applyBorder="1" applyAlignment="1" applyProtection="1">
      <alignment horizontal="center" vertical="center"/>
      <protection hidden="1"/>
    </xf>
    <xf numFmtId="0" fontId="11" fillId="0" borderId="10" xfId="0" applyFont="1" applyBorder="1" applyAlignment="1" applyProtection="1">
      <alignment horizontal="center" vertical="center"/>
      <protection hidden="1"/>
    </xf>
    <xf numFmtId="0" fontId="52" fillId="24" borderId="0" xfId="0" applyFont="1" applyFill="1" applyAlignment="1" applyProtection="1">
      <alignment horizontal="center" vertical="center" wrapText="1"/>
      <protection hidden="1"/>
    </xf>
    <xf numFmtId="0" fontId="45" fillId="10" borderId="60" xfId="0" applyFont="1" applyFill="1" applyBorder="1" applyAlignment="1" applyProtection="1">
      <alignment horizontal="center" vertical="center"/>
      <protection hidden="1"/>
    </xf>
    <xf numFmtId="0" fontId="45" fillId="10" borderId="59" xfId="0" applyFont="1" applyFill="1" applyBorder="1" applyAlignment="1" applyProtection="1">
      <alignment horizontal="center" vertical="center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44" fillId="20" borderId="0" xfId="0" applyFont="1" applyFill="1" applyAlignment="1" applyProtection="1">
      <alignment horizontal="center" vertical="center" wrapText="1"/>
      <protection hidden="1"/>
    </xf>
    <xf numFmtId="0" fontId="27" fillId="0" borderId="6" xfId="0" applyFont="1" applyBorder="1" applyAlignment="1" applyProtection="1">
      <alignment horizontal="center" vertical="center" wrapText="1"/>
      <protection hidden="1"/>
    </xf>
    <xf numFmtId="0" fontId="27" fillId="0" borderId="9" xfId="0" applyFont="1" applyBorder="1" applyAlignment="1" applyProtection="1">
      <alignment horizontal="center" vertical="center" wrapText="1"/>
      <protection hidden="1"/>
    </xf>
    <xf numFmtId="0" fontId="49" fillId="0" borderId="0" xfId="0" applyFont="1" applyAlignment="1" applyProtection="1">
      <alignment horizontal="center" vertical="center" wrapText="1"/>
      <protection hidden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4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45" fillId="0" borderId="33" xfId="0" applyFont="1" applyBorder="1" applyAlignment="1" applyProtection="1">
      <alignment horizontal="center" vertical="center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0" fontId="59" fillId="24" borderId="62" xfId="0" applyFont="1" applyFill="1" applyBorder="1" applyAlignment="1" applyProtection="1">
      <alignment horizontal="center" vertical="top" wrapText="1"/>
      <protection hidden="1"/>
    </xf>
    <xf numFmtId="0" fontId="45" fillId="20" borderId="0" xfId="0" applyFont="1" applyFill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center"/>
      <protection hidden="1"/>
    </xf>
    <xf numFmtId="0" fontId="30" fillId="0" borderId="10" xfId="0" applyFont="1" applyBorder="1" applyAlignment="1" applyProtection="1">
      <alignment horizontal="center"/>
      <protection hidden="1"/>
    </xf>
    <xf numFmtId="9" fontId="27" fillId="0" borderId="8" xfId="0" applyNumberFormat="1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7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9" fillId="0" borderId="7" xfId="0" applyFont="1" applyBorder="1" applyAlignment="1" applyProtection="1">
      <alignment horizontal="center" vertical="center"/>
      <protection hidden="1"/>
    </xf>
    <xf numFmtId="0" fontId="29" fillId="0" borderId="10" xfId="0" applyFont="1" applyBorder="1" applyAlignment="1" applyProtection="1">
      <alignment horizontal="center" vertical="center"/>
      <protection hidden="1"/>
    </xf>
    <xf numFmtId="0" fontId="65" fillId="21" borderId="0" xfId="0" applyFont="1" applyFill="1" applyAlignment="1" applyProtection="1">
      <alignment horizontal="center" vertical="center" wrapText="1"/>
      <protection hidden="1"/>
    </xf>
    <xf numFmtId="0" fontId="12" fillId="17" borderId="0" xfId="0" applyFont="1" applyFill="1" applyAlignment="1" applyProtection="1">
      <alignment horizontal="center"/>
      <protection hidden="1"/>
    </xf>
    <xf numFmtId="0" fontId="45" fillId="0" borderId="53" xfId="0" applyFont="1" applyBorder="1" applyAlignment="1" applyProtection="1">
      <alignment horizontal="center" vertical="center"/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46" fillId="0" borderId="53" xfId="0" applyFont="1" applyBorder="1" applyAlignment="1" applyProtection="1">
      <alignment horizontal="center" vertical="center"/>
      <protection hidden="1"/>
    </xf>
    <xf numFmtId="0" fontId="112" fillId="24" borderId="0" xfId="0" applyFont="1" applyFill="1" applyAlignment="1" applyProtection="1">
      <alignment horizontal="center" vertical="center" wrapText="1"/>
      <protection hidden="1"/>
    </xf>
    <xf numFmtId="0" fontId="132" fillId="19" borderId="0" xfId="0" applyFont="1" applyFill="1" applyAlignment="1" applyProtection="1">
      <alignment horizontal="center" vertical="center" wrapText="1"/>
      <protection hidden="1"/>
    </xf>
    <xf numFmtId="0" fontId="132" fillId="19" borderId="53" xfId="0" applyFont="1" applyFill="1" applyBorder="1" applyAlignment="1" applyProtection="1">
      <alignment horizontal="center" vertical="center" wrapText="1"/>
      <protection hidden="1"/>
    </xf>
    <xf numFmtId="0" fontId="113" fillId="0" borderId="0" xfId="0" applyFont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9" fillId="24" borderId="74" xfId="0" applyFont="1" applyFill="1" applyBorder="1" applyAlignment="1" applyProtection="1">
      <alignment horizontal="center" vertical="top" wrapText="1"/>
      <protection hidden="1"/>
    </xf>
    <xf numFmtId="0" fontId="59" fillId="24" borderId="75" xfId="0" applyFont="1" applyFill="1" applyBorder="1" applyAlignment="1" applyProtection="1">
      <alignment horizontal="center" vertical="top" wrapText="1"/>
      <protection hidden="1"/>
    </xf>
    <xf numFmtId="0" fontId="59" fillId="24" borderId="41" xfId="0" applyFont="1" applyFill="1" applyBorder="1" applyAlignment="1" applyProtection="1">
      <alignment horizontal="center" vertical="top" wrapText="1"/>
      <protection hidden="1"/>
    </xf>
    <xf numFmtId="0" fontId="44" fillId="18" borderId="32" xfId="0" applyFont="1" applyFill="1" applyBorder="1" applyAlignment="1" applyProtection="1">
      <alignment horizontal="center" vertical="center" wrapText="1"/>
      <protection hidden="1"/>
    </xf>
    <xf numFmtId="0" fontId="150" fillId="0" borderId="0" xfId="0" applyFont="1" applyAlignment="1" applyProtection="1">
      <alignment horizontal="center" vertical="center"/>
      <protection hidden="1"/>
    </xf>
    <xf numFmtId="0" fontId="119" fillId="18" borderId="0" xfId="0" applyFont="1" applyFill="1" applyAlignment="1" applyProtection="1">
      <alignment horizontal="center" vertical="center"/>
      <protection hidden="1"/>
    </xf>
    <xf numFmtId="0" fontId="152" fillId="18" borderId="0" xfId="0" applyFont="1" applyFill="1" applyAlignment="1" applyProtection="1">
      <alignment horizontal="left" vertical="center" indent="3"/>
      <protection hidden="1"/>
    </xf>
    <xf numFmtId="0" fontId="55" fillId="24" borderId="63" xfId="0" applyFont="1" applyFill="1" applyBorder="1" applyAlignment="1" applyProtection="1">
      <alignment horizontal="center" vertical="center" wrapText="1"/>
      <protection hidden="1"/>
    </xf>
    <xf numFmtId="0" fontId="55" fillId="24" borderId="27" xfId="0" applyFont="1" applyFill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42" fillId="10" borderId="25" xfId="0" applyFont="1" applyFill="1" applyBorder="1" applyAlignment="1" applyProtection="1">
      <alignment horizontal="center" vertical="center" wrapText="1"/>
      <protection hidden="1"/>
    </xf>
    <xf numFmtId="0" fontId="42" fillId="10" borderId="20" xfId="0" applyFont="1" applyFill="1" applyBorder="1" applyAlignment="1" applyProtection="1">
      <alignment horizontal="center" vertical="center" wrapText="1"/>
      <protection hidden="1"/>
    </xf>
    <xf numFmtId="0" fontId="42" fillId="10" borderId="26" xfId="0" applyFont="1" applyFill="1" applyBorder="1" applyAlignment="1" applyProtection="1">
      <alignment horizontal="center" vertical="center" wrapText="1"/>
      <protection hidden="1"/>
    </xf>
    <xf numFmtId="0" fontId="73" fillId="0" borderId="0" xfId="0" applyFont="1" applyAlignment="1" applyProtection="1">
      <alignment horizontal="center" vertical="center"/>
      <protection hidden="1"/>
    </xf>
    <xf numFmtId="0" fontId="43" fillId="7" borderId="27" xfId="0" applyFont="1" applyFill="1" applyBorder="1" applyAlignment="1" applyProtection="1">
      <alignment horizontal="center" vertical="center"/>
      <protection hidden="1"/>
    </xf>
    <xf numFmtId="0" fontId="43" fillId="7" borderId="21" xfId="0" applyFont="1" applyFill="1" applyBorder="1" applyAlignment="1" applyProtection="1">
      <alignment horizontal="center" vertical="center"/>
      <protection hidden="1"/>
    </xf>
    <xf numFmtId="0" fontId="43" fillId="7" borderId="28" xfId="0" applyFont="1" applyFill="1" applyBorder="1" applyAlignment="1" applyProtection="1">
      <alignment horizontal="center" vertical="center"/>
      <protection hidden="1"/>
    </xf>
    <xf numFmtId="0" fontId="22" fillId="7" borderId="10" xfId="0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horizontal="center" vertical="center"/>
      <protection hidden="1"/>
    </xf>
    <xf numFmtId="0" fontId="143" fillId="5" borderId="0" xfId="0" applyFont="1" applyFill="1" applyAlignment="1" applyProtection="1">
      <alignment horizontal="center" vertical="center" wrapText="1"/>
      <protection hidden="1"/>
    </xf>
    <xf numFmtId="0" fontId="31" fillId="7" borderId="0" xfId="0" applyFont="1" applyFill="1" applyAlignment="1" applyProtection="1">
      <alignment horizontal="center" vertical="center"/>
      <protection hidden="1"/>
    </xf>
    <xf numFmtId="0" fontId="144" fillId="7" borderId="0" xfId="0" applyFont="1" applyFill="1" applyAlignment="1" applyProtection="1">
      <alignment horizontal="center" vertical="center"/>
      <protection hidden="1"/>
    </xf>
    <xf numFmtId="0" fontId="40" fillId="16" borderId="0" xfId="0" applyFont="1" applyFill="1" applyAlignment="1" applyProtection="1">
      <alignment horizontal="center" vertical="center"/>
      <protection hidden="1"/>
    </xf>
    <xf numFmtId="0" fontId="145" fillId="32" borderId="97" xfId="0" applyFont="1" applyFill="1" applyBorder="1" applyAlignment="1">
      <alignment horizontal="center" vertical="center"/>
    </xf>
    <xf numFmtId="0" fontId="145" fillId="32" borderId="98" xfId="0" applyFont="1" applyFill="1" applyBorder="1" applyAlignment="1">
      <alignment horizontal="center" vertical="center"/>
    </xf>
    <xf numFmtId="0" fontId="145" fillId="32" borderId="99" xfId="0" applyFont="1" applyFill="1" applyBorder="1" applyAlignment="1">
      <alignment horizontal="center" vertical="center"/>
    </xf>
    <xf numFmtId="0" fontId="27" fillId="5" borderId="96" xfId="0" applyFont="1" applyFill="1" applyBorder="1" applyAlignment="1" applyProtection="1">
      <alignment horizontal="center" vertical="center"/>
      <protection hidden="1"/>
    </xf>
    <xf numFmtId="0" fontId="27" fillId="5" borderId="17" xfId="0" applyFont="1" applyFill="1" applyBorder="1" applyAlignment="1" applyProtection="1">
      <alignment horizontal="center" vertical="center"/>
      <protection hidden="1"/>
    </xf>
    <xf numFmtId="0" fontId="11" fillId="12" borderId="100" xfId="0" applyFont="1" applyFill="1" applyBorder="1" applyAlignment="1" applyProtection="1">
      <alignment horizontal="center" vertical="center"/>
      <protection hidden="1"/>
    </xf>
    <xf numFmtId="0" fontId="11" fillId="12" borderId="101" xfId="0" applyFont="1" applyFill="1" applyBorder="1" applyAlignment="1" applyProtection="1">
      <alignment horizontal="center" vertical="center"/>
      <protection hidden="1"/>
    </xf>
    <xf numFmtId="0" fontId="11" fillId="12" borderId="12" xfId="0" applyFont="1" applyFill="1" applyBorder="1" applyAlignment="1" applyProtection="1">
      <alignment horizontal="center" vertical="center"/>
      <protection hidden="1"/>
    </xf>
    <xf numFmtId="0" fontId="11" fillId="12" borderId="4" xfId="0" applyFont="1" applyFill="1" applyBorder="1" applyAlignment="1" applyProtection="1">
      <alignment horizontal="center" vertical="center"/>
      <protection hidden="1"/>
    </xf>
    <xf numFmtId="0" fontId="147" fillId="5" borderId="3" xfId="0" applyFont="1" applyFill="1" applyBorder="1" applyAlignment="1" applyProtection="1">
      <alignment horizontal="center" vertical="center" wrapText="1"/>
      <protection hidden="1"/>
    </xf>
    <xf numFmtId="0" fontId="147" fillId="5" borderId="3" xfId="0" applyFont="1" applyFill="1" applyBorder="1" applyAlignment="1" applyProtection="1">
      <alignment horizontal="center" vertical="center"/>
      <protection hidden="1"/>
    </xf>
    <xf numFmtId="0" fontId="27" fillId="5" borderId="12" xfId="0" applyFont="1" applyFill="1" applyBorder="1" applyAlignment="1" applyProtection="1">
      <alignment horizontal="center" vertical="center" wrapText="1"/>
      <protection hidden="1"/>
    </xf>
    <xf numFmtId="0" fontId="31" fillId="7" borderId="100" xfId="0" applyFont="1" applyFill="1" applyBorder="1" applyAlignment="1" applyProtection="1">
      <alignment horizontal="center" vertical="center" wrapText="1"/>
      <protection hidden="1"/>
    </xf>
    <xf numFmtId="0" fontId="31" fillId="7" borderId="101" xfId="0" applyFont="1" applyFill="1" applyBorder="1" applyAlignment="1" applyProtection="1">
      <alignment horizontal="center" vertical="center" wrapText="1"/>
      <protection hidden="1"/>
    </xf>
    <xf numFmtId="0" fontId="31" fillId="7" borderId="103" xfId="0" applyFont="1" applyFill="1" applyBorder="1" applyAlignment="1" applyProtection="1">
      <alignment horizontal="center" vertical="center" wrapText="1"/>
      <protection hidden="1"/>
    </xf>
    <xf numFmtId="0" fontId="12" fillId="33" borderId="105" xfId="0" applyFont="1" applyFill="1" applyBorder="1" applyAlignment="1" applyProtection="1">
      <alignment horizontal="center" vertical="center"/>
      <protection hidden="1"/>
    </xf>
    <xf numFmtId="0" fontId="12" fillId="33" borderId="106" xfId="0" applyFont="1" applyFill="1" applyBorder="1" applyAlignment="1" applyProtection="1">
      <alignment horizontal="center" vertical="center"/>
      <protection hidden="1"/>
    </xf>
    <xf numFmtId="0" fontId="12" fillId="33" borderId="108" xfId="0" applyFont="1" applyFill="1" applyBorder="1" applyAlignment="1" applyProtection="1">
      <alignment horizontal="center" vertical="center"/>
      <protection hidden="1"/>
    </xf>
    <xf numFmtId="0" fontId="12" fillId="33" borderId="109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/>
      <protection hidden="1"/>
    </xf>
    <xf numFmtId="0" fontId="12" fillId="33" borderId="101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/>
      <protection hidden="1"/>
    </xf>
    <xf numFmtId="0" fontId="12" fillId="0" borderId="103" xfId="0" applyFont="1" applyBorder="1" applyAlignment="1" applyProtection="1">
      <alignment horizontal="center"/>
      <protection hidden="1"/>
    </xf>
    <xf numFmtId="0" fontId="12" fillId="5" borderId="100" xfId="0" applyFont="1" applyFill="1" applyBorder="1" applyAlignment="1" applyProtection="1">
      <alignment horizontal="center" vertical="center" wrapText="1"/>
      <protection hidden="1"/>
    </xf>
    <xf numFmtId="0" fontId="12" fillId="5" borderId="101" xfId="0" applyFont="1" applyFill="1" applyBorder="1" applyAlignment="1" applyProtection="1">
      <alignment horizontal="center" vertical="center" wrapText="1"/>
      <protection hidden="1"/>
    </xf>
    <xf numFmtId="0" fontId="11" fillId="12" borderId="104" xfId="0" applyFont="1" applyFill="1" applyBorder="1" applyAlignment="1" applyProtection="1">
      <alignment horizontal="center" vertical="center"/>
      <protection hidden="1"/>
    </xf>
    <xf numFmtId="0" fontId="145" fillId="32" borderId="0" xfId="0" applyFont="1" applyFill="1" applyBorder="1" applyAlignment="1">
      <alignment horizontal="center" vertical="center"/>
    </xf>
    <xf numFmtId="0" fontId="72" fillId="0" borderId="0" xfId="0" applyFont="1" applyAlignment="1" applyProtection="1">
      <alignment horizontal="center" vertical="center"/>
      <protection hidden="1"/>
    </xf>
    <xf numFmtId="0" fontId="42" fillId="10" borderId="22" xfId="0" applyFont="1" applyFill="1" applyBorder="1" applyAlignment="1" applyProtection="1">
      <alignment horizontal="center" wrapText="1"/>
      <protection hidden="1"/>
    </xf>
    <xf numFmtId="0" fontId="42" fillId="10" borderId="23" xfId="0" applyFont="1" applyFill="1" applyBorder="1" applyAlignment="1" applyProtection="1">
      <alignment horizontal="center" wrapText="1"/>
      <protection hidden="1"/>
    </xf>
    <xf numFmtId="0" fontId="42" fillId="10" borderId="24" xfId="0" applyFont="1" applyFill="1" applyBorder="1" applyAlignment="1" applyProtection="1">
      <alignment horizontal="center" wrapText="1"/>
      <protection hidden="1"/>
    </xf>
    <xf numFmtId="0" fontId="42" fillId="10" borderId="25" xfId="0" applyFont="1" applyFill="1" applyBorder="1" applyAlignment="1" applyProtection="1">
      <alignment horizontal="center" wrapText="1"/>
      <protection hidden="1"/>
    </xf>
    <xf numFmtId="0" fontId="42" fillId="10" borderId="20" xfId="0" applyFont="1" applyFill="1" applyBorder="1" applyAlignment="1" applyProtection="1">
      <alignment horizontal="center" wrapText="1"/>
      <protection hidden="1"/>
    </xf>
    <xf numFmtId="0" fontId="42" fillId="10" borderId="26" xfId="0" applyFont="1" applyFill="1" applyBorder="1" applyAlignment="1" applyProtection="1">
      <alignment horizont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52" fillId="19" borderId="53" xfId="0" applyFont="1" applyFill="1" applyBorder="1" applyAlignment="1" applyProtection="1">
      <alignment horizontal="center" vertical="center" wrapText="1"/>
      <protection hidden="1"/>
    </xf>
    <xf numFmtId="0" fontId="27" fillId="20" borderId="29" xfId="0" applyFont="1" applyFill="1" applyBorder="1" applyAlignment="1" applyProtection="1">
      <alignment horizontal="center" vertical="center" wrapText="1"/>
      <protection hidden="1"/>
    </xf>
    <xf numFmtId="0" fontId="59" fillId="24" borderId="55" xfId="0" applyFont="1" applyFill="1" applyBorder="1" applyAlignment="1" applyProtection="1">
      <alignment horizontal="center" wrapText="1"/>
      <protection hidden="1"/>
    </xf>
    <xf numFmtId="0" fontId="59" fillId="24" borderId="56" xfId="0" applyFont="1" applyFill="1" applyBorder="1" applyAlignment="1" applyProtection="1">
      <alignment horizontal="center" wrapText="1"/>
      <protection hidden="1"/>
    </xf>
    <xf numFmtId="0" fontId="59" fillId="24" borderId="57" xfId="0" applyFont="1" applyFill="1" applyBorder="1" applyAlignment="1" applyProtection="1">
      <alignment horizont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117" fillId="0" borderId="0" xfId="0" applyFont="1" applyAlignment="1" applyProtection="1">
      <alignment horizontal="center" vertical="center" wrapText="1"/>
      <protection hidden="1"/>
    </xf>
    <xf numFmtId="0" fontId="45" fillId="0" borderId="33" xfId="0" applyFont="1" applyBorder="1" applyAlignment="1" applyProtection="1">
      <alignment horizontal="right" vertical="center"/>
      <protection hidden="1"/>
    </xf>
    <xf numFmtId="0" fontId="55" fillId="21" borderId="0" xfId="0" applyFont="1" applyFill="1" applyAlignment="1" applyProtection="1">
      <alignment horizontal="center" vertical="center"/>
      <protection hidden="1"/>
    </xf>
    <xf numFmtId="169" fontId="79" fillId="10" borderId="0" xfId="0" applyNumberFormat="1" applyFont="1" applyFill="1" applyAlignment="1" applyProtection="1">
      <alignment horizontal="center" vertical="center"/>
      <protection locked="0" hidden="1"/>
    </xf>
    <xf numFmtId="0" fontId="52" fillId="26" borderId="0" xfId="0" applyFont="1" applyFill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02" fillId="24" borderId="0" xfId="0" applyFont="1" applyFill="1" applyAlignment="1" applyProtection="1">
      <alignment horizontal="center" vertical="center" wrapText="1"/>
      <protection hidden="1"/>
    </xf>
    <xf numFmtId="0" fontId="65" fillId="24" borderId="0" xfId="0" applyFont="1" applyFill="1" applyAlignment="1" applyProtection="1">
      <alignment horizontal="center" vertical="center"/>
      <protection hidden="1"/>
    </xf>
    <xf numFmtId="169" fontId="45" fillId="0" borderId="0" xfId="0" applyNumberFormat="1" applyFont="1" applyAlignment="1" applyProtection="1">
      <alignment horizontal="center" vertical="center"/>
      <protection hidden="1"/>
    </xf>
    <xf numFmtId="178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68" xfId="0" applyFont="1" applyBorder="1" applyAlignment="1" applyProtection="1">
      <alignment horizontal="right" vertical="center"/>
      <protection hidden="1"/>
    </xf>
    <xf numFmtId="0" fontId="78" fillId="20" borderId="68" xfId="0" applyFont="1" applyFill="1" applyBorder="1" applyAlignment="1" applyProtection="1">
      <alignment horizontal="center" vertical="center" wrapText="1"/>
      <protection hidden="1"/>
    </xf>
    <xf numFmtId="0" fontId="78" fillId="20" borderId="68" xfId="0" applyFont="1" applyFill="1" applyBorder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 wrapText="1"/>
      <protection hidden="1"/>
    </xf>
    <xf numFmtId="3" fontId="58" fillId="21" borderId="0" xfId="0" applyNumberFormat="1" applyFont="1" applyFill="1" applyAlignment="1" applyProtection="1">
      <alignment horizontal="center" vertical="center"/>
      <protection hidden="1"/>
    </xf>
    <xf numFmtId="0" fontId="58" fillId="21" borderId="0" xfId="0" applyFont="1" applyFill="1" applyAlignment="1" applyProtection="1">
      <alignment horizontal="center" vertical="center"/>
      <protection hidden="1"/>
    </xf>
    <xf numFmtId="0" fontId="58" fillId="21" borderId="69" xfId="0" applyFont="1" applyFill="1" applyBorder="1" applyAlignment="1" applyProtection="1">
      <alignment horizontal="center" vertical="center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44" fillId="0" borderId="70" xfId="0" applyFont="1" applyBorder="1" applyAlignment="1" applyProtection="1">
      <alignment horizontal="center" vertical="center" wrapText="1"/>
      <protection hidden="1"/>
    </xf>
    <xf numFmtId="0" fontId="44" fillId="0" borderId="71" xfId="0" applyFont="1" applyBorder="1" applyAlignment="1" applyProtection="1">
      <alignment horizontal="center" vertical="center"/>
      <protection hidden="1"/>
    </xf>
    <xf numFmtId="177" fontId="114" fillId="0" borderId="71" xfId="0" applyNumberFormat="1" applyFont="1" applyBorder="1" applyAlignment="1" applyProtection="1">
      <alignment horizontal="center" vertical="center"/>
      <protection hidden="1"/>
    </xf>
    <xf numFmtId="0" fontId="114" fillId="0" borderId="71" xfId="0" applyFont="1" applyBorder="1" applyAlignment="1" applyProtection="1">
      <alignment horizontal="center" vertical="center"/>
      <protection hidden="1"/>
    </xf>
    <xf numFmtId="0" fontId="114" fillId="0" borderId="72" xfId="0" applyFont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center" vertical="center" wrapText="1"/>
      <protection hidden="1"/>
    </xf>
    <xf numFmtId="177" fontId="116" fillId="0" borderId="69" xfId="0" applyNumberFormat="1" applyFont="1" applyBorder="1" applyAlignment="1" applyProtection="1">
      <alignment horizontal="center" vertical="center" wrapText="1"/>
      <protection hidden="1"/>
    </xf>
    <xf numFmtId="0" fontId="52" fillId="21" borderId="0" xfId="0" applyFont="1" applyFill="1" applyAlignment="1" applyProtection="1">
      <alignment horizontal="center" vertical="center" wrapText="1"/>
      <protection hidden="1"/>
    </xf>
    <xf numFmtId="0" fontId="78" fillId="23" borderId="68" xfId="0" applyFont="1" applyFill="1" applyBorder="1" applyAlignment="1" applyProtection="1">
      <alignment horizontal="center" vertical="center" wrapText="1"/>
      <protection hidden="1"/>
    </xf>
    <xf numFmtId="0" fontId="84" fillId="10" borderId="33" xfId="0" applyFont="1" applyFill="1" applyBorder="1" applyAlignment="1" applyProtection="1">
      <alignment horizontal="center" vertical="center"/>
      <protection hidden="1"/>
    </xf>
    <xf numFmtId="177" fontId="58" fillId="21" borderId="0" xfId="1" applyNumberFormat="1" applyFont="1" applyFill="1" applyBorder="1" applyAlignment="1" applyProtection="1">
      <alignment horizontal="center" vertical="center" wrapText="1"/>
      <protection hidden="1"/>
    </xf>
    <xf numFmtId="177" fontId="46" fillId="0" borderId="0" xfId="0" applyNumberFormat="1" applyFont="1" applyAlignment="1" applyProtection="1">
      <alignment horizontal="center" vertical="center" wrapText="1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45" fillId="23" borderId="0" xfId="0" applyFont="1" applyFill="1" applyAlignment="1" applyProtection="1">
      <alignment horizontal="center" vertical="center" wrapText="1"/>
      <protection hidden="1"/>
    </xf>
    <xf numFmtId="177" fontId="114" fillId="0" borderId="72" xfId="0" applyNumberFormat="1" applyFont="1" applyBorder="1" applyAlignment="1" applyProtection="1">
      <alignment horizontal="center" vertical="center"/>
      <protection hidden="1"/>
    </xf>
    <xf numFmtId="3" fontId="58" fillId="21" borderId="69" xfId="0" applyNumberFormat="1" applyFont="1" applyFill="1" applyBorder="1" applyAlignment="1" applyProtection="1">
      <alignment horizontal="center" vertical="center"/>
      <protection hidden="1"/>
    </xf>
    <xf numFmtId="177" fontId="61" fillId="21" borderId="0" xfId="1" applyNumberFormat="1" applyFont="1" applyFill="1" applyBorder="1" applyAlignment="1" applyProtection="1">
      <alignment horizontal="center" vertical="center" wrapText="1"/>
      <protection hidden="1"/>
    </xf>
    <xf numFmtId="0" fontId="57" fillId="28" borderId="0" xfId="0" applyFont="1" applyFill="1" applyAlignment="1" applyProtection="1">
      <alignment horizontal="center" vertical="center"/>
      <protection hidden="1"/>
    </xf>
    <xf numFmtId="0" fontId="89" fillId="20" borderId="63" xfId="0" applyFont="1" applyFill="1" applyBorder="1" applyAlignment="1" applyProtection="1">
      <alignment horizontal="center" vertical="center" wrapText="1"/>
      <protection hidden="1"/>
    </xf>
    <xf numFmtId="0" fontId="89" fillId="20" borderId="27" xfId="0" applyFont="1" applyFill="1" applyBorder="1" applyAlignment="1" applyProtection="1">
      <alignment horizontal="center" vertical="center"/>
      <protection hidden="1"/>
    </xf>
    <xf numFmtId="0" fontId="130" fillId="24" borderId="0" xfId="0" applyFont="1" applyFill="1" applyAlignment="1" applyProtection="1">
      <alignment horizontal="center" vertical="center" wrapText="1"/>
      <protection hidden="1"/>
    </xf>
    <xf numFmtId="0" fontId="113" fillId="27" borderId="0" xfId="0" applyFont="1" applyFill="1" applyAlignment="1" applyProtection="1">
      <alignment horizontal="center" vertical="center"/>
      <protection hidden="1"/>
    </xf>
    <xf numFmtId="0" fontId="52" fillId="28" borderId="0" xfId="0" applyFont="1" applyFill="1" applyAlignment="1" applyProtection="1">
      <alignment horizontal="center" vertical="center" wrapText="1"/>
      <protection hidden="1"/>
    </xf>
    <xf numFmtId="0" fontId="55" fillId="28" borderId="0" xfId="0" applyFont="1" applyFill="1" applyAlignment="1" applyProtection="1">
      <alignment horizontal="center" vertical="center" wrapText="1"/>
      <protection hidden="1"/>
    </xf>
    <xf numFmtId="0" fontId="44" fillId="0" borderId="79" xfId="0" applyFont="1" applyBorder="1" applyAlignment="1" applyProtection="1">
      <alignment horizontal="center" vertical="center" wrapText="1"/>
      <protection hidden="1"/>
    </xf>
    <xf numFmtId="0" fontId="52" fillId="28" borderId="82" xfId="0" applyFont="1" applyFill="1" applyBorder="1" applyAlignment="1" applyProtection="1">
      <alignment horizontal="center" vertical="center" wrapText="1"/>
      <protection hidden="1"/>
    </xf>
    <xf numFmtId="0" fontId="52" fillId="28" borderId="81" xfId="0" applyFont="1" applyFill="1" applyBorder="1" applyAlignment="1" applyProtection="1">
      <alignment horizontal="center" vertical="center" wrapText="1"/>
      <protection hidden="1"/>
    </xf>
    <xf numFmtId="177" fontId="52" fillId="28" borderId="0" xfId="1" applyNumberFormat="1" applyFont="1" applyFill="1" applyBorder="1" applyAlignment="1" applyProtection="1">
      <alignment horizontal="center" vertical="center" wrapText="1"/>
      <protection hidden="1"/>
    </xf>
    <xf numFmtId="0" fontId="52" fillId="24" borderId="0" xfId="0" applyFont="1" applyFill="1" applyAlignment="1" applyProtection="1">
      <alignment horizontal="center" vertical="center"/>
      <protection hidden="1"/>
    </xf>
    <xf numFmtId="0" fontId="80" fillId="20" borderId="68" xfId="0" applyFont="1" applyFill="1" applyBorder="1" applyAlignment="1" applyProtection="1">
      <alignment horizontal="center" vertical="center" wrapText="1"/>
      <protection hidden="1"/>
    </xf>
    <xf numFmtId="0" fontId="61" fillId="28" borderId="0" xfId="0" applyFont="1" applyFill="1" applyAlignment="1" applyProtection="1">
      <alignment horizontal="center" vertical="center" wrapText="1"/>
      <protection hidden="1"/>
    </xf>
    <xf numFmtId="3" fontId="58" fillId="28" borderId="0" xfId="0" applyNumberFormat="1" applyFont="1" applyFill="1" applyAlignment="1" applyProtection="1">
      <alignment horizontal="center" vertical="center"/>
      <protection hidden="1"/>
    </xf>
    <xf numFmtId="0" fontId="58" fillId="28" borderId="0" xfId="0" applyFont="1" applyFill="1" applyAlignment="1" applyProtection="1">
      <alignment horizontal="center" vertical="center"/>
      <protection hidden="1"/>
    </xf>
    <xf numFmtId="0" fontId="58" fillId="28" borderId="69" xfId="0" applyFont="1" applyFill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left" vertical="center" wrapText="1"/>
      <protection hidden="1"/>
    </xf>
    <xf numFmtId="177" fontId="116" fillId="0" borderId="69" xfId="0" applyNumberFormat="1" applyFont="1" applyBorder="1" applyAlignment="1" applyProtection="1">
      <alignment horizontal="left" vertical="center" wrapText="1"/>
      <protection hidden="1"/>
    </xf>
    <xf numFmtId="0" fontId="61" fillId="28" borderId="0" xfId="0" applyFont="1" applyFill="1" applyAlignment="1" applyProtection="1">
      <alignment horizontal="center" vertical="center"/>
      <protection hidden="1"/>
    </xf>
    <xf numFmtId="0" fontId="0" fillId="2" borderId="3" xfId="0" applyFill="1" applyBorder="1" applyAlignment="1">
      <alignment horizontal="center"/>
    </xf>
    <xf numFmtId="0" fontId="91" fillId="0" borderId="0" xfId="0" applyFont="1" applyAlignment="1" applyProtection="1">
      <alignment horizontal="right" vertical="center"/>
      <protection hidden="1"/>
    </xf>
    <xf numFmtId="0" fontId="78" fillId="0" borderId="0" xfId="0" applyFont="1" applyAlignment="1">
      <alignment horizontal="center" vertical="center"/>
    </xf>
    <xf numFmtId="0" fontId="78" fillId="0" borderId="0" xfId="0" applyFont="1" applyAlignment="1">
      <alignment horizontal="right" vertical="center"/>
    </xf>
    <xf numFmtId="0" fontId="111" fillId="0" borderId="45" xfId="0" applyFont="1" applyBorder="1" applyAlignment="1" applyProtection="1">
      <alignment horizontal="left" vertical="center"/>
      <protection hidden="1"/>
    </xf>
    <xf numFmtId="0" fontId="111" fillId="0" borderId="0" xfId="0" applyFont="1" applyAlignment="1" applyProtection="1">
      <alignment horizontal="left" vertical="center"/>
      <protection hidden="1"/>
    </xf>
    <xf numFmtId="0" fontId="41" fillId="10" borderId="0" xfId="15" applyFont="1" applyFill="1" applyAlignment="1" applyProtection="1">
      <alignment horizontal="left"/>
      <protection hidden="1"/>
    </xf>
    <xf numFmtId="0" fontId="60" fillId="24" borderId="42" xfId="15" applyFont="1" applyFill="1" applyBorder="1" applyAlignment="1" applyProtection="1">
      <alignment horizontal="center" vertical="center"/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60" fillId="24" borderId="42" xfId="15" applyFont="1" applyFill="1" applyBorder="1" applyAlignment="1" applyProtection="1">
      <alignment horizontal="center" vertical="center" wrapText="1"/>
      <protection hidden="1"/>
    </xf>
    <xf numFmtId="0" fontId="60" fillId="24" borderId="67" xfId="15" applyFont="1" applyFill="1" applyBorder="1" applyAlignment="1" applyProtection="1">
      <alignment horizontal="center" vertical="center" wrapText="1"/>
      <protection hidden="1"/>
    </xf>
    <xf numFmtId="0" fontId="89" fillId="0" borderId="65" xfId="15" applyFont="1" applyBorder="1" applyAlignment="1" applyProtection="1">
      <alignment horizontal="center" vertical="center"/>
      <protection hidden="1"/>
    </xf>
    <xf numFmtId="0" fontId="89" fillId="0" borderId="66" xfId="15" applyFont="1" applyBorder="1" applyAlignment="1" applyProtection="1">
      <alignment horizontal="center" vertical="center"/>
      <protection hidden="1"/>
    </xf>
    <xf numFmtId="177" fontId="88" fillId="0" borderId="65" xfId="15" applyNumberFormat="1" applyFont="1" applyBorder="1" applyAlignment="1" applyProtection="1">
      <alignment horizontal="center"/>
      <protection hidden="1"/>
    </xf>
    <xf numFmtId="177" fontId="88" fillId="0" borderId="66" xfId="15" applyNumberFormat="1" applyFont="1" applyBorder="1" applyAlignment="1" applyProtection="1">
      <alignment horizontal="center"/>
      <protection hidden="1"/>
    </xf>
    <xf numFmtId="0" fontId="36" fillId="10" borderId="119" xfId="15" applyFont="1" applyFill="1" applyBorder="1" applyAlignment="1" applyProtection="1">
      <alignment horizontal="center"/>
      <protection hidden="1"/>
    </xf>
    <xf numFmtId="0" fontId="88" fillId="20" borderId="65" xfId="15" applyFont="1" applyFill="1" applyBorder="1" applyAlignment="1" applyProtection="1">
      <alignment horizontal="center"/>
      <protection locked="0"/>
    </xf>
    <xf numFmtId="0" fontId="88" fillId="20" borderId="66" xfId="15" applyFont="1" applyFill="1" applyBorder="1" applyAlignment="1" applyProtection="1">
      <alignment horizontal="center"/>
      <protection locked="0"/>
    </xf>
    <xf numFmtId="14" fontId="88" fillId="20" borderId="65" xfId="15" applyNumberFormat="1" applyFont="1" applyFill="1" applyBorder="1" applyAlignment="1" applyProtection="1">
      <alignment horizontal="center"/>
      <protection locked="0"/>
    </xf>
    <xf numFmtId="14" fontId="88" fillId="20" borderId="66" xfId="15" applyNumberFormat="1" applyFont="1" applyFill="1" applyBorder="1" applyAlignment="1" applyProtection="1">
      <alignment horizontal="center"/>
      <protection locked="0"/>
    </xf>
    <xf numFmtId="0" fontId="155" fillId="0" borderId="65" xfId="15" applyFont="1" applyBorder="1" applyAlignment="1" applyProtection="1">
      <alignment horizontal="center" vertical="center"/>
      <protection hidden="1"/>
    </xf>
    <xf numFmtId="0" fontId="155" fillId="0" borderId="66" xfId="15" applyFont="1" applyBorder="1" applyAlignment="1" applyProtection="1">
      <alignment horizontal="center" vertical="center"/>
      <protection hidden="1"/>
    </xf>
    <xf numFmtId="10" fontId="88" fillId="10" borderId="65" xfId="1" applyNumberFormat="1" applyFont="1" applyFill="1" applyBorder="1" applyAlignment="1" applyProtection="1">
      <alignment horizontal="center"/>
      <protection hidden="1"/>
    </xf>
    <xf numFmtId="10" fontId="88" fillId="10" borderId="66" xfId="1" applyNumberFormat="1" applyFont="1" applyFill="1" applyBorder="1" applyAlignment="1" applyProtection="1">
      <alignment horizontal="center"/>
      <protection hidden="1"/>
    </xf>
    <xf numFmtId="10" fontId="88" fillId="0" borderId="65" xfId="15" applyNumberFormat="1" applyFont="1" applyBorder="1" applyAlignment="1" applyProtection="1">
      <alignment horizontal="center"/>
      <protection hidden="1"/>
    </xf>
    <xf numFmtId="10" fontId="88" fillId="0" borderId="66" xfId="15" applyNumberFormat="1" applyFont="1" applyBorder="1" applyAlignment="1" applyProtection="1">
      <alignment horizontal="center"/>
      <protection hidden="1"/>
    </xf>
    <xf numFmtId="0" fontId="89" fillId="0" borderId="47" xfId="15" applyFont="1" applyBorder="1" applyAlignment="1" applyProtection="1">
      <alignment horizontal="center" vertical="center"/>
      <protection hidden="1"/>
    </xf>
    <xf numFmtId="0" fontId="88" fillId="20" borderId="47" xfId="15" applyFont="1" applyFill="1" applyBorder="1" applyAlignment="1" applyProtection="1">
      <alignment horizontal="center" vertical="center"/>
      <protection locked="0"/>
    </xf>
    <xf numFmtId="177" fontId="88" fillId="20" borderId="65" xfId="15" applyNumberFormat="1" applyFont="1" applyFill="1" applyBorder="1" applyAlignment="1" applyProtection="1">
      <alignment horizontal="center"/>
      <protection locked="0"/>
    </xf>
    <xf numFmtId="177" fontId="88" fillId="20" borderId="66" xfId="15" applyNumberFormat="1" applyFont="1" applyFill="1" applyBorder="1" applyAlignment="1" applyProtection="1">
      <alignment horizontal="center"/>
      <protection locked="0"/>
    </xf>
    <xf numFmtId="0" fontId="89" fillId="0" borderId="65" xfId="15" applyFont="1" applyBorder="1" applyAlignment="1" applyProtection="1">
      <alignment horizontal="center" vertical="center" wrapText="1"/>
      <protection hidden="1"/>
    </xf>
    <xf numFmtId="0" fontId="89" fillId="0" borderId="66" xfId="15" applyFont="1" applyBorder="1" applyAlignment="1" applyProtection="1">
      <alignment horizontal="center" vertical="center" wrapText="1"/>
      <protection hidden="1"/>
    </xf>
    <xf numFmtId="0" fontId="42" fillId="10" borderId="0" xfId="0" applyFont="1" applyFill="1" applyAlignment="1" applyProtection="1">
      <alignment horizontal="left" vertical="center" wrapText="1"/>
      <protection hidden="1"/>
    </xf>
    <xf numFmtId="0" fontId="57" fillId="19" borderId="44" xfId="0" applyFont="1" applyFill="1" applyBorder="1" applyAlignment="1" applyProtection="1">
      <alignment horizontal="center" vertical="center"/>
      <protection hidden="1"/>
    </xf>
    <xf numFmtId="0" fontId="57" fillId="19" borderId="45" xfId="0" applyFont="1" applyFill="1" applyBorder="1" applyAlignment="1" applyProtection="1">
      <alignment horizontal="center" vertical="center"/>
      <protection hidden="1"/>
    </xf>
    <xf numFmtId="0" fontId="57" fillId="19" borderId="46" xfId="0" applyFont="1" applyFill="1" applyBorder="1" applyAlignment="1" applyProtection="1">
      <alignment horizontal="center" vertical="center"/>
      <protection hidden="1"/>
    </xf>
    <xf numFmtId="0" fontId="90" fillId="0" borderId="47" xfId="15" applyFont="1" applyBorder="1" applyAlignment="1" applyProtection="1">
      <alignment horizontal="center" vertical="center"/>
      <protection hidden="1"/>
    </xf>
    <xf numFmtId="177" fontId="88" fillId="20" borderId="47" xfId="15" applyNumberFormat="1" applyFont="1" applyFill="1" applyBorder="1" applyAlignment="1" applyProtection="1">
      <alignment horizontal="center"/>
      <protection locked="0"/>
    </xf>
    <xf numFmtId="0" fontId="88" fillId="10" borderId="119" xfId="15" applyFont="1" applyFill="1" applyBorder="1" applyAlignment="1" applyProtection="1">
      <alignment horizontal="center"/>
      <protection hidden="1"/>
    </xf>
    <xf numFmtId="177" fontId="88" fillId="10" borderId="119" xfId="15" applyNumberFormat="1" applyFont="1" applyFill="1" applyBorder="1" applyAlignment="1" applyProtection="1">
      <alignment horizontal="center" wrapText="1"/>
      <protection hidden="1"/>
    </xf>
    <xf numFmtId="0" fontId="106" fillId="10" borderId="0" xfId="15" applyFont="1" applyFill="1" applyAlignment="1" applyProtection="1">
      <alignment horizontal="left"/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60" fillId="24" borderId="47" xfId="15" applyFont="1" applyFill="1" applyBorder="1" applyAlignment="1" applyProtection="1">
      <alignment horizontal="center" vertical="center" wrapText="1"/>
      <protection hidden="1"/>
    </xf>
    <xf numFmtId="0" fontId="88" fillId="10" borderId="65" xfId="15" applyFont="1" applyFill="1" applyBorder="1" applyAlignment="1" applyProtection="1">
      <alignment horizontal="center"/>
      <protection hidden="1"/>
    </xf>
    <xf numFmtId="0" fontId="88" fillId="10" borderId="66" xfId="15" applyFont="1" applyFill="1" applyBorder="1" applyAlignment="1" applyProtection="1">
      <alignment horizontal="center"/>
      <protection hidden="1"/>
    </xf>
    <xf numFmtId="8" fontId="105" fillId="10" borderId="47" xfId="15" applyNumberFormat="1" applyFont="1" applyFill="1" applyBorder="1" applyAlignment="1" applyProtection="1">
      <alignment horizontal="center"/>
      <protection hidden="1"/>
    </xf>
    <xf numFmtId="0" fontId="105" fillId="10" borderId="47" xfId="15" applyFont="1" applyFill="1" applyBorder="1" applyAlignment="1" applyProtection="1">
      <alignment horizontal="center"/>
      <protection hidden="1"/>
    </xf>
    <xf numFmtId="177" fontId="88" fillId="10" borderId="47" xfId="15" applyNumberFormat="1" applyFont="1" applyFill="1" applyBorder="1" applyAlignment="1" applyProtection="1">
      <alignment horizontal="center"/>
      <protection hidden="1"/>
    </xf>
    <xf numFmtId="0" fontId="88" fillId="20" borderId="47" xfId="15" applyFont="1" applyFill="1" applyBorder="1" applyAlignment="1" applyProtection="1">
      <alignment horizontal="center"/>
      <protection locked="0"/>
    </xf>
    <xf numFmtId="14" fontId="88" fillId="20" borderId="47" xfId="15" applyNumberFormat="1" applyFont="1" applyFill="1" applyBorder="1" applyAlignment="1" applyProtection="1">
      <alignment horizontal="center"/>
      <protection locked="0"/>
    </xf>
    <xf numFmtId="0" fontId="107" fillId="10" borderId="65" xfId="15" applyFont="1" applyFill="1" applyBorder="1" applyAlignment="1" applyProtection="1">
      <alignment horizontal="center"/>
      <protection hidden="1"/>
    </xf>
    <xf numFmtId="0" fontId="107" fillId="10" borderId="66" xfId="15" applyFont="1" applyFill="1" applyBorder="1" applyAlignment="1" applyProtection="1">
      <alignment horizontal="center"/>
      <protection hidden="1"/>
    </xf>
    <xf numFmtId="0" fontId="105" fillId="20" borderId="47" xfId="15" applyFont="1" applyFill="1" applyBorder="1" applyAlignment="1" applyProtection="1">
      <alignment horizontal="center"/>
      <protection locked="0" hidden="1"/>
    </xf>
    <xf numFmtId="0" fontId="156" fillId="10" borderId="65" xfId="15" applyFont="1" applyFill="1" applyBorder="1" applyAlignment="1" applyProtection="1">
      <alignment horizontal="center"/>
      <protection hidden="1"/>
    </xf>
    <xf numFmtId="0" fontId="156" fillId="10" borderId="66" xfId="15" applyFont="1" applyFill="1" applyBorder="1" applyAlignment="1" applyProtection="1">
      <alignment horizontal="center"/>
      <protection hidden="1"/>
    </xf>
    <xf numFmtId="10" fontId="88" fillId="10" borderId="47" xfId="15" applyNumberFormat="1" applyFont="1" applyFill="1" applyBorder="1" applyAlignment="1" applyProtection="1">
      <alignment horizontal="center"/>
      <protection hidden="1"/>
    </xf>
    <xf numFmtId="0" fontId="108" fillId="10" borderId="0" xfId="15" applyFont="1" applyFill="1" applyAlignment="1" applyProtection="1">
      <alignment horizontal="left" vertical="center"/>
      <protection hidden="1"/>
    </xf>
    <xf numFmtId="0" fontId="60" fillId="26" borderId="0" xfId="0" applyFont="1" applyFill="1" applyAlignment="1" applyProtection="1">
      <alignment horizontal="center" vertical="center"/>
      <protection hidden="1"/>
    </xf>
    <xf numFmtId="0" fontId="60" fillId="26" borderId="53" xfId="0" applyFont="1" applyFill="1" applyBorder="1" applyAlignment="1" applyProtection="1">
      <alignment horizontal="center" vertical="center"/>
      <protection hidden="1"/>
    </xf>
    <xf numFmtId="0" fontId="60" fillId="24" borderId="0" xfId="0" applyFont="1" applyFill="1" applyAlignment="1">
      <alignment horizontal="center" vertical="center" wrapText="1"/>
    </xf>
    <xf numFmtId="0" fontId="91" fillId="0" borderId="0" xfId="0" applyFont="1" applyAlignment="1" applyProtection="1">
      <alignment horizontal="center" vertical="center"/>
      <protection hidden="1"/>
    </xf>
    <xf numFmtId="0" fontId="91" fillId="0" borderId="33" xfId="0" applyFont="1" applyBorder="1" applyAlignment="1" applyProtection="1">
      <alignment horizontal="center" vertical="center"/>
      <protection hidden="1"/>
    </xf>
    <xf numFmtId="0" fontId="98" fillId="0" borderId="0" xfId="0" applyFont="1" applyAlignment="1">
      <alignment horizontal="center" vertical="center" wrapText="1"/>
    </xf>
    <xf numFmtId="0" fontId="51" fillId="24" borderId="0" xfId="0" applyFont="1" applyFill="1" applyAlignment="1">
      <alignment horizontal="center" vertical="center"/>
    </xf>
    <xf numFmtId="0" fontId="100" fillId="0" borderId="73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0" fontId="95" fillId="0" borderId="0" xfId="0" applyFont="1" applyAlignment="1" applyProtection="1">
      <alignment horizontal="center"/>
      <protection hidden="1"/>
    </xf>
    <xf numFmtId="0" fontId="95" fillId="0" borderId="33" xfId="0" applyFont="1" applyBorder="1" applyAlignment="1" applyProtection="1">
      <alignment horizontal="center"/>
      <protection hidden="1"/>
    </xf>
    <xf numFmtId="172" fontId="76" fillId="20" borderId="29" xfId="0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5" fillId="0" borderId="0" xfId="0" applyFont="1" applyAlignment="1" applyProtection="1">
      <alignment horizontal="center" vertical="center"/>
      <protection hidden="1"/>
    </xf>
    <xf numFmtId="173" fontId="63" fillId="20" borderId="29" xfId="2" applyNumberFormat="1" applyFont="1" applyFill="1" applyBorder="1" applyAlignment="1" applyProtection="1">
      <alignment horizontal="left" vertical="center"/>
      <protection locked="0"/>
    </xf>
    <xf numFmtId="173" fontId="63" fillId="20" borderId="29" xfId="2" applyNumberFormat="1" applyFont="1" applyFill="1" applyBorder="1" applyAlignment="1" applyProtection="1">
      <alignment horizontal="center"/>
      <protection locked="0"/>
    </xf>
    <xf numFmtId="0" fontId="63" fillId="20" borderId="29" xfId="0" applyFont="1" applyFill="1" applyBorder="1" applyAlignment="1" applyProtection="1">
      <alignment horizontal="center" vertical="center"/>
      <protection locked="0"/>
    </xf>
    <xf numFmtId="0" fontId="42" fillId="10" borderId="48" xfId="0" applyFont="1" applyFill="1" applyBorder="1" applyAlignment="1" applyProtection="1">
      <alignment horizontal="right" vertical="top" wrapText="1"/>
      <protection hidden="1"/>
    </xf>
    <xf numFmtId="0" fontId="42" fillId="10" borderId="49" xfId="0" applyFont="1" applyFill="1" applyBorder="1" applyAlignment="1" applyProtection="1">
      <alignment horizontal="right" vertical="top" wrapText="1"/>
      <protection hidden="1"/>
    </xf>
    <xf numFmtId="0" fontId="42" fillId="10" borderId="50" xfId="0" applyFont="1" applyFill="1" applyBorder="1" applyAlignment="1" applyProtection="1">
      <alignment horizontal="right" vertical="top" wrapText="1"/>
      <protection hidden="1"/>
    </xf>
    <xf numFmtId="0" fontId="80" fillId="10" borderId="51" xfId="0" applyFont="1" applyFill="1" applyBorder="1" applyAlignment="1" applyProtection="1">
      <alignment horizontal="center" vertical="center" wrapText="1"/>
      <protection hidden="1"/>
    </xf>
    <xf numFmtId="0" fontId="80" fillId="10" borderId="0" xfId="0" applyFont="1" applyFill="1" applyAlignment="1" applyProtection="1">
      <alignment horizontal="center" vertical="center" wrapText="1"/>
      <protection hidden="1"/>
    </xf>
    <xf numFmtId="0" fontId="80" fillId="10" borderId="52" xfId="0" applyFont="1" applyFill="1" applyBorder="1" applyAlignment="1" applyProtection="1">
      <alignment horizontal="center" vertical="center" wrapText="1"/>
      <protection hidden="1"/>
    </xf>
    <xf numFmtId="167" fontId="95" fillId="0" borderId="0" xfId="0" applyNumberFormat="1" applyFont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>
      <alignment horizontal="center" vertical="center"/>
    </xf>
    <xf numFmtId="0" fontId="42" fillId="10" borderId="0" xfId="0" applyFont="1" applyFill="1" applyAlignment="1" applyProtection="1">
      <alignment horizontal="center" vertical="top" wrapText="1"/>
      <protection hidden="1"/>
    </xf>
    <xf numFmtId="170" fontId="97" fillId="20" borderId="29" xfId="0" applyNumberFormat="1" applyFont="1" applyFill="1" applyBorder="1" applyAlignment="1" applyProtection="1">
      <alignment horizontal="center" vertical="center"/>
      <protection locked="0"/>
    </xf>
    <xf numFmtId="169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 applyProtection="1">
      <alignment horizontal="center" vertical="center"/>
      <protection locked="0"/>
    </xf>
    <xf numFmtId="0" fontId="11" fillId="0" borderId="3" xfId="0" applyNumberFormat="1" applyFont="1" applyBorder="1" applyProtection="1">
      <protection hidden="1"/>
    </xf>
    <xf numFmtId="0" fontId="11" fillId="0" borderId="0" xfId="0" applyFont="1" applyFill="1" applyProtection="1">
      <protection hidden="1"/>
    </xf>
    <xf numFmtId="0" fontId="11" fillId="0" borderId="0" xfId="0" applyFont="1" applyFill="1" applyAlignment="1" applyProtection="1">
      <alignment horizontal="center" vertical="center"/>
      <protection hidden="1"/>
    </xf>
    <xf numFmtId="10" fontId="11" fillId="0" borderId="0" xfId="0" applyNumberFormat="1" applyFont="1" applyFill="1" applyAlignment="1" applyProtection="1">
      <alignment horizontal="center"/>
      <protection hidden="1"/>
    </xf>
    <xf numFmtId="0" fontId="22" fillId="7" borderId="0" xfId="0" applyFont="1" applyFill="1" applyBorder="1" applyAlignment="1" applyProtection="1">
      <alignment horizontal="center" vertical="center"/>
      <protection hidden="1"/>
    </xf>
    <xf numFmtId="10" fontId="11" fillId="0" borderId="0" xfId="0" applyNumberFormat="1" applyFont="1" applyFill="1" applyProtection="1">
      <protection hidden="1"/>
    </xf>
    <xf numFmtId="0" fontId="18" fillId="7" borderId="0" xfId="0" applyFont="1" applyFill="1" applyBorder="1" applyAlignment="1" applyProtection="1">
      <alignment vertical="top" wrapText="1"/>
      <protection hidden="1"/>
    </xf>
    <xf numFmtId="0" fontId="18" fillId="7" borderId="0" xfId="0" applyFont="1" applyFill="1" applyBorder="1" applyAlignment="1" applyProtection="1">
      <alignment horizontal="center" vertical="top" wrapText="1"/>
      <protection hidden="1"/>
    </xf>
    <xf numFmtId="0" fontId="20" fillId="7" borderId="0" xfId="0" applyFont="1" applyFill="1" applyBorder="1" applyAlignment="1" applyProtection="1">
      <alignment horizontal="center" vertical="top" wrapText="1"/>
      <protection hidden="1"/>
    </xf>
    <xf numFmtId="0" fontId="23" fillId="2" borderId="0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Border="1" applyAlignment="1" applyProtection="1">
      <alignment vertical="top" wrapText="1"/>
      <protection hidden="1"/>
    </xf>
    <xf numFmtId="0" fontId="18" fillId="16" borderId="0" xfId="0" applyFont="1" applyFill="1" applyBorder="1" applyAlignment="1" applyProtection="1">
      <alignment horizontal="center" vertical="top" wrapText="1"/>
      <protection hidden="1"/>
    </xf>
    <xf numFmtId="0" fontId="20" fillId="16" borderId="0" xfId="0" applyFont="1" applyFill="1" applyBorder="1" applyAlignment="1" applyProtection="1">
      <alignment horizontal="center" vertical="top" wrapText="1"/>
      <protection hidden="1"/>
    </xf>
    <xf numFmtId="0" fontId="23" fillId="16" borderId="0" xfId="0" applyFont="1" applyFill="1" applyBorder="1" applyAlignment="1" applyProtection="1">
      <alignment horizontal="center" vertical="top" wrapText="1"/>
      <protection hidden="1"/>
    </xf>
    <xf numFmtId="14" fontId="18" fillId="7" borderId="0" xfId="0" applyNumberFormat="1" applyFont="1" applyFill="1" applyBorder="1" applyAlignment="1" applyProtection="1">
      <alignment horizontal="center" vertical="top" wrapText="1"/>
      <protection hidden="1"/>
    </xf>
    <xf numFmtId="14" fontId="0" fillId="0" borderId="0" xfId="0" applyNumberFormat="1" applyProtection="1"/>
    <xf numFmtId="0" fontId="136" fillId="32" borderId="86" xfId="0" applyFont="1" applyFill="1" applyBorder="1" applyAlignment="1">
      <alignment vertical="center"/>
    </xf>
    <xf numFmtId="0" fontId="136" fillId="32" borderId="2" xfId="0" applyFont="1" applyFill="1" applyBorder="1" applyAlignment="1">
      <alignment vertical="center"/>
    </xf>
    <xf numFmtId="0" fontId="18" fillId="7" borderId="0" xfId="0" applyFont="1" applyFill="1" applyBorder="1" applyAlignment="1" applyProtection="1">
      <alignment vertical="top"/>
      <protection hidden="1"/>
    </xf>
    <xf numFmtId="14" fontId="15" fillId="9" borderId="0" xfId="0" applyNumberFormat="1" applyFont="1" applyFill="1" applyBorder="1" applyAlignment="1" applyProtection="1">
      <alignment horizontal="center"/>
      <protection hidden="1"/>
    </xf>
    <xf numFmtId="170" fontId="18" fillId="5" borderId="0" xfId="0" applyNumberFormat="1" applyFont="1" applyFill="1" applyBorder="1" applyAlignment="1" applyProtection="1">
      <alignment horizontal="center"/>
      <protection hidden="1"/>
    </xf>
    <xf numFmtId="165" fontId="19" fillId="7" borderId="0" xfId="0" applyNumberFormat="1" applyFont="1" applyFill="1" applyBorder="1" applyAlignment="1" applyProtection="1">
      <alignment horizontal="center" vertical="top"/>
      <protection hidden="1"/>
    </xf>
    <xf numFmtId="0" fontId="18" fillId="16" borderId="0" xfId="0" applyFont="1" applyFill="1" applyBorder="1" applyAlignment="1" applyProtection="1">
      <alignment vertical="top"/>
      <protection hidden="1"/>
    </xf>
    <xf numFmtId="14" fontId="18" fillId="16" borderId="0" xfId="0" applyNumberFormat="1" applyFont="1" applyFill="1" applyBorder="1" applyAlignment="1" applyProtection="1">
      <alignment horizontal="center"/>
      <protection hidden="1"/>
    </xf>
    <xf numFmtId="165" fontId="19" fillId="16" borderId="0" xfId="0" applyNumberFormat="1" applyFont="1" applyFill="1" applyBorder="1" applyAlignment="1" applyProtection="1">
      <alignment horizontal="center" vertical="top"/>
      <protection hidden="1"/>
    </xf>
    <xf numFmtId="0" fontId="160" fillId="0" borderId="86" xfId="0" applyFont="1" applyBorder="1" applyAlignment="1">
      <alignment vertical="center"/>
    </xf>
    <xf numFmtId="0" fontId="161" fillId="0" borderId="2" xfId="0" applyFont="1" applyBorder="1" applyAlignment="1">
      <alignment vertical="center"/>
    </xf>
    <xf numFmtId="165" fontId="19" fillId="7" borderId="0" xfId="0" quotePrefix="1" applyNumberFormat="1" applyFont="1" applyFill="1" applyBorder="1" applyAlignment="1" applyProtection="1">
      <alignment horizontal="center" vertical="top"/>
      <protection hidden="1"/>
    </xf>
    <xf numFmtId="14" fontId="19" fillId="7" borderId="0" xfId="0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Border="1" applyAlignment="1" applyProtection="1">
      <alignment horizontal="right"/>
      <protection hidden="1"/>
    </xf>
    <xf numFmtId="14" fontId="19" fillId="16" borderId="0" xfId="0" applyNumberFormat="1" applyFont="1" applyFill="1" applyBorder="1" applyAlignment="1" applyProtection="1">
      <alignment horizontal="center"/>
      <protection hidden="1"/>
    </xf>
    <xf numFmtId="0" fontId="160" fillId="0" borderId="2" xfId="0" applyFont="1" applyBorder="1" applyAlignment="1">
      <alignment vertical="center"/>
    </xf>
    <xf numFmtId="0" fontId="12" fillId="0" borderId="100" xfId="0" applyFont="1" applyFill="1" applyBorder="1" applyAlignment="1" applyProtection="1">
      <alignment horizontal="center" vertical="center"/>
      <protection locked="0" hidden="1"/>
    </xf>
    <xf numFmtId="0" fontId="136" fillId="32" borderId="97" xfId="0" applyFont="1" applyFill="1" applyBorder="1" applyAlignment="1">
      <alignment horizontal="center" vertical="center"/>
    </xf>
    <xf numFmtId="0" fontId="136" fillId="32" borderId="98" xfId="0" applyFont="1" applyFill="1" applyBorder="1" applyAlignment="1">
      <alignment horizontal="center" vertical="center"/>
    </xf>
    <xf numFmtId="0" fontId="136" fillId="32" borderId="99" xfId="0" applyFont="1" applyFill="1" applyBorder="1" applyAlignment="1">
      <alignment horizontal="center" vertical="center"/>
    </xf>
    <xf numFmtId="165" fontId="19" fillId="16" borderId="0" xfId="0" quotePrefix="1" applyNumberFormat="1" applyFont="1" applyFill="1" applyBorder="1" applyAlignment="1" applyProtection="1">
      <alignment horizontal="right" vertical="top"/>
      <protection hidden="1"/>
    </xf>
    <xf numFmtId="14" fontId="19" fillId="16" borderId="0" xfId="0" applyNumberFormat="1" applyFont="1" applyFill="1" applyBorder="1" applyAlignment="1" applyProtection="1">
      <alignment horizontal="center" vertical="top"/>
      <protection hidden="1"/>
    </xf>
    <xf numFmtId="0" fontId="31" fillId="37" borderId="103" xfId="0" applyFont="1" applyFill="1" applyBorder="1" applyAlignment="1" applyProtection="1">
      <alignment horizontal="center" vertical="center" wrapText="1"/>
      <protection hidden="1"/>
    </xf>
    <xf numFmtId="10" fontId="11" fillId="0" borderId="0" xfId="0" applyNumberFormat="1" applyFont="1" applyFill="1" applyAlignment="1" applyProtection="1">
      <alignment vertical="top"/>
      <protection hidden="1"/>
    </xf>
    <xf numFmtId="0" fontId="12" fillId="0" borderId="13" xfId="0" applyFont="1" applyFill="1" applyBorder="1" applyAlignment="1" applyProtection="1">
      <alignment horizontal="center" vertical="center"/>
      <protection locked="0" hidden="1"/>
    </xf>
    <xf numFmtId="10" fontId="11" fillId="0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Border="1" applyAlignment="1" applyProtection="1">
      <alignment horizontal="center" vertical="top"/>
      <protection hidden="1"/>
    </xf>
    <xf numFmtId="0" fontId="0" fillId="17" borderId="0" xfId="0" applyFill="1" applyBorder="1" applyAlignment="1">
      <alignment horizontal="right"/>
    </xf>
    <xf numFmtId="0" fontId="12" fillId="8" borderId="0" xfId="0" applyFont="1" applyFill="1" applyBorder="1" applyAlignment="1" applyProtection="1">
      <alignment horizontal="center"/>
      <protection hidden="1"/>
    </xf>
    <xf numFmtId="0" fontId="17" fillId="6" borderId="0" xfId="0" applyFont="1" applyFill="1" applyBorder="1" applyAlignment="1" applyProtection="1">
      <alignment horizontal="center"/>
      <protection hidden="1"/>
    </xf>
    <xf numFmtId="0" fontId="11" fillId="0" borderId="0" xfId="0" applyFont="1" applyFill="1" applyBorder="1" applyAlignment="1" applyProtection="1">
      <alignment horizontal="center"/>
      <protection hidden="1"/>
    </xf>
    <xf numFmtId="167" fontId="14" fillId="0" borderId="0" xfId="0" applyNumberFormat="1" applyFont="1" applyFill="1" applyBorder="1" applyAlignment="1" applyProtection="1">
      <alignment horizontal="left"/>
      <protection hidden="1"/>
    </xf>
    <xf numFmtId="14" fontId="19" fillId="7" borderId="0" xfId="0" applyNumberFormat="1" applyFont="1" applyFill="1" applyBorder="1" applyAlignment="1" applyProtection="1">
      <alignment horizontal="center"/>
      <protection hidden="1"/>
    </xf>
    <xf numFmtId="0" fontId="19" fillId="8" borderId="0" xfId="0" applyFont="1" applyFill="1" applyBorder="1" applyAlignment="1" applyProtection="1">
      <alignment horizontal="left"/>
      <protection hidden="1"/>
    </xf>
    <xf numFmtId="170" fontId="17" fillId="6" borderId="0" xfId="0" applyNumberFormat="1" applyFont="1" applyFill="1" applyBorder="1" applyAlignment="1" applyProtection="1">
      <alignment horizontal="center"/>
      <protection hidden="1"/>
    </xf>
    <xf numFmtId="171" fontId="13" fillId="0" borderId="0" xfId="0" applyNumberFormat="1" applyFont="1" applyFill="1" applyBorder="1" applyAlignment="1" applyProtection="1">
      <alignment horizontal="center"/>
      <protection hidden="1"/>
    </xf>
    <xf numFmtId="0" fontId="19" fillId="8" borderId="0" xfId="0" applyFont="1" applyFill="1" applyBorder="1" applyProtection="1">
      <protection hidden="1"/>
    </xf>
    <xf numFmtId="170" fontId="16" fillId="6" borderId="0" xfId="0" applyNumberFormat="1" applyFont="1" applyFill="1" applyBorder="1" applyAlignment="1" applyProtection="1">
      <alignment horizontal="center"/>
      <protection hidden="1"/>
    </xf>
    <xf numFmtId="0" fontId="11" fillId="8" borderId="0" xfId="0" applyFont="1" applyFill="1" applyBorder="1" applyAlignment="1" applyProtection="1">
      <alignment horizontal="center"/>
      <protection hidden="1"/>
    </xf>
    <xf numFmtId="0" fontId="16" fillId="6" borderId="0" xfId="0" applyFont="1" applyFill="1" applyBorder="1" applyAlignment="1" applyProtection="1">
      <alignment horizontal="center"/>
      <protection hidden="1"/>
    </xf>
    <xf numFmtId="14" fontId="12" fillId="0" borderId="0" xfId="0" applyNumberFormat="1" applyFont="1" applyFill="1" applyAlignment="1" applyProtection="1">
      <alignment horizontal="center"/>
      <protection hidden="1"/>
    </xf>
    <xf numFmtId="167" fontId="11" fillId="0" borderId="0" xfId="0" applyNumberFormat="1" applyFont="1" applyFill="1" applyBorder="1" applyProtection="1">
      <protection hidden="1"/>
    </xf>
    <xf numFmtId="0" fontId="12" fillId="0" borderId="0" xfId="0" applyFont="1" applyFill="1" applyProtection="1">
      <protection hidden="1"/>
    </xf>
    <xf numFmtId="0" fontId="18" fillId="3" borderId="0" xfId="0" applyFont="1" applyFill="1" applyBorder="1" applyAlignment="1" applyProtection="1">
      <alignment horizontal="right"/>
      <protection hidden="1"/>
    </xf>
    <xf numFmtId="10" fontId="12" fillId="0" borderId="0" xfId="0" applyNumberFormat="1" applyFont="1" applyBorder="1" applyAlignment="1" applyProtection="1">
      <alignment horizontal="center"/>
      <protection hidden="1"/>
    </xf>
    <xf numFmtId="0" fontId="19" fillId="3" borderId="0" xfId="0" applyFont="1" applyFill="1" applyBorder="1" applyProtection="1">
      <protection hidden="1"/>
    </xf>
    <xf numFmtId="167" fontId="18" fillId="2" borderId="0" xfId="0" applyNumberFormat="1" applyFont="1" applyFill="1" applyBorder="1" applyAlignment="1" applyProtection="1">
      <alignment horizontal="center"/>
      <protection hidden="1"/>
    </xf>
    <xf numFmtId="167" fontId="18" fillId="3" borderId="0" xfId="0" applyNumberFormat="1" applyFont="1" applyFill="1" applyBorder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vertical="center" wrapText="1"/>
      <protection hidden="1"/>
    </xf>
    <xf numFmtId="0" fontId="31" fillId="37" borderId="106" xfId="0" applyFont="1" applyFill="1" applyBorder="1" applyAlignment="1" applyProtection="1">
      <alignment horizontal="center" vertical="center" wrapText="1"/>
      <protection hidden="1"/>
    </xf>
    <xf numFmtId="0" fontId="31" fillId="37" borderId="0" xfId="0" applyFont="1" applyFill="1" applyBorder="1" applyAlignment="1" applyProtection="1">
      <alignment horizontal="center" vertical="center" wrapText="1"/>
      <protection hidden="1"/>
    </xf>
    <xf numFmtId="0" fontId="44" fillId="18" borderId="32" xfId="0" applyFont="1" applyFill="1" applyBorder="1" applyAlignment="1" applyProtection="1">
      <alignment horizontal="center" vertical="top" wrapText="1"/>
      <protection hidden="1"/>
    </xf>
    <xf numFmtId="166" fontId="11" fillId="0" borderId="0" xfId="0" applyNumberFormat="1" applyFont="1" applyAlignment="1" applyProtection="1">
      <alignment horizontal="center"/>
      <protection hidden="1"/>
    </xf>
    <xf numFmtId="177" fontId="46" fillId="38" borderId="0" xfId="0" applyNumberFormat="1" applyFont="1" applyFill="1" applyAlignment="1" applyProtection="1">
      <alignment horizontal="center" vertical="center"/>
      <protection hidden="1"/>
    </xf>
    <xf numFmtId="177" fontId="44" fillId="38" borderId="32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vertical="center"/>
      <protection locked="0" hidden="1"/>
    </xf>
    <xf numFmtId="0" fontId="46" fillId="20" borderId="29" xfId="0" applyFont="1" applyFill="1" applyBorder="1" applyAlignment="1" applyProtection="1">
      <alignment vertical="center"/>
      <protection locked="0" hidden="1"/>
    </xf>
    <xf numFmtId="0" fontId="73" fillId="0" borderId="0" xfId="0" applyFont="1" applyAlignment="1" applyProtection="1">
      <alignment horizontal="left" vertical="center"/>
      <protection hidden="1"/>
    </xf>
    <xf numFmtId="0" fontId="56" fillId="0" borderId="120" xfId="0" applyFont="1" applyBorder="1" applyAlignment="1" applyProtection="1">
      <alignment horizontal="center" vertical="center"/>
      <protection hidden="1"/>
    </xf>
  </cellXfs>
  <cellStyles count="16">
    <cellStyle name="Обычный" xfId="0" builtinId="0"/>
    <cellStyle name="Обычный 2" xfId="3"/>
    <cellStyle name="Обычный 2 2" xfId="13"/>
    <cellStyle name="Обычный 3" xfId="10"/>
    <cellStyle name="Обычный 4" xfId="4"/>
    <cellStyle name="Обычный 4 2" xfId="5"/>
    <cellStyle name="Обычный 4 2 2" xfId="6"/>
    <cellStyle name="Обычный 4 2 2 2" xfId="7"/>
    <cellStyle name="Обычный 4 2 2 2 2" xfId="8"/>
    <cellStyle name="Обычный 4 2 2 2 2 2" xfId="9"/>
    <cellStyle name="Обычный 4 2 2 2 2 2 2" xfId="15"/>
    <cellStyle name="Процентный" xfId="1" builtinId="5"/>
    <cellStyle name="Процентный 2" xfId="11"/>
    <cellStyle name="Финансовый" xfId="2" builtinId="3"/>
    <cellStyle name="Финансовый 2" xfId="14"/>
    <cellStyle name="Финансовый 3" xfId="12"/>
  </cellStyles>
  <dxfs count="13"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b/>
        <i val="0"/>
      </font>
      <fill>
        <patternFill>
          <bgColor rgb="FF9999FF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AE3FF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EFF3FF"/>
      <color rgb="FFC00149"/>
      <color rgb="FF647ED1"/>
      <color rgb="FFD83D68"/>
      <color rgb="FF1024A0"/>
      <color rgb="FFFFEBFF"/>
      <color rgb="FFFFCCFF"/>
      <color rgb="FF0E30E4"/>
      <color rgb="FFFFD5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png"/><Relationship Id="rId18" Type="http://schemas.openxmlformats.org/officeDocument/2006/relationships/image" Target="../media/image17.svg"/><Relationship Id="rId3" Type="http://schemas.microsoft.com/office/2007/relationships/hdphoto" Target="../media/hdphoto1.wdp"/><Relationship Id="rId7" Type="http://schemas.openxmlformats.org/officeDocument/2006/relationships/image" Target="../media/image6.svg"/><Relationship Id="rId12" Type="http://schemas.openxmlformats.org/officeDocument/2006/relationships/image" Target="../media/image11.svg"/><Relationship Id="rId17" Type="http://schemas.openxmlformats.org/officeDocument/2006/relationships/image" Target="../media/image11.png"/><Relationship Id="rId2" Type="http://schemas.openxmlformats.org/officeDocument/2006/relationships/image" Target="../media/image2.png"/><Relationship Id="rId16" Type="http://schemas.openxmlformats.org/officeDocument/2006/relationships/image" Target="../media/image15.sv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openxmlformats.org/officeDocument/2006/relationships/image" Target="../media/image4.svg"/><Relationship Id="rId15" Type="http://schemas.openxmlformats.org/officeDocument/2006/relationships/image" Target="../media/image10.png"/><Relationship Id="rId10" Type="http://schemas.openxmlformats.org/officeDocument/2006/relationships/image" Target="../media/image9.sv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8.png"/><Relationship Id="rId3" Type="http://schemas.openxmlformats.org/officeDocument/2006/relationships/image" Target="../media/image14.png"/><Relationship Id="rId7" Type="http://schemas.openxmlformats.org/officeDocument/2006/relationships/image" Target="../media/image5.png"/><Relationship Id="rId12" Type="http://schemas.openxmlformats.org/officeDocument/2006/relationships/image" Target="../media/image25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6.svg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0" Type="http://schemas.openxmlformats.org/officeDocument/2006/relationships/image" Target="../media/image16.png"/><Relationship Id="rId4" Type="http://schemas.openxmlformats.org/officeDocument/2006/relationships/image" Target="../media/image21.svg"/><Relationship Id="rId9" Type="http://schemas.openxmlformats.org/officeDocument/2006/relationships/image" Target="../media/image11.svg"/><Relationship Id="rId1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8.png"/><Relationship Id="rId3" Type="http://schemas.openxmlformats.org/officeDocument/2006/relationships/image" Target="../media/image14.png"/><Relationship Id="rId7" Type="http://schemas.openxmlformats.org/officeDocument/2006/relationships/image" Target="../media/image5.png"/><Relationship Id="rId12" Type="http://schemas.openxmlformats.org/officeDocument/2006/relationships/image" Target="../media/image25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6.svg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0" Type="http://schemas.openxmlformats.org/officeDocument/2006/relationships/image" Target="../media/image16.png"/><Relationship Id="rId4" Type="http://schemas.openxmlformats.org/officeDocument/2006/relationships/image" Target="../media/image21.svg"/><Relationship Id="rId9" Type="http://schemas.openxmlformats.org/officeDocument/2006/relationships/image" Target="../media/image11.svg"/><Relationship Id="rId1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12" Type="http://schemas.openxmlformats.org/officeDocument/2006/relationships/image" Target="../media/image16.png"/><Relationship Id="rId2" Type="http://schemas.microsoft.com/office/2007/relationships/hdphoto" Target="../media/hdphoto2.wdp"/><Relationship Id="rId16" Type="http://schemas.openxmlformats.org/officeDocument/2006/relationships/image" Target="../media/image4.svg"/><Relationship Id="rId1" Type="http://schemas.openxmlformats.org/officeDocument/2006/relationships/image" Target="../media/image13.png"/><Relationship Id="rId6" Type="http://schemas.openxmlformats.org/officeDocument/2006/relationships/image" Target="../media/image28.svg"/><Relationship Id="rId11" Type="http://schemas.openxmlformats.org/officeDocument/2006/relationships/image" Target="../media/image11.svg"/><Relationship Id="rId5" Type="http://schemas.openxmlformats.org/officeDocument/2006/relationships/image" Target="../media/image19.png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4" Type="http://schemas.openxmlformats.org/officeDocument/2006/relationships/image" Target="../media/image21.svg"/><Relationship Id="rId9" Type="http://schemas.openxmlformats.org/officeDocument/2006/relationships/image" Target="../media/image5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1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5" Type="http://schemas.openxmlformats.org/officeDocument/2006/relationships/image" Target="../media/image5.png"/><Relationship Id="rId10" Type="http://schemas.openxmlformats.org/officeDocument/2006/relationships/image" Target="../media/image6.svg"/><Relationship Id="rId4" Type="http://schemas.openxmlformats.org/officeDocument/2006/relationships/image" Target="../media/image21.sv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12" Type="http://schemas.openxmlformats.org/officeDocument/2006/relationships/image" Target="../media/image16.png"/><Relationship Id="rId2" Type="http://schemas.microsoft.com/office/2007/relationships/hdphoto" Target="../media/hdphoto2.wdp"/><Relationship Id="rId16" Type="http://schemas.openxmlformats.org/officeDocument/2006/relationships/image" Target="../media/image4.svg"/><Relationship Id="rId1" Type="http://schemas.openxmlformats.org/officeDocument/2006/relationships/image" Target="../media/image13.png"/><Relationship Id="rId6" Type="http://schemas.openxmlformats.org/officeDocument/2006/relationships/image" Target="../media/image28.svg"/><Relationship Id="rId11" Type="http://schemas.openxmlformats.org/officeDocument/2006/relationships/image" Target="../media/image11.svg"/><Relationship Id="rId5" Type="http://schemas.openxmlformats.org/officeDocument/2006/relationships/image" Target="../media/image19.png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4" Type="http://schemas.openxmlformats.org/officeDocument/2006/relationships/image" Target="../media/image21.svg"/><Relationship Id="rId9" Type="http://schemas.openxmlformats.org/officeDocument/2006/relationships/image" Target="../media/image5.png"/><Relationship Id="rId14" Type="http://schemas.openxmlformats.org/officeDocument/2006/relationships/image" Target="../media/image25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16.png"/><Relationship Id="rId3" Type="http://schemas.openxmlformats.org/officeDocument/2006/relationships/image" Target="../media/image20.png"/><Relationship Id="rId7" Type="http://schemas.openxmlformats.org/officeDocument/2006/relationships/image" Target="../media/image4.svg"/><Relationship Id="rId12" Type="http://schemas.openxmlformats.org/officeDocument/2006/relationships/image" Target="../media/image11.svg"/><Relationship Id="rId2" Type="http://schemas.microsoft.com/office/2007/relationships/hdphoto" Target="../media/hdphoto1.wdp"/><Relationship Id="rId16" Type="http://schemas.openxmlformats.org/officeDocument/2006/relationships/image" Target="../media/image23.png"/><Relationship Id="rId1" Type="http://schemas.openxmlformats.org/officeDocument/2006/relationships/image" Target="../media/image2.png"/><Relationship Id="rId6" Type="http://schemas.openxmlformats.org/officeDocument/2006/relationships/image" Target="../media/image21.png"/><Relationship Id="rId11" Type="http://schemas.openxmlformats.org/officeDocument/2006/relationships/image" Target="../media/image7.png"/><Relationship Id="rId5" Type="http://schemas.openxmlformats.org/officeDocument/2006/relationships/image" Target="../media/image5.png"/><Relationship Id="rId15" Type="http://schemas.openxmlformats.org/officeDocument/2006/relationships/image" Target="../media/image15.svg"/><Relationship Id="rId10" Type="http://schemas.openxmlformats.org/officeDocument/2006/relationships/image" Target="../media/image32.svg"/><Relationship Id="rId4" Type="http://schemas.openxmlformats.org/officeDocument/2006/relationships/image" Target="../media/image30.svg"/><Relationship Id="rId9" Type="http://schemas.openxmlformats.org/officeDocument/2006/relationships/image" Target="../media/image15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25.png"/><Relationship Id="rId18" Type="http://schemas.openxmlformats.org/officeDocument/2006/relationships/image" Target="../media/image16.png"/><Relationship Id="rId3" Type="http://schemas.openxmlformats.org/officeDocument/2006/relationships/image" Target="../media/image24.png"/><Relationship Id="rId21" Type="http://schemas.openxmlformats.org/officeDocument/2006/relationships/image" Target="../media/image27.png"/><Relationship Id="rId7" Type="http://schemas.openxmlformats.org/officeDocument/2006/relationships/image" Target="../media/image19.png"/><Relationship Id="rId12" Type="http://schemas.openxmlformats.org/officeDocument/2006/relationships/image" Target="../media/image6.svg"/><Relationship Id="rId17" Type="http://schemas.openxmlformats.org/officeDocument/2006/relationships/image" Target="../media/image11.svg"/><Relationship Id="rId2" Type="http://schemas.microsoft.com/office/2007/relationships/hdphoto" Target="../media/hdphoto2.wdp"/><Relationship Id="rId16" Type="http://schemas.openxmlformats.org/officeDocument/2006/relationships/image" Target="../media/image15.png"/><Relationship Id="rId20" Type="http://schemas.openxmlformats.org/officeDocument/2006/relationships/image" Target="../media/image15.sv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9.png"/><Relationship Id="rId24" Type="http://schemas.openxmlformats.org/officeDocument/2006/relationships/image" Target="../media/image43.svg"/><Relationship Id="rId5" Type="http://schemas.openxmlformats.org/officeDocument/2006/relationships/image" Target="../media/image14.png"/><Relationship Id="rId15" Type="http://schemas.openxmlformats.org/officeDocument/2006/relationships/image" Target="../media/image5.png"/><Relationship Id="rId23" Type="http://schemas.openxmlformats.org/officeDocument/2006/relationships/image" Target="../media/image29.png"/><Relationship Id="rId10" Type="http://schemas.openxmlformats.org/officeDocument/2006/relationships/image" Target="../media/image4.svg"/><Relationship Id="rId19" Type="http://schemas.openxmlformats.org/officeDocument/2006/relationships/image" Target="../media/image26.png"/><Relationship Id="rId4" Type="http://schemas.openxmlformats.org/officeDocument/2006/relationships/image" Target="../media/image36.svg"/><Relationship Id="rId9" Type="http://schemas.openxmlformats.org/officeDocument/2006/relationships/image" Target="../media/image18.png"/><Relationship Id="rId14" Type="http://schemas.openxmlformats.org/officeDocument/2006/relationships/image" Target="../media/image38.svg"/><Relationship Id="rId22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5.png"/><Relationship Id="rId18" Type="http://schemas.openxmlformats.org/officeDocument/2006/relationships/image" Target="../media/image30.png"/><Relationship Id="rId3" Type="http://schemas.openxmlformats.org/officeDocument/2006/relationships/image" Target="../media/image24.png"/><Relationship Id="rId7" Type="http://schemas.openxmlformats.org/officeDocument/2006/relationships/image" Target="../media/image19.png"/><Relationship Id="rId12" Type="http://schemas.openxmlformats.org/officeDocument/2006/relationships/image" Target="../media/image45.svg"/><Relationship Id="rId17" Type="http://schemas.openxmlformats.org/officeDocument/2006/relationships/image" Target="../media/image28.png"/><Relationship Id="rId2" Type="http://schemas.microsoft.com/office/2007/relationships/hdphoto" Target="../media/hdphoto2.wdp"/><Relationship Id="rId16" Type="http://schemas.openxmlformats.org/officeDocument/2006/relationships/image" Target="../media/image16.png"/><Relationship Id="rId20" Type="http://schemas.openxmlformats.org/officeDocument/2006/relationships/image" Target="../media/image29.pn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25.png"/><Relationship Id="rId5" Type="http://schemas.openxmlformats.org/officeDocument/2006/relationships/image" Target="../media/image14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19" Type="http://schemas.openxmlformats.org/officeDocument/2006/relationships/image" Target="../media/image47.svg"/><Relationship Id="rId4" Type="http://schemas.openxmlformats.org/officeDocument/2006/relationships/image" Target="../media/image44.svg"/><Relationship Id="rId9" Type="http://schemas.openxmlformats.org/officeDocument/2006/relationships/image" Target="../media/image9.png"/><Relationship Id="rId14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6.svg"/><Relationship Id="rId18" Type="http://schemas.openxmlformats.org/officeDocument/2006/relationships/image" Target="../media/image16.png"/><Relationship Id="rId3" Type="http://schemas.microsoft.com/office/2007/relationships/hdphoto" Target="../media/hdphoto2.wdp"/><Relationship Id="rId21" Type="http://schemas.openxmlformats.org/officeDocument/2006/relationships/image" Target="../media/image33.png"/><Relationship Id="rId7" Type="http://schemas.openxmlformats.org/officeDocument/2006/relationships/image" Target="../media/image50.svg"/><Relationship Id="rId12" Type="http://schemas.openxmlformats.org/officeDocument/2006/relationships/image" Target="../media/image9.png"/><Relationship Id="rId17" Type="http://schemas.openxmlformats.org/officeDocument/2006/relationships/image" Target="../media/image11.svg"/><Relationship Id="rId2" Type="http://schemas.openxmlformats.org/officeDocument/2006/relationships/image" Target="../media/image13.png"/><Relationship Id="rId16" Type="http://schemas.openxmlformats.org/officeDocument/2006/relationships/image" Target="../media/image15.png"/><Relationship Id="rId20" Type="http://schemas.openxmlformats.org/officeDocument/2006/relationships/image" Target="../media/image25.svg"/><Relationship Id="rId1" Type="http://schemas.openxmlformats.org/officeDocument/2006/relationships/image" Target="../media/image5.png"/><Relationship Id="rId6" Type="http://schemas.openxmlformats.org/officeDocument/2006/relationships/image" Target="../media/image31.png"/><Relationship Id="rId11" Type="http://schemas.openxmlformats.org/officeDocument/2006/relationships/image" Target="../media/image4.svg"/><Relationship Id="rId24" Type="http://schemas.openxmlformats.org/officeDocument/2006/relationships/image" Target="../media/image47.svg"/><Relationship Id="rId5" Type="http://schemas.openxmlformats.org/officeDocument/2006/relationships/image" Target="../media/image48.svg"/><Relationship Id="rId15" Type="http://schemas.openxmlformats.org/officeDocument/2006/relationships/image" Target="../media/image51.svg"/><Relationship Id="rId23" Type="http://schemas.openxmlformats.org/officeDocument/2006/relationships/image" Target="../media/image29.png"/><Relationship Id="rId10" Type="http://schemas.openxmlformats.org/officeDocument/2006/relationships/image" Target="../media/image18.png"/><Relationship Id="rId19" Type="http://schemas.openxmlformats.org/officeDocument/2006/relationships/image" Target="../media/image32.png"/><Relationship Id="rId4" Type="http://schemas.openxmlformats.org/officeDocument/2006/relationships/image" Target="../media/image24.png"/><Relationship Id="rId9" Type="http://schemas.openxmlformats.org/officeDocument/2006/relationships/image" Target="../media/image28.svg"/><Relationship Id="rId14" Type="http://schemas.openxmlformats.org/officeDocument/2006/relationships/image" Target="../media/image25.png"/><Relationship Id="rId22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5.png"/><Relationship Id="rId18" Type="http://schemas.openxmlformats.org/officeDocument/2006/relationships/image" Target="../media/image30.png"/><Relationship Id="rId3" Type="http://schemas.openxmlformats.org/officeDocument/2006/relationships/image" Target="../media/image24.png"/><Relationship Id="rId7" Type="http://schemas.openxmlformats.org/officeDocument/2006/relationships/image" Target="../media/image19.png"/><Relationship Id="rId12" Type="http://schemas.openxmlformats.org/officeDocument/2006/relationships/image" Target="../media/image45.svg"/><Relationship Id="rId17" Type="http://schemas.openxmlformats.org/officeDocument/2006/relationships/image" Target="../media/image28.png"/><Relationship Id="rId2" Type="http://schemas.microsoft.com/office/2007/relationships/hdphoto" Target="../media/hdphoto2.wdp"/><Relationship Id="rId16" Type="http://schemas.openxmlformats.org/officeDocument/2006/relationships/image" Target="../media/image16.png"/><Relationship Id="rId20" Type="http://schemas.openxmlformats.org/officeDocument/2006/relationships/image" Target="../media/image29.pn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25.png"/><Relationship Id="rId5" Type="http://schemas.openxmlformats.org/officeDocument/2006/relationships/image" Target="../media/image14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19" Type="http://schemas.openxmlformats.org/officeDocument/2006/relationships/image" Target="../media/image47.svg"/><Relationship Id="rId4" Type="http://schemas.openxmlformats.org/officeDocument/2006/relationships/image" Target="../media/image44.svg"/><Relationship Id="rId9" Type="http://schemas.openxmlformats.org/officeDocument/2006/relationships/image" Target="../media/image9.png"/><Relationship Id="rId1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3.xml.rels><?xml version="1.0" encoding="UTF-8" standalone="yes"?>
<Relationships xmlns="http://schemas.openxmlformats.org/package/2006/relationships"><Relationship Id="rId2" Type="http://schemas.microsoft.com/office/2007/relationships/hdphoto" Target="../media/hdphoto3.wdp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07/relationships/hdphoto" Target="../media/hdphoto4.wdp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126999</xdr:colOff>
      <xdr:row>41</xdr:row>
      <xdr:rowOff>192012</xdr:rowOff>
    </xdr:from>
    <xdr:to>
      <xdr:col>2</xdr:col>
      <xdr:colOff>366657</xdr:colOff>
      <xdr:row>58</xdr:row>
      <xdr:rowOff>157042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7E2D4F5-E21C-43FA-9DE1-8EB6A0B79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9" y="10873619"/>
          <a:ext cx="6036301" cy="3203530"/>
        </a:xfrm>
        <a:prstGeom prst="rect">
          <a:avLst/>
        </a:prstGeom>
      </xdr:spPr>
    </xdr:pic>
    <xdr:clientData/>
  </xdr:twoCellAnchor>
  <xdr:twoCellAnchor editAs="oneCell">
    <xdr:from>
      <xdr:col>0</xdr:col>
      <xdr:colOff>328839</xdr:colOff>
      <xdr:row>0</xdr:row>
      <xdr:rowOff>102054</xdr:rowOff>
    </xdr:from>
    <xdr:to>
      <xdr:col>0</xdr:col>
      <xdr:colOff>1643159</xdr:colOff>
      <xdr:row>2</xdr:row>
      <xdr:rowOff>218760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DDCFFAD-CF9A-AB40-839B-896DE1A2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9" y="102054"/>
          <a:ext cx="1314320" cy="658724"/>
        </a:xfrm>
        <a:prstGeom prst="rect">
          <a:avLst/>
        </a:prstGeom>
      </xdr:spPr>
    </xdr:pic>
    <xdr:clientData/>
  </xdr:twoCellAnchor>
  <xdr:twoCellAnchor editAs="oneCell">
    <xdr:from>
      <xdr:col>3</xdr:col>
      <xdr:colOff>209472</xdr:colOff>
      <xdr:row>12</xdr:row>
      <xdr:rowOff>2960</xdr:rowOff>
    </xdr:from>
    <xdr:to>
      <xdr:col>3</xdr:col>
      <xdr:colOff>429097</xdr:colOff>
      <xdr:row>13</xdr:row>
      <xdr:rowOff>9215</xdr:rowOff>
    </xdr:to>
    <xdr:pic>
      <xdr:nvPicPr>
        <xdr:cNvPr id="4" name="Рисунок 3" descr="Значок &quot;Крестик&quot; контур">
          <a:extLst>
            <a:ext uri="{FF2B5EF4-FFF2-40B4-BE49-F238E27FC236}">
              <a16:creationId xmlns:a16="http://schemas.microsoft.com/office/drawing/2014/main" id="{6C3D6A85-D977-0942-830C-5AE413A1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7203543" y="3118996"/>
          <a:ext cx="219625" cy="210362"/>
        </a:xfrm>
        <a:prstGeom prst="rect">
          <a:avLst/>
        </a:prstGeom>
      </xdr:spPr>
    </xdr:pic>
    <xdr:clientData/>
  </xdr:twoCellAnchor>
  <xdr:twoCellAnchor editAs="oneCell">
    <xdr:from>
      <xdr:col>2</xdr:col>
      <xdr:colOff>206427</xdr:colOff>
      <xdr:row>11</xdr:row>
      <xdr:rowOff>232791</xdr:rowOff>
    </xdr:from>
    <xdr:to>
      <xdr:col>2</xdr:col>
      <xdr:colOff>435600</xdr:colOff>
      <xdr:row>13</xdr:row>
      <xdr:rowOff>8029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A2979F76-F264-424C-8D25-119ADAB2C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6003070" y="3103898"/>
          <a:ext cx="229173" cy="224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123463</xdr:rowOff>
    </xdr:from>
    <xdr:to>
      <xdr:col>1</xdr:col>
      <xdr:colOff>1119322</xdr:colOff>
      <xdr:row>22</xdr:row>
      <xdr:rowOff>51583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1986CF5C-8DE9-4A42-BED5-77412567D005}"/>
            </a:ext>
          </a:extLst>
        </xdr:cNvPr>
        <xdr:cNvPicPr preferRelativeResize="0"/>
      </xdr:nvPicPr>
      <xdr:blipFill>
        <a:blip xmlns:r="http://schemas.openxmlformats.org/officeDocument/2006/relationships" r:embed="rId8">
          <a:alphaModFix/>
        </a:blip>
        <a:stretch>
          <a:fillRect/>
        </a:stretch>
      </xdr:blipFill>
      <xdr:spPr>
        <a:xfrm>
          <a:off x="0" y="2763249"/>
          <a:ext cx="4235358" cy="30713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312501</xdr:colOff>
      <xdr:row>17</xdr:row>
      <xdr:rowOff>181429</xdr:rowOff>
    </xdr:from>
    <xdr:to>
      <xdr:col>0</xdr:col>
      <xdr:colOff>847238</xdr:colOff>
      <xdr:row>20</xdr:row>
      <xdr:rowOff>492</xdr:rowOff>
    </xdr:to>
    <xdr:pic>
      <xdr:nvPicPr>
        <xdr:cNvPr id="7" name="Рисунок 6" descr="Уход">
          <a:extLst>
            <a:ext uri="{FF2B5EF4-FFF2-40B4-BE49-F238E27FC236}">
              <a16:creationId xmlns:a16="http://schemas.microsoft.com/office/drawing/2014/main" id="{D0EED4AE-BD77-8844-93C8-0A65853D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312501" y="4411175"/>
          <a:ext cx="534737" cy="51863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70918</xdr:colOff>
      <xdr:row>39</xdr:row>
      <xdr:rowOff>34019</xdr:rowOff>
    </xdr:from>
    <xdr:to>
      <xdr:col>2</xdr:col>
      <xdr:colOff>300091</xdr:colOff>
      <xdr:row>40</xdr:row>
      <xdr:rowOff>9287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F136C3E2-936E-0147-BC21-23B7B212F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6453206" y="12109782"/>
          <a:ext cx="229173" cy="233804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80084</xdr:colOff>
      <xdr:row>40</xdr:row>
      <xdr:rowOff>61016</xdr:rowOff>
    </xdr:from>
    <xdr:to>
      <xdr:col>2</xdr:col>
      <xdr:colOff>309257</xdr:colOff>
      <xdr:row>40</xdr:row>
      <xdr:rowOff>292231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7751FA95-B027-344A-8BC4-64F35491A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6462372" y="12459660"/>
          <a:ext cx="229173" cy="23121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0</xdr:col>
      <xdr:colOff>161055</xdr:colOff>
      <xdr:row>36</xdr:row>
      <xdr:rowOff>466901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82E5735-5422-DC46-BD28-742B26EB6B3E}"/>
            </a:ext>
          </a:extLst>
        </xdr:cNvPr>
        <xdr:cNvSpPr txBox="1"/>
      </xdr:nvSpPr>
      <xdr:spPr>
        <a:xfrm>
          <a:off x="161055" y="1140181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oneCellAnchor>
    <xdr:from>
      <xdr:col>0</xdr:col>
      <xdr:colOff>150151</xdr:colOff>
      <xdr:row>20</xdr:row>
      <xdr:rowOff>399314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10D92F3-AD2A-4245-818C-511FC4CD0A12}"/>
            </a:ext>
          </a:extLst>
        </xdr:cNvPr>
        <xdr:cNvSpPr txBox="1"/>
      </xdr:nvSpPr>
      <xdr:spPr>
        <a:xfrm>
          <a:off x="150151" y="649100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202747</xdr:colOff>
      <xdr:row>5</xdr:row>
      <xdr:rowOff>293462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BCF5DE4-D7A3-5649-AD28-DE370EF4572A}"/>
            </a:ext>
          </a:extLst>
        </xdr:cNvPr>
        <xdr:cNvSpPr txBox="1"/>
      </xdr:nvSpPr>
      <xdr:spPr>
        <a:xfrm>
          <a:off x="202747" y="149542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209472</xdr:colOff>
      <xdr:row>17</xdr:row>
      <xdr:rowOff>226362</xdr:rowOff>
    </xdr:from>
    <xdr:ext cx="219625" cy="223738"/>
    <xdr:pic>
      <xdr:nvPicPr>
        <xdr:cNvPr id="16" name="Рисунок 15" descr="Значок &quot;Крестик&quot; контур">
          <a:extLst>
            <a:ext uri="{FF2B5EF4-FFF2-40B4-BE49-F238E27FC236}">
              <a16:creationId xmlns:a16="http://schemas.microsoft.com/office/drawing/2014/main" id="{93300988-B78D-174A-A9EF-9C17785F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7203543" y="4471791"/>
          <a:ext cx="219625" cy="223738"/>
        </a:xfrm>
        <a:prstGeom prst="rect">
          <a:avLst/>
        </a:prstGeom>
      </xdr:spPr>
    </xdr:pic>
    <xdr:clientData/>
  </xdr:oneCellAnchor>
  <xdr:oneCellAnchor>
    <xdr:from>
      <xdr:col>2</xdr:col>
      <xdr:colOff>260856</xdr:colOff>
      <xdr:row>17</xdr:row>
      <xdr:rowOff>224872</xdr:rowOff>
    </xdr:from>
    <xdr:ext cx="229173" cy="237650"/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4C1393DD-5FD7-AF4A-9398-1E4761A4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6057499" y="4470301"/>
          <a:ext cx="229173" cy="237650"/>
        </a:xfrm>
        <a:prstGeom prst="rect">
          <a:avLst/>
        </a:prstGeom>
      </xdr:spPr>
    </xdr:pic>
    <xdr:clientData/>
  </xdr:oneCellAnchor>
  <xdr:twoCellAnchor editAs="oneCell">
    <xdr:from>
      <xdr:col>0</xdr:col>
      <xdr:colOff>1162372</xdr:colOff>
      <xdr:row>20</xdr:row>
      <xdr:rowOff>0</xdr:rowOff>
    </xdr:from>
    <xdr:to>
      <xdr:col>0</xdr:col>
      <xdr:colOff>1818898</xdr:colOff>
      <xdr:row>21</xdr:row>
      <xdr:rowOff>68037</xdr:rowOff>
    </xdr:to>
    <xdr:pic>
      <xdr:nvPicPr>
        <xdr:cNvPr id="20" name="Рисунок 19" descr="Волшебная палочка (авто) контур">
          <a:extLst>
            <a:ext uri="{FF2B5EF4-FFF2-40B4-BE49-F238E27FC236}">
              <a16:creationId xmlns:a16="http://schemas.microsoft.com/office/drawing/2014/main" id="{39A5C012-3368-0245-A73F-8B980448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1162372" y="4940087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0</xdr:col>
      <xdr:colOff>269068</xdr:colOff>
      <xdr:row>13</xdr:row>
      <xdr:rowOff>75339</xdr:rowOff>
    </xdr:from>
    <xdr:to>
      <xdr:col>0</xdr:col>
      <xdr:colOff>957882</xdr:colOff>
      <xdr:row>16</xdr:row>
      <xdr:rowOff>86102</xdr:rowOff>
    </xdr:to>
    <xdr:pic>
      <xdr:nvPicPr>
        <xdr:cNvPr id="21" name="Рисунок 20" descr="Шляпа фокусника контур">
          <a:extLst>
            <a:ext uri="{FF2B5EF4-FFF2-40B4-BE49-F238E27FC236}">
              <a16:creationId xmlns:a16="http://schemas.microsoft.com/office/drawing/2014/main" id="{17D33B34-931C-034C-B067-D4FAC011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269068" y="3401017"/>
          <a:ext cx="688814" cy="6888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1282483</xdr:colOff>
      <xdr:row>19</xdr:row>
      <xdr:rowOff>227742</xdr:rowOff>
    </xdr:from>
    <xdr:to>
      <xdr:col>4</xdr:col>
      <xdr:colOff>537758</xdr:colOff>
      <xdr:row>21</xdr:row>
      <xdr:rowOff>72375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E0A912E9-7170-0E49-BB14-34AD3B3C9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 rot="15899709">
          <a:off x="9257652" y="4920284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E71651-90EA-467B-BEF0-F0B91F9AD1E7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FEE3283-CDA4-44B3-A0BB-1F68B4BF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89C92AF1-6B52-4404-81A8-4A13D985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0D2B8212-63C4-48B8-9585-90619B25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9F9C1D-530C-4B94-BC91-99A944BFCFB0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21</xdr:row>
      <xdr:rowOff>10583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934906F2-447E-419F-A44E-44C0603A30A4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86145"/>
          <a:ext cx="2479869" cy="185043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F3A1F2F-2947-4DBD-B6E5-3E3772EB307B}"/>
            </a:ext>
          </a:extLst>
        </xdr:cNvPr>
        <xdr:cNvSpPr txBox="1"/>
      </xdr:nvSpPr>
      <xdr:spPr>
        <a:xfrm>
          <a:off x="85175" y="8054188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9B509054-1AEE-4B1B-A87E-3F0924A5E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8358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E818AEF1-0060-419B-99FF-C0D978857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BB894EC7-868E-40DC-BE77-03439B821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 rot="15899709">
          <a:off x="209863" y="3491279"/>
          <a:ext cx="664462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9" name="Рисунок 18" descr="Значок &quot;Крестик&quot; контур">
          <a:extLst>
            <a:ext uri="{FF2B5EF4-FFF2-40B4-BE49-F238E27FC236}">
              <a16:creationId xmlns:a16="http://schemas.microsoft.com/office/drawing/2014/main" id="{C06DA819-F2CB-46C4-83CB-7E76C525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6599461" y="3170461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20" name="Стрелка вправо 16">
          <a:extLst>
            <a:ext uri="{FF2B5EF4-FFF2-40B4-BE49-F238E27FC236}">
              <a16:creationId xmlns:a16="http://schemas.microsoft.com/office/drawing/2014/main" id="{3D3FDA4E-07BE-432B-A18E-08FD310A59BC}"/>
            </a:ext>
          </a:extLst>
        </xdr:cNvPr>
        <xdr:cNvSpPr/>
      </xdr:nvSpPr>
      <xdr:spPr>
        <a:xfrm rot="10800000">
          <a:off x="6395355" y="7620000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350C8794-6153-4071-BDC0-48538EA7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6786" y="2667000"/>
          <a:ext cx="229173" cy="236537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0535B89F-11D6-43C0-84C4-019292E0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BE0E20-AC1F-4BC8-AFA0-25851A618724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7EB5CB3-8656-47D2-A307-2ADADBA8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15C751E6-09EF-4FAC-9A5A-EE2F40D79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85D5F416-9351-4703-BA1E-590F0F9F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EAB9060-96D3-4DFE-8276-7F20388C3A09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7" name="Google Shape;25;p2">
          <a:extLst>
            <a:ext uri="{FF2B5EF4-FFF2-40B4-BE49-F238E27FC236}">
              <a16:creationId xmlns:a16="http://schemas.microsoft.com/office/drawing/2014/main" id="{5EFC1534-2F71-42D1-8248-E21B2CD35308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2CD65CA-A076-4729-9DEE-6FC0EE822BB4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4B08CDCA-7696-4C4F-968D-F1B8E34A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C44EC220-EBB0-47B5-805F-5414D5C7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1" name="Рисунок 10" descr="Волшебная палочка (авто) контур">
          <a:extLst>
            <a:ext uri="{FF2B5EF4-FFF2-40B4-BE49-F238E27FC236}">
              <a16:creationId xmlns:a16="http://schemas.microsoft.com/office/drawing/2014/main" id="{2B8E5618-4CD6-4AC3-8538-6D16D3E3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2" name="Рисунок 11" descr="Значок &quot;Крестик&quot; контур">
          <a:extLst>
            <a:ext uri="{FF2B5EF4-FFF2-40B4-BE49-F238E27FC236}">
              <a16:creationId xmlns:a16="http://schemas.microsoft.com/office/drawing/2014/main" id="{7EF3B46F-C6EC-4B33-A83B-8B609960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3" name="Стрелка вправо 16">
          <a:extLst>
            <a:ext uri="{FF2B5EF4-FFF2-40B4-BE49-F238E27FC236}">
              <a16:creationId xmlns:a16="http://schemas.microsoft.com/office/drawing/2014/main" id="{C066F908-3C0F-494E-9764-365491BA1DFC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3EDD2320-1557-4FD3-B160-E429404F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5" name="Рисунок 14" descr="Значок &quot;Галочка1&quot; контур">
          <a:extLst>
            <a:ext uri="{FF2B5EF4-FFF2-40B4-BE49-F238E27FC236}">
              <a16:creationId xmlns:a16="http://schemas.microsoft.com/office/drawing/2014/main" id="{58B9B48A-FDF1-40BF-9A66-1CDC3ED23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297072</xdr:colOff>
      <xdr:row>16</xdr:row>
      <xdr:rowOff>9549</xdr:rowOff>
    </xdr:from>
    <xdr:ext cx="229173" cy="229734"/>
    <xdr:pic>
      <xdr:nvPicPr>
        <xdr:cNvPr id="16" name="Рисунок 15" descr="Значок &quot;Галочка1&quot; контур">
          <a:extLst>
            <a:ext uri="{FF2B5EF4-FFF2-40B4-BE49-F238E27FC236}">
              <a16:creationId xmlns:a16="http://schemas.microsoft.com/office/drawing/2014/main" id="{85D5F416-9351-4703-BA1E-590F0F9F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285791" y="3474268"/>
          <a:ext cx="229173" cy="22973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06670E-5EFA-4D6E-9F33-BCECFFEB7AC3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4BE00FB-EBC1-4332-B3CE-49BBC512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7F522651-6749-4658-934C-7FAF582F2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EAE4CFF5-3780-42C8-865D-87FD5A8C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76A1E7CE-1F91-4F25-8B3B-5828E5FE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36CF66A-20C2-4142-8170-EF66F0B67B39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4B4752F4-EB7B-4A3A-8BCF-C4BE496DC2CF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ADD05DA-E6ED-4F3C-AE94-A405687CBEDF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2E401998-1816-4282-88EE-876AC756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A20A4E2F-5369-4E4D-A769-263EAD26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75ABBC8C-9D29-4CFE-8427-9924A838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2AB67879-8A78-4780-BDAC-DFFDE9D0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C759829A-6E56-4F4C-8CE4-302CAE30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66B2ED11-AC88-4638-A721-1866D907BCB4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122463</xdr:rowOff>
    </xdr:from>
    <xdr:to>
      <xdr:col>3</xdr:col>
      <xdr:colOff>263757</xdr:colOff>
      <xdr:row>29</xdr:row>
      <xdr:rowOff>250340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D464EE8A-6746-4693-9553-06CA29C086B4}"/>
            </a:ext>
          </a:extLst>
        </xdr:cNvPr>
        <xdr:cNvSpPr/>
      </xdr:nvSpPr>
      <xdr:spPr>
        <a:xfrm rot="10800000">
          <a:off x="6396716" y="7028088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3B640EA5-B651-4A79-B32E-2529A22DF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98A7A320-772C-4FB0-9E57-C7AAF4A6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A70B02-DC2F-40A2-BF11-590E0DC848F3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EEB5498-C48F-48B0-9AF6-79A91D04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4C772FF6-3F88-46CB-A796-6CEAAE2B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oneCellAnchor>
    <xdr:from>
      <xdr:col>0</xdr:col>
      <xdr:colOff>19390</xdr:colOff>
      <xdr:row>18</xdr:row>
      <xdr:rowOff>116337</xdr:rowOff>
    </xdr:from>
    <xdr:ext cx="874150" cy="160178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537D8D-E113-41DB-B208-CAA73E5F5EB0}"/>
            </a:ext>
          </a:extLst>
        </xdr:cNvPr>
        <xdr:cNvSpPr txBox="1"/>
      </xdr:nvSpPr>
      <xdr:spPr>
        <a:xfrm>
          <a:off x="19390" y="43168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9</xdr:row>
      <xdr:rowOff>163285</xdr:rowOff>
    </xdr:from>
    <xdr:to>
      <xdr:col>0</xdr:col>
      <xdr:colOff>2481381</xdr:colOff>
      <xdr:row>16</xdr:row>
      <xdr:rowOff>65972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A3AC22AF-8592-413D-A0F2-7DA21E58E00A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0" y="2211160"/>
          <a:ext cx="2481381" cy="15600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22</xdr:row>
      <xdr:rowOff>230081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39FB03E-FDFA-4471-93E1-19EEEF48ADE6}"/>
            </a:ext>
          </a:extLst>
        </xdr:cNvPr>
        <xdr:cNvSpPr txBox="1"/>
      </xdr:nvSpPr>
      <xdr:spPr>
        <a:xfrm>
          <a:off x="85175" y="59069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25</xdr:row>
      <xdr:rowOff>75322</xdr:rowOff>
    </xdr:from>
    <xdr:to>
      <xdr:col>2</xdr:col>
      <xdr:colOff>334211</xdr:colOff>
      <xdr:row>25</xdr:row>
      <xdr:rowOff>312631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F528902B-6F80-45FE-A8AC-BA22F3FB1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5086613" y="6819022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25</xdr:row>
      <xdr:rowOff>414755</xdr:rowOff>
    </xdr:from>
    <xdr:to>
      <xdr:col>2</xdr:col>
      <xdr:colOff>343377</xdr:colOff>
      <xdr:row>26</xdr:row>
      <xdr:rowOff>194892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F2E84C87-0120-4F3D-88D6-950CCB38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5095779" y="7158455"/>
          <a:ext cx="229173" cy="227812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1238250</xdr:colOff>
      <xdr:row>21</xdr:row>
      <xdr:rowOff>149677</xdr:rowOff>
    </xdr:from>
    <xdr:to>
      <xdr:col>3</xdr:col>
      <xdr:colOff>86866</xdr:colOff>
      <xdr:row>21</xdr:row>
      <xdr:rowOff>277554</xdr:rowOff>
    </xdr:to>
    <xdr:sp macro="" textlink="">
      <xdr:nvSpPr>
        <xdr:cNvPr id="10" name="Стрелка вправо 16">
          <a:extLst>
            <a:ext uri="{FF2B5EF4-FFF2-40B4-BE49-F238E27FC236}">
              <a16:creationId xmlns:a16="http://schemas.microsoft.com/office/drawing/2014/main" id="{7E244E8E-B2C1-4639-A4EA-D0578B80E88D}"/>
            </a:ext>
          </a:extLst>
        </xdr:cNvPr>
        <xdr:cNvSpPr/>
      </xdr:nvSpPr>
      <xdr:spPr>
        <a:xfrm rot="10800000">
          <a:off x="6219825" y="5397952"/>
          <a:ext cx="163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1" name="Рисунок 10" descr="Значок &quot;Галочка1&quot; контур">
          <a:extLst>
            <a:ext uri="{FF2B5EF4-FFF2-40B4-BE49-F238E27FC236}">
              <a16:creationId xmlns:a16="http://schemas.microsoft.com/office/drawing/2014/main" id="{DDA1101A-9996-42FF-9445-F613AC54D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2" name="Рисунок 11" descr="Значок &quot;Галочка1&quot; контур">
          <a:extLst>
            <a:ext uri="{FF2B5EF4-FFF2-40B4-BE49-F238E27FC236}">
              <a16:creationId xmlns:a16="http://schemas.microsoft.com/office/drawing/2014/main" id="{124A4231-9655-4620-A146-AA297DF9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EA8901-4D10-490B-BBC3-E01FABD57FAF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AD8EDF-C78E-4A7B-834B-B977B7A1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32432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9B083052-5493-4579-817B-5E3895C4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232557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5E060B2A-EDAB-47BC-AE91-A8D77ED8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1157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C82E29B9-F335-4BD6-AE8D-7623139BC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03E9F2E-3762-4443-8CCD-1E28B25299F3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068E685A-7997-4238-ABCD-7616D613E8D6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FE29A97-802D-4ECB-8282-561AD4BD176D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097A72C9-8804-4834-8D78-320EBF6F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EE219B6A-ECDF-4E2E-8C05-664D1BB4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F1B65D70-385A-4F8D-9D6F-B44ECA93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9CA46674-C515-45FC-A579-F5D80FEB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174633DE-F3D2-4B5E-9E56-35101604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204107</xdr:rowOff>
    </xdr:from>
    <xdr:to>
      <xdr:col>3</xdr:col>
      <xdr:colOff>263757</xdr:colOff>
      <xdr:row>30</xdr:row>
      <xdr:rowOff>331984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E88F4E34-4D07-4D22-9EA0-D185D183AD4D}"/>
            </a:ext>
          </a:extLst>
        </xdr:cNvPr>
        <xdr:cNvSpPr/>
      </xdr:nvSpPr>
      <xdr:spPr>
        <a:xfrm rot="10800000">
          <a:off x="6395355" y="7592786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176891</xdr:rowOff>
    </xdr:from>
    <xdr:to>
      <xdr:col>3</xdr:col>
      <xdr:colOff>263757</xdr:colOff>
      <xdr:row>29</xdr:row>
      <xdr:rowOff>304768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6606EDA1-6464-4612-9F30-788A11769555}"/>
            </a:ext>
          </a:extLst>
        </xdr:cNvPr>
        <xdr:cNvSpPr/>
      </xdr:nvSpPr>
      <xdr:spPr>
        <a:xfrm rot="10800000">
          <a:off x="6395355" y="7116534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2E399CB4-F4DC-45D3-8D75-1E6CAB73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1B81F520-6ACE-4806-BAC3-51C1C741C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63E0B4FE-2C19-4809-B699-154CDF00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0" name="Рисунок 19" descr="Значок &quot;Галочка1&quot; контур">
          <a:extLst>
            <a:ext uri="{FF2B5EF4-FFF2-40B4-BE49-F238E27FC236}">
              <a16:creationId xmlns:a16="http://schemas.microsoft.com/office/drawing/2014/main" id="{E279CB22-278E-49D3-8385-F35F5B1F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21" name="Рисунок 20" descr="Значок &quot;Галочка1&quot; контур">
          <a:extLst>
            <a:ext uri="{FF2B5EF4-FFF2-40B4-BE49-F238E27FC236}">
              <a16:creationId xmlns:a16="http://schemas.microsoft.com/office/drawing/2014/main" id="{03382AD4-D5A5-4956-9A2A-38DCA314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33187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143E04EC-B62E-4A80-84EB-BC059423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308147" y="3318782"/>
          <a:ext cx="229173" cy="23653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172658</xdr:colOff>
      <xdr:row>0</xdr:row>
      <xdr:rowOff>119776</xdr:rowOff>
    </xdr:from>
    <xdr:to>
      <xdr:col>0</xdr:col>
      <xdr:colOff>1486978</xdr:colOff>
      <xdr:row>1</xdr:row>
      <xdr:rowOff>384718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BAA42F5-F064-4B51-95A5-025A0F1E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58" y="119776"/>
          <a:ext cx="1314320" cy="659549"/>
        </a:xfrm>
        <a:prstGeom prst="rect">
          <a:avLst/>
        </a:prstGeom>
      </xdr:spPr>
    </xdr:pic>
    <xdr:clientData/>
  </xdr:twoCellAnchor>
  <xdr:oneCellAnchor>
    <xdr:from>
      <xdr:col>0</xdr:col>
      <xdr:colOff>198120</xdr:colOff>
      <xdr:row>6</xdr:row>
      <xdr:rowOff>86360</xdr:rowOff>
    </xdr:from>
    <xdr:ext cx="874150" cy="160178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50267E6-5250-4B1D-8B34-68DA66881F82}"/>
            </a:ext>
          </a:extLst>
        </xdr:cNvPr>
        <xdr:cNvSpPr txBox="1"/>
      </xdr:nvSpPr>
      <xdr:spPr>
        <a:xfrm>
          <a:off x="198120" y="165798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160405</xdr:colOff>
      <xdr:row>14</xdr:row>
      <xdr:rowOff>11776</xdr:rowOff>
    </xdr:from>
    <xdr:to>
      <xdr:col>0</xdr:col>
      <xdr:colOff>695142</xdr:colOff>
      <xdr:row>15</xdr:row>
      <xdr:rowOff>270280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2A3FFC1D-C619-48C4-B746-E8182FA8F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60405" y="3507451"/>
          <a:ext cx="534737" cy="534729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372341</xdr:colOff>
      <xdr:row>13</xdr:row>
      <xdr:rowOff>182346</xdr:rowOff>
    </xdr:from>
    <xdr:to>
      <xdr:col>1</xdr:col>
      <xdr:colOff>293598</xdr:colOff>
      <xdr:row>16</xdr:row>
      <xdr:rowOff>81229</xdr:rowOff>
    </xdr:to>
    <xdr:pic>
      <xdr:nvPicPr>
        <xdr:cNvPr id="5" name="Google Shape;25;p2">
          <a:extLst>
            <a:ext uri="{FF2B5EF4-FFF2-40B4-BE49-F238E27FC236}">
              <a16:creationId xmlns:a16="http://schemas.microsoft.com/office/drawing/2014/main" id="{619976E0-B149-40C7-BDA4-C4299A5DE228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372341" y="3411321"/>
          <a:ext cx="2702557" cy="75613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210820</xdr:colOff>
      <xdr:row>22</xdr:row>
      <xdr:rowOff>162560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70910FA-1940-4BA2-975E-4D23FF120243}"/>
            </a:ext>
          </a:extLst>
        </xdr:cNvPr>
        <xdr:cNvSpPr txBox="1"/>
      </xdr:nvSpPr>
      <xdr:spPr>
        <a:xfrm>
          <a:off x="210820" y="495363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90362</xdr:colOff>
      <xdr:row>34</xdr:row>
      <xdr:rowOff>501226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1A4DCEC-31C2-4F81-8C9E-3D4AC79FD829}"/>
            </a:ext>
          </a:extLst>
        </xdr:cNvPr>
        <xdr:cNvSpPr txBox="1"/>
      </xdr:nvSpPr>
      <xdr:spPr>
        <a:xfrm>
          <a:off x="90362" y="859747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1</xdr:col>
      <xdr:colOff>255920</xdr:colOff>
      <xdr:row>41</xdr:row>
      <xdr:rowOff>11986</xdr:rowOff>
    </xdr:from>
    <xdr:to>
      <xdr:col>1</xdr:col>
      <xdr:colOff>475545</xdr:colOff>
      <xdr:row>42</xdr:row>
      <xdr:rowOff>664</xdr:rowOff>
    </xdr:to>
    <xdr:pic>
      <xdr:nvPicPr>
        <xdr:cNvPr id="8" name="Рисунок 7" descr="Значок &quot;Крестик&quot; контур">
          <a:extLst>
            <a:ext uri="{FF2B5EF4-FFF2-40B4-BE49-F238E27FC236}">
              <a16:creationId xmlns:a16="http://schemas.microsoft.com/office/drawing/2014/main" id="{1D23CFA1-8D65-43C6-A1E0-EF0AA65B0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3031777" y="11428379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255920</xdr:colOff>
      <xdr:row>42</xdr:row>
      <xdr:rowOff>44642</xdr:rowOff>
    </xdr:from>
    <xdr:to>
      <xdr:col>1</xdr:col>
      <xdr:colOff>475545</xdr:colOff>
      <xdr:row>43</xdr:row>
      <xdr:rowOff>14610</xdr:rowOff>
    </xdr:to>
    <xdr:pic>
      <xdr:nvPicPr>
        <xdr:cNvPr id="9" name="Рисунок 8" descr="Значок &quot;Крестик&quot; контур">
          <a:extLst>
            <a:ext uri="{FF2B5EF4-FFF2-40B4-BE49-F238E27FC236}">
              <a16:creationId xmlns:a16="http://schemas.microsoft.com/office/drawing/2014/main" id="{B876C736-B5C8-4C0A-B0F1-7B658DCE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3037220" y="1108411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256827</xdr:colOff>
      <xdr:row>43</xdr:row>
      <xdr:rowOff>29221</xdr:rowOff>
    </xdr:from>
    <xdr:to>
      <xdr:col>1</xdr:col>
      <xdr:colOff>476452</xdr:colOff>
      <xdr:row>43</xdr:row>
      <xdr:rowOff>244118</xdr:rowOff>
    </xdr:to>
    <xdr:pic>
      <xdr:nvPicPr>
        <xdr:cNvPr id="10" name="Рисунок 9" descr="Значок &quot;Крестик&quot; контур">
          <a:extLst>
            <a:ext uri="{FF2B5EF4-FFF2-40B4-BE49-F238E27FC236}">
              <a16:creationId xmlns:a16="http://schemas.microsoft.com/office/drawing/2014/main" id="{AB4AF778-4A4B-4706-B09E-D3B2C3FE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3032684" y="11921864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321761</xdr:colOff>
      <xdr:row>21</xdr:row>
      <xdr:rowOff>36836</xdr:rowOff>
    </xdr:from>
    <xdr:to>
      <xdr:col>2</xdr:col>
      <xdr:colOff>550934</xdr:colOff>
      <xdr:row>21</xdr:row>
      <xdr:rowOff>272892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1C3C94C9-4B80-4392-92E5-3FBD44F2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74761" y="5806265"/>
          <a:ext cx="229173" cy="23605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250151</xdr:colOff>
      <xdr:row>37</xdr:row>
      <xdr:rowOff>9621</xdr:rowOff>
    </xdr:from>
    <xdr:to>
      <xdr:col>2</xdr:col>
      <xdr:colOff>479324</xdr:colOff>
      <xdr:row>37</xdr:row>
      <xdr:rowOff>242874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603DA215-92D8-4F51-A482-E5BE0833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12676" y="9429846"/>
          <a:ext cx="229173" cy="23325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259317</xdr:colOff>
      <xdr:row>38</xdr:row>
      <xdr:rowOff>24126</xdr:rowOff>
    </xdr:from>
    <xdr:to>
      <xdr:col>2</xdr:col>
      <xdr:colOff>488490</xdr:colOff>
      <xdr:row>38</xdr:row>
      <xdr:rowOff>253299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B2CA7DE4-A43F-4E18-B130-6DBBDB73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21842" y="9730101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32980</xdr:colOff>
      <xdr:row>15</xdr:row>
      <xdr:rowOff>214872</xdr:rowOff>
    </xdr:from>
    <xdr:to>
      <xdr:col>0</xdr:col>
      <xdr:colOff>689506</xdr:colOff>
      <xdr:row>17</xdr:row>
      <xdr:rowOff>359109</xdr:rowOff>
    </xdr:to>
    <xdr:pic>
      <xdr:nvPicPr>
        <xdr:cNvPr id="14" name="Рисунок 13" descr="Волшебная палочка (авто) контур">
          <a:extLst>
            <a:ext uri="{FF2B5EF4-FFF2-40B4-BE49-F238E27FC236}">
              <a16:creationId xmlns:a16="http://schemas.microsoft.com/office/drawing/2014/main" id="{53E75704-5EEA-4BE7-8441-A94228F6B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32980" y="4024872"/>
          <a:ext cx="656526" cy="783773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979715</xdr:colOff>
      <xdr:row>15</xdr:row>
      <xdr:rowOff>241349</xdr:rowOff>
    </xdr:from>
    <xdr:to>
      <xdr:col>2</xdr:col>
      <xdr:colOff>1573933</xdr:colOff>
      <xdr:row>18</xdr:row>
      <xdr:rowOff>17946</xdr:rowOff>
    </xdr:to>
    <xdr:pic>
      <xdr:nvPicPr>
        <xdr:cNvPr id="15" name="Рисунок 14" descr="Волшебная палочка (авто) контур">
          <a:extLst>
            <a:ext uri="{FF2B5EF4-FFF2-40B4-BE49-F238E27FC236}">
              <a16:creationId xmlns:a16="http://schemas.microsoft.com/office/drawing/2014/main" id="{74052EC0-9BF3-4C57-AD12-016B830AA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 rot="15899709">
          <a:off x="6035364" y="4071164"/>
          <a:ext cx="797133" cy="594218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4FCB49B-70DD-44FC-89FB-DAD2A35EF947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1E359EB-B2D7-4E34-A546-85EC7257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4FE99FB5-CE4D-49A1-8917-DA5078A1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5505E00B-18B2-4131-9ABC-205F11AF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39D7EEE1-F534-41C5-8382-2460A9CC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4858137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05BE7E9D-CAA9-4FA7-9921-7BDED05F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6538702" y="349297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A9C4FB9A-187F-4CA8-9E47-C3533A5B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116722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33</xdr:row>
      <xdr:rowOff>29323</xdr:rowOff>
    </xdr:from>
    <xdr:to>
      <xdr:col>0</xdr:col>
      <xdr:colOff>1096038</xdr:colOff>
      <xdr:row>33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477B8553-688A-4E25-B9A2-9033EEED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551752" y="7962287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F5E48CF-DB7B-4B1E-B767-032DA5738CAE}"/>
            </a:ext>
          </a:extLst>
        </xdr:cNvPr>
        <xdr:cNvSpPr txBox="1"/>
      </xdr:nvSpPr>
      <xdr:spPr>
        <a:xfrm>
          <a:off x="19390" y="497408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DA143258-1AFE-4ED1-8490-D374BA5806A3}"/>
            </a:ext>
          </a:extLst>
        </xdr:cNvPr>
        <xdr:cNvPicPr preferRelativeResize="0"/>
      </xdr:nvPicPr>
      <xdr:blipFill>
        <a:blip xmlns:r="http://schemas.openxmlformats.org/officeDocument/2006/relationships" r:embed="rId15">
          <a:alphaModFix/>
        </a:blip>
        <a:stretch>
          <a:fillRect/>
        </a:stretch>
      </xdr:blipFill>
      <xdr:spPr>
        <a:xfrm>
          <a:off x="216692" y="2704928"/>
          <a:ext cx="2842715" cy="157189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49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670F808-4A54-4CFB-BC9B-DEAEB4DEAE29}"/>
            </a:ext>
          </a:extLst>
        </xdr:cNvPr>
        <xdr:cNvSpPr txBox="1"/>
      </xdr:nvSpPr>
      <xdr:spPr>
        <a:xfrm>
          <a:off x="85175" y="809636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D3A00DDC-C5B5-4D80-9B06-F1D36BFF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5787593" y="14356764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E7A5FD74-F6D0-4BBA-91E9-7A93A75CC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4933854" y="92008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1231221</xdr:colOff>
      <xdr:row>29</xdr:row>
      <xdr:rowOff>48473</xdr:rowOff>
    </xdr:from>
    <xdr:to>
      <xdr:col>3</xdr:col>
      <xdr:colOff>107051</xdr:colOff>
      <xdr:row>29</xdr:row>
      <xdr:rowOff>189050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26C60D88-03CA-4A1A-9309-3B96A2DF77C7}"/>
            </a:ext>
          </a:extLst>
        </xdr:cNvPr>
        <xdr:cNvSpPr/>
      </xdr:nvSpPr>
      <xdr:spPr>
        <a:xfrm rot="10800000">
          <a:off x="6012771" y="6134948"/>
          <a:ext cx="104555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34311</xdr:rowOff>
    </xdr:from>
    <xdr:to>
      <xdr:col>3</xdr:col>
      <xdr:colOff>114031</xdr:colOff>
      <xdr:row>31</xdr:row>
      <xdr:rowOff>162188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9BD047B0-89C9-46BE-8226-B2F58008C270}"/>
            </a:ext>
          </a:extLst>
        </xdr:cNvPr>
        <xdr:cNvSpPr/>
      </xdr:nvSpPr>
      <xdr:spPr>
        <a:xfrm rot="10800000">
          <a:off x="6926180" y="7532715"/>
          <a:ext cx="34848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2636314</xdr:colOff>
      <xdr:row>17</xdr:row>
      <xdr:rowOff>186896</xdr:rowOff>
    </xdr:from>
    <xdr:to>
      <xdr:col>1</xdr:col>
      <xdr:colOff>400577</xdr:colOff>
      <xdr:row>20</xdr:row>
      <xdr:rowOff>9143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24CBAC92-BEF1-4507-BA0B-51F6D0AF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>
          <a:off x="2636314" y="4173027"/>
          <a:ext cx="656526" cy="6380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68104</xdr:colOff>
      <xdr:row>17</xdr:row>
      <xdr:rowOff>135042</xdr:rowOff>
    </xdr:from>
    <xdr:to>
      <xdr:col>3</xdr:col>
      <xdr:colOff>771293</xdr:colOff>
      <xdr:row>19</xdr:row>
      <xdr:rowOff>185143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541DA1B1-1D18-4A7D-B425-60CBE8C6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 rot="15899709">
          <a:off x="7249867" y="4095906"/>
          <a:ext cx="652656" cy="70318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288328</xdr:colOff>
      <xdr:row>35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C27EBA0F-130B-4942-A30F-C02F9312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68542" y="8451044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D92C37A7-5C0B-4FF3-8ED0-8D1724C9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06049" y="12346548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98C36126-2D64-4DE2-BB46-22D4BBD0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989925" y="3722297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79865339-4B03-4897-ACAF-DBABFF9AD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6565916" y="5003369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C3C2F324-76A8-4A5E-A978-24859C4E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290893" y="4976156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3AEC9B97-0111-4E7C-8533-31849916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19659" y="10859034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3A8238-5977-46FE-9A04-B112BD1A87E5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E831CBD-A9DA-4A9A-85EA-5C96A1AA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1017204F-2764-4DF3-86EB-FFDB66D4E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F85D6EE3-090D-4A25-AF6D-09B9FEB7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D882B9D6-F73D-4F1D-866E-62B4F831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57F141D1-A2CA-44C6-902D-F422D129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B87FE2D3-A8DB-469F-A4D9-9CF41004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51752" y="875422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7B0CFB6-AE2A-49A2-8F43-C6120ADD3676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5735D496-A1AC-4820-B49E-81B36497B91B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1D54049-83ED-4E46-AAF3-8AB11E91C87F}"/>
            </a:ext>
          </a:extLst>
        </xdr:cNvPr>
        <xdr:cNvSpPr txBox="1"/>
      </xdr:nvSpPr>
      <xdr:spPr>
        <a:xfrm>
          <a:off x="85175" y="1424951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6D8C401B-8B20-4B1B-B3F1-F2369FF1A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9F9DEB90-8A15-46D1-B3D7-6604BACC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28130F48-943F-42B1-823C-2EFEAB2C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69903" y="965799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56356153-7BB3-4AB4-9759-607F6F7F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79BA1F25-EFB0-4A64-83BE-55D6409C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C7F2ABCE-CBB0-4551-B0DC-DF61D10BE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19659" y="10844066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128165</xdr:rowOff>
    </xdr:from>
    <xdr:to>
      <xdr:col>5</xdr:col>
      <xdr:colOff>209726</xdr:colOff>
      <xdr:row>50</xdr:row>
      <xdr:rowOff>233027</xdr:rowOff>
    </xdr:to>
    <xdr:pic>
      <xdr:nvPicPr>
        <xdr:cNvPr id="26" name="Google Shape;25;p2">
          <a:extLst>
            <a:ext uri="{FF2B5EF4-FFF2-40B4-BE49-F238E27FC236}">
              <a16:creationId xmlns:a16="http://schemas.microsoft.com/office/drawing/2014/main" id="{B6EF3214-0467-344E-9B30-C5349EECBB64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8237523"/>
          <a:ext cx="10614405" cy="764330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89038</xdr:colOff>
      <xdr:row>5</xdr:row>
      <xdr:rowOff>375392</xdr:rowOff>
    </xdr:from>
    <xdr:ext cx="1010598" cy="19004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86818E-E265-483B-9264-393E04F49589}"/>
            </a:ext>
          </a:extLst>
        </xdr:cNvPr>
        <xdr:cNvSpPr txBox="1"/>
      </xdr:nvSpPr>
      <xdr:spPr>
        <a:xfrm>
          <a:off x="89038" y="1295851"/>
          <a:ext cx="1010598" cy="1900457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5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AF8213B-FF9F-493F-B1CC-AFB23930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307491</xdr:colOff>
      <xdr:row>15</xdr:row>
      <xdr:rowOff>96454</xdr:rowOff>
    </xdr:from>
    <xdr:to>
      <xdr:col>0</xdr:col>
      <xdr:colOff>873853</xdr:colOff>
      <xdr:row>17</xdr:row>
      <xdr:rowOff>168730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5866C0B6-C8E1-4100-A6D8-89E7ED22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307491" y="3650124"/>
          <a:ext cx="566362" cy="573285"/>
        </a:xfrm>
        <a:prstGeom prst="rect">
          <a:avLst/>
        </a:prstGeom>
        <a:effectLst>
          <a:glow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293995</xdr:colOff>
      <xdr:row>12</xdr:row>
      <xdr:rowOff>192293</xdr:rowOff>
    </xdr:from>
    <xdr:to>
      <xdr:col>0</xdr:col>
      <xdr:colOff>828732</xdr:colOff>
      <xdr:row>14</xdr:row>
      <xdr:rowOff>253808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8FD6C3AB-3733-42FF-B2B7-0614ED30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293995" y="3116788"/>
          <a:ext cx="534737" cy="539222"/>
        </a:xfrm>
        <a:prstGeom prst="rect">
          <a:avLst/>
        </a:prstGeom>
        <a:effectLst>
          <a:glow>
            <a:srgbClr val="1024A0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9187E18B-5F44-4242-998C-A16C85F6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E104E33F-6D0B-48E2-B8EA-900612787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6533259" y="3476648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D342DAD6-D56C-4CD1-9F0A-71E6171C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738175</xdr:colOff>
      <xdr:row>33</xdr:row>
      <xdr:rowOff>17672</xdr:rowOff>
    </xdr:from>
    <xdr:to>
      <xdr:col>0</xdr:col>
      <xdr:colOff>1282461</xdr:colOff>
      <xdr:row>33</xdr:row>
      <xdr:rowOff>582075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4372EB41-98A9-4766-9E6A-469E76592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738175" y="9070791"/>
          <a:ext cx="544286" cy="564403"/>
        </a:xfrm>
        <a:prstGeom prst="rect">
          <a:avLst/>
        </a:prstGeom>
        <a:effectLst>
          <a:glow>
            <a:schemeClr val="bg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C6F4A2B-6C43-437E-9281-1781A30559E2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10</xdr:row>
      <xdr:rowOff>36764</xdr:rowOff>
    </xdr:from>
    <xdr:to>
      <xdr:col>1</xdr:col>
      <xdr:colOff>552298</xdr:colOff>
      <xdr:row>18</xdr:row>
      <xdr:rowOff>337890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87BB4BF6-D31F-4170-A1A6-E799D5999D9F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2495204"/>
          <a:ext cx="3453491" cy="225855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38570</xdr:colOff>
      <xdr:row>34</xdr:row>
      <xdr:rowOff>119516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D475E4D-454F-48A1-85FE-A37804EB19B3}"/>
            </a:ext>
          </a:extLst>
        </xdr:cNvPr>
        <xdr:cNvSpPr txBox="1"/>
      </xdr:nvSpPr>
      <xdr:spPr>
        <a:xfrm>
          <a:off x="38570" y="983676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11001460-3FB1-4375-AA17-F152DA0B1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9611AD59-1D2E-40F2-B0FA-A0E972DC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7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1254523</xdr:colOff>
      <xdr:row>29</xdr:row>
      <xdr:rowOff>60124</xdr:rowOff>
    </xdr:from>
    <xdr:to>
      <xdr:col>3</xdr:col>
      <xdr:colOff>130353</xdr:colOff>
      <xdr:row>29</xdr:row>
      <xdr:rowOff>200701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5DD04A48-A435-464A-87AB-96B880AEC271}"/>
            </a:ext>
          </a:extLst>
        </xdr:cNvPr>
        <xdr:cNvSpPr/>
      </xdr:nvSpPr>
      <xdr:spPr>
        <a:xfrm rot="10800000">
          <a:off x="6952046" y="7750032"/>
          <a:ext cx="285646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69265</xdr:rowOff>
    </xdr:from>
    <xdr:to>
      <xdr:col>3</xdr:col>
      <xdr:colOff>114031</xdr:colOff>
      <xdr:row>31</xdr:row>
      <xdr:rowOff>197142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60D0C3C6-2FFB-4FCF-AFEF-BA14989EFF2F}"/>
            </a:ext>
          </a:extLst>
        </xdr:cNvPr>
        <xdr:cNvSpPr/>
      </xdr:nvSpPr>
      <xdr:spPr>
        <a:xfrm rot="10800000">
          <a:off x="6935724" y="8178623"/>
          <a:ext cx="28564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2624661</xdr:colOff>
      <xdr:row>17</xdr:row>
      <xdr:rowOff>245153</xdr:rowOff>
    </xdr:from>
    <xdr:to>
      <xdr:col>1</xdr:col>
      <xdr:colOff>388924</xdr:colOff>
      <xdr:row>19</xdr:row>
      <xdr:rowOff>195565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7D854779-5068-4C38-9CFB-7F5C99EA6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>
          <a:off x="2624661" y="4404694"/>
          <a:ext cx="665456" cy="661146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44801</xdr:colOff>
      <xdr:row>17</xdr:row>
      <xdr:rowOff>228255</xdr:rowOff>
    </xdr:from>
    <xdr:to>
      <xdr:col>3</xdr:col>
      <xdr:colOff>747990</xdr:colOff>
      <xdr:row>19</xdr:row>
      <xdr:rowOff>185145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61D2E5FB-F663-4B4F-BA75-15D30339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 rot="15899709">
          <a:off x="7169923" y="4370013"/>
          <a:ext cx="667624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334933</xdr:colOff>
      <xdr:row>35</xdr:row>
      <xdr:rowOff>74828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5DD72396-C3C8-4BD8-8D73-8CC92254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6032456" y="10246479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58548415-A4A3-4AAF-B497-CF17F193F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1114574</xdr:colOff>
      <xdr:row>16</xdr:row>
      <xdr:rowOff>5840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385BFC89-CE1D-463D-BA39-0AA6CC52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6812097" y="3757583"/>
          <a:ext cx="229173" cy="238618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17817713-5EBD-4EB2-8E1F-C1271F54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6560473" y="4894512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436D904E-A90E-4D2E-A225-9C8CDFA6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5292254" y="4867299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5E79F158-378F-4898-B026-DAA93E552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4"/>
            </a:ext>
          </a:extLst>
        </a:blip>
        <a:stretch>
          <a:fillRect/>
        </a:stretch>
      </xdr:blipFill>
      <xdr:spPr>
        <a:xfrm>
          <a:off x="519659" y="11082948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oneCellAnchor>
  <xdr:twoCellAnchor editAs="oneCell">
    <xdr:from>
      <xdr:col>1</xdr:col>
      <xdr:colOff>1473143</xdr:colOff>
      <xdr:row>33</xdr:row>
      <xdr:rowOff>18604</xdr:rowOff>
    </xdr:from>
    <xdr:to>
      <xdr:col>1</xdr:col>
      <xdr:colOff>2017429</xdr:colOff>
      <xdr:row>33</xdr:row>
      <xdr:rowOff>583007</xdr:rowOff>
    </xdr:to>
    <xdr:pic>
      <xdr:nvPicPr>
        <xdr:cNvPr id="25" name="Рисунок 24" descr="Деньги контур">
          <a:extLst>
            <a:ext uri="{FF2B5EF4-FFF2-40B4-BE49-F238E27FC236}">
              <a16:creationId xmlns:a16="http://schemas.microsoft.com/office/drawing/2014/main" id="{0051BFDD-7DEB-DF46-9FA9-19E1095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4374336" y="9071723"/>
          <a:ext cx="544286" cy="564403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51154</xdr:colOff>
      <xdr:row>49</xdr:row>
      <xdr:rowOff>469990</xdr:rowOff>
    </xdr:from>
    <xdr:ext cx="874150" cy="160178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98E809D-AD0C-3747-8F90-950096D2F718}"/>
            </a:ext>
          </a:extLst>
        </xdr:cNvPr>
        <xdr:cNvSpPr txBox="1"/>
      </xdr:nvSpPr>
      <xdr:spPr>
        <a:xfrm>
          <a:off x="51154" y="1541870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4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02DB92-26A7-4848-A5BF-266ED1D6E55E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5517E20-B72D-40EB-9EF2-765183B7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A1F115EA-92D9-4C3A-B31A-7FC7235F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12326B77-104D-4BAB-B5F3-D0B3284E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93799729-08A3-4199-B0EA-D8C1DFBD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C740F4A5-2828-44AC-B746-7CD8F45D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8" name="Рисунок 7" descr="Деньги контур">
          <a:extLst>
            <a:ext uri="{FF2B5EF4-FFF2-40B4-BE49-F238E27FC236}">
              <a16:creationId xmlns:a16="http://schemas.microsoft.com/office/drawing/2014/main" id="{2C36F13C-0A92-4592-90B6-1A9991A8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551752" y="827797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E9A7439-FBE1-4594-AF85-F4C1A44FE1CD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23043F55-E595-431F-A184-710B113D0EEC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14CEC0B-5FB4-4F64-9AB9-FCD571F1B315}"/>
            </a:ext>
          </a:extLst>
        </xdr:cNvPr>
        <xdr:cNvSpPr txBox="1"/>
      </xdr:nvSpPr>
      <xdr:spPr>
        <a:xfrm>
          <a:off x="85175" y="1342084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73E466DC-5006-42F1-BFFF-8072B18E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17B7CBE8-1FF4-42E5-9A12-CD66588E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01CE4D00-2A99-41DE-9F97-AFC0C755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5269903" y="910554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15" name="Рисунок 14" descr="Хозяйственная сумка контур">
          <a:extLst>
            <a:ext uri="{FF2B5EF4-FFF2-40B4-BE49-F238E27FC236}">
              <a16:creationId xmlns:a16="http://schemas.microsoft.com/office/drawing/2014/main" id="{B4EF752D-B4EF-4DDE-BF80-37F139C1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06049" y="11678437"/>
          <a:ext cx="520792" cy="518781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6" name="Рисунок 15" descr="Предупреждение">
          <a:extLst>
            <a:ext uri="{FF2B5EF4-FFF2-40B4-BE49-F238E27FC236}">
              <a16:creationId xmlns:a16="http://schemas.microsoft.com/office/drawing/2014/main" id="{DBCAA107-5B71-44C7-AC4F-6AF10A284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17" name="Рисунок 16" descr="Хозяйственная сумка контур">
          <a:extLst>
            <a:ext uri="{FF2B5EF4-FFF2-40B4-BE49-F238E27FC236}">
              <a16:creationId xmlns:a16="http://schemas.microsoft.com/office/drawing/2014/main" id="{4E5B5166-475D-490A-A5EC-372487DE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9"/>
            </a:ext>
          </a:extLst>
        </a:blip>
        <a:stretch>
          <a:fillRect/>
        </a:stretch>
      </xdr:blipFill>
      <xdr:spPr>
        <a:xfrm>
          <a:off x="519659" y="10282091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0</xdr:row>
      <xdr:rowOff>139700</xdr:rowOff>
    </xdr:from>
    <xdr:to>
      <xdr:col>0</xdr:col>
      <xdr:colOff>1479420</xdr:colOff>
      <xdr:row>0</xdr:row>
      <xdr:rowOff>791010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EC93CC-3AFD-5949-9E27-DB18136D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3970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0</xdr:rowOff>
    </xdr:from>
    <xdr:to>
      <xdr:col>4</xdr:col>
      <xdr:colOff>393700</xdr:colOff>
      <xdr:row>3</xdr:row>
      <xdr:rowOff>387783</xdr:rowOff>
    </xdr:to>
    <xdr:pic>
      <xdr:nvPicPr>
        <xdr:cNvPr id="3" name="Рисунок 2" descr="Предупреждение">
          <a:extLst>
            <a:ext uri="{FF2B5EF4-FFF2-40B4-BE49-F238E27FC236}">
              <a16:creationId xmlns:a16="http://schemas.microsoft.com/office/drawing/2014/main" id="{94B7079B-DB55-514E-A8CD-020C01FC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175500" y="1752600"/>
          <a:ext cx="381000" cy="38778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652781</xdr:colOff>
      <xdr:row>1</xdr:row>
      <xdr:rowOff>101600</xdr:rowOff>
    </xdr:from>
    <xdr:to>
      <xdr:col>12</xdr:col>
      <xdr:colOff>345440</xdr:colOff>
      <xdr:row>17</xdr:row>
      <xdr:rowOff>79247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605AAFE-4B93-420E-AEDA-3141505FB72C}"/>
            </a:ext>
          </a:extLst>
        </xdr:cNvPr>
        <xdr:cNvSpPr txBox="1"/>
      </xdr:nvSpPr>
      <xdr:spPr>
        <a:xfrm>
          <a:off x="5939156" y="644525"/>
          <a:ext cx="5741034" cy="3920997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00">
              <a:latin typeface="Century Gothic" panose="020B0502020202020204" pitchFamily="34" charset="0"/>
            </a:rPr>
            <a:t>Это</a:t>
          </a:r>
          <a:r>
            <a:rPr lang="ru-RU" sz="1000" baseline="0">
              <a:latin typeface="Century Gothic" panose="020B0502020202020204" pitchFamily="34" charset="0"/>
            </a:rPr>
            <a:t> </a:t>
          </a:r>
          <a:r>
            <a:rPr lang="ru-RU" sz="100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00" baseline="0">
              <a:latin typeface="Century Gothic" panose="020B0502020202020204" pitchFamily="34" charset="0"/>
            </a:rPr>
            <a:t>графика платежей по продукту "Деньги и всё!", основанный на следующих предпосылках:</a:t>
          </a:r>
        </a:p>
        <a:p>
          <a:r>
            <a:rPr lang="ru-RU" sz="100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</a:t>
          </a:r>
          <a:r>
            <a:rPr lang="ru-RU" sz="1000" baseline="0">
              <a:solidFill>
                <a:srgbClr val="7B81C7"/>
              </a:solidFill>
              <a:latin typeface="Century Gothic" panose="020B0502020202020204" pitchFamily="34" charset="0"/>
            </a:rPr>
            <a:t>(покупку по карте, снятие наличных или перевод) </a:t>
          </a:r>
          <a:r>
            <a:rPr lang="ru-RU" sz="1000" baseline="0">
              <a:latin typeface="Century Gothic" panose="020B0502020202020204" pitchFamily="34" charset="0"/>
            </a:rPr>
            <a:t>и после этого не делает новых расходных операций;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00" b="1" baseline="0">
            <a:latin typeface="Century Gothic" panose="020B0502020202020204" pitchFamily="34" charset="0"/>
          </a:endParaRPr>
        </a:p>
        <a:p>
          <a:r>
            <a:rPr lang="ru-RU" sz="1000" b="1" baseline="0">
              <a:solidFill>
                <a:srgbClr val="C00149"/>
              </a:solidFill>
              <a:latin typeface="Century Gothic" panose="020B0502020202020204" pitchFamily="34" charset="0"/>
            </a:rPr>
            <a:t>ВАЖНО! </a:t>
          </a:r>
          <a:r>
            <a:rPr lang="ru-RU" sz="1000" baseline="0"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0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0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00" baseline="0">
              <a:latin typeface="Century Gothic" panose="020B0502020202020204" pitchFamily="34" charset="0"/>
            </a:rPr>
            <a:t>SMS/Push-</a:t>
          </a:r>
          <a:r>
            <a:rPr lang="ru-RU" sz="100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00" baseline="0">
            <a:latin typeface="Century Gothic" panose="020B0502020202020204" pitchFamily="34" charset="0"/>
          </a:endParaRPr>
        </a:p>
        <a:p>
          <a:r>
            <a:rPr lang="ru-RU" sz="1000">
              <a:latin typeface="Century Gothic" panose="020B0502020202020204" pitchFamily="34" charset="0"/>
            </a:rPr>
            <a:t>Для расчета заполните</a:t>
          </a:r>
          <a:r>
            <a:rPr lang="ru-RU" sz="1000" baseline="0">
              <a:latin typeface="Century Gothic" panose="020B0502020202020204" pitchFamily="34" charset="0"/>
            </a:rPr>
            <a:t> ячейки</a:t>
          </a:r>
          <a:r>
            <a:rPr lang="en-US" sz="1000" baseline="0">
              <a:latin typeface="Century Gothic" panose="020B0502020202020204" pitchFamily="34" charset="0"/>
            </a:rPr>
            <a:t> </a:t>
          </a:r>
          <a:r>
            <a:rPr lang="ru-RU" sz="1000" baseline="0">
              <a:latin typeface="Century Gothic" panose="020B0502020202020204" pitchFamily="34" charset="0"/>
            </a:rPr>
            <a:t>слева, выделенные </a:t>
          </a:r>
          <a:r>
            <a:rPr lang="ru-RU" sz="1000" b="1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00" baseline="0">
              <a:latin typeface="Century Gothic" panose="020B0502020202020204" pitchFamily="34" charset="0"/>
            </a:rPr>
            <a:t> заливкой.</a:t>
          </a:r>
          <a:endParaRPr lang="ru-RU" sz="1000"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25400</xdr:rowOff>
    </xdr:from>
    <xdr:to>
      <xdr:col>1</xdr:col>
      <xdr:colOff>1314320</xdr:colOff>
      <xdr:row>1</xdr:row>
      <xdr:rowOff>130610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8FAE69-FF2C-4B05-9183-8B8B85C6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5400"/>
          <a:ext cx="1314320" cy="6481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1102460</xdr:colOff>
      <xdr:row>2</xdr:row>
      <xdr:rowOff>140044</xdr:rowOff>
    </xdr:from>
    <xdr:to>
      <xdr:col>12</xdr:col>
      <xdr:colOff>420077</xdr:colOff>
      <xdr:row>19</xdr:row>
      <xdr:rowOff>48767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E70649-BE21-4C3D-9E8B-8E65415D3B05}"/>
            </a:ext>
          </a:extLst>
        </xdr:cNvPr>
        <xdr:cNvSpPr txBox="1"/>
      </xdr:nvSpPr>
      <xdr:spPr>
        <a:xfrm>
          <a:off x="6026885" y="1044919"/>
          <a:ext cx="6347067" cy="4128298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50" i="0">
              <a:latin typeface="Century Gothic" panose="020B0502020202020204" pitchFamily="34" charset="0"/>
            </a:rPr>
            <a:t>Это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50" i="0" baseline="0">
              <a:latin typeface="Century Gothic" panose="020B0502020202020204" pitchFamily="34" charset="0"/>
            </a:rPr>
            <a:t>графика платежей по "Деньги и всё!", основанный на следующих предпосылках: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(покупку по карте, снятие наличных или перевод) и после этого не делает новых расходных операций;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50" b="1" i="0" baseline="0">
            <a:latin typeface="Century Gothic" panose="020B0502020202020204" pitchFamily="34" charset="0"/>
          </a:endParaRPr>
        </a:p>
        <a:p>
          <a:r>
            <a:rPr lang="ru-RU" sz="1050" b="1" i="0" baseline="0">
              <a:solidFill>
                <a:srgbClr val="C00000"/>
              </a:solidFill>
              <a:latin typeface="Century Gothic" panose="020B0502020202020204" pitchFamily="34" charset="0"/>
            </a:rPr>
            <a:t>Важно!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solidFill>
                <a:srgbClr val="FF0000"/>
              </a:solidFill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50" i="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50" i="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50" i="0" baseline="0">
              <a:latin typeface="Century Gothic" panose="020B0502020202020204" pitchFamily="34" charset="0"/>
            </a:rPr>
            <a:t>SMS/Push-</a:t>
          </a:r>
          <a:r>
            <a:rPr lang="ru-RU" sz="1050" i="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50" i="0" baseline="0">
            <a:latin typeface="Century Gothic" panose="020B0502020202020204" pitchFamily="34" charset="0"/>
          </a:endParaRPr>
        </a:p>
        <a:p>
          <a:r>
            <a:rPr lang="ru-RU" sz="1050" i="0">
              <a:latin typeface="Century Gothic" panose="020B0502020202020204" pitchFamily="34" charset="0"/>
            </a:rPr>
            <a:t>Для расчета заполните</a:t>
          </a:r>
          <a:r>
            <a:rPr lang="ru-RU" sz="1050" i="0" baseline="0">
              <a:latin typeface="Century Gothic" panose="020B0502020202020204" pitchFamily="34" charset="0"/>
            </a:rPr>
            <a:t> ячейки</a:t>
          </a:r>
          <a:r>
            <a:rPr lang="en-US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latin typeface="Century Gothic" panose="020B0502020202020204" pitchFamily="34" charset="0"/>
            </a:rPr>
            <a:t>слева, выделенные </a:t>
          </a:r>
          <a:r>
            <a:rPr lang="ru-RU" sz="1050" b="1" i="0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50" i="0" baseline="0">
              <a:latin typeface="Century Gothic" panose="020B0502020202020204" pitchFamily="34" charset="0"/>
            </a:rPr>
            <a:t> заливкой.</a:t>
          </a:r>
          <a:endParaRPr lang="ru-RU" sz="1050" i="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13</xdr:col>
      <xdr:colOff>533400</xdr:colOff>
      <xdr:row>14</xdr:row>
      <xdr:rowOff>121920</xdr:rowOff>
    </xdr:from>
    <xdr:to>
      <xdr:col>14</xdr:col>
      <xdr:colOff>257174</xdr:colOff>
      <xdr:row>18</xdr:row>
      <xdr:rowOff>110490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BF3717-255B-4270-B4EF-7F2B8ED15D12}"/>
            </a:ext>
          </a:extLst>
        </xdr:cNvPr>
        <xdr:cNvSpPr txBox="1"/>
      </xdr:nvSpPr>
      <xdr:spPr>
        <a:xfrm>
          <a:off x="13315950" y="3979545"/>
          <a:ext cx="600074" cy="902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 i="1"/>
            <a:t>вер. от 08.09.2023</a:t>
          </a:r>
        </a:p>
      </xdr:txBody>
    </xdr:sp>
    <xdr:clientData/>
  </xdr:twoCellAnchor>
  <xdr:twoCellAnchor editAs="oneCell">
    <xdr:from>
      <xdr:col>0</xdr:col>
      <xdr:colOff>244231</xdr:colOff>
      <xdr:row>0</xdr:row>
      <xdr:rowOff>78153</xdr:rowOff>
    </xdr:from>
    <xdr:to>
      <xdr:col>1</xdr:col>
      <xdr:colOff>1294782</xdr:colOff>
      <xdr:row>1</xdr:row>
      <xdr:rowOff>208763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1EFBF8A-AB17-4A79-9109-2132CFD5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81" y="78153"/>
          <a:ext cx="1298201" cy="6354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1314320</xdr:colOff>
      <xdr:row>1</xdr:row>
      <xdr:rowOff>379860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A737BF-E0E1-A247-B443-112AA731E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2</xdr:col>
      <xdr:colOff>236939</xdr:colOff>
      <xdr:row>1</xdr:row>
      <xdr:rowOff>101212</xdr:rowOff>
    </xdr:from>
    <xdr:to>
      <xdr:col>2</xdr:col>
      <xdr:colOff>623276</xdr:colOff>
      <xdr:row>1</xdr:row>
      <xdr:rowOff>494428</xdr:rowOff>
    </xdr:to>
    <xdr:pic>
      <xdr:nvPicPr>
        <xdr:cNvPr id="7" name="Рисунок 6" descr="Предупреждение">
          <a:extLst>
            <a:ext uri="{FF2B5EF4-FFF2-40B4-BE49-F238E27FC236}">
              <a16:creationId xmlns:a16="http://schemas.microsoft.com/office/drawing/2014/main" id="{917775DE-0DA9-DE4C-BDC4-0F1B67A52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5520527" y="372662"/>
          <a:ext cx="386337" cy="39321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71120</xdr:rowOff>
    </xdr:from>
    <xdr:to>
      <xdr:col>0</xdr:col>
      <xdr:colOff>1517520</xdr:colOff>
      <xdr:row>0</xdr:row>
      <xdr:rowOff>729844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91F9B99-42BE-F345-9FD2-2B0195BF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71120"/>
          <a:ext cx="1314320" cy="6587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aritonovis\Desktop\&#1055;&#1086;&#1083;&#1077;&#1079;&#1085;&#1086;&#1077;\&#1082;&#1072;&#1083;&#1100;&#1082;&#1091;&#1083;&#1103;&#1090;&#1086;&#1088;&#1099;\&#1050;&#1072;&#1083;&#1100;&#1082;&#1091;&#1083;&#1103;&#1090;&#1086;&#1088;%20CASH+&#1050;&#1050;+&#1044;&#1080;&#1042;!%20+&#1055;&#1041;&#1054;%2018.05.2023_&#1076;&#1083;&#1103;%20&#1087;&#1072;&#1088;&#1090;&#1085;&#1105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aritonovis\Desktop\&#1055;&#1086;&#1083;&#1077;&#1079;&#1085;&#1086;&#1077;\&#1082;&#1072;&#1083;&#1100;&#1082;&#1091;&#1083;&#1103;&#1090;&#1086;&#1088;&#1099;\&#1050;&#1072;&#1083;&#1100;&#1082;&#1091;&#1083;&#1103;&#1090;&#1086;&#1088;%20CASH+&#1050;&#1050;+&#1044;&#1080;&#1042;!%20+&#1055;&#1041;&#1054;%2018.05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финансирование"/>
      <sheetName val="КЭШ, Реф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финансирование"/>
      <sheetName val="КЭШ, Реф"/>
      <sheetName val="Стабильный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  <sheetName val="Расчет даты для переноса"/>
      <sheetName val="ДиВ!_График МЕП"/>
      <sheetName val="ДиВ!_График по сроку"/>
      <sheetName val="Сумма первого МЕП по КК"/>
      <sheetName val="Образовательны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Y117"/>
  <sheetViews>
    <sheetView workbookViewId="0">
      <selection activeCell="R1" sqref="R1:AT1048576"/>
    </sheetView>
  </sheetViews>
  <sheetFormatPr defaultColWidth="8.7109375" defaultRowHeight="12.75" x14ac:dyDescent="0.2"/>
  <cols>
    <col min="1" max="1" width="40.42578125" style="2" customWidth="1"/>
    <col min="2" max="2" width="12.42578125" style="2" customWidth="1"/>
    <col min="3" max="3" width="15.42578125" style="1" customWidth="1"/>
    <col min="4" max="4" width="29.7109375" style="1" customWidth="1"/>
    <col min="5" max="5" width="1.7109375" style="1" customWidth="1"/>
    <col min="6" max="6" width="5.7109375" style="1" customWidth="1"/>
    <col min="7" max="7" width="10.7109375" style="1" customWidth="1"/>
    <col min="8" max="8" width="15.42578125" style="1" customWidth="1"/>
    <col min="9" max="9" width="15.42578125" style="2" customWidth="1"/>
    <col min="10" max="10" width="15.42578125" style="1" customWidth="1"/>
    <col min="11" max="15" width="15" style="3" customWidth="1"/>
    <col min="16" max="16" width="15.42578125" style="2" customWidth="1"/>
    <col min="17" max="17" width="11.140625" style="2" customWidth="1"/>
    <col min="18" max="18" width="11.42578125" style="44" customWidth="1"/>
    <col min="19" max="19" width="17.42578125" style="2" hidden="1" customWidth="1"/>
    <col min="20" max="20" width="16.7109375" style="2" hidden="1" customWidth="1"/>
    <col min="21" max="21" width="18.140625" style="2" hidden="1" customWidth="1"/>
    <col min="22" max="22" width="20" style="2" hidden="1" customWidth="1"/>
    <col min="23" max="24" width="18.28515625" style="2" hidden="1" customWidth="1"/>
    <col min="25" max="25" width="17.28515625" style="2" hidden="1" customWidth="1"/>
    <col min="26" max="26" width="19" style="2" hidden="1" customWidth="1"/>
    <col min="27" max="27" width="27.7109375" style="3" hidden="1" customWidth="1"/>
    <col min="28" max="30" width="14.42578125" style="3" hidden="1" customWidth="1"/>
    <col min="31" max="32" width="14.42578125" style="2" hidden="1" customWidth="1"/>
    <col min="33" max="33" width="14.42578125" style="57" hidden="1" customWidth="1"/>
    <col min="34" max="40" width="14.42578125" style="2" hidden="1" customWidth="1"/>
    <col min="41" max="41" width="13.140625" style="2" hidden="1" customWidth="1"/>
    <col min="42" max="42" width="13.7109375" style="2" hidden="1" customWidth="1"/>
    <col min="43" max="43" width="8.7109375" style="2" hidden="1" customWidth="1"/>
    <col min="44" max="44" width="13.7109375" style="2" hidden="1" customWidth="1"/>
    <col min="45" max="45" width="13.7109375" style="2" customWidth="1"/>
    <col min="46" max="53" width="8.7109375" style="2" customWidth="1"/>
    <col min="54" max="16384" width="8.7109375" style="2"/>
  </cols>
  <sheetData>
    <row r="1" spans="1:51" ht="12.75" customHeight="1" x14ac:dyDescent="0.2">
      <c r="A1" s="745" t="s">
        <v>41</v>
      </c>
      <c r="B1" s="745"/>
      <c r="C1" s="745"/>
      <c r="D1" s="745"/>
      <c r="E1" s="2"/>
      <c r="F1" s="2"/>
      <c r="G1" s="2"/>
      <c r="H1" s="2"/>
      <c r="J1" s="2"/>
      <c r="K1" s="2"/>
      <c r="L1" s="2"/>
      <c r="M1" s="2"/>
      <c r="N1" s="2"/>
      <c r="O1" s="2"/>
      <c r="R1" s="2"/>
      <c r="AA1" s="2"/>
      <c r="AB1" s="2"/>
      <c r="AC1" s="2"/>
      <c r="AD1" s="2"/>
      <c r="AG1" s="62"/>
      <c r="AN1" s="2" t="s">
        <v>52</v>
      </c>
      <c r="AO1" s="86" t="str">
        <f>IF($C$10=$X$3,$X$4,IF($C$10=$AA$3,$AA$4,IF($C$10=$AB$3,$AB$4,IF($C$10=$AC$3,$AC$4,IF($C$10=$AD$3,$AD$4,IF($C$10=$AE$3,$AE$4,IF($C$10=$AF$3,$AF$4,IF($C$10=$AG$3,$AG$4,IF($C$10=$AH$3,$AH$4,IF($C$10=$AI$3,$AI$4,IF($C$10=$AJ$3,$AJ$4,IF($C$10=$AK$3,$AK$4,IF($C$10=$AL$3,$AL$4,IF($C$10=$AM$3,$AM$4,IF($C$10=$AN$3,$AN$4,"")))))))))))))))</f>
        <v/>
      </c>
      <c r="AQ1" s="65">
        <f>IF(IF($C$10=$S$3,OR($C$16=$S$4,$C$16=$S$5,$C$16=$S$7,$C$16=$S$8,$C$16=$S$9,$C$16=$S$10,$C$16=$S$11,$C$16=$S$15),IF($C$10=$T$3,OR($C$16=$T$4,$C$16=$T$5,$C$16=$T$6,$C$16=$T$7,$C$16=$T$8,$C$16=$T$9),IF($C$10=$U$3,OR($C$16=$U$4,$C$16=$U$5,$C$16=$U$6),IF($C$10=$V$3,OR($C$16=$V$4,$C$16=$V$5,$C$16=$V$6),IF($C$10=$W$3,OR($C$16=$W$4,$C$16=$W$5,$C$16=$W$6),IF($C$10=$X$3,OR($C$16=$X$4,$C$16=$X$5,$C$16=$X$6),IF($C$10=$Y$3,OR($C$16=$Y$4,$C$16=$Y$5,$C$16=$Y$6),IF($C$10=$Z$3,OR($C$16=$Z$4,$C$16=$Z$5,$C$16=$Z$6),IF($C$10=$AA$3,OR($C$16=$AA$4,$C$16=$AA$5,$C$16=$AA$6),IF($C$10=$AB$3,OR($C$16=$AB$4,$C$16=$AB$5,$C$16=$AB$6),IF($C$10=$AC$3,OR($C$16=$AC$4,$C$16=$AC$5,$C$16=$AC$6),IF($C$10=$AD$3,OR($C$16=$AD$4,$C$16=$AD$5,$C$16=$AD$6),IF($C$10=$AE$3,OR($C$16=$AE$4,$C$16=$AE$5,$C$16=$AE$6),IF($C$10=$AF$3,OR($C$16=$AF$4,$C$16=$AF$5,$C$16=$AF$6),IF($C$10=$AG$3,OR($C$16=$AG$4,$C$16=$AG$5,$C$16=$AG$6),IF($C$10=$AH$3,OR($C$16=$AH$4,$C$16=$AH$5,$C$16=$AH$6),IF($C$10=$AI$3,OR($C$16=$AI$4,$C$16=$AI$5,$C$16=$AI$6),IF($C$10=$AJ$3,OR($C$16=$AJ$4,$C$16=$AJ$5,$C$16=$AJ$6),IF($C$10=$AK$3,OR($C$16=$AK$4,$C$16=$AK$5,$C$16=$AK$6),IF($C$10=$AL$3,OR($C$16=$AL$4,$C$16=$AL$5,$C$16=$AL$6),IF($C$10=$AM$3,OR($C$16=$AM$4,$C$16=$AM$5,$C$16=$AM$6),IF($C$10=$AN$3,OR($C$16=$AN$4,$C$16=$AN$5,$C$16=$AN$6),"")))))))))))))))))))))),1,0)</f>
        <v>1</v>
      </c>
    </row>
    <row r="2" spans="1:51" ht="34.5" customHeight="1" x14ac:dyDescent="0.2">
      <c r="A2" s="745"/>
      <c r="B2" s="745"/>
      <c r="C2" s="745"/>
      <c r="D2" s="745"/>
      <c r="E2" s="2"/>
      <c r="F2" s="2"/>
      <c r="G2" s="2"/>
      <c r="H2" s="2"/>
      <c r="J2" s="2"/>
      <c r="K2" s="2"/>
      <c r="L2" s="2"/>
      <c r="M2" s="2"/>
      <c r="N2" s="2"/>
      <c r="O2" s="2"/>
      <c r="R2" s="2"/>
      <c r="AA2" s="2"/>
      <c r="AB2" s="2"/>
      <c r="AC2" s="2"/>
      <c r="AD2" s="2"/>
    </row>
    <row r="3" spans="1:51" ht="26.25" x14ac:dyDescent="0.2">
      <c r="A3" s="746" t="s">
        <v>27</v>
      </c>
      <c r="B3" s="746"/>
      <c r="C3" s="746"/>
      <c r="D3" s="746"/>
      <c r="E3" s="2"/>
      <c r="F3" s="746" t="s">
        <v>28</v>
      </c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49"/>
      <c r="S3" s="55" t="s">
        <v>53</v>
      </c>
      <c r="T3" s="55"/>
      <c r="U3" s="55"/>
      <c r="V3" s="55"/>
      <c r="W3" s="55"/>
      <c r="X3" s="85"/>
      <c r="Y3" s="85"/>
      <c r="Z3" s="5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63"/>
      <c r="AP3" s="63"/>
      <c r="AS3" s="6"/>
      <c r="AT3" s="57"/>
    </row>
    <row r="4" spans="1:51" ht="12" customHeight="1" x14ac:dyDescent="0.2">
      <c r="A4" s="746"/>
      <c r="B4" s="746"/>
      <c r="C4" s="746"/>
      <c r="D4" s="746"/>
      <c r="E4" s="2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49"/>
      <c r="S4" s="15">
        <v>0.11899999999999999</v>
      </c>
      <c r="T4" s="15"/>
      <c r="U4" s="15"/>
      <c r="V4" s="15"/>
      <c r="W4" s="15"/>
      <c r="X4" s="84"/>
      <c r="Y4" s="84"/>
      <c r="Z4" s="15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15"/>
      <c r="AP4" s="15"/>
      <c r="AS4" s="11"/>
      <c r="AT4" s="57"/>
      <c r="AY4" s="57"/>
    </row>
    <row r="5" spans="1:51" ht="25.5" customHeight="1" x14ac:dyDescent="0.2">
      <c r="A5" s="747" t="s">
        <v>46</v>
      </c>
      <c r="B5" s="748"/>
      <c r="C5" s="749">
        <v>350000</v>
      </c>
      <c r="D5" s="749"/>
      <c r="F5" s="43" t="s">
        <v>3</v>
      </c>
      <c r="G5" s="19" t="s">
        <v>4</v>
      </c>
      <c r="H5" s="19" t="s">
        <v>5</v>
      </c>
      <c r="I5" s="20" t="s">
        <v>12</v>
      </c>
      <c r="J5" s="20" t="s">
        <v>26</v>
      </c>
      <c r="K5" s="20" t="s">
        <v>36</v>
      </c>
      <c r="L5" s="20" t="s">
        <v>39</v>
      </c>
      <c r="M5" s="20" t="s">
        <v>38</v>
      </c>
      <c r="N5" s="20" t="s">
        <v>37</v>
      </c>
      <c r="O5" s="20" t="s">
        <v>40</v>
      </c>
      <c r="P5" s="19" t="s">
        <v>6</v>
      </c>
      <c r="Q5" s="45" t="s">
        <v>32</v>
      </c>
      <c r="R5" s="50" t="s">
        <v>31</v>
      </c>
      <c r="S5" s="15">
        <v>0.129</v>
      </c>
      <c r="T5" s="15"/>
      <c r="U5" s="15"/>
      <c r="V5" s="15"/>
      <c r="W5" s="15"/>
      <c r="X5" s="84"/>
      <c r="Y5" s="84"/>
      <c r="Z5" s="15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15"/>
      <c r="AP5" s="15"/>
      <c r="AS5" s="3"/>
      <c r="AT5" s="57"/>
      <c r="AY5" s="61"/>
    </row>
    <row r="6" spans="1:51" ht="13.5" customHeight="1" x14ac:dyDescent="0.2">
      <c r="A6" s="742" t="s">
        <v>16</v>
      </c>
      <c r="B6" s="743"/>
      <c r="C6" s="744" t="s">
        <v>70</v>
      </c>
      <c r="D6" s="744"/>
      <c r="F6" s="21"/>
      <c r="G6" s="22">
        <f ca="1">C7</f>
        <v>45315</v>
      </c>
      <c r="H6" s="23">
        <f>-C13</f>
        <v>-434000</v>
      </c>
      <c r="I6" s="24"/>
      <c r="J6" s="25"/>
      <c r="K6" s="25"/>
      <c r="L6" s="25"/>
      <c r="M6" s="25"/>
      <c r="N6" s="25"/>
      <c r="O6" s="25"/>
      <c r="P6" s="56">
        <f>C13</f>
        <v>434000</v>
      </c>
      <c r="Q6" s="25"/>
      <c r="R6" s="36"/>
      <c r="S6" s="15">
        <v>0.13900000000000001</v>
      </c>
      <c r="T6" s="15"/>
      <c r="U6" s="15"/>
      <c r="V6" s="15"/>
      <c r="W6" s="15"/>
      <c r="X6" s="84"/>
      <c r="Y6" s="84"/>
      <c r="Z6" s="15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15"/>
      <c r="AP6" s="15"/>
      <c r="AS6" s="3"/>
      <c r="AT6" s="57"/>
      <c r="AX6" s="57"/>
    </row>
    <row r="7" spans="1:51" ht="12.75" customHeight="1" x14ac:dyDescent="0.2">
      <c r="A7" s="742" t="s">
        <v>25</v>
      </c>
      <c r="B7" s="743"/>
      <c r="C7" s="750">
        <f ca="1">TODAY()</f>
        <v>45315</v>
      </c>
      <c r="D7" s="750"/>
      <c r="F7" s="26">
        <f>1</f>
        <v>1</v>
      </c>
      <c r="G7" s="27">
        <f t="shared" ref="G7:G38" ca="1" si="0">IF((OR(DAY($Z$43)=29,DAY($Z$43)=30,DAY($Z$43)=31)),(EDATE($C$7-3,F7)),(IF((OR(DAY($Z$43)=1,DAY($Z$43)=2,DAY($Z$43)=3)),(EDATE($C$7,F7)+3),EDATE($C$7,F7))))</f>
        <v>45346</v>
      </c>
      <c r="H7" s="24">
        <f ca="1">IF(AND(P6+K7+I7&gt;H6,H6&lt;&gt;0),$D$15,IF(P6=0,0,P6+K7+I7+I8))</f>
        <v>9635</v>
      </c>
      <c r="I7" s="24">
        <f ca="1">IF($C$7&gt;$AB$40,ROUND(P6*$C$16/(DATEVALUE(CONCATENATE("01/01/",YEAR(G7)+1))-DATEVALUE(CONCATENATE("01/01/",YEAR(G7))))*(G7-G6),2),0)</f>
        <v>4374.3900000000003</v>
      </c>
      <c r="J7" s="24">
        <f ca="1">IF(Q7=0,0,IF(Q7=1,P6,IF(P6+K7+I7&gt;H6,H7-I7-K7,P6)))</f>
        <v>5260.61</v>
      </c>
      <c r="K7" s="24">
        <f ca="1">IF(M7&gt;$D$15,$D$15-I7,IF(R7=0,0,O7)+AE40)</f>
        <v>0</v>
      </c>
      <c r="L7" s="24"/>
      <c r="M7" s="24">
        <f ca="1">I7+N7</f>
        <v>4374.3900000000003</v>
      </c>
      <c r="N7" s="24">
        <f ca="1">IF(R7=0,0,$D$17)+AE40</f>
        <v>0</v>
      </c>
      <c r="O7" s="24">
        <f t="shared" ref="O7:O70" ca="1" si="1">IF(R7=0,0,$D$17)</f>
        <v>0</v>
      </c>
      <c r="P7" s="24">
        <f ca="1">IF(OR(Q7=1,P6=0),0,P6-J7)</f>
        <v>428739.39</v>
      </c>
      <c r="Q7" s="36">
        <f>D14</f>
        <v>60</v>
      </c>
      <c r="R7" s="36">
        <f t="shared" ref="R7:R38" ca="1" si="2">IF(ISERR(CEILING(FLOOR(NPER($C$16/12,-$Z$44,P6),0.1),1))=TRUE,0,CEILING(FLOOR(NPER($C$16/12,-$Z$44,P6),0.1),1))</f>
        <v>60</v>
      </c>
      <c r="S7" s="15">
        <v>0.14899999999999999</v>
      </c>
      <c r="T7" s="15"/>
      <c r="U7" s="15"/>
      <c r="V7" s="15"/>
      <c r="W7" s="15"/>
      <c r="X7" s="84"/>
      <c r="Y7" s="84"/>
      <c r="Z7" s="15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15"/>
      <c r="AP7" s="15"/>
    </row>
    <row r="8" spans="1:51" ht="12.75" customHeight="1" x14ac:dyDescent="0.2">
      <c r="A8" s="742" t="s">
        <v>18</v>
      </c>
      <c r="B8" s="743"/>
      <c r="C8" s="751"/>
      <c r="D8" s="751"/>
      <c r="F8" s="26">
        <f>F7+1</f>
        <v>2</v>
      </c>
      <c r="G8" s="27">
        <f t="shared" ca="1" si="0"/>
        <v>45375</v>
      </c>
      <c r="H8" s="24">
        <f t="shared" ref="H8:H45" ca="1" si="3">IF(Q8=1,K8+I8+J8,IF(P7+K8+I8&gt;H7,$D$15,IF(P7=0,0,P7+K8+I8+I9)))</f>
        <v>9635</v>
      </c>
      <c r="I8" s="24">
        <f t="shared" ref="I8:I39" ca="1" si="4">IF($C$7&gt;$AB$40,ROUND(P7*$C$16/(DATEVALUE(CONCATENATE("01/01/",YEAR(G8)+1))-DATEVALUE(CONCATENATE("01/01/",YEAR(G8))))*(G8-G7),2),ROUND(P6*$C$16/(DATEVALUE(CONCATENATE("01/01/",YEAR(G7)+1))-DATEVALUE(CONCATENATE("01/01/",YEAR(G7))))*(G7-G6),2))</f>
        <v>4042.57</v>
      </c>
      <c r="J8" s="24">
        <f t="shared" ref="J8:J71" ca="1" si="5">IF(Q8=0,0,IF(Q8=1,P7,IF(P7+K8+I8&gt;H7,H8-I8-K8,P7)))</f>
        <v>5592.43</v>
      </c>
      <c r="K8" s="24">
        <f t="shared" ref="K8:K71" ca="1" si="6">IF(M8&gt;$D$15,$D$15-I8,IF(R8=0,0,N8))</f>
        <v>0</v>
      </c>
      <c r="L8" s="24">
        <f ca="1">N7-K7</f>
        <v>0</v>
      </c>
      <c r="M8" s="24">
        <f t="shared" ref="M8:M85" ca="1" si="7">I8+N8</f>
        <v>4042.57</v>
      </c>
      <c r="N8" s="24">
        <f ca="1">IF(R8=0,0,$D$17)+L8</f>
        <v>0</v>
      </c>
      <c r="O8" s="24">
        <f t="shared" ca="1" si="1"/>
        <v>0</v>
      </c>
      <c r="P8" s="24">
        <f t="shared" ref="P8:P71" ca="1" si="8">IF(OR(Q8=1,P7=0),0,P7-J8)</f>
        <v>423146.96</v>
      </c>
      <c r="Q8" s="36">
        <f>IF((Q7-1)&lt;0,0,Q7-1)</f>
        <v>59</v>
      </c>
      <c r="R8" s="36">
        <f t="shared" ca="1" si="2"/>
        <v>59</v>
      </c>
      <c r="S8" s="15">
        <v>0.159</v>
      </c>
      <c r="T8" s="15"/>
      <c r="U8" s="15"/>
      <c r="V8" s="15"/>
      <c r="W8" s="15"/>
      <c r="X8" s="84"/>
      <c r="Y8" s="84"/>
      <c r="Z8" s="15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15"/>
      <c r="AP8" s="15"/>
    </row>
    <row r="9" spans="1:51" ht="12" customHeight="1" x14ac:dyDescent="0.2">
      <c r="A9" s="742" t="s">
        <v>1</v>
      </c>
      <c r="B9" s="743"/>
      <c r="C9" s="752">
        <v>60</v>
      </c>
      <c r="D9" s="752"/>
      <c r="F9" s="26">
        <f t="shared" ref="F9:F72" si="9">F8+1</f>
        <v>3</v>
      </c>
      <c r="G9" s="27">
        <f t="shared" ca="1" si="0"/>
        <v>45406</v>
      </c>
      <c r="H9" s="24">
        <f t="shared" ca="1" si="3"/>
        <v>9635</v>
      </c>
      <c r="I9" s="24">
        <f t="shared" ca="1" si="4"/>
        <v>4265</v>
      </c>
      <c r="J9" s="24">
        <f t="shared" ca="1" si="5"/>
        <v>5370</v>
      </c>
      <c r="K9" s="24">
        <f t="shared" ca="1" si="6"/>
        <v>0</v>
      </c>
      <c r="L9" s="24">
        <f t="shared" ref="L9:L85" ca="1" si="10">N8-K8</f>
        <v>0</v>
      </c>
      <c r="M9" s="24">
        <f t="shared" ca="1" si="7"/>
        <v>4265</v>
      </c>
      <c r="N9" s="24">
        <f ca="1">IF(R9=0,0,$D$17)+L9</f>
        <v>0</v>
      </c>
      <c r="O9" s="24">
        <f t="shared" ca="1" si="1"/>
        <v>0</v>
      </c>
      <c r="P9" s="24">
        <f t="shared" ca="1" si="8"/>
        <v>417776.96</v>
      </c>
      <c r="Q9" s="36">
        <f t="shared" ref="Q9:Q72" si="11">IF((Q8-1)&lt;0,0,Q8-1)</f>
        <v>58</v>
      </c>
      <c r="R9" s="36">
        <f t="shared" ca="1" si="2"/>
        <v>58</v>
      </c>
      <c r="S9" s="15">
        <v>0.16900000000000001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3"/>
      <c r="AP9" s="3"/>
    </row>
    <row r="10" spans="1:51" ht="12" customHeight="1" x14ac:dyDescent="0.2">
      <c r="A10" s="753" t="s">
        <v>34</v>
      </c>
      <c r="B10" s="754"/>
      <c r="C10" s="755" t="s">
        <v>53</v>
      </c>
      <c r="D10" s="755"/>
      <c r="F10" s="26">
        <f t="shared" si="9"/>
        <v>4</v>
      </c>
      <c r="G10" s="27">
        <f t="shared" ca="1" si="0"/>
        <v>45436</v>
      </c>
      <c r="H10" s="24">
        <f t="shared" ca="1" si="3"/>
        <v>9635</v>
      </c>
      <c r="I10" s="24">
        <f t="shared" ca="1" si="4"/>
        <v>4075.04</v>
      </c>
      <c r="J10" s="24">
        <f t="shared" ca="1" si="5"/>
        <v>5559.96</v>
      </c>
      <c r="K10" s="24">
        <f t="shared" ca="1" si="6"/>
        <v>0</v>
      </c>
      <c r="L10" s="24">
        <f t="shared" ca="1" si="10"/>
        <v>0</v>
      </c>
      <c r="M10" s="24">
        <f t="shared" ca="1" si="7"/>
        <v>4075.04</v>
      </c>
      <c r="N10" s="24">
        <f ca="1">IF(R10=0,0,$D$17)+L10</f>
        <v>0</v>
      </c>
      <c r="O10" s="24">
        <f t="shared" ca="1" si="1"/>
        <v>0</v>
      </c>
      <c r="P10" s="24">
        <f t="shared" ca="1" si="8"/>
        <v>412217</v>
      </c>
      <c r="Q10" s="36">
        <f t="shared" si="11"/>
        <v>57</v>
      </c>
      <c r="R10" s="36">
        <f t="shared" ca="1" si="2"/>
        <v>57</v>
      </c>
      <c r="S10" s="15">
        <v>0.17899999999999999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</row>
    <row r="11" spans="1:51" ht="12" customHeight="1" x14ac:dyDescent="0.2">
      <c r="A11" s="742" t="s">
        <v>30</v>
      </c>
      <c r="B11" s="743"/>
      <c r="C11" s="752" t="s">
        <v>35</v>
      </c>
      <c r="D11" s="752"/>
      <c r="F11" s="26">
        <f>F10+1</f>
        <v>5</v>
      </c>
      <c r="G11" s="27">
        <f t="shared" ca="1" si="0"/>
        <v>45467</v>
      </c>
      <c r="H11" s="24">
        <f t="shared" ca="1" si="3"/>
        <v>9635</v>
      </c>
      <c r="I11" s="24">
        <f t="shared" ca="1" si="4"/>
        <v>4154.83</v>
      </c>
      <c r="J11" s="24">
        <f t="shared" ca="1" si="5"/>
        <v>5480.17</v>
      </c>
      <c r="K11" s="24">
        <f t="shared" ca="1" si="6"/>
        <v>0</v>
      </c>
      <c r="L11" s="24">
        <f t="shared" ca="1" si="10"/>
        <v>0</v>
      </c>
      <c r="M11" s="24">
        <f t="shared" ca="1" si="7"/>
        <v>4154.83</v>
      </c>
      <c r="N11" s="24">
        <f ca="1">IF(R11=0,0,$D$17)+L11</f>
        <v>0</v>
      </c>
      <c r="O11" s="24">
        <f t="shared" ca="1" si="1"/>
        <v>0</v>
      </c>
      <c r="P11" s="24">
        <f t="shared" ca="1" si="8"/>
        <v>406736.83</v>
      </c>
      <c r="Q11" s="36">
        <f>IF((Q10-1)&lt;0,0,Q10-1)</f>
        <v>56</v>
      </c>
      <c r="R11" s="36">
        <f t="shared" ca="1" si="2"/>
        <v>56</v>
      </c>
      <c r="S11" s="15">
        <v>0.189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46">
        <v>42186</v>
      </c>
    </row>
    <row r="12" spans="1:51" ht="12" x14ac:dyDescent="0.2">
      <c r="A12" s="742" t="s">
        <v>19</v>
      </c>
      <c r="B12" s="743"/>
      <c r="C12" s="68"/>
      <c r="D12" s="68"/>
      <c r="F12" s="26">
        <f>F11+1</f>
        <v>6</v>
      </c>
      <c r="G12" s="27">
        <f t="shared" ca="1" si="0"/>
        <v>45497</v>
      </c>
      <c r="H12" s="24">
        <f t="shared" ca="1" si="3"/>
        <v>9635</v>
      </c>
      <c r="I12" s="24">
        <f t="shared" ca="1" si="4"/>
        <v>3967.35</v>
      </c>
      <c r="J12" s="24">
        <f ca="1">IF(Q12=0,0,IF(Q12=1,P11,IF(P11+K12+I12&gt;H11,H12-I12-K12,P11)))</f>
        <v>5667.65</v>
      </c>
      <c r="K12" s="24">
        <f t="shared" ca="1" si="6"/>
        <v>0</v>
      </c>
      <c r="L12" s="24">
        <f ca="1">N11-K11</f>
        <v>0</v>
      </c>
      <c r="M12" s="24">
        <f t="shared" ca="1" si="7"/>
        <v>3967.35</v>
      </c>
      <c r="N12" s="24">
        <f ca="1">IF(R12=0,0,$D$17)</f>
        <v>0</v>
      </c>
      <c r="O12" s="24">
        <f t="shared" ca="1" si="1"/>
        <v>0</v>
      </c>
      <c r="P12" s="24">
        <f ca="1">IF(OR(Q12=1,P11=0),0,P11-J12)</f>
        <v>401069.18</v>
      </c>
      <c r="Q12" s="36">
        <f>IF((Q11-1)&lt;0,0,Q11-1)</f>
        <v>55</v>
      </c>
      <c r="R12" s="36">
        <f t="shared" ca="1" si="2"/>
        <v>55</v>
      </c>
      <c r="S12" s="15">
        <v>0.19500000000000001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</row>
    <row r="13" spans="1:51" x14ac:dyDescent="0.2">
      <c r="A13" s="742" t="s">
        <v>9</v>
      </c>
      <c r="B13" s="743"/>
      <c r="C13" s="756">
        <f>$C$5+$X$41*$C$5*$C$9+$D$24</f>
        <v>434000</v>
      </c>
      <c r="D13" s="756"/>
      <c r="F13" s="26">
        <f t="shared" si="9"/>
        <v>7</v>
      </c>
      <c r="G13" s="27">
        <f t="shared" ca="1" si="0"/>
        <v>45528</v>
      </c>
      <c r="H13" s="24">
        <f t="shared" ca="1" si="3"/>
        <v>9635</v>
      </c>
      <c r="I13" s="24">
        <f t="shared" ca="1" si="4"/>
        <v>4042.47</v>
      </c>
      <c r="J13" s="24">
        <f t="shared" ca="1" si="5"/>
        <v>5592.5300000000007</v>
      </c>
      <c r="K13" s="24">
        <f t="shared" ca="1" si="6"/>
        <v>0</v>
      </c>
      <c r="L13" s="24">
        <f t="shared" ca="1" si="10"/>
        <v>0</v>
      </c>
      <c r="M13" s="24">
        <f t="shared" ca="1" si="7"/>
        <v>4042.47</v>
      </c>
      <c r="N13" s="24">
        <f ca="1">IF(R13=0,0,$D$17)</f>
        <v>0</v>
      </c>
      <c r="O13" s="24">
        <f t="shared" ca="1" si="1"/>
        <v>0</v>
      </c>
      <c r="P13" s="24">
        <f t="shared" ca="1" si="8"/>
        <v>395476.64999999997</v>
      </c>
      <c r="Q13" s="36">
        <f t="shared" si="11"/>
        <v>54</v>
      </c>
      <c r="R13" s="36">
        <f t="shared" ca="1" si="2"/>
        <v>54</v>
      </c>
      <c r="S13" s="15">
        <v>0.20899999999999999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</row>
    <row r="14" spans="1:51" ht="12" x14ac:dyDescent="0.2">
      <c r="A14" s="742" t="s">
        <v>1</v>
      </c>
      <c r="B14" s="743"/>
      <c r="C14" s="69"/>
      <c r="D14" s="70">
        <f>C9</f>
        <v>60</v>
      </c>
      <c r="F14" s="26">
        <f t="shared" si="9"/>
        <v>8</v>
      </c>
      <c r="G14" s="27">
        <f t="shared" ca="1" si="0"/>
        <v>45559</v>
      </c>
      <c r="H14" s="24">
        <f t="shared" ca="1" si="3"/>
        <v>9635</v>
      </c>
      <c r="I14" s="24">
        <f t="shared" ca="1" si="4"/>
        <v>3986.1</v>
      </c>
      <c r="J14" s="24">
        <f t="shared" ca="1" si="5"/>
        <v>5648.9</v>
      </c>
      <c r="K14" s="24">
        <f t="shared" ca="1" si="6"/>
        <v>0</v>
      </c>
      <c r="L14" s="24">
        <f t="shared" ca="1" si="10"/>
        <v>0</v>
      </c>
      <c r="M14" s="24">
        <f t="shared" ca="1" si="7"/>
        <v>3986.1</v>
      </c>
      <c r="N14" s="24">
        <f ca="1">IF(R14=0,0,$D$17)</f>
        <v>0</v>
      </c>
      <c r="O14" s="24">
        <f t="shared" ca="1" si="1"/>
        <v>0</v>
      </c>
      <c r="P14" s="24">
        <f t="shared" ca="1" si="8"/>
        <v>389827.74999999994</v>
      </c>
      <c r="Q14" s="36">
        <f t="shared" si="11"/>
        <v>53</v>
      </c>
      <c r="R14" s="36">
        <f t="shared" ca="1" si="2"/>
        <v>53</v>
      </c>
      <c r="S14" s="15">
        <v>0.22900000000000001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</row>
    <row r="15" spans="1:51" ht="12" x14ac:dyDescent="0.2">
      <c r="A15" s="742" t="s">
        <v>14</v>
      </c>
      <c r="B15" s="743"/>
      <c r="C15" s="71"/>
      <c r="D15" s="72">
        <f ca="1">ROUNDUP(($Z$44+$D$17)/AC36,0)*AC36</f>
        <v>9635</v>
      </c>
      <c r="F15" s="26">
        <f t="shared" si="9"/>
        <v>9</v>
      </c>
      <c r="G15" s="27">
        <f t="shared" ca="1" si="0"/>
        <v>45589</v>
      </c>
      <c r="H15" s="24">
        <f t="shared" ca="1" si="3"/>
        <v>9635</v>
      </c>
      <c r="I15" s="24">
        <f t="shared" ca="1" si="4"/>
        <v>3802.42</v>
      </c>
      <c r="J15" s="24">
        <f t="shared" ca="1" si="5"/>
        <v>5832.58</v>
      </c>
      <c r="K15" s="24">
        <f t="shared" ca="1" si="6"/>
        <v>0</v>
      </c>
      <c r="L15" s="24">
        <f t="shared" ca="1" si="10"/>
        <v>0</v>
      </c>
      <c r="M15" s="24">
        <f t="shared" ca="1" si="7"/>
        <v>3802.42</v>
      </c>
      <c r="N15" s="24">
        <f ca="1">IF(R15=0,0,$D$17)</f>
        <v>0</v>
      </c>
      <c r="O15" s="24">
        <f t="shared" ca="1" si="1"/>
        <v>0</v>
      </c>
      <c r="P15" s="24">
        <f t="shared" ca="1" si="8"/>
        <v>383995.16999999993</v>
      </c>
      <c r="Q15" s="36">
        <f t="shared" si="11"/>
        <v>52</v>
      </c>
      <c r="R15" s="36">
        <f t="shared" ca="1" si="2"/>
        <v>52</v>
      </c>
      <c r="S15" s="15">
        <v>0.23899999999999999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51" ht="12" x14ac:dyDescent="0.2">
      <c r="A16" s="753" t="s">
        <v>2</v>
      </c>
      <c r="B16" s="754"/>
      <c r="C16" s="83">
        <v>0.11899999999999999</v>
      </c>
      <c r="D16" s="71"/>
      <c r="F16" s="26">
        <f t="shared" si="9"/>
        <v>10</v>
      </c>
      <c r="G16" s="27">
        <f t="shared" ca="1" si="0"/>
        <v>45620</v>
      </c>
      <c r="H16" s="24">
        <f t="shared" ca="1" si="3"/>
        <v>9635</v>
      </c>
      <c r="I16" s="24">
        <f t="shared" ca="1" si="4"/>
        <v>3870.38</v>
      </c>
      <c r="J16" s="24">
        <f t="shared" ca="1" si="5"/>
        <v>5764.62</v>
      </c>
      <c r="K16" s="24">
        <f t="shared" ca="1" si="6"/>
        <v>0</v>
      </c>
      <c r="L16" s="24">
        <f t="shared" ca="1" si="10"/>
        <v>0</v>
      </c>
      <c r="M16" s="24">
        <f t="shared" ca="1" si="7"/>
        <v>3870.38</v>
      </c>
      <c r="N16" s="24">
        <f ca="1">IF(R16=0,0,$D$17)</f>
        <v>0</v>
      </c>
      <c r="O16" s="24">
        <f t="shared" ca="1" si="1"/>
        <v>0</v>
      </c>
      <c r="P16" s="24">
        <f t="shared" ca="1" si="8"/>
        <v>378230.54999999993</v>
      </c>
      <c r="Q16" s="36">
        <f t="shared" si="11"/>
        <v>51</v>
      </c>
      <c r="R16" s="36">
        <f t="shared" ca="1" si="2"/>
        <v>51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</row>
    <row r="17" spans="1:40" x14ac:dyDescent="0.2">
      <c r="A17" s="742" t="s">
        <v>45</v>
      </c>
      <c r="B17" s="743"/>
      <c r="C17" s="73">
        <f>IF(C6=V48,V54/2,IF(C6=W48,W54/2,IF(C6=Y48,Y54/2,IF(C6=Z48,Z54/2,IF(C6=X48,X54/2,IF(C6=AA48,AA54/2,IF(C6=AB48,AB54/2,S17)))))))</f>
        <v>2E-3</v>
      </c>
      <c r="D17" s="74"/>
      <c r="F17" s="26">
        <f t="shared" si="9"/>
        <v>11</v>
      </c>
      <c r="G17" s="27">
        <f t="shared" ca="1" si="0"/>
        <v>45650</v>
      </c>
      <c r="H17" s="24">
        <f t="shared" ca="1" si="3"/>
        <v>9635</v>
      </c>
      <c r="I17" s="24">
        <f t="shared" ca="1" si="4"/>
        <v>3689.3</v>
      </c>
      <c r="J17" s="24">
        <f t="shared" ca="1" si="5"/>
        <v>5945.7</v>
      </c>
      <c r="K17" s="24">
        <f t="shared" ca="1" si="6"/>
        <v>0</v>
      </c>
      <c r="L17" s="24">
        <f t="shared" ca="1" si="10"/>
        <v>0</v>
      </c>
      <c r="M17" s="24">
        <f t="shared" ca="1" si="7"/>
        <v>3689.3</v>
      </c>
      <c r="N17" s="24">
        <f t="shared" ref="N17:N80" ca="1" si="12">IF(R17=0,0,$D$17)</f>
        <v>0</v>
      </c>
      <c r="O17" s="24">
        <f t="shared" ca="1" si="1"/>
        <v>0</v>
      </c>
      <c r="P17" s="24">
        <f t="shared" ca="1" si="8"/>
        <v>372284.84999999992</v>
      </c>
      <c r="Q17" s="36">
        <f t="shared" si="11"/>
        <v>50</v>
      </c>
      <c r="R17" s="36">
        <f t="shared" ca="1" si="2"/>
        <v>50</v>
      </c>
      <c r="S17" s="2">
        <v>1</v>
      </c>
      <c r="T17" s="3">
        <v>1</v>
      </c>
      <c r="U17" s="2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</row>
    <row r="18" spans="1:40" x14ac:dyDescent="0.2">
      <c r="A18" s="742" t="s">
        <v>44</v>
      </c>
      <c r="B18" s="743"/>
      <c r="C18" s="73"/>
      <c r="D18" s="74">
        <f>$X$41*$C$5*$C$9</f>
        <v>84000</v>
      </c>
      <c r="F18" s="26">
        <f>F17+1</f>
        <v>12</v>
      </c>
      <c r="G18" s="27">
        <f t="shared" ca="1" si="0"/>
        <v>45681</v>
      </c>
      <c r="H18" s="24">
        <f t="shared" ca="1" si="3"/>
        <v>9635</v>
      </c>
      <c r="I18" s="24">
        <f t="shared" ca="1" si="4"/>
        <v>3762.63</v>
      </c>
      <c r="J18" s="24">
        <f ca="1">IF(Q18=0,0,IF(Q18=1,P17,IF(P17+K18+I18&gt;H17,H18-I18-K18,P17)))</f>
        <v>5872.37</v>
      </c>
      <c r="K18" s="24">
        <f t="shared" ca="1" si="6"/>
        <v>0</v>
      </c>
      <c r="L18" s="24">
        <f ca="1">N17-K17</f>
        <v>0</v>
      </c>
      <c r="M18" s="24">
        <f t="shared" ca="1" si="7"/>
        <v>3762.63</v>
      </c>
      <c r="N18" s="24">
        <f t="shared" ca="1" si="12"/>
        <v>0</v>
      </c>
      <c r="O18" s="24">
        <f t="shared" ca="1" si="1"/>
        <v>0</v>
      </c>
      <c r="P18" s="24">
        <f ca="1">IF(OR(Q18=1,P17=0),0,P17-J18)</f>
        <v>366412.47999999992</v>
      </c>
      <c r="Q18" s="36">
        <f>IF((Q17-1)&lt;0,0,Q17-1)</f>
        <v>49</v>
      </c>
      <c r="R18" s="36">
        <f t="shared" ca="1" si="2"/>
        <v>49</v>
      </c>
      <c r="S18" s="15"/>
      <c r="AA18" s="2"/>
      <c r="AB18" s="2"/>
      <c r="AC18" s="2"/>
      <c r="AD18" s="2"/>
      <c r="AE18" s="3"/>
      <c r="AF18" s="3"/>
      <c r="AG18" s="3"/>
      <c r="AH18" s="3"/>
      <c r="AJ18" s="57"/>
    </row>
    <row r="19" spans="1:40" ht="12" x14ac:dyDescent="0.2">
      <c r="A19" s="742" t="s">
        <v>13</v>
      </c>
      <c r="B19" s="743"/>
      <c r="C19" s="73">
        <f ca="1">AD39</f>
        <v>0.11891530752182009</v>
      </c>
      <c r="D19" s="74">
        <f ca="1">H86</f>
        <v>577718.73999999987</v>
      </c>
      <c r="F19" s="26">
        <f t="shared" si="9"/>
        <v>13</v>
      </c>
      <c r="G19" s="27">
        <f t="shared" ca="1" si="0"/>
        <v>45712</v>
      </c>
      <c r="H19" s="24">
        <f t="shared" ca="1" si="3"/>
        <v>9635</v>
      </c>
      <c r="I19" s="24">
        <f t="shared" ca="1" si="4"/>
        <v>3703.28</v>
      </c>
      <c r="J19" s="24">
        <f t="shared" ca="1" si="5"/>
        <v>5931.7199999999993</v>
      </c>
      <c r="K19" s="24">
        <f t="shared" ca="1" si="6"/>
        <v>0</v>
      </c>
      <c r="L19" s="24">
        <f t="shared" ca="1" si="10"/>
        <v>0</v>
      </c>
      <c r="M19" s="24">
        <f t="shared" ca="1" si="7"/>
        <v>3703.28</v>
      </c>
      <c r="N19" s="24">
        <f t="shared" ca="1" si="12"/>
        <v>0</v>
      </c>
      <c r="O19" s="24">
        <f t="shared" ca="1" si="1"/>
        <v>0</v>
      </c>
      <c r="P19" s="24">
        <f t="shared" ca="1" si="8"/>
        <v>360480.75999999995</v>
      </c>
      <c r="Q19" s="36">
        <f t="shared" si="11"/>
        <v>48</v>
      </c>
      <c r="R19" s="36">
        <f t="shared" ca="1" si="2"/>
        <v>48</v>
      </c>
      <c r="S19" s="15"/>
      <c r="X19" s="13"/>
      <c r="Y19" s="2" t="s">
        <v>35</v>
      </c>
      <c r="Z19" s="2" t="s">
        <v>35</v>
      </c>
      <c r="AA19" s="2"/>
      <c r="AB19" s="2" t="s">
        <v>35</v>
      </c>
      <c r="AC19" s="2" t="s">
        <v>35</v>
      </c>
      <c r="AD19" s="2" t="s">
        <v>35</v>
      </c>
      <c r="AG19" s="2"/>
      <c r="AK19" s="57"/>
      <c r="AL19" s="57"/>
      <c r="AM19" s="57"/>
      <c r="AN19" s="57"/>
    </row>
    <row r="20" spans="1:40" ht="12" x14ac:dyDescent="0.2">
      <c r="A20" s="742" t="s">
        <v>21</v>
      </c>
      <c r="B20" s="743"/>
      <c r="C20" s="69"/>
      <c r="D20" s="74">
        <f ca="1">Y45</f>
        <v>7056</v>
      </c>
      <c r="F20" s="26">
        <f t="shared" si="9"/>
        <v>14</v>
      </c>
      <c r="G20" s="27">
        <f t="shared" ca="1" si="0"/>
        <v>45740</v>
      </c>
      <c r="H20" s="24">
        <f t="shared" ca="1" si="3"/>
        <v>9635</v>
      </c>
      <c r="I20" s="24">
        <f t="shared" ca="1" si="4"/>
        <v>3290.74</v>
      </c>
      <c r="J20" s="24">
        <f t="shared" ca="1" si="5"/>
        <v>6344.26</v>
      </c>
      <c r="K20" s="24">
        <f t="shared" ca="1" si="6"/>
        <v>0</v>
      </c>
      <c r="L20" s="24">
        <f t="shared" ca="1" si="10"/>
        <v>0</v>
      </c>
      <c r="M20" s="24">
        <f t="shared" ca="1" si="7"/>
        <v>3290.74</v>
      </c>
      <c r="N20" s="24">
        <f t="shared" ca="1" si="12"/>
        <v>0</v>
      </c>
      <c r="O20" s="24">
        <f t="shared" ca="1" si="1"/>
        <v>0</v>
      </c>
      <c r="P20" s="24">
        <f t="shared" ca="1" si="8"/>
        <v>354136.49999999994</v>
      </c>
      <c r="Q20" s="36">
        <f t="shared" si="11"/>
        <v>47</v>
      </c>
      <c r="R20" s="36">
        <f t="shared" ca="1" si="2"/>
        <v>47</v>
      </c>
      <c r="X20" s="13"/>
      <c r="Y20" s="2">
        <v>0</v>
      </c>
      <c r="Z20" s="2">
        <v>0</v>
      </c>
      <c r="AA20" s="2"/>
      <c r="AB20" s="2">
        <v>0</v>
      </c>
      <c r="AC20" s="2">
        <v>0</v>
      </c>
      <c r="AD20" s="2"/>
      <c r="AG20" s="2"/>
      <c r="AJ20" s="57"/>
    </row>
    <row r="21" spans="1:40" ht="12" x14ac:dyDescent="0.2">
      <c r="A21" s="742" t="s">
        <v>23</v>
      </c>
      <c r="B21" s="743"/>
      <c r="C21" s="69"/>
      <c r="D21" s="75">
        <f ca="1">D14+Z46</f>
        <v>96</v>
      </c>
      <c r="F21" s="26">
        <f t="shared" si="9"/>
        <v>15</v>
      </c>
      <c r="G21" s="27">
        <f t="shared" ca="1" si="0"/>
        <v>45771</v>
      </c>
      <c r="H21" s="24">
        <f t="shared" ca="1" si="3"/>
        <v>9635</v>
      </c>
      <c r="I21" s="24">
        <f t="shared" ca="1" si="4"/>
        <v>3579.2</v>
      </c>
      <c r="J21" s="24">
        <f t="shared" ca="1" si="5"/>
        <v>6055.8</v>
      </c>
      <c r="K21" s="24">
        <f t="shared" ca="1" si="6"/>
        <v>0</v>
      </c>
      <c r="L21" s="24">
        <f t="shared" ca="1" si="10"/>
        <v>0</v>
      </c>
      <c r="M21" s="24">
        <f t="shared" ca="1" si="7"/>
        <v>3579.2</v>
      </c>
      <c r="N21" s="24">
        <f t="shared" ca="1" si="12"/>
        <v>0</v>
      </c>
      <c r="O21" s="24">
        <f t="shared" ca="1" si="1"/>
        <v>0</v>
      </c>
      <c r="P21" s="24">
        <f t="shared" ca="1" si="8"/>
        <v>348080.69999999995</v>
      </c>
      <c r="Q21" s="36">
        <f t="shared" si="11"/>
        <v>46</v>
      </c>
      <c r="R21" s="36">
        <f t="shared" ca="1" si="2"/>
        <v>46</v>
      </c>
      <c r="T21" s="16"/>
      <c r="U21" s="57"/>
      <c r="AA21" s="15"/>
      <c r="AB21" s="2"/>
      <c r="AC21" s="2"/>
      <c r="AD21" s="2"/>
      <c r="AG21" s="2"/>
    </row>
    <row r="22" spans="1:40" x14ac:dyDescent="0.2">
      <c r="A22" s="742" t="s">
        <v>24</v>
      </c>
      <c r="B22" s="743"/>
      <c r="C22" s="69"/>
      <c r="D22" s="76">
        <f ca="1">Y46</f>
        <v>0.11899999999999999</v>
      </c>
      <c r="E22" s="16"/>
      <c r="F22" s="26">
        <f t="shared" si="9"/>
        <v>16</v>
      </c>
      <c r="G22" s="27">
        <f t="shared" ca="1" si="0"/>
        <v>45801</v>
      </c>
      <c r="H22" s="24">
        <f t="shared" ca="1" si="3"/>
        <v>9635</v>
      </c>
      <c r="I22" s="24">
        <f t="shared" ca="1" si="4"/>
        <v>3404.52</v>
      </c>
      <c r="J22" s="24">
        <f t="shared" ca="1" si="5"/>
        <v>6230.48</v>
      </c>
      <c r="K22" s="24">
        <f t="shared" ca="1" si="6"/>
        <v>0</v>
      </c>
      <c r="L22" s="24">
        <f t="shared" ca="1" si="10"/>
        <v>0</v>
      </c>
      <c r="M22" s="24">
        <f t="shared" ca="1" si="7"/>
        <v>3404.52</v>
      </c>
      <c r="N22" s="24">
        <f t="shared" ca="1" si="12"/>
        <v>0</v>
      </c>
      <c r="O22" s="24">
        <f t="shared" ca="1" si="1"/>
        <v>0</v>
      </c>
      <c r="P22" s="24">
        <f t="shared" ca="1" si="8"/>
        <v>341850.22</v>
      </c>
      <c r="Q22" s="36">
        <f t="shared" si="11"/>
        <v>45</v>
      </c>
      <c r="R22" s="36">
        <f t="shared" ca="1" si="2"/>
        <v>45</v>
      </c>
      <c r="AA22" s="15"/>
    </row>
    <row r="23" spans="1:40" x14ac:dyDescent="0.2">
      <c r="A23" s="753" t="s">
        <v>48</v>
      </c>
      <c r="B23" s="754"/>
      <c r="C23" s="79">
        <v>0</v>
      </c>
      <c r="D23" s="77">
        <f>IF(C11="Да",I86-S116,0)</f>
        <v>0</v>
      </c>
      <c r="E23" s="16"/>
      <c r="F23" s="26">
        <f t="shared" si="9"/>
        <v>17</v>
      </c>
      <c r="G23" s="27">
        <f t="shared" ca="1" si="0"/>
        <v>45832</v>
      </c>
      <c r="H23" s="24">
        <f t="shared" ca="1" si="3"/>
        <v>9635</v>
      </c>
      <c r="I23" s="24">
        <f t="shared" ca="1" si="4"/>
        <v>3455.03</v>
      </c>
      <c r="J23" s="24">
        <f t="shared" ca="1" si="5"/>
        <v>6179.9699999999993</v>
      </c>
      <c r="K23" s="24">
        <f t="shared" ca="1" si="6"/>
        <v>0</v>
      </c>
      <c r="L23" s="24">
        <f t="shared" ca="1" si="10"/>
        <v>0</v>
      </c>
      <c r="M23" s="24">
        <f t="shared" ca="1" si="7"/>
        <v>3455.03</v>
      </c>
      <c r="N23" s="24">
        <f t="shared" ca="1" si="12"/>
        <v>0</v>
      </c>
      <c r="O23" s="24">
        <f t="shared" ca="1" si="1"/>
        <v>0</v>
      </c>
      <c r="P23" s="24">
        <f t="shared" ca="1" si="8"/>
        <v>335670.25</v>
      </c>
      <c r="Q23" s="36">
        <f t="shared" si="11"/>
        <v>44</v>
      </c>
      <c r="R23" s="36">
        <f t="shared" ca="1" si="2"/>
        <v>44</v>
      </c>
      <c r="V23" s="15"/>
      <c r="AA23" s="2"/>
    </row>
    <row r="24" spans="1:40" x14ac:dyDescent="0.2">
      <c r="A24" s="753" t="s">
        <v>49</v>
      </c>
      <c r="B24" s="754"/>
      <c r="C24" s="83">
        <f>IF(C11=Y19,Y20,Z20)</f>
        <v>0</v>
      </c>
      <c r="D24" s="77">
        <f>$C$5*$C$24</f>
        <v>0</v>
      </c>
      <c r="E24" s="16"/>
      <c r="F24" s="26">
        <f t="shared" si="9"/>
        <v>18</v>
      </c>
      <c r="G24" s="27">
        <f t="shared" ca="1" si="0"/>
        <v>45862</v>
      </c>
      <c r="H24" s="24">
        <f t="shared" ca="1" si="3"/>
        <v>9635</v>
      </c>
      <c r="I24" s="24">
        <f t="shared" ca="1" si="4"/>
        <v>3283.13</v>
      </c>
      <c r="J24" s="24">
        <f t="shared" ca="1" si="5"/>
        <v>6351.87</v>
      </c>
      <c r="K24" s="24">
        <f t="shared" ca="1" si="6"/>
        <v>0</v>
      </c>
      <c r="L24" s="24">
        <f t="shared" ca="1" si="10"/>
        <v>0</v>
      </c>
      <c r="M24" s="24">
        <f t="shared" ca="1" si="7"/>
        <v>3283.13</v>
      </c>
      <c r="N24" s="24">
        <f t="shared" ca="1" si="12"/>
        <v>0</v>
      </c>
      <c r="O24" s="24">
        <f t="shared" ca="1" si="1"/>
        <v>0</v>
      </c>
      <c r="P24" s="24">
        <f t="shared" ca="1" si="8"/>
        <v>329318.38</v>
      </c>
      <c r="Q24" s="36">
        <f t="shared" si="11"/>
        <v>43</v>
      </c>
      <c r="R24" s="36">
        <f t="shared" ca="1" si="2"/>
        <v>43</v>
      </c>
      <c r="T24" s="65" t="s">
        <v>51</v>
      </c>
      <c r="U24" s="2" t="s">
        <v>35</v>
      </c>
      <c r="V24" s="15"/>
      <c r="AA24" s="15"/>
    </row>
    <row r="25" spans="1:40" x14ac:dyDescent="0.2">
      <c r="A25" s="67" t="s">
        <v>50</v>
      </c>
      <c r="B25" s="78">
        <f>D23/C5</f>
        <v>0</v>
      </c>
      <c r="C25" s="67" t="s">
        <v>43</v>
      </c>
      <c r="D25" s="67"/>
      <c r="E25" s="16"/>
      <c r="F25" s="26">
        <f t="shared" si="9"/>
        <v>19</v>
      </c>
      <c r="G25" s="27">
        <f t="shared" ca="1" si="0"/>
        <v>45893</v>
      </c>
      <c r="H25" s="24">
        <f t="shared" ca="1" si="3"/>
        <v>9635</v>
      </c>
      <c r="I25" s="24">
        <f t="shared" ca="1" si="4"/>
        <v>3328.37</v>
      </c>
      <c r="J25" s="24">
        <f t="shared" ca="1" si="5"/>
        <v>6306.63</v>
      </c>
      <c r="K25" s="24">
        <f t="shared" ca="1" si="6"/>
        <v>0</v>
      </c>
      <c r="L25" s="24">
        <f t="shared" ca="1" si="10"/>
        <v>0</v>
      </c>
      <c r="M25" s="24">
        <f t="shared" ca="1" si="7"/>
        <v>3328.37</v>
      </c>
      <c r="N25" s="24">
        <f t="shared" ca="1" si="12"/>
        <v>0</v>
      </c>
      <c r="O25" s="24">
        <f t="shared" ca="1" si="1"/>
        <v>0</v>
      </c>
      <c r="P25" s="24">
        <f t="shared" ca="1" si="8"/>
        <v>323011.75</v>
      </c>
      <c r="Q25" s="36">
        <f t="shared" si="11"/>
        <v>42</v>
      </c>
      <c r="R25" s="36">
        <f t="shared" ca="1" si="2"/>
        <v>42</v>
      </c>
      <c r="S25" s="15"/>
      <c r="T25" s="66">
        <v>1.65E-3</v>
      </c>
      <c r="U25" s="15">
        <v>0</v>
      </c>
      <c r="V25" s="15"/>
      <c r="AA25" s="15"/>
    </row>
    <row r="26" spans="1:40" x14ac:dyDescent="0.2">
      <c r="C26" s="2"/>
      <c r="D26" s="64"/>
      <c r="E26" s="16"/>
      <c r="F26" s="26">
        <f t="shared" si="9"/>
        <v>20</v>
      </c>
      <c r="G26" s="27">
        <f t="shared" ca="1" si="0"/>
        <v>45924</v>
      </c>
      <c r="H26" s="24">
        <f t="shared" ca="1" si="3"/>
        <v>9635</v>
      </c>
      <c r="I26" s="24">
        <f t="shared" ca="1" si="4"/>
        <v>3264.63</v>
      </c>
      <c r="J26" s="24">
        <f t="shared" ca="1" si="5"/>
        <v>6370.37</v>
      </c>
      <c r="K26" s="24">
        <f t="shared" ca="1" si="6"/>
        <v>0</v>
      </c>
      <c r="L26" s="24">
        <f t="shared" ca="1" si="10"/>
        <v>0</v>
      </c>
      <c r="M26" s="24">
        <f t="shared" ca="1" si="7"/>
        <v>3264.63</v>
      </c>
      <c r="N26" s="24">
        <f t="shared" ca="1" si="12"/>
        <v>0</v>
      </c>
      <c r="O26" s="24">
        <f t="shared" ca="1" si="1"/>
        <v>0</v>
      </c>
      <c r="P26" s="24">
        <f t="shared" ca="1" si="8"/>
        <v>316641.38</v>
      </c>
      <c r="Q26" s="36">
        <f t="shared" si="11"/>
        <v>41</v>
      </c>
      <c r="R26" s="36">
        <f t="shared" ca="1" si="2"/>
        <v>41</v>
      </c>
      <c r="V26" s="15"/>
      <c r="AA26" s="15"/>
      <c r="AE26" s="15"/>
      <c r="AI26" s="3"/>
      <c r="AJ26" s="3"/>
      <c r="AK26" s="15"/>
      <c r="AL26" s="15"/>
      <c r="AM26" s="15"/>
      <c r="AN26" s="15"/>
    </row>
    <row r="27" spans="1:40" x14ac:dyDescent="0.2">
      <c r="C27" s="13"/>
      <c r="D27" s="64"/>
      <c r="E27" s="16"/>
      <c r="F27" s="26">
        <f t="shared" si="9"/>
        <v>21</v>
      </c>
      <c r="G27" s="27">
        <f t="shared" ca="1" si="0"/>
        <v>45954</v>
      </c>
      <c r="H27" s="24">
        <f t="shared" ca="1" si="3"/>
        <v>9635</v>
      </c>
      <c r="I27" s="24">
        <f t="shared" ca="1" si="4"/>
        <v>3097.01</v>
      </c>
      <c r="J27" s="24">
        <f t="shared" ca="1" si="5"/>
        <v>6537.99</v>
      </c>
      <c r="K27" s="24">
        <f t="shared" ca="1" si="6"/>
        <v>0</v>
      </c>
      <c r="L27" s="24">
        <f t="shared" ca="1" si="10"/>
        <v>0</v>
      </c>
      <c r="M27" s="24">
        <f t="shared" ca="1" si="7"/>
        <v>3097.01</v>
      </c>
      <c r="N27" s="24">
        <f t="shared" ca="1" si="12"/>
        <v>0</v>
      </c>
      <c r="O27" s="24">
        <f t="shared" ca="1" si="1"/>
        <v>0</v>
      </c>
      <c r="P27" s="24">
        <f t="shared" ca="1" si="8"/>
        <v>310103.39</v>
      </c>
      <c r="Q27" s="36">
        <f t="shared" si="11"/>
        <v>40</v>
      </c>
      <c r="R27" s="36">
        <f t="shared" ca="1" si="2"/>
        <v>40</v>
      </c>
      <c r="V27" s="15"/>
      <c r="AE27" s="15"/>
      <c r="AI27" s="3"/>
      <c r="AJ27" s="3"/>
      <c r="AK27" s="15"/>
      <c r="AL27" s="15"/>
      <c r="AM27" s="15"/>
      <c r="AN27" s="15"/>
    </row>
    <row r="28" spans="1:40" s="16" customFormat="1" x14ac:dyDescent="0.2">
      <c r="A28" s="2"/>
      <c r="B28" s="2"/>
      <c r="C28" s="18"/>
      <c r="D28" s="13"/>
      <c r="F28" s="26">
        <f t="shared" si="9"/>
        <v>22</v>
      </c>
      <c r="G28" s="27">
        <f t="shared" ca="1" si="0"/>
        <v>45985</v>
      </c>
      <c r="H28" s="24">
        <f t="shared" ca="1" si="3"/>
        <v>9635</v>
      </c>
      <c r="I28" s="24">
        <f t="shared" ca="1" si="4"/>
        <v>3134.17</v>
      </c>
      <c r="J28" s="24">
        <f t="shared" ca="1" si="5"/>
        <v>6500.83</v>
      </c>
      <c r="K28" s="24">
        <f t="shared" ca="1" si="6"/>
        <v>0</v>
      </c>
      <c r="L28" s="24">
        <f t="shared" ca="1" si="10"/>
        <v>0</v>
      </c>
      <c r="M28" s="24">
        <f t="shared" ca="1" si="7"/>
        <v>3134.17</v>
      </c>
      <c r="N28" s="24">
        <f t="shared" ca="1" si="12"/>
        <v>0</v>
      </c>
      <c r="O28" s="24">
        <f t="shared" ca="1" si="1"/>
        <v>0</v>
      </c>
      <c r="P28" s="24">
        <f t="shared" ca="1" si="8"/>
        <v>303602.56</v>
      </c>
      <c r="Q28" s="36">
        <f t="shared" si="11"/>
        <v>39</v>
      </c>
      <c r="R28" s="36">
        <f t="shared" ca="1" si="2"/>
        <v>39</v>
      </c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15"/>
      <c r="AF28" s="2"/>
      <c r="AG28" s="57"/>
      <c r="AH28" s="2"/>
      <c r="AI28" s="2"/>
      <c r="AJ28" s="2"/>
      <c r="AK28" s="2"/>
      <c r="AL28" s="2"/>
      <c r="AM28" s="2"/>
      <c r="AN28" s="2"/>
    </row>
    <row r="29" spans="1:40" s="16" customFormat="1" x14ac:dyDescent="0.2">
      <c r="A29" s="2"/>
      <c r="B29" s="2"/>
      <c r="C29" s="2"/>
      <c r="D29" s="2"/>
      <c r="E29" s="2"/>
      <c r="F29" s="26">
        <f t="shared" si="9"/>
        <v>23</v>
      </c>
      <c r="G29" s="27">
        <f t="shared" ca="1" si="0"/>
        <v>46015</v>
      </c>
      <c r="H29" s="24">
        <f t="shared" ca="1" si="3"/>
        <v>9635</v>
      </c>
      <c r="I29" s="24">
        <f t="shared" ca="1" si="4"/>
        <v>2969.48</v>
      </c>
      <c r="J29" s="24">
        <f t="shared" ca="1" si="5"/>
        <v>6665.52</v>
      </c>
      <c r="K29" s="24">
        <f t="shared" ca="1" si="6"/>
        <v>0</v>
      </c>
      <c r="L29" s="24">
        <f t="shared" ca="1" si="10"/>
        <v>0</v>
      </c>
      <c r="M29" s="24">
        <f t="shared" ca="1" si="7"/>
        <v>2969.48</v>
      </c>
      <c r="N29" s="24">
        <f t="shared" ca="1" si="12"/>
        <v>0</v>
      </c>
      <c r="O29" s="24">
        <f t="shared" ca="1" si="1"/>
        <v>0</v>
      </c>
      <c r="P29" s="24">
        <f t="shared" ca="1" si="8"/>
        <v>296937.03999999998</v>
      </c>
      <c r="Q29" s="36">
        <f t="shared" si="11"/>
        <v>38</v>
      </c>
      <c r="R29" s="36">
        <f t="shared" ca="1" si="2"/>
        <v>38</v>
      </c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15"/>
      <c r="AF29" s="2"/>
      <c r="AG29" s="57"/>
      <c r="AH29" s="2"/>
      <c r="AI29" s="2"/>
      <c r="AJ29" s="2"/>
      <c r="AK29" s="2"/>
      <c r="AL29" s="2"/>
      <c r="AM29" s="2"/>
      <c r="AN29" s="2"/>
    </row>
    <row r="30" spans="1:40" s="16" customFormat="1" x14ac:dyDescent="0.2">
      <c r="A30" s="2"/>
      <c r="B30" s="2"/>
      <c r="C30" s="2"/>
      <c r="D30" s="2"/>
      <c r="E30" s="2"/>
      <c r="F30" s="26">
        <f t="shared" si="9"/>
        <v>24</v>
      </c>
      <c r="G30" s="27">
        <f t="shared" ca="1" si="0"/>
        <v>46046</v>
      </c>
      <c r="H30" s="24">
        <f t="shared" ca="1" si="3"/>
        <v>9635</v>
      </c>
      <c r="I30" s="24">
        <f t="shared" ca="1" si="4"/>
        <v>3001.1</v>
      </c>
      <c r="J30" s="24">
        <f t="shared" ca="1" si="5"/>
        <v>6633.9</v>
      </c>
      <c r="K30" s="24">
        <f t="shared" ca="1" si="6"/>
        <v>0</v>
      </c>
      <c r="L30" s="24">
        <f t="shared" ca="1" si="10"/>
        <v>0</v>
      </c>
      <c r="M30" s="24">
        <f t="shared" ca="1" si="7"/>
        <v>3001.1</v>
      </c>
      <c r="N30" s="24">
        <f t="shared" ca="1" si="12"/>
        <v>0</v>
      </c>
      <c r="O30" s="24">
        <f t="shared" ca="1" si="1"/>
        <v>0</v>
      </c>
      <c r="P30" s="24">
        <f t="shared" ca="1" si="8"/>
        <v>290303.13999999996</v>
      </c>
      <c r="Q30" s="36">
        <f t="shared" si="11"/>
        <v>37</v>
      </c>
      <c r="R30" s="36">
        <f t="shared" ca="1" si="2"/>
        <v>37</v>
      </c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15"/>
      <c r="AF30" s="2"/>
      <c r="AG30" s="57"/>
      <c r="AH30" s="2"/>
      <c r="AI30" s="2"/>
      <c r="AJ30" s="2"/>
      <c r="AK30" s="2"/>
      <c r="AL30" s="2"/>
      <c r="AM30" s="2"/>
      <c r="AN30" s="2"/>
    </row>
    <row r="31" spans="1:40" s="16" customFormat="1" ht="12" x14ac:dyDescent="0.2">
      <c r="A31" s="2"/>
      <c r="B31" s="2"/>
      <c r="C31" s="2"/>
      <c r="D31" s="2"/>
      <c r="E31" s="2"/>
      <c r="F31" s="26">
        <f t="shared" si="9"/>
        <v>25</v>
      </c>
      <c r="G31" s="27">
        <f t="shared" ca="1" si="0"/>
        <v>46077</v>
      </c>
      <c r="H31" s="24">
        <f t="shared" ca="1" si="3"/>
        <v>9635</v>
      </c>
      <c r="I31" s="24">
        <f t="shared" ca="1" si="4"/>
        <v>2934.05</v>
      </c>
      <c r="J31" s="24">
        <f t="shared" ca="1" si="5"/>
        <v>6700.95</v>
      </c>
      <c r="K31" s="24">
        <f t="shared" ca="1" si="6"/>
        <v>0</v>
      </c>
      <c r="L31" s="24">
        <f t="shared" ca="1" si="10"/>
        <v>0</v>
      </c>
      <c r="M31" s="24">
        <f t="shared" ca="1" si="7"/>
        <v>2934.05</v>
      </c>
      <c r="N31" s="24">
        <f t="shared" ca="1" si="12"/>
        <v>0</v>
      </c>
      <c r="O31" s="24">
        <f t="shared" ca="1" si="1"/>
        <v>0</v>
      </c>
      <c r="P31" s="24">
        <f t="shared" ca="1" si="8"/>
        <v>283602.18999999994</v>
      </c>
      <c r="Q31" s="36">
        <f t="shared" si="11"/>
        <v>36</v>
      </c>
      <c r="R31" s="36">
        <f t="shared" ca="1" si="2"/>
        <v>36</v>
      </c>
      <c r="S31" s="2"/>
      <c r="T31" s="2"/>
      <c r="U31" s="2"/>
      <c r="V31" s="2"/>
      <c r="W31" s="2"/>
      <c r="X31" s="2"/>
      <c r="Y31" s="13"/>
      <c r="Z31" s="2"/>
      <c r="AA31" s="2"/>
      <c r="AB31" s="2"/>
      <c r="AC31" s="2"/>
      <c r="AD31" s="2"/>
      <c r="AE31" s="15"/>
      <c r="AF31" s="2"/>
      <c r="AG31" s="57"/>
      <c r="AH31" s="2"/>
      <c r="AI31" s="2"/>
      <c r="AJ31" s="2"/>
      <c r="AK31" s="2"/>
      <c r="AL31" s="2"/>
      <c r="AM31" s="2"/>
      <c r="AN31" s="2"/>
    </row>
    <row r="32" spans="1:40" s="16" customFormat="1" ht="12" customHeight="1" x14ac:dyDescent="0.2">
      <c r="A32" s="2"/>
      <c r="B32" s="2"/>
      <c r="C32" s="2"/>
      <c r="D32" s="2"/>
      <c r="E32" s="2"/>
      <c r="F32" s="26">
        <f t="shared" si="9"/>
        <v>26</v>
      </c>
      <c r="G32" s="27">
        <f t="shared" ca="1" si="0"/>
        <v>46105</v>
      </c>
      <c r="H32" s="24">
        <f t="shared" ca="1" si="3"/>
        <v>9635</v>
      </c>
      <c r="I32" s="24">
        <f t="shared" ca="1" si="4"/>
        <v>2588.94</v>
      </c>
      <c r="J32" s="24">
        <f t="shared" ca="1" si="5"/>
        <v>7046.0599999999995</v>
      </c>
      <c r="K32" s="24">
        <f t="shared" ca="1" si="6"/>
        <v>0</v>
      </c>
      <c r="L32" s="24">
        <f t="shared" ca="1" si="10"/>
        <v>0</v>
      </c>
      <c r="M32" s="24">
        <f t="shared" ca="1" si="7"/>
        <v>2588.94</v>
      </c>
      <c r="N32" s="24">
        <f t="shared" ca="1" si="12"/>
        <v>0</v>
      </c>
      <c r="O32" s="24">
        <f t="shared" ca="1" si="1"/>
        <v>0</v>
      </c>
      <c r="P32" s="24">
        <f t="shared" ca="1" si="8"/>
        <v>276556.12999999995</v>
      </c>
      <c r="Q32" s="36">
        <f t="shared" si="11"/>
        <v>35</v>
      </c>
      <c r="R32" s="36">
        <f t="shared" ca="1" si="2"/>
        <v>35</v>
      </c>
      <c r="S32" s="2"/>
      <c r="T32" s="2"/>
      <c r="U32" s="2"/>
      <c r="V32" s="2"/>
      <c r="W32" s="2"/>
      <c r="X32" s="2"/>
      <c r="Y32" s="13"/>
      <c r="Z32" s="2"/>
      <c r="AA32" s="2"/>
      <c r="AB32" s="2"/>
      <c r="AC32" s="2"/>
      <c r="AD32" s="2"/>
      <c r="AE32" s="15"/>
      <c r="AF32" s="2"/>
      <c r="AG32" s="57"/>
      <c r="AH32" s="2"/>
      <c r="AI32" s="2"/>
      <c r="AJ32" s="2"/>
      <c r="AK32" s="2"/>
      <c r="AL32" s="2"/>
      <c r="AM32" s="2"/>
      <c r="AN32" s="2"/>
    </row>
    <row r="33" spans="1:45" s="16" customFormat="1" x14ac:dyDescent="0.2">
      <c r="A33" s="2"/>
      <c r="B33" s="2"/>
      <c r="C33" s="2"/>
      <c r="D33" s="2"/>
      <c r="E33" s="2"/>
      <c r="F33" s="26">
        <f t="shared" si="9"/>
        <v>27</v>
      </c>
      <c r="G33" s="27">
        <f t="shared" ca="1" si="0"/>
        <v>46136</v>
      </c>
      <c r="H33" s="24">
        <f t="shared" ca="1" si="3"/>
        <v>9635</v>
      </c>
      <c r="I33" s="24">
        <f t="shared" ca="1" si="4"/>
        <v>2795.11</v>
      </c>
      <c r="J33" s="24">
        <f t="shared" ca="1" si="5"/>
        <v>6839.8899999999994</v>
      </c>
      <c r="K33" s="24">
        <f t="shared" ca="1" si="6"/>
        <v>0</v>
      </c>
      <c r="L33" s="24">
        <f t="shared" ca="1" si="10"/>
        <v>0</v>
      </c>
      <c r="M33" s="24">
        <f t="shared" ca="1" si="7"/>
        <v>2795.11</v>
      </c>
      <c r="N33" s="24">
        <f t="shared" ca="1" si="12"/>
        <v>0</v>
      </c>
      <c r="O33" s="24">
        <f t="shared" ca="1" si="1"/>
        <v>0</v>
      </c>
      <c r="P33" s="24">
        <f t="shared" ca="1" si="8"/>
        <v>269716.23999999993</v>
      </c>
      <c r="Q33" s="36">
        <f t="shared" si="11"/>
        <v>34</v>
      </c>
      <c r="R33" s="36">
        <f t="shared" ca="1" si="2"/>
        <v>34</v>
      </c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2"/>
      <c r="AF33" s="2"/>
      <c r="AG33" s="57"/>
      <c r="AH33" s="2"/>
      <c r="AI33" s="2"/>
      <c r="AJ33" s="2"/>
      <c r="AK33" s="2"/>
      <c r="AL33" s="2"/>
      <c r="AM33" s="2"/>
      <c r="AN33" s="2"/>
    </row>
    <row r="34" spans="1:45" s="16" customFormat="1" x14ac:dyDescent="0.2">
      <c r="A34" s="2"/>
      <c r="B34" s="2"/>
      <c r="C34" s="2"/>
      <c r="D34" s="2"/>
      <c r="E34" s="2"/>
      <c r="F34" s="26">
        <f t="shared" si="9"/>
        <v>28</v>
      </c>
      <c r="G34" s="27">
        <f t="shared" ca="1" si="0"/>
        <v>46166</v>
      </c>
      <c r="H34" s="24">
        <f t="shared" ca="1" si="3"/>
        <v>9635</v>
      </c>
      <c r="I34" s="24">
        <f t="shared" ca="1" si="4"/>
        <v>2638.05</v>
      </c>
      <c r="J34" s="24">
        <f t="shared" ca="1" si="5"/>
        <v>6996.95</v>
      </c>
      <c r="K34" s="24">
        <f t="shared" ca="1" si="6"/>
        <v>0</v>
      </c>
      <c r="L34" s="24">
        <f t="shared" ca="1" si="10"/>
        <v>0</v>
      </c>
      <c r="M34" s="24">
        <f t="shared" ca="1" si="7"/>
        <v>2638.05</v>
      </c>
      <c r="N34" s="24">
        <f t="shared" ca="1" si="12"/>
        <v>0</v>
      </c>
      <c r="O34" s="24">
        <f t="shared" ca="1" si="1"/>
        <v>0</v>
      </c>
      <c r="P34" s="24">
        <f t="shared" ca="1" si="8"/>
        <v>262719.28999999992</v>
      </c>
      <c r="Q34" s="36">
        <f t="shared" si="11"/>
        <v>33</v>
      </c>
      <c r="R34" s="36">
        <f t="shared" ca="1" si="2"/>
        <v>33</v>
      </c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2"/>
      <c r="AF34" s="2"/>
      <c r="AG34" s="57"/>
      <c r="AH34" s="2"/>
      <c r="AI34" s="2"/>
      <c r="AJ34" s="2"/>
      <c r="AK34" s="2"/>
      <c r="AL34" s="2"/>
      <c r="AM34" s="2"/>
      <c r="AN34" s="2"/>
    </row>
    <row r="35" spans="1:45" s="16" customFormat="1" x14ac:dyDescent="0.2">
      <c r="A35" s="2"/>
      <c r="B35" s="2"/>
      <c r="C35" s="2"/>
      <c r="D35" s="2"/>
      <c r="E35" s="2"/>
      <c r="F35" s="26">
        <f t="shared" si="9"/>
        <v>29</v>
      </c>
      <c r="G35" s="27">
        <f t="shared" ca="1" si="0"/>
        <v>46197</v>
      </c>
      <c r="H35" s="24">
        <f t="shared" ca="1" si="3"/>
        <v>9635</v>
      </c>
      <c r="I35" s="24">
        <f t="shared" ca="1" si="4"/>
        <v>2655.26</v>
      </c>
      <c r="J35" s="24">
        <f t="shared" ca="1" si="5"/>
        <v>6979.74</v>
      </c>
      <c r="K35" s="24">
        <f t="shared" ca="1" si="6"/>
        <v>0</v>
      </c>
      <c r="L35" s="24">
        <f t="shared" ca="1" si="10"/>
        <v>0</v>
      </c>
      <c r="M35" s="24">
        <f t="shared" ca="1" si="7"/>
        <v>2655.26</v>
      </c>
      <c r="N35" s="24">
        <f t="shared" ca="1" si="12"/>
        <v>0</v>
      </c>
      <c r="O35" s="24">
        <f t="shared" ca="1" si="1"/>
        <v>0</v>
      </c>
      <c r="P35" s="24">
        <f t="shared" ca="1" si="8"/>
        <v>255739.54999999993</v>
      </c>
      <c r="Q35" s="36">
        <f t="shared" si="11"/>
        <v>32</v>
      </c>
      <c r="R35" s="36">
        <f t="shared" ca="1" si="2"/>
        <v>32</v>
      </c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2"/>
      <c r="AF35" s="2"/>
      <c r="AG35" s="57"/>
      <c r="AH35" s="2"/>
      <c r="AI35" s="2"/>
      <c r="AJ35" s="2"/>
      <c r="AK35" s="2"/>
      <c r="AL35" s="2"/>
      <c r="AM35" s="2"/>
      <c r="AN35" s="2"/>
    </row>
    <row r="36" spans="1:45" s="16" customFormat="1" ht="12" x14ac:dyDescent="0.2">
      <c r="A36" s="2"/>
      <c r="B36" s="2"/>
      <c r="C36" s="2"/>
      <c r="D36" s="2"/>
      <c r="E36" s="2"/>
      <c r="F36" s="26">
        <f t="shared" si="9"/>
        <v>30</v>
      </c>
      <c r="G36" s="27">
        <f t="shared" ca="1" si="0"/>
        <v>46227</v>
      </c>
      <c r="H36" s="24">
        <f t="shared" ca="1" si="3"/>
        <v>9635</v>
      </c>
      <c r="I36" s="24">
        <f t="shared" ca="1" si="4"/>
        <v>2501.34</v>
      </c>
      <c r="J36" s="24">
        <f t="shared" ca="1" si="5"/>
        <v>7133.66</v>
      </c>
      <c r="K36" s="24">
        <f t="shared" ca="1" si="6"/>
        <v>0</v>
      </c>
      <c r="L36" s="24">
        <f t="shared" ca="1" si="10"/>
        <v>0</v>
      </c>
      <c r="M36" s="24">
        <f t="shared" ca="1" si="7"/>
        <v>2501.34</v>
      </c>
      <c r="N36" s="24">
        <f t="shared" ca="1" si="12"/>
        <v>0</v>
      </c>
      <c r="O36" s="24">
        <f t="shared" ca="1" si="1"/>
        <v>0</v>
      </c>
      <c r="P36" s="24">
        <f t="shared" ca="1" si="8"/>
        <v>248605.88999999993</v>
      </c>
      <c r="Q36" s="36">
        <f t="shared" si="11"/>
        <v>31</v>
      </c>
      <c r="R36" s="36">
        <f t="shared" ca="1" si="2"/>
        <v>31</v>
      </c>
      <c r="T36" s="34">
        <f>H6-K6</f>
        <v>-434000</v>
      </c>
      <c r="U36" s="57">
        <f ca="1">G6</f>
        <v>45315</v>
      </c>
      <c r="V36" s="5" t="s">
        <v>11</v>
      </c>
      <c r="W36" s="4"/>
      <c r="X36" s="37"/>
      <c r="Y36" s="38">
        <v>0</v>
      </c>
      <c r="Z36" s="1" t="s">
        <v>20</v>
      </c>
      <c r="AA36" s="6" t="s">
        <v>15</v>
      </c>
      <c r="AB36" s="6"/>
      <c r="AC36" s="6">
        <f>IF(C10=S3,S17,IF(C10=T3,T17,IF(C10=U3,U17,IF(C10=V3,V17,IF(C10=W3,W17,IF(C10=AA3,AA17,IF(C10=AB3,AB17,IF(C10=AC3,AC17,IF(C10=AD3,AD17,IF(C10=AE3,AE17,IF(C10=AF3,AF17,IF(C10=AG3,AG17,IF(C10=AH3,AH17,IF(C10=AI3,AI17,IF(C10=AJ3,AJ17,IF(C10=AK3,AK17,IF(C10=AL3,AL17,IF(C10=AM3,AM17,IF(C10=AP3,AP9,IF(C10=X3,X17,IF(C10=Y3,Y17,IF(C10=Z3,Z17,IF(C10=AN3,AN17,IF(C10=AO3,AO9,W17))))))))))))))))))))))))</f>
        <v>1</v>
      </c>
      <c r="AD36" s="27">
        <v>41274</v>
      </c>
      <c r="AE36" s="2">
        <v>6</v>
      </c>
      <c r="AF36" s="2"/>
      <c r="AG36" s="2"/>
      <c r="AH36" s="2"/>
      <c r="AI36" s="2"/>
      <c r="AJ36" s="2"/>
      <c r="AK36" s="2"/>
      <c r="AL36" s="2"/>
      <c r="AM36" s="2"/>
      <c r="AN36" s="2"/>
      <c r="AO36" s="63"/>
      <c r="AP36" s="63"/>
      <c r="AQ36" s="63"/>
      <c r="AR36" s="63"/>
      <c r="AS36" s="63"/>
    </row>
    <row r="37" spans="1:45" s="16" customFormat="1" ht="12" x14ac:dyDescent="0.2">
      <c r="A37" s="2"/>
      <c r="B37" s="2"/>
      <c r="C37" s="13"/>
      <c r="D37" s="13"/>
      <c r="E37" s="2"/>
      <c r="F37" s="26">
        <f t="shared" si="9"/>
        <v>31</v>
      </c>
      <c r="G37" s="27">
        <f t="shared" ca="1" si="0"/>
        <v>46258</v>
      </c>
      <c r="H37" s="24">
        <f t="shared" ca="1" si="3"/>
        <v>9635</v>
      </c>
      <c r="I37" s="24">
        <f t="shared" ca="1" si="4"/>
        <v>2512.62</v>
      </c>
      <c r="J37" s="24">
        <f t="shared" ca="1" si="5"/>
        <v>7122.38</v>
      </c>
      <c r="K37" s="24">
        <f t="shared" ca="1" si="6"/>
        <v>0</v>
      </c>
      <c r="L37" s="24">
        <f t="shared" ca="1" si="10"/>
        <v>0</v>
      </c>
      <c r="M37" s="24">
        <f t="shared" ca="1" si="7"/>
        <v>2512.62</v>
      </c>
      <c r="N37" s="24">
        <f t="shared" ca="1" si="12"/>
        <v>0</v>
      </c>
      <c r="O37" s="24">
        <f t="shared" ca="1" si="1"/>
        <v>0</v>
      </c>
      <c r="P37" s="24">
        <f t="shared" ca="1" si="8"/>
        <v>241483.50999999992</v>
      </c>
      <c r="Q37" s="36">
        <f t="shared" si="11"/>
        <v>30</v>
      </c>
      <c r="R37" s="36">
        <f t="shared" ca="1" si="2"/>
        <v>30</v>
      </c>
      <c r="S37" s="2">
        <f t="shared" ref="S37:S68" ca="1" si="13">IF($C$7&gt;$AB$40,ROUND(P6*$C$23/(DATEVALUE(CONCATENATE("01/01/",YEAR(G7)+1))-DATEVALUE(CONCATENATE("01/01/",YEAR(G7))))*(G7-G6),2),0)</f>
        <v>0</v>
      </c>
      <c r="T37" s="34">
        <f t="shared" ref="T37:T68" ca="1" si="14">I7+J7+K7-O7</f>
        <v>9635</v>
      </c>
      <c r="U37" s="57">
        <f ca="1">U36+365</f>
        <v>45680</v>
      </c>
      <c r="V37" s="8" t="s">
        <v>10</v>
      </c>
      <c r="W37" s="8"/>
      <c r="X37" s="37"/>
      <c r="Y37" s="39">
        <f>C5*(1-Y36)</f>
        <v>350000</v>
      </c>
      <c r="Z37" s="9" t="s">
        <v>29</v>
      </c>
      <c r="AA37" s="2" t="s">
        <v>17</v>
      </c>
      <c r="AB37" s="2"/>
      <c r="AC37" s="2">
        <v>7.4000000000000003E-3</v>
      </c>
      <c r="AD37" s="59">
        <v>41750</v>
      </c>
      <c r="AE37" s="2">
        <v>72</v>
      </c>
      <c r="AF37" s="2"/>
      <c r="AG37" s="2"/>
      <c r="AH37" s="2"/>
      <c r="AI37" s="2"/>
      <c r="AJ37" s="2"/>
      <c r="AK37" s="2"/>
      <c r="AL37" s="2"/>
      <c r="AM37" s="2"/>
      <c r="AN37" s="2"/>
      <c r="AO37" s="15"/>
      <c r="AP37" s="15"/>
      <c r="AQ37" s="15"/>
      <c r="AR37" s="15"/>
      <c r="AS37" s="15"/>
    </row>
    <row r="38" spans="1:45" s="16" customFormat="1" ht="12" x14ac:dyDescent="0.2">
      <c r="A38" s="2"/>
      <c r="B38" s="2"/>
      <c r="C38" s="2"/>
      <c r="D38" s="13"/>
      <c r="E38" s="2"/>
      <c r="F38" s="26">
        <f t="shared" si="9"/>
        <v>32</v>
      </c>
      <c r="G38" s="27">
        <f t="shared" ca="1" si="0"/>
        <v>46289</v>
      </c>
      <c r="H38" s="24">
        <f t="shared" ca="1" si="3"/>
        <v>9635</v>
      </c>
      <c r="I38" s="24">
        <f t="shared" ca="1" si="4"/>
        <v>2440.64</v>
      </c>
      <c r="J38" s="24">
        <f t="shared" ca="1" si="5"/>
        <v>7194.3600000000006</v>
      </c>
      <c r="K38" s="24">
        <f t="shared" ca="1" si="6"/>
        <v>0</v>
      </c>
      <c r="L38" s="24">
        <f t="shared" ca="1" si="10"/>
        <v>0</v>
      </c>
      <c r="M38" s="24">
        <f t="shared" ca="1" si="7"/>
        <v>2440.64</v>
      </c>
      <c r="N38" s="24">
        <f t="shared" ca="1" si="12"/>
        <v>0</v>
      </c>
      <c r="O38" s="24">
        <f t="shared" ca="1" si="1"/>
        <v>0</v>
      </c>
      <c r="P38" s="24">
        <f t="shared" ca="1" si="8"/>
        <v>234289.14999999991</v>
      </c>
      <c r="Q38" s="36">
        <f t="shared" si="11"/>
        <v>29</v>
      </c>
      <c r="R38" s="36">
        <f t="shared" ca="1" si="2"/>
        <v>29</v>
      </c>
      <c r="S38" s="2">
        <f t="shared" ca="1" si="13"/>
        <v>0</v>
      </c>
      <c r="T38" s="34">
        <f t="shared" ca="1" si="14"/>
        <v>9635</v>
      </c>
      <c r="U38" s="57">
        <f t="shared" ref="U38:U101" ca="1" si="15">U37+365</f>
        <v>46045</v>
      </c>
      <c r="V38" s="8" t="s">
        <v>8</v>
      </c>
      <c r="W38" s="8"/>
      <c r="X38" s="37"/>
      <c r="Y38" s="41">
        <f>ROUNDUP(C5*Z38,0)</f>
        <v>0</v>
      </c>
      <c r="Z38" s="12">
        <v>0</v>
      </c>
      <c r="AA38" s="1">
        <v>15000</v>
      </c>
      <c r="AB38" s="53">
        <v>41365</v>
      </c>
      <c r="AC38" s="1">
        <v>500</v>
      </c>
      <c r="AD38" s="2">
        <f ca="1">ROUNDUP(($Z$44)/AC36,0)*AC36</f>
        <v>9635</v>
      </c>
      <c r="AE38" s="2"/>
      <c r="AF38" s="2"/>
      <c r="AG38" s="2"/>
      <c r="AH38" s="2"/>
      <c r="AO38" s="15"/>
      <c r="AP38" s="15"/>
      <c r="AQ38" s="15"/>
      <c r="AR38" s="15"/>
      <c r="AS38" s="15"/>
    </row>
    <row r="39" spans="1:45" s="16" customFormat="1" thickBot="1" x14ac:dyDescent="0.25">
      <c r="A39" s="2"/>
      <c r="B39" s="2"/>
      <c r="C39" s="2"/>
      <c r="D39" s="2"/>
      <c r="E39" s="2"/>
      <c r="F39" s="26">
        <f t="shared" si="9"/>
        <v>33</v>
      </c>
      <c r="G39" s="27">
        <f t="shared" ref="G39:G70" ca="1" si="16">IF((OR(DAY($Z$43)=29,DAY($Z$43)=30,DAY($Z$43)=31)),(EDATE($C$7-3,F39)),(IF((OR(DAY($Z$43)=1,DAY($Z$43)=2,DAY($Z$43)=3)),(EDATE($C$7,F39)+3),EDATE($C$7,F39))))</f>
        <v>46319</v>
      </c>
      <c r="H39" s="24">
        <f t="shared" ca="1" si="3"/>
        <v>9635</v>
      </c>
      <c r="I39" s="24">
        <f t="shared" ca="1" si="4"/>
        <v>2291.54</v>
      </c>
      <c r="J39" s="24">
        <f t="shared" ca="1" si="5"/>
        <v>7343.46</v>
      </c>
      <c r="K39" s="24">
        <f t="shared" ca="1" si="6"/>
        <v>0</v>
      </c>
      <c r="L39" s="24">
        <f t="shared" ca="1" si="10"/>
        <v>0</v>
      </c>
      <c r="M39" s="24">
        <f t="shared" ca="1" si="7"/>
        <v>2291.54</v>
      </c>
      <c r="N39" s="24">
        <f t="shared" ca="1" si="12"/>
        <v>0</v>
      </c>
      <c r="O39" s="24">
        <f t="shared" ca="1" si="1"/>
        <v>0</v>
      </c>
      <c r="P39" s="24">
        <f t="shared" ca="1" si="8"/>
        <v>226945.68999999992</v>
      </c>
      <c r="Q39" s="36">
        <f t="shared" si="11"/>
        <v>28</v>
      </c>
      <c r="R39" s="36">
        <f t="shared" ref="R39:R70" ca="1" si="17">IF(ISERR(CEILING(FLOOR(NPER($C$16/12,-$Z$44,P38),0.1),1))=TRUE,0,CEILING(FLOOR(NPER($C$16/12,-$Z$44,P38),0.1),1))</f>
        <v>28</v>
      </c>
      <c r="S39" s="2">
        <f t="shared" ca="1" si="13"/>
        <v>0</v>
      </c>
      <c r="T39" s="34">
        <f t="shared" ca="1" si="14"/>
        <v>9635</v>
      </c>
      <c r="U39" s="57">
        <f t="shared" ca="1" si="15"/>
        <v>46410</v>
      </c>
      <c r="V39" s="5" t="s">
        <v>1</v>
      </c>
      <c r="W39" s="8"/>
      <c r="X39" s="40"/>
      <c r="Y39" s="42">
        <v>24</v>
      </c>
      <c r="Z39" s="14"/>
      <c r="AA39" s="1">
        <f ca="1">IF(C7&lt;AB38,300000,1000000)</f>
        <v>1000000</v>
      </c>
      <c r="AB39" s="53">
        <v>41501</v>
      </c>
      <c r="AC39" s="53">
        <v>41882</v>
      </c>
      <c r="AD39" s="2">
        <f ca="1">IF(C7&gt;AC39,XIRR(T36:T115,U36:U115)*12,XIRR(T36:T114,G6:G84))</f>
        <v>0.11891530752182009</v>
      </c>
      <c r="AE39" s="2"/>
      <c r="AF39" s="2"/>
      <c r="AG39" s="2"/>
      <c r="AH39" s="2"/>
      <c r="AO39" s="15"/>
      <c r="AP39" s="15"/>
      <c r="AQ39" s="15"/>
      <c r="AR39" s="15"/>
      <c r="AS39" s="15"/>
    </row>
    <row r="40" spans="1:45" s="16" customFormat="1" x14ac:dyDescent="0.2">
      <c r="A40" s="2"/>
      <c r="B40" s="2"/>
      <c r="C40" s="2"/>
      <c r="D40" s="2"/>
      <c r="E40" s="2"/>
      <c r="F40" s="26">
        <f t="shared" si="9"/>
        <v>34</v>
      </c>
      <c r="G40" s="27">
        <f t="shared" ca="1" si="16"/>
        <v>46350</v>
      </c>
      <c r="H40" s="24">
        <f t="shared" ca="1" si="3"/>
        <v>9635</v>
      </c>
      <c r="I40" s="24">
        <f t="shared" ref="I40:I71" ca="1" si="18">IF($C$7&gt;$AB$40,ROUND(P39*$C$16/(DATEVALUE(CONCATENATE("01/01/",YEAR(G40)+1))-DATEVALUE(CONCATENATE("01/01/",YEAR(G40))))*(G40-G39),2),ROUND(P38*$C$16/(DATEVALUE(CONCATENATE("01/01/",YEAR(G39)+1))-DATEVALUE(CONCATENATE("01/01/",YEAR(G39))))*(G39-G38),2))</f>
        <v>2293.71</v>
      </c>
      <c r="J40" s="24">
        <f t="shared" ca="1" si="5"/>
        <v>7341.29</v>
      </c>
      <c r="K40" s="24">
        <f t="shared" ca="1" si="6"/>
        <v>0</v>
      </c>
      <c r="L40" s="24">
        <f t="shared" ca="1" si="10"/>
        <v>0</v>
      </c>
      <c r="M40" s="24">
        <f t="shared" ca="1" si="7"/>
        <v>2293.71</v>
      </c>
      <c r="N40" s="24">
        <f t="shared" ca="1" si="12"/>
        <v>0</v>
      </c>
      <c r="O40" s="24">
        <f t="shared" ca="1" si="1"/>
        <v>0</v>
      </c>
      <c r="P40" s="24">
        <f t="shared" ca="1" si="8"/>
        <v>219604.39999999991</v>
      </c>
      <c r="Q40" s="36">
        <f t="shared" si="11"/>
        <v>27</v>
      </c>
      <c r="R40" s="36">
        <f t="shared" ca="1" si="17"/>
        <v>27</v>
      </c>
      <c r="S40" s="2">
        <f t="shared" ca="1" si="13"/>
        <v>0</v>
      </c>
      <c r="T40" s="34">
        <f t="shared" ca="1" si="14"/>
        <v>9635</v>
      </c>
      <c r="U40" s="57">
        <f t="shared" ca="1" si="15"/>
        <v>46775</v>
      </c>
      <c r="V40" s="5" t="s">
        <v>42</v>
      </c>
      <c r="W40" s="8"/>
      <c r="X40" s="17">
        <f ca="1">Y40/C5</f>
        <v>0.65062497142857112</v>
      </c>
      <c r="Y40" s="42">
        <f ca="1">(D19-C5)</f>
        <v>227718.73999999987</v>
      </c>
      <c r="Z40" s="58"/>
      <c r="AA40" s="53">
        <v>41632</v>
      </c>
      <c r="AB40" s="53">
        <v>41820</v>
      </c>
      <c r="AC40" s="53">
        <v>41857</v>
      </c>
      <c r="AD40" s="46">
        <v>41991</v>
      </c>
      <c r="AE40" s="18">
        <v>0</v>
      </c>
      <c r="AF40" s="3"/>
      <c r="AG40" s="3"/>
      <c r="AH40" s="3"/>
      <c r="AO40" s="15"/>
      <c r="AP40" s="15"/>
      <c r="AQ40" s="15"/>
      <c r="AR40" s="15"/>
      <c r="AS40" s="15"/>
    </row>
    <row r="41" spans="1:45" s="16" customFormat="1" x14ac:dyDescent="0.2">
      <c r="A41" s="2"/>
      <c r="B41" s="2"/>
      <c r="C41" s="2"/>
      <c r="D41" s="2"/>
      <c r="E41" s="2"/>
      <c r="F41" s="26">
        <f t="shared" si="9"/>
        <v>35</v>
      </c>
      <c r="G41" s="27">
        <f t="shared" ca="1" si="16"/>
        <v>46380</v>
      </c>
      <c r="H41" s="24">
        <f t="shared" ca="1" si="3"/>
        <v>9635</v>
      </c>
      <c r="I41" s="24">
        <f t="shared" ca="1" si="18"/>
        <v>2147.91</v>
      </c>
      <c r="J41" s="24">
        <f t="shared" ca="1" si="5"/>
        <v>7487.09</v>
      </c>
      <c r="K41" s="24">
        <f t="shared" ca="1" si="6"/>
        <v>0</v>
      </c>
      <c r="L41" s="24">
        <f t="shared" ca="1" si="10"/>
        <v>0</v>
      </c>
      <c r="M41" s="24">
        <f t="shared" ca="1" si="7"/>
        <v>2147.91</v>
      </c>
      <c r="N41" s="24">
        <f t="shared" ca="1" si="12"/>
        <v>0</v>
      </c>
      <c r="O41" s="24">
        <f t="shared" ca="1" si="1"/>
        <v>0</v>
      </c>
      <c r="P41" s="24">
        <f t="shared" ca="1" si="8"/>
        <v>212117.30999999991</v>
      </c>
      <c r="Q41" s="36">
        <f t="shared" si="11"/>
        <v>26</v>
      </c>
      <c r="R41" s="36">
        <f t="shared" ca="1" si="17"/>
        <v>26</v>
      </c>
      <c r="S41" s="2">
        <f t="shared" ca="1" si="13"/>
        <v>0</v>
      </c>
      <c r="T41" s="34">
        <f t="shared" ca="1" si="14"/>
        <v>9635</v>
      </c>
      <c r="U41" s="57">
        <f t="shared" ca="1" si="15"/>
        <v>47140</v>
      </c>
      <c r="V41" s="5"/>
      <c r="W41" s="8"/>
      <c r="X41" s="17">
        <f>IF(C6=V48,V54,IF(C6=W48,W54,IF(C6=Y48,Y54,IF(C6=Z48,Z54,IF(C6=X48,X54,IF(C6=AA48,AA54,IF(C6=AB48,AB54,U17)))))))</f>
        <v>4.0000000000000001E-3</v>
      </c>
      <c r="Y41" s="42"/>
      <c r="Z41" s="58"/>
      <c r="AA41" s="53">
        <v>42124</v>
      </c>
      <c r="AB41" s="53"/>
      <c r="AC41" s="53"/>
      <c r="AD41" s="46"/>
      <c r="AE41" s="2"/>
      <c r="AF41" s="3"/>
      <c r="AG41" s="3"/>
      <c r="AH41" s="3"/>
      <c r="AO41" s="15"/>
      <c r="AP41" s="15"/>
      <c r="AQ41" s="15"/>
      <c r="AR41" s="15"/>
      <c r="AS41" s="15"/>
    </row>
    <row r="42" spans="1:45" s="16" customFormat="1" x14ac:dyDescent="0.2">
      <c r="A42" s="2"/>
      <c r="B42" s="2"/>
      <c r="C42" s="2"/>
      <c r="D42" s="2"/>
      <c r="E42" s="2"/>
      <c r="F42" s="26">
        <f t="shared" si="9"/>
        <v>36</v>
      </c>
      <c r="G42" s="27">
        <f t="shared" ca="1" si="16"/>
        <v>46411</v>
      </c>
      <c r="H42" s="24">
        <f t="shared" ca="1" si="3"/>
        <v>9635</v>
      </c>
      <c r="I42" s="24">
        <f t="shared" ca="1" si="18"/>
        <v>2143.84</v>
      </c>
      <c r="J42" s="24">
        <f t="shared" ca="1" si="5"/>
        <v>7491.16</v>
      </c>
      <c r="K42" s="24">
        <f t="shared" ca="1" si="6"/>
        <v>0</v>
      </c>
      <c r="L42" s="24">
        <f t="shared" ca="1" si="10"/>
        <v>0</v>
      </c>
      <c r="M42" s="24">
        <f t="shared" ca="1" si="7"/>
        <v>2143.84</v>
      </c>
      <c r="N42" s="24">
        <f t="shared" ca="1" si="12"/>
        <v>0</v>
      </c>
      <c r="O42" s="24">
        <f t="shared" ca="1" si="1"/>
        <v>0</v>
      </c>
      <c r="P42" s="24">
        <f t="shared" ca="1" si="8"/>
        <v>204626.14999999991</v>
      </c>
      <c r="Q42" s="36">
        <f t="shared" si="11"/>
        <v>25</v>
      </c>
      <c r="R42" s="36">
        <f t="shared" ca="1" si="17"/>
        <v>25</v>
      </c>
      <c r="S42" s="2">
        <f t="shared" ca="1" si="13"/>
        <v>0</v>
      </c>
      <c r="T42" s="34">
        <f t="shared" ca="1" si="14"/>
        <v>9635</v>
      </c>
      <c r="U42" s="57">
        <f t="shared" ca="1" si="15"/>
        <v>47505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O42" s="3"/>
      <c r="AP42" s="3"/>
      <c r="AQ42" s="3"/>
      <c r="AR42" s="3"/>
      <c r="AS42" s="3"/>
    </row>
    <row r="43" spans="1:45" s="16" customFormat="1" ht="12" x14ac:dyDescent="0.2">
      <c r="A43" s="2"/>
      <c r="B43" s="2"/>
      <c r="C43" s="2"/>
      <c r="D43" s="2"/>
      <c r="E43" s="2"/>
      <c r="F43" s="26">
        <f t="shared" si="9"/>
        <v>37</v>
      </c>
      <c r="G43" s="27">
        <f t="shared" ca="1" si="16"/>
        <v>46442</v>
      </c>
      <c r="H43" s="24">
        <f t="shared" ca="1" si="3"/>
        <v>9635</v>
      </c>
      <c r="I43" s="24">
        <f t="shared" ca="1" si="18"/>
        <v>2068.13</v>
      </c>
      <c r="J43" s="24">
        <f t="shared" ca="1" si="5"/>
        <v>7566.87</v>
      </c>
      <c r="K43" s="24">
        <f t="shared" ca="1" si="6"/>
        <v>0</v>
      </c>
      <c r="L43" s="24">
        <f t="shared" ca="1" si="10"/>
        <v>0</v>
      </c>
      <c r="M43" s="24">
        <f t="shared" ca="1" si="7"/>
        <v>2068.13</v>
      </c>
      <c r="N43" s="24">
        <f t="shared" ca="1" si="12"/>
        <v>0</v>
      </c>
      <c r="O43" s="24">
        <f t="shared" ca="1" si="1"/>
        <v>0</v>
      </c>
      <c r="P43" s="24">
        <f t="shared" ca="1" si="8"/>
        <v>197059.27999999991</v>
      </c>
      <c r="Q43" s="36">
        <f t="shared" si="11"/>
        <v>24</v>
      </c>
      <c r="R43" s="36">
        <f t="shared" ca="1" si="17"/>
        <v>24</v>
      </c>
      <c r="S43" s="2">
        <f t="shared" ca="1" si="13"/>
        <v>0</v>
      </c>
      <c r="T43" s="34">
        <f t="shared" ca="1" si="14"/>
        <v>9635</v>
      </c>
      <c r="U43" s="57">
        <f t="shared" ca="1" si="15"/>
        <v>47870</v>
      </c>
      <c r="V43" s="6" t="s">
        <v>0</v>
      </c>
      <c r="W43" s="6"/>
      <c r="X43" s="6"/>
      <c r="Y43" s="1"/>
      <c r="Z43" s="7">
        <f ca="1">G6</f>
        <v>45315</v>
      </c>
      <c r="AA43" s="47">
        <f>(C13+AE40)*C16/12*(1+C16/12)^(D14)/((1+C16/12)^(D14)-1)+C13/10000*IF(D14&lt;11,20,IF(D14&lt;20,2.5,IF(D14&lt;37,1.5,IF(D14&lt;60,0.7,0.5))))*IF(C16&lt;0.3,C16/0.2,C16/0.1)</f>
        <v>9645.0846789989027</v>
      </c>
      <c r="AB43" s="2"/>
      <c r="AC43" s="2"/>
      <c r="AD43" s="2"/>
      <c r="AE43" s="2"/>
      <c r="AF43" s="2"/>
      <c r="AG43" s="2"/>
      <c r="AH43" s="2"/>
    </row>
    <row r="44" spans="1:45" s="16" customFormat="1" ht="12" x14ac:dyDescent="0.2">
      <c r="A44" s="2"/>
      <c r="B44" s="2"/>
      <c r="D44" s="46"/>
      <c r="E44" s="2"/>
      <c r="F44" s="26">
        <f t="shared" si="9"/>
        <v>38</v>
      </c>
      <c r="G44" s="27">
        <f t="shared" ca="1" si="16"/>
        <v>46470</v>
      </c>
      <c r="H44" s="24">
        <f t="shared" ca="1" si="3"/>
        <v>9635</v>
      </c>
      <c r="I44" s="24">
        <f t="shared" ca="1" si="18"/>
        <v>1798.91</v>
      </c>
      <c r="J44" s="24">
        <f t="shared" ca="1" si="5"/>
        <v>7836.09</v>
      </c>
      <c r="K44" s="24">
        <f t="shared" ca="1" si="6"/>
        <v>0</v>
      </c>
      <c r="L44" s="24">
        <f t="shared" ca="1" si="10"/>
        <v>0</v>
      </c>
      <c r="M44" s="24">
        <f t="shared" ca="1" si="7"/>
        <v>1798.91</v>
      </c>
      <c r="N44" s="24">
        <f t="shared" ca="1" si="12"/>
        <v>0</v>
      </c>
      <c r="O44" s="24">
        <f t="shared" ca="1" si="1"/>
        <v>0</v>
      </c>
      <c r="P44" s="24">
        <f t="shared" ca="1" si="8"/>
        <v>189223.18999999992</v>
      </c>
      <c r="Q44" s="36">
        <f t="shared" si="11"/>
        <v>23</v>
      </c>
      <c r="R44" s="36">
        <f t="shared" ca="1" si="17"/>
        <v>23</v>
      </c>
      <c r="S44" s="2">
        <f t="shared" ca="1" si="13"/>
        <v>0</v>
      </c>
      <c r="T44" s="34">
        <f t="shared" ca="1" si="14"/>
        <v>9635</v>
      </c>
      <c r="U44" s="57">
        <f t="shared" ca="1" si="15"/>
        <v>48235</v>
      </c>
      <c r="V44" s="11" t="s">
        <v>18</v>
      </c>
      <c r="W44" s="11"/>
      <c r="X44" s="11"/>
      <c r="Y44" s="10"/>
      <c r="Z44" s="13">
        <f ca="1">IF(DAY(C7)&lt;4,AA43,IF(DAY(C7)&gt;28,AA45,AA44))</f>
        <v>9634.7554789989026</v>
      </c>
      <c r="AA44" s="48">
        <f>(C13+AE40)*C16/12*(1+C16/12)^(D14)/((1+C16/12)^(D14)-1)+C13/10000*IF(D14&lt;11,20,IF(D14&lt;34,0.7,IF(D14&lt;58,0.3,0.1)))*IF(C16&lt;0.3,C16/0.2,C16/0.1)</f>
        <v>9634.7554789989026</v>
      </c>
      <c r="AB44" s="2"/>
      <c r="AC44" s="2"/>
      <c r="AD44" s="2"/>
      <c r="AE44" s="2"/>
      <c r="AF44" s="2"/>
      <c r="AG44" s="2"/>
      <c r="AH44" s="2"/>
      <c r="AI44" s="63"/>
      <c r="AJ44" s="63"/>
      <c r="AK44" s="63"/>
      <c r="AL44" s="63"/>
      <c r="AM44" s="63"/>
      <c r="AN44" s="63"/>
    </row>
    <row r="45" spans="1:45" s="16" customFormat="1" x14ac:dyDescent="0.2">
      <c r="A45" s="2"/>
      <c r="B45" s="2"/>
      <c r="C45" s="13"/>
      <c r="D45" s="13"/>
      <c r="E45" s="2"/>
      <c r="F45" s="26">
        <f t="shared" si="9"/>
        <v>39</v>
      </c>
      <c r="G45" s="27">
        <f t="shared" ca="1" si="16"/>
        <v>46501</v>
      </c>
      <c r="H45" s="24">
        <f t="shared" ca="1" si="3"/>
        <v>9635</v>
      </c>
      <c r="I45" s="24">
        <f t="shared" ca="1" si="18"/>
        <v>1912.45</v>
      </c>
      <c r="J45" s="24">
        <f t="shared" ca="1" si="5"/>
        <v>7722.55</v>
      </c>
      <c r="K45" s="24">
        <f t="shared" ca="1" si="6"/>
        <v>0</v>
      </c>
      <c r="L45" s="24">
        <f t="shared" ca="1" si="10"/>
        <v>0</v>
      </c>
      <c r="M45" s="24">
        <f t="shared" ca="1" si="7"/>
        <v>1912.45</v>
      </c>
      <c r="N45" s="24">
        <f t="shared" ca="1" si="12"/>
        <v>0</v>
      </c>
      <c r="O45" s="24">
        <f t="shared" ca="1" si="1"/>
        <v>0</v>
      </c>
      <c r="P45" s="24">
        <f t="shared" ca="1" si="8"/>
        <v>181500.63999999993</v>
      </c>
      <c r="Q45" s="36">
        <f t="shared" si="11"/>
        <v>22</v>
      </c>
      <c r="R45" s="36">
        <f t="shared" ca="1" si="17"/>
        <v>22</v>
      </c>
      <c r="S45" s="2">
        <f t="shared" ca="1" si="13"/>
        <v>0</v>
      </c>
      <c r="T45" s="34">
        <f t="shared" ca="1" si="14"/>
        <v>9635</v>
      </c>
      <c r="U45" s="57">
        <f t="shared" ca="1" si="15"/>
        <v>48600</v>
      </c>
      <c r="V45" s="3" t="s">
        <v>22</v>
      </c>
      <c r="W45" s="3"/>
      <c r="X45" s="3"/>
      <c r="Y45" s="2">
        <f ca="1">ROUNDUP((Z45+D17)/AC36,0)*AC36</f>
        <v>7056</v>
      </c>
      <c r="Z45" s="13">
        <f ca="1">(C13+AE40)*Y46/12*(1+Y46/12)^(D14+Z46)/((1+Y46/12)^(D14+Z46)-1)+10*C13/100000*IF(D14+Z46&lt;24,4,IF(D14+Z46&lt;36,3,IF(D14+Z46&lt;48,2,IF(D14+Z46&lt;60,1.5,1))))*Y46/0.2</f>
        <v>7055.7321241736636</v>
      </c>
      <c r="AA45" s="44">
        <f>(C13+AE40)*C16/12*(1+C16/12)^(D14)/((1+C16/12)^(D14)-1)+C13/10000*IF(D14&lt;11,20,IF(D14&lt;34,0.7,IF(D14&lt;48,0.3,0)))*IF(C16&lt;0.3,C16/0.2,C16/0.1)</f>
        <v>9632.1731789989026</v>
      </c>
      <c r="AB45" s="2"/>
      <c r="AC45" s="2"/>
      <c r="AD45" s="2"/>
      <c r="AE45" s="2"/>
      <c r="AF45" s="2"/>
      <c r="AG45" s="2"/>
      <c r="AH45" s="2"/>
      <c r="AI45" s="15"/>
      <c r="AJ45" s="15"/>
      <c r="AK45" s="15"/>
      <c r="AL45" s="15"/>
      <c r="AM45" s="15"/>
      <c r="AN45" s="15"/>
    </row>
    <row r="46" spans="1:45" s="16" customFormat="1" x14ac:dyDescent="0.2">
      <c r="A46" s="2"/>
      <c r="B46" s="2"/>
      <c r="C46" s="2"/>
      <c r="D46" s="13"/>
      <c r="E46" s="2"/>
      <c r="F46" s="26">
        <f t="shared" si="9"/>
        <v>40</v>
      </c>
      <c r="G46" s="27">
        <f t="shared" ca="1" si="16"/>
        <v>46531</v>
      </c>
      <c r="H46" s="24">
        <f ca="1">IF(Q46=1,K46+I46+J46,IF(P45+K46+I46&gt;H45,$D$15,IF(P45=0,0,P45+K46+I46+I77)))</f>
        <v>9635</v>
      </c>
      <c r="I46" s="24">
        <f t="shared" ca="1" si="18"/>
        <v>1775.23</v>
      </c>
      <c r="J46" s="24">
        <f t="shared" ca="1" si="5"/>
        <v>7859.77</v>
      </c>
      <c r="K46" s="24">
        <f t="shared" ca="1" si="6"/>
        <v>0</v>
      </c>
      <c r="L46" s="24">
        <f t="shared" ca="1" si="10"/>
        <v>0</v>
      </c>
      <c r="M46" s="24">
        <f t="shared" ca="1" si="7"/>
        <v>1775.23</v>
      </c>
      <c r="N46" s="24">
        <f t="shared" ca="1" si="12"/>
        <v>0</v>
      </c>
      <c r="O46" s="24">
        <f t="shared" ca="1" si="1"/>
        <v>0</v>
      </c>
      <c r="P46" s="24">
        <f t="shared" ca="1" si="8"/>
        <v>173640.86999999994</v>
      </c>
      <c r="Q46" s="36">
        <f t="shared" si="11"/>
        <v>21</v>
      </c>
      <c r="R46" s="36">
        <f t="shared" ca="1" si="17"/>
        <v>21</v>
      </c>
      <c r="S46" s="2">
        <f t="shared" ca="1" si="13"/>
        <v>0</v>
      </c>
      <c r="T46" s="34">
        <f t="shared" ca="1" si="14"/>
        <v>9635</v>
      </c>
      <c r="U46" s="57">
        <f t="shared" ca="1" si="15"/>
        <v>48965</v>
      </c>
      <c r="V46" s="3"/>
      <c r="W46" s="3"/>
      <c r="X46" s="3"/>
      <c r="Y46" s="15">
        <f ca="1">IF(C7&gt;AD37,C16,C16+0.05)</f>
        <v>0.11899999999999999</v>
      </c>
      <c r="Z46" s="2">
        <f ca="1" xml:space="preserve"> IF(C7&gt;AD37,36,24)</f>
        <v>36</v>
      </c>
      <c r="AA46" s="44">
        <f>(C13+AE40)*C16/12*(1+C16/12)^(D14)/((1+C16/12)^(D14)-1)</f>
        <v>9632.1731789989026</v>
      </c>
      <c r="AB46" s="2"/>
      <c r="AC46" s="2"/>
      <c r="AD46" s="2"/>
      <c r="AE46" s="2"/>
      <c r="AF46" s="2"/>
      <c r="AG46" s="2"/>
      <c r="AH46" s="2"/>
      <c r="AI46" s="15"/>
      <c r="AJ46" s="15"/>
      <c r="AK46" s="15"/>
      <c r="AL46" s="15"/>
      <c r="AM46" s="15"/>
      <c r="AN46" s="15"/>
    </row>
    <row r="47" spans="1:45" s="16" customFormat="1" ht="12" x14ac:dyDescent="0.2">
      <c r="A47" s="2"/>
      <c r="B47" s="2"/>
      <c r="C47" s="13"/>
      <c r="D47" s="13"/>
      <c r="F47" s="26">
        <f t="shared" si="9"/>
        <v>41</v>
      </c>
      <c r="G47" s="27">
        <f t="shared" ca="1" si="16"/>
        <v>46562</v>
      </c>
      <c r="H47" s="24">
        <f t="shared" ref="H47:H65" ca="1" si="19">IF(Q47=1,K47+I47+J47,IF(P46+K47+I47&gt;H46,$D$15,IF(P46=0,0,P46+K47+I47+I48)))</f>
        <v>9635</v>
      </c>
      <c r="I47" s="24">
        <f t="shared" ca="1" si="18"/>
        <v>1754.96</v>
      </c>
      <c r="J47" s="24">
        <f t="shared" ca="1" si="5"/>
        <v>7880.04</v>
      </c>
      <c r="K47" s="24">
        <f t="shared" ca="1" si="6"/>
        <v>0</v>
      </c>
      <c r="L47" s="24">
        <f t="shared" ca="1" si="10"/>
        <v>0</v>
      </c>
      <c r="M47" s="24">
        <f t="shared" ca="1" si="7"/>
        <v>1754.96</v>
      </c>
      <c r="N47" s="24">
        <f t="shared" ca="1" si="12"/>
        <v>0</v>
      </c>
      <c r="O47" s="24">
        <f t="shared" ca="1" si="1"/>
        <v>0</v>
      </c>
      <c r="P47" s="24">
        <f t="shared" ca="1" si="8"/>
        <v>165760.82999999993</v>
      </c>
      <c r="Q47" s="36">
        <f t="shared" si="11"/>
        <v>20</v>
      </c>
      <c r="R47" s="36">
        <f t="shared" ca="1" si="17"/>
        <v>20</v>
      </c>
      <c r="S47" s="2">
        <f t="shared" ca="1" si="13"/>
        <v>0</v>
      </c>
      <c r="T47" s="34">
        <f t="shared" ca="1" si="14"/>
        <v>9635</v>
      </c>
      <c r="U47" s="57">
        <f t="shared" ca="1" si="15"/>
        <v>49330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15"/>
      <c r="AJ47" s="15"/>
      <c r="AK47" s="15"/>
      <c r="AL47" s="15"/>
      <c r="AM47" s="15"/>
      <c r="AN47" s="15"/>
    </row>
    <row r="48" spans="1:45" s="16" customFormat="1" ht="12" x14ac:dyDescent="0.2">
      <c r="A48" s="2"/>
      <c r="B48" s="2"/>
      <c r="C48" s="2"/>
      <c r="D48" s="13"/>
      <c r="F48" s="26">
        <f t="shared" si="9"/>
        <v>42</v>
      </c>
      <c r="G48" s="27">
        <f t="shared" ca="1" si="16"/>
        <v>46592</v>
      </c>
      <c r="H48" s="24">
        <f t="shared" ca="1" si="19"/>
        <v>9635</v>
      </c>
      <c r="I48" s="24">
        <f t="shared" ca="1" si="18"/>
        <v>1621.28</v>
      </c>
      <c r="J48" s="24">
        <f t="shared" ca="1" si="5"/>
        <v>8013.72</v>
      </c>
      <c r="K48" s="24">
        <f t="shared" ca="1" si="6"/>
        <v>0</v>
      </c>
      <c r="L48" s="24">
        <f t="shared" ca="1" si="10"/>
        <v>0</v>
      </c>
      <c r="M48" s="24">
        <f t="shared" ca="1" si="7"/>
        <v>1621.28</v>
      </c>
      <c r="N48" s="24">
        <f t="shared" ca="1" si="12"/>
        <v>0</v>
      </c>
      <c r="O48" s="24">
        <f t="shared" ca="1" si="1"/>
        <v>0</v>
      </c>
      <c r="P48" s="24">
        <f t="shared" ca="1" si="8"/>
        <v>157747.10999999993</v>
      </c>
      <c r="Q48" s="36">
        <f t="shared" si="11"/>
        <v>19</v>
      </c>
      <c r="R48" s="36">
        <f t="shared" ca="1" si="17"/>
        <v>19</v>
      </c>
      <c r="S48" s="2">
        <f t="shared" ca="1" si="13"/>
        <v>0</v>
      </c>
      <c r="T48" s="34">
        <f t="shared" ca="1" si="14"/>
        <v>9635</v>
      </c>
      <c r="U48" s="57">
        <f t="shared" ca="1" si="15"/>
        <v>49695</v>
      </c>
      <c r="V48" s="1" t="s">
        <v>69</v>
      </c>
      <c r="W48" s="1" t="s">
        <v>70</v>
      </c>
      <c r="X48" s="1" t="s">
        <v>51</v>
      </c>
      <c r="Y48" s="1" t="s">
        <v>35</v>
      </c>
      <c r="Z48" s="1"/>
      <c r="AA48" s="1"/>
      <c r="AB48" s="1"/>
      <c r="AC48" s="2"/>
      <c r="AD48" s="2"/>
      <c r="AE48" s="2"/>
      <c r="AF48" s="2"/>
      <c r="AG48" s="2"/>
      <c r="AH48" s="2"/>
      <c r="AI48" s="15"/>
      <c r="AJ48" s="15"/>
      <c r="AK48" s="15"/>
      <c r="AL48" s="15"/>
      <c r="AM48" s="15"/>
      <c r="AN48" s="15"/>
    </row>
    <row r="49" spans="1:40" s="16" customFormat="1" ht="12" x14ac:dyDescent="0.2">
      <c r="A49" s="2"/>
      <c r="B49" s="2"/>
      <c r="C49" s="2"/>
      <c r="D49" s="2"/>
      <c r="E49" s="2"/>
      <c r="F49" s="26">
        <f t="shared" si="9"/>
        <v>43</v>
      </c>
      <c r="G49" s="27">
        <f t="shared" ca="1" si="16"/>
        <v>46623</v>
      </c>
      <c r="H49" s="24">
        <f t="shared" ca="1" si="19"/>
        <v>9635</v>
      </c>
      <c r="I49" s="24">
        <f t="shared" ca="1" si="18"/>
        <v>1594.33</v>
      </c>
      <c r="J49" s="24">
        <f t="shared" ca="1" si="5"/>
        <v>8040.67</v>
      </c>
      <c r="K49" s="24">
        <f t="shared" ca="1" si="6"/>
        <v>0</v>
      </c>
      <c r="L49" s="24">
        <f t="shared" ca="1" si="10"/>
        <v>0</v>
      </c>
      <c r="M49" s="24">
        <f t="shared" ca="1" si="7"/>
        <v>1594.33</v>
      </c>
      <c r="N49" s="24">
        <f t="shared" ca="1" si="12"/>
        <v>0</v>
      </c>
      <c r="O49" s="24">
        <f t="shared" ca="1" si="1"/>
        <v>0</v>
      </c>
      <c r="P49" s="24">
        <f t="shared" ca="1" si="8"/>
        <v>149706.43999999992</v>
      </c>
      <c r="Q49" s="36">
        <f t="shared" si="11"/>
        <v>18</v>
      </c>
      <c r="R49" s="36">
        <f t="shared" ca="1" si="17"/>
        <v>18</v>
      </c>
      <c r="S49" s="2">
        <f t="shared" ca="1" si="13"/>
        <v>0</v>
      </c>
      <c r="T49" s="34">
        <f t="shared" ca="1" si="14"/>
        <v>9635</v>
      </c>
      <c r="U49" s="57">
        <f t="shared" ca="1" si="15"/>
        <v>50060</v>
      </c>
      <c r="V49" s="15">
        <v>1.5E-3</v>
      </c>
      <c r="W49" s="15">
        <v>2E-3</v>
      </c>
      <c r="X49" s="15">
        <v>1.6000000000000001E-3</v>
      </c>
      <c r="Y49" s="15">
        <v>0</v>
      </c>
      <c r="Z49" s="15">
        <v>0</v>
      </c>
      <c r="AA49" s="15">
        <v>0</v>
      </c>
      <c r="AB49" s="15"/>
      <c r="AC49" s="2"/>
      <c r="AD49" s="2"/>
      <c r="AE49" s="2"/>
      <c r="AF49" s="2"/>
      <c r="AG49" s="2"/>
      <c r="AH49" s="2"/>
      <c r="AI49" s="15"/>
      <c r="AJ49" s="15"/>
      <c r="AK49" s="15"/>
      <c r="AL49" s="15"/>
      <c r="AM49" s="15"/>
      <c r="AN49" s="15"/>
    </row>
    <row r="50" spans="1:40" s="16" customFormat="1" x14ac:dyDescent="0.2">
      <c r="A50" s="2"/>
      <c r="B50" s="2"/>
      <c r="C50" s="2"/>
      <c r="D50" s="2"/>
      <c r="E50" s="2"/>
      <c r="F50" s="26">
        <f t="shared" si="9"/>
        <v>44</v>
      </c>
      <c r="G50" s="27">
        <f t="shared" ca="1" si="16"/>
        <v>46654</v>
      </c>
      <c r="H50" s="24">
        <f t="shared" ca="1" si="19"/>
        <v>9635</v>
      </c>
      <c r="I50" s="24">
        <f t="shared" ca="1" si="18"/>
        <v>1513.06</v>
      </c>
      <c r="J50" s="24">
        <f t="shared" ca="1" si="5"/>
        <v>8121.9400000000005</v>
      </c>
      <c r="K50" s="24">
        <f t="shared" ca="1" si="6"/>
        <v>0</v>
      </c>
      <c r="L50" s="24">
        <f t="shared" ca="1" si="10"/>
        <v>0</v>
      </c>
      <c r="M50" s="24">
        <f t="shared" ca="1" si="7"/>
        <v>1513.06</v>
      </c>
      <c r="N50" s="24">
        <f t="shared" ca="1" si="12"/>
        <v>0</v>
      </c>
      <c r="O50" s="24">
        <f t="shared" ca="1" si="1"/>
        <v>0</v>
      </c>
      <c r="P50" s="24">
        <f t="shared" ca="1" si="8"/>
        <v>141584.49999999991</v>
      </c>
      <c r="Q50" s="36">
        <f t="shared" si="11"/>
        <v>17</v>
      </c>
      <c r="R50" s="36">
        <f t="shared" ca="1" si="17"/>
        <v>17</v>
      </c>
      <c r="S50" s="2">
        <f t="shared" ca="1" si="13"/>
        <v>0</v>
      </c>
      <c r="T50" s="34">
        <f t="shared" ca="1" si="14"/>
        <v>9635</v>
      </c>
      <c r="U50" s="57">
        <f t="shared" ca="1" si="15"/>
        <v>50425</v>
      </c>
      <c r="V50" s="15">
        <v>1.5E-3</v>
      </c>
      <c r="W50" s="15">
        <v>2E-3</v>
      </c>
      <c r="X50" s="15">
        <v>1.6000000000000001E-3</v>
      </c>
      <c r="Y50" s="15">
        <v>0</v>
      </c>
      <c r="Z50" s="15">
        <v>0</v>
      </c>
      <c r="AA50" s="15">
        <v>0</v>
      </c>
      <c r="AB50" s="15"/>
      <c r="AC50" s="2"/>
      <c r="AD50" s="2"/>
      <c r="AE50" s="2"/>
      <c r="AF50" s="2"/>
      <c r="AG50" s="2"/>
      <c r="AH50" s="2"/>
      <c r="AI50" s="3"/>
      <c r="AJ50" s="3"/>
      <c r="AK50" s="3"/>
      <c r="AL50" s="3"/>
      <c r="AM50" s="3"/>
      <c r="AN50" s="3"/>
    </row>
    <row r="51" spans="1:40" s="16" customFormat="1" ht="12" x14ac:dyDescent="0.2">
      <c r="A51" s="2"/>
      <c r="B51" s="2"/>
      <c r="C51" s="2"/>
      <c r="D51" s="2"/>
      <c r="E51" s="2"/>
      <c r="F51" s="26">
        <f t="shared" si="9"/>
        <v>45</v>
      </c>
      <c r="G51" s="27">
        <f t="shared" ca="1" si="16"/>
        <v>46684</v>
      </c>
      <c r="H51" s="24">
        <f t="shared" ca="1" si="19"/>
        <v>9635</v>
      </c>
      <c r="I51" s="24">
        <f t="shared" ca="1" si="18"/>
        <v>1384.81</v>
      </c>
      <c r="J51" s="24">
        <f t="shared" ca="1" si="5"/>
        <v>8250.19</v>
      </c>
      <c r="K51" s="24">
        <f t="shared" ca="1" si="6"/>
        <v>0</v>
      </c>
      <c r="L51" s="24">
        <f t="shared" ca="1" si="10"/>
        <v>0</v>
      </c>
      <c r="M51" s="24">
        <f t="shared" ca="1" si="7"/>
        <v>1384.81</v>
      </c>
      <c r="N51" s="24">
        <f t="shared" ca="1" si="12"/>
        <v>0</v>
      </c>
      <c r="O51" s="24">
        <f t="shared" ca="1" si="1"/>
        <v>0</v>
      </c>
      <c r="P51" s="24">
        <f t="shared" ca="1" si="8"/>
        <v>133334.30999999991</v>
      </c>
      <c r="Q51" s="36">
        <f t="shared" si="11"/>
        <v>16</v>
      </c>
      <c r="R51" s="36">
        <f t="shared" ca="1" si="17"/>
        <v>16</v>
      </c>
      <c r="S51" s="2">
        <f t="shared" ca="1" si="13"/>
        <v>0</v>
      </c>
      <c r="T51" s="34">
        <f t="shared" ca="1" si="14"/>
        <v>9635</v>
      </c>
      <c r="U51" s="57">
        <f t="shared" ca="1" si="15"/>
        <v>50790</v>
      </c>
      <c r="V51" s="15">
        <v>1.5E-3</v>
      </c>
      <c r="W51" s="15">
        <v>2E-3</v>
      </c>
      <c r="X51" s="15">
        <v>1.6000000000000001E-3</v>
      </c>
      <c r="Y51" s="15">
        <v>0</v>
      </c>
      <c r="Z51" s="15">
        <v>0</v>
      </c>
      <c r="AA51" s="15">
        <v>0</v>
      </c>
      <c r="AB51" s="15"/>
      <c r="AC51" s="2"/>
      <c r="AD51" s="2"/>
      <c r="AE51" s="2"/>
      <c r="AF51" s="2"/>
      <c r="AG51" s="2"/>
      <c r="AH51" s="2"/>
    </row>
    <row r="52" spans="1:40" s="16" customFormat="1" ht="12" x14ac:dyDescent="0.2">
      <c r="A52" s="2"/>
      <c r="B52" s="2"/>
      <c r="C52" s="2"/>
      <c r="D52" s="2"/>
      <c r="E52" s="2"/>
      <c r="F52" s="26">
        <f t="shared" si="9"/>
        <v>46</v>
      </c>
      <c r="G52" s="27">
        <f t="shared" ca="1" si="16"/>
        <v>46715</v>
      </c>
      <c r="H52" s="24">
        <f t="shared" ca="1" si="19"/>
        <v>9635</v>
      </c>
      <c r="I52" s="24">
        <f t="shared" ca="1" si="18"/>
        <v>1347.59</v>
      </c>
      <c r="J52" s="24">
        <f t="shared" ca="1" si="5"/>
        <v>8287.41</v>
      </c>
      <c r="K52" s="24">
        <f t="shared" ca="1" si="6"/>
        <v>0</v>
      </c>
      <c r="L52" s="24">
        <f t="shared" ca="1" si="10"/>
        <v>0</v>
      </c>
      <c r="M52" s="24">
        <f t="shared" ca="1" si="7"/>
        <v>1347.59</v>
      </c>
      <c r="N52" s="24">
        <f t="shared" ca="1" si="12"/>
        <v>0</v>
      </c>
      <c r="O52" s="24">
        <f t="shared" ca="1" si="1"/>
        <v>0</v>
      </c>
      <c r="P52" s="24">
        <f t="shared" ca="1" si="8"/>
        <v>125046.89999999991</v>
      </c>
      <c r="Q52" s="36">
        <f t="shared" si="11"/>
        <v>15</v>
      </c>
      <c r="R52" s="36">
        <f t="shared" ca="1" si="17"/>
        <v>15</v>
      </c>
      <c r="S52" s="2">
        <f t="shared" ca="1" si="13"/>
        <v>0</v>
      </c>
      <c r="T52" s="34">
        <f t="shared" ca="1" si="14"/>
        <v>9635</v>
      </c>
      <c r="U52" s="57">
        <f t="shared" ca="1" si="15"/>
        <v>51155</v>
      </c>
      <c r="V52" s="15">
        <v>1.5E-3</v>
      </c>
      <c r="W52" s="15">
        <v>2E-3</v>
      </c>
      <c r="AB52" s="15"/>
    </row>
    <row r="53" spans="1:40" s="16" customFormat="1" ht="12" x14ac:dyDescent="0.2">
      <c r="A53" s="2"/>
      <c r="B53" s="2"/>
      <c r="C53" s="2"/>
      <c r="D53" s="2"/>
      <c r="E53" s="2"/>
      <c r="F53" s="26">
        <f t="shared" si="9"/>
        <v>47</v>
      </c>
      <c r="G53" s="27">
        <f t="shared" ca="1" si="16"/>
        <v>46745</v>
      </c>
      <c r="H53" s="24">
        <f t="shared" ca="1" si="19"/>
        <v>9635</v>
      </c>
      <c r="I53" s="24">
        <f t="shared" ca="1" si="18"/>
        <v>1223.06</v>
      </c>
      <c r="J53" s="24">
        <f t="shared" ca="1" si="5"/>
        <v>8411.94</v>
      </c>
      <c r="K53" s="24">
        <f t="shared" ca="1" si="6"/>
        <v>0</v>
      </c>
      <c r="L53" s="24">
        <f t="shared" ca="1" si="10"/>
        <v>0</v>
      </c>
      <c r="M53" s="24">
        <f t="shared" ca="1" si="7"/>
        <v>1223.06</v>
      </c>
      <c r="N53" s="24">
        <f t="shared" ca="1" si="12"/>
        <v>0</v>
      </c>
      <c r="O53" s="24">
        <f t="shared" ca="1" si="1"/>
        <v>0</v>
      </c>
      <c r="P53" s="24">
        <f t="shared" ca="1" si="8"/>
        <v>116634.9599999999</v>
      </c>
      <c r="Q53" s="36">
        <f t="shared" si="11"/>
        <v>14</v>
      </c>
      <c r="R53" s="36">
        <f t="shared" ca="1" si="17"/>
        <v>14</v>
      </c>
      <c r="S53" s="2">
        <f t="shared" ca="1" si="13"/>
        <v>0</v>
      </c>
      <c r="T53" s="34">
        <f t="shared" ca="1" si="14"/>
        <v>9635</v>
      </c>
      <c r="U53" s="57">
        <f t="shared" ca="1" si="15"/>
        <v>51520</v>
      </c>
      <c r="AB53" s="15"/>
    </row>
    <row r="54" spans="1:40" s="16" customFormat="1" ht="12" x14ac:dyDescent="0.2">
      <c r="A54" s="2"/>
      <c r="B54" s="2"/>
      <c r="C54" s="2"/>
      <c r="D54" s="2"/>
      <c r="E54" s="2"/>
      <c r="F54" s="26">
        <f t="shared" si="9"/>
        <v>48</v>
      </c>
      <c r="G54" s="27">
        <f t="shared" ca="1" si="16"/>
        <v>46776</v>
      </c>
      <c r="H54" s="24">
        <f ca="1">IF(Q54=1,K54+I54+J54,IF(P53+K54+I54&gt;H53,$D$15,IF(P53=0,0,P53+K54+I54+I55)))</f>
        <v>9635</v>
      </c>
      <c r="I54" s="24">
        <f t="shared" ca="1" si="18"/>
        <v>1175.5899999999999</v>
      </c>
      <c r="J54" s="24">
        <f t="shared" ca="1" si="5"/>
        <v>8459.41</v>
      </c>
      <c r="K54" s="24">
        <f t="shared" ca="1" si="6"/>
        <v>0</v>
      </c>
      <c r="L54" s="24">
        <f t="shared" ca="1" si="10"/>
        <v>0</v>
      </c>
      <c r="M54" s="24">
        <f t="shared" ca="1" si="7"/>
        <v>1175.5899999999999</v>
      </c>
      <c r="N54" s="24">
        <f t="shared" ca="1" si="12"/>
        <v>0</v>
      </c>
      <c r="O54" s="24">
        <f t="shared" ca="1" si="1"/>
        <v>0</v>
      </c>
      <c r="P54" s="24">
        <f t="shared" ca="1" si="8"/>
        <v>108175.5499999999</v>
      </c>
      <c r="Q54" s="36">
        <f t="shared" si="11"/>
        <v>13</v>
      </c>
      <c r="R54" s="36">
        <f t="shared" ca="1" si="17"/>
        <v>13</v>
      </c>
      <c r="S54" s="2">
        <f t="shared" ca="1" si="13"/>
        <v>0</v>
      </c>
      <c r="T54" s="34">
        <f t="shared" ca="1" si="14"/>
        <v>9635</v>
      </c>
      <c r="U54" s="57">
        <f t="shared" ca="1" si="15"/>
        <v>51885</v>
      </c>
      <c r="V54" s="15">
        <f>IF($C$5&gt;500000,V52,IF($C$5&gt;300000,V51,IF($C$5&gt;100000,V50,V49)))*2</f>
        <v>3.0000000000000001E-3</v>
      </c>
      <c r="W54" s="15">
        <f>IF($C$5&gt;500000,W52,IF($C$5&gt;300000,W51,IF($C$5&gt;100000,W50,W49)))*2</f>
        <v>4.0000000000000001E-3</v>
      </c>
      <c r="X54" s="15">
        <f>IF($C$5&gt;300000,X51,IF($C$5&gt;100000,X50,X49))*2</f>
        <v>3.2000000000000002E-3</v>
      </c>
      <c r="Y54" s="15">
        <f>IF($C$5&gt;300000,Y51,IF($C$5&gt;100000,Y50,Y49))</f>
        <v>0</v>
      </c>
      <c r="Z54" s="15">
        <f>IF($C$5&gt;300000,Z51,IF($C$5&gt;100000,Z50,Z49))</f>
        <v>0</v>
      </c>
      <c r="AA54" s="15">
        <f>IF($C$5&gt;300000,AA51,IF($C$5&gt;100000,AA50,AA49))</f>
        <v>0</v>
      </c>
      <c r="AB54" s="15">
        <v>0</v>
      </c>
    </row>
    <row r="55" spans="1:40" s="16" customFormat="1" ht="12" x14ac:dyDescent="0.2">
      <c r="A55" s="2"/>
      <c r="B55" s="2"/>
      <c r="C55" s="2"/>
      <c r="D55" s="2"/>
      <c r="E55" s="2"/>
      <c r="F55" s="26">
        <f t="shared" si="9"/>
        <v>49</v>
      </c>
      <c r="G55" s="27">
        <f t="shared" ca="1" si="16"/>
        <v>46807</v>
      </c>
      <c r="H55" s="24">
        <f t="shared" ca="1" si="19"/>
        <v>9635</v>
      </c>
      <c r="I55" s="24">
        <f t="shared" ca="1" si="18"/>
        <v>1090.33</v>
      </c>
      <c r="J55" s="24">
        <f t="shared" ca="1" si="5"/>
        <v>8544.67</v>
      </c>
      <c r="K55" s="24">
        <f t="shared" ca="1" si="6"/>
        <v>0</v>
      </c>
      <c r="L55" s="24">
        <f t="shared" ca="1" si="10"/>
        <v>0</v>
      </c>
      <c r="M55" s="24">
        <f t="shared" ca="1" si="7"/>
        <v>1090.33</v>
      </c>
      <c r="N55" s="24">
        <f t="shared" ca="1" si="12"/>
        <v>0</v>
      </c>
      <c r="O55" s="24">
        <f t="shared" ca="1" si="1"/>
        <v>0</v>
      </c>
      <c r="P55" s="24">
        <f t="shared" ca="1" si="8"/>
        <v>99630.879999999903</v>
      </c>
      <c r="Q55" s="36">
        <f t="shared" si="11"/>
        <v>12</v>
      </c>
      <c r="R55" s="36">
        <f t="shared" ca="1" si="17"/>
        <v>12</v>
      </c>
      <c r="S55" s="2">
        <f t="shared" ca="1" si="13"/>
        <v>0</v>
      </c>
      <c r="T55" s="34">
        <f t="shared" ca="1" si="14"/>
        <v>9635</v>
      </c>
      <c r="U55" s="57">
        <f t="shared" ca="1" si="15"/>
        <v>52250</v>
      </c>
    </row>
    <row r="56" spans="1:40" s="16" customFormat="1" ht="12" x14ac:dyDescent="0.2">
      <c r="A56" s="2"/>
      <c r="B56" s="2"/>
      <c r="C56" s="2"/>
      <c r="D56" s="2"/>
      <c r="E56" s="2"/>
      <c r="F56" s="26">
        <f t="shared" si="9"/>
        <v>50</v>
      </c>
      <c r="G56" s="27">
        <f t="shared" ca="1" si="16"/>
        <v>46836</v>
      </c>
      <c r="H56" s="24">
        <f t="shared" ca="1" si="19"/>
        <v>9635</v>
      </c>
      <c r="I56" s="24">
        <f t="shared" ca="1" si="18"/>
        <v>939.42</v>
      </c>
      <c r="J56" s="24">
        <f t="shared" ca="1" si="5"/>
        <v>8695.58</v>
      </c>
      <c r="K56" s="24">
        <f t="shared" ca="1" si="6"/>
        <v>0</v>
      </c>
      <c r="L56" s="24">
        <f t="shared" ca="1" si="10"/>
        <v>0</v>
      </c>
      <c r="M56" s="24">
        <f t="shared" ca="1" si="7"/>
        <v>939.42</v>
      </c>
      <c r="N56" s="24">
        <f t="shared" ca="1" si="12"/>
        <v>0</v>
      </c>
      <c r="O56" s="24">
        <f t="shared" ca="1" si="1"/>
        <v>0</v>
      </c>
      <c r="P56" s="24">
        <f t="shared" ca="1" si="8"/>
        <v>90935.299999999901</v>
      </c>
      <c r="Q56" s="36">
        <f t="shared" si="11"/>
        <v>11</v>
      </c>
      <c r="R56" s="36">
        <f t="shared" ca="1" si="17"/>
        <v>11</v>
      </c>
      <c r="S56" s="2">
        <f t="shared" ca="1" si="13"/>
        <v>0</v>
      </c>
      <c r="T56" s="34">
        <f t="shared" ca="1" si="14"/>
        <v>9635</v>
      </c>
      <c r="U56" s="57">
        <f t="shared" ca="1" si="15"/>
        <v>52615</v>
      </c>
    </row>
    <row r="57" spans="1:40" s="16" customFormat="1" ht="12" x14ac:dyDescent="0.2">
      <c r="A57" s="2"/>
      <c r="B57" s="2"/>
      <c r="C57" s="13"/>
      <c r="D57" s="13"/>
      <c r="E57" s="2"/>
      <c r="F57" s="26">
        <f t="shared" si="9"/>
        <v>51</v>
      </c>
      <c r="G57" s="27">
        <f t="shared" ca="1" si="16"/>
        <v>46867</v>
      </c>
      <c r="H57" s="24">
        <f t="shared" ca="1" si="19"/>
        <v>9635</v>
      </c>
      <c r="I57" s="24">
        <f t="shared" ca="1" si="18"/>
        <v>916.56</v>
      </c>
      <c r="J57" s="24">
        <f t="shared" ca="1" si="5"/>
        <v>8718.44</v>
      </c>
      <c r="K57" s="24">
        <f t="shared" ca="1" si="6"/>
        <v>0</v>
      </c>
      <c r="L57" s="24">
        <f t="shared" ca="1" si="10"/>
        <v>0</v>
      </c>
      <c r="M57" s="24">
        <f t="shared" ca="1" si="7"/>
        <v>916.56</v>
      </c>
      <c r="N57" s="24">
        <f t="shared" ca="1" si="12"/>
        <v>0</v>
      </c>
      <c r="O57" s="24">
        <f t="shared" ca="1" si="1"/>
        <v>0</v>
      </c>
      <c r="P57" s="24">
        <f t="shared" ca="1" si="8"/>
        <v>82216.859999999899</v>
      </c>
      <c r="Q57" s="36">
        <f t="shared" si="11"/>
        <v>10</v>
      </c>
      <c r="R57" s="36">
        <f t="shared" ca="1" si="17"/>
        <v>10</v>
      </c>
      <c r="S57" s="2">
        <f t="shared" ca="1" si="13"/>
        <v>0</v>
      </c>
      <c r="T57" s="34">
        <f t="shared" ca="1" si="14"/>
        <v>9635</v>
      </c>
      <c r="U57" s="57">
        <f t="shared" ca="1" si="15"/>
        <v>52980</v>
      </c>
    </row>
    <row r="58" spans="1:40" s="16" customFormat="1" ht="12" x14ac:dyDescent="0.2">
      <c r="A58" s="2"/>
      <c r="B58" s="2"/>
      <c r="C58" s="2"/>
      <c r="D58" s="13"/>
      <c r="E58" s="2"/>
      <c r="F58" s="26">
        <f t="shared" si="9"/>
        <v>52</v>
      </c>
      <c r="G58" s="27">
        <f t="shared" ca="1" si="16"/>
        <v>46897</v>
      </c>
      <c r="H58" s="24">
        <f t="shared" ca="1" si="19"/>
        <v>9635</v>
      </c>
      <c r="I58" s="24">
        <f t="shared" ca="1" si="18"/>
        <v>801.95</v>
      </c>
      <c r="J58" s="24">
        <f t="shared" ca="1" si="5"/>
        <v>8833.0499999999993</v>
      </c>
      <c r="K58" s="24">
        <f t="shared" ca="1" si="6"/>
        <v>0</v>
      </c>
      <c r="L58" s="24">
        <f t="shared" ca="1" si="10"/>
        <v>0</v>
      </c>
      <c r="M58" s="24">
        <f t="shared" ca="1" si="7"/>
        <v>801.95</v>
      </c>
      <c r="N58" s="24">
        <f t="shared" ca="1" si="12"/>
        <v>0</v>
      </c>
      <c r="O58" s="24">
        <f t="shared" ca="1" si="1"/>
        <v>0</v>
      </c>
      <c r="P58" s="24">
        <f t="shared" ca="1" si="8"/>
        <v>73383.809999999896</v>
      </c>
      <c r="Q58" s="36">
        <f t="shared" si="11"/>
        <v>9</v>
      </c>
      <c r="R58" s="36">
        <f t="shared" ca="1" si="17"/>
        <v>9</v>
      </c>
      <c r="S58" s="2">
        <f t="shared" ca="1" si="13"/>
        <v>0</v>
      </c>
      <c r="T58" s="34">
        <f t="shared" ca="1" si="14"/>
        <v>9635</v>
      </c>
      <c r="U58" s="57">
        <f t="shared" ca="1" si="15"/>
        <v>53345</v>
      </c>
      <c r="W58" s="2"/>
      <c r="X58" s="2"/>
      <c r="Y58" s="2"/>
      <c r="Z58" s="2"/>
      <c r="AA58" s="2"/>
      <c r="AB58" s="2"/>
      <c r="AC58" s="2"/>
      <c r="AD58" s="2"/>
      <c r="AE58" s="63"/>
      <c r="AF58" s="63"/>
      <c r="AG58" s="63"/>
      <c r="AH58" s="63"/>
    </row>
    <row r="59" spans="1:40" s="16" customFormat="1" ht="12" x14ac:dyDescent="0.2">
      <c r="A59" s="2"/>
      <c r="B59" s="2"/>
      <c r="C59" s="2"/>
      <c r="D59" s="2"/>
      <c r="E59" s="2"/>
      <c r="F59" s="26">
        <f t="shared" si="9"/>
        <v>53</v>
      </c>
      <c r="G59" s="27">
        <f t="shared" ca="1" si="16"/>
        <v>46928</v>
      </c>
      <c r="H59" s="24">
        <f t="shared" ca="1" si="19"/>
        <v>9635</v>
      </c>
      <c r="I59" s="24">
        <f t="shared" ca="1" si="18"/>
        <v>739.65</v>
      </c>
      <c r="J59" s="24">
        <f t="shared" ca="1" si="5"/>
        <v>8895.35</v>
      </c>
      <c r="K59" s="24">
        <f t="shared" ca="1" si="6"/>
        <v>0</v>
      </c>
      <c r="L59" s="24">
        <f t="shared" ca="1" si="10"/>
        <v>0</v>
      </c>
      <c r="M59" s="24">
        <f t="shared" ca="1" si="7"/>
        <v>739.65</v>
      </c>
      <c r="N59" s="24">
        <f t="shared" ca="1" si="12"/>
        <v>0</v>
      </c>
      <c r="O59" s="24">
        <f t="shared" ca="1" si="1"/>
        <v>0</v>
      </c>
      <c r="P59" s="24">
        <f t="shared" ca="1" si="8"/>
        <v>64488.459999999897</v>
      </c>
      <c r="Q59" s="36">
        <f t="shared" si="11"/>
        <v>8</v>
      </c>
      <c r="R59" s="36">
        <f t="shared" ca="1" si="17"/>
        <v>8</v>
      </c>
      <c r="S59" s="2">
        <f t="shared" ca="1" si="13"/>
        <v>0</v>
      </c>
      <c r="T59" s="34">
        <f t="shared" ca="1" si="14"/>
        <v>9635</v>
      </c>
      <c r="U59" s="57">
        <f t="shared" ca="1" si="15"/>
        <v>53710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40" s="16" customFormat="1" ht="12" x14ac:dyDescent="0.2">
      <c r="A60" s="2"/>
      <c r="B60" s="2"/>
      <c r="C60" s="2"/>
      <c r="D60" s="2"/>
      <c r="E60" s="2"/>
      <c r="F60" s="26">
        <f t="shared" si="9"/>
        <v>54</v>
      </c>
      <c r="G60" s="27">
        <f t="shared" ca="1" si="16"/>
        <v>46958</v>
      </c>
      <c r="H60" s="24">
        <f t="shared" ca="1" si="19"/>
        <v>9635</v>
      </c>
      <c r="I60" s="24">
        <f t="shared" ca="1" si="18"/>
        <v>629.03</v>
      </c>
      <c r="J60" s="24">
        <f t="shared" ca="1" si="5"/>
        <v>9005.9699999999993</v>
      </c>
      <c r="K60" s="24">
        <f t="shared" ca="1" si="6"/>
        <v>0</v>
      </c>
      <c r="L60" s="24">
        <f t="shared" ca="1" si="10"/>
        <v>0</v>
      </c>
      <c r="M60" s="24">
        <f t="shared" ca="1" si="7"/>
        <v>629.03</v>
      </c>
      <c r="N60" s="24">
        <f t="shared" ca="1" si="12"/>
        <v>0</v>
      </c>
      <c r="O60" s="24">
        <f t="shared" ca="1" si="1"/>
        <v>0</v>
      </c>
      <c r="P60" s="24">
        <f t="shared" ca="1" si="8"/>
        <v>55482.489999999896</v>
      </c>
      <c r="Q60" s="36">
        <f t="shared" si="11"/>
        <v>7</v>
      </c>
      <c r="R60" s="36">
        <f t="shared" ca="1" si="17"/>
        <v>7</v>
      </c>
      <c r="S60" s="2">
        <f t="shared" ca="1" si="13"/>
        <v>0</v>
      </c>
      <c r="T60" s="34">
        <f t="shared" ca="1" si="14"/>
        <v>9635</v>
      </c>
      <c r="U60" s="57">
        <f t="shared" ca="1" si="15"/>
        <v>54075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40" s="16" customFormat="1" ht="12" x14ac:dyDescent="0.2">
      <c r="A61" s="2"/>
      <c r="B61" s="2"/>
      <c r="C61" s="2"/>
      <c r="D61" s="2"/>
      <c r="E61" s="2"/>
      <c r="F61" s="26">
        <f t="shared" si="9"/>
        <v>55</v>
      </c>
      <c r="G61" s="27">
        <f t="shared" ca="1" si="16"/>
        <v>46989</v>
      </c>
      <c r="H61" s="24">
        <f t="shared" ca="1" si="19"/>
        <v>9635</v>
      </c>
      <c r="I61" s="24">
        <f t="shared" ca="1" si="18"/>
        <v>559.22</v>
      </c>
      <c r="J61" s="24">
        <f t="shared" ca="1" si="5"/>
        <v>9075.7800000000007</v>
      </c>
      <c r="K61" s="24">
        <f t="shared" ca="1" si="6"/>
        <v>0</v>
      </c>
      <c r="L61" s="24">
        <f t="shared" ca="1" si="10"/>
        <v>0</v>
      </c>
      <c r="M61" s="24">
        <f t="shared" ca="1" si="7"/>
        <v>559.22</v>
      </c>
      <c r="N61" s="24">
        <f t="shared" ca="1" si="12"/>
        <v>0</v>
      </c>
      <c r="O61" s="24">
        <f t="shared" ca="1" si="1"/>
        <v>0</v>
      </c>
      <c r="P61" s="24">
        <f t="shared" ca="1" si="8"/>
        <v>46406.709999999897</v>
      </c>
      <c r="Q61" s="36">
        <f t="shared" si="11"/>
        <v>6</v>
      </c>
      <c r="R61" s="36">
        <f t="shared" ca="1" si="17"/>
        <v>6</v>
      </c>
      <c r="S61" s="2">
        <f t="shared" ca="1" si="13"/>
        <v>0</v>
      </c>
      <c r="T61" s="34">
        <f t="shared" ca="1" si="14"/>
        <v>9635</v>
      </c>
      <c r="U61" s="57">
        <f t="shared" ca="1" si="15"/>
        <v>54440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40" s="16" customFormat="1" ht="12" x14ac:dyDescent="0.2">
      <c r="A62" s="2"/>
      <c r="B62" s="2"/>
      <c r="C62" s="2"/>
      <c r="D62" s="2"/>
      <c r="E62" s="2"/>
      <c r="F62" s="26">
        <f t="shared" si="9"/>
        <v>56</v>
      </c>
      <c r="G62" s="27">
        <f t="shared" ca="1" si="16"/>
        <v>47020</v>
      </c>
      <c r="H62" s="24">
        <f t="shared" ca="1" si="19"/>
        <v>9635</v>
      </c>
      <c r="I62" s="24">
        <f t="shared" ca="1" si="18"/>
        <v>467.74</v>
      </c>
      <c r="J62" s="24">
        <f t="shared" ca="1" si="5"/>
        <v>9167.26</v>
      </c>
      <c r="K62" s="24">
        <f t="shared" ca="1" si="6"/>
        <v>0</v>
      </c>
      <c r="L62" s="24">
        <f t="shared" ca="1" si="10"/>
        <v>0</v>
      </c>
      <c r="M62" s="24">
        <f t="shared" ca="1" si="7"/>
        <v>467.74</v>
      </c>
      <c r="N62" s="24">
        <f t="shared" ca="1" si="12"/>
        <v>0</v>
      </c>
      <c r="O62" s="24">
        <f t="shared" ca="1" si="1"/>
        <v>0</v>
      </c>
      <c r="P62" s="24">
        <f t="shared" ca="1" si="8"/>
        <v>37239.449999999895</v>
      </c>
      <c r="Q62" s="36">
        <f t="shared" si="11"/>
        <v>5</v>
      </c>
      <c r="R62" s="36">
        <f t="shared" ca="1" si="17"/>
        <v>5</v>
      </c>
      <c r="S62" s="2">
        <f t="shared" ca="1" si="13"/>
        <v>0</v>
      </c>
      <c r="T62" s="34">
        <f t="shared" ca="1" si="14"/>
        <v>9635</v>
      </c>
      <c r="U62" s="57">
        <f t="shared" ca="1" si="15"/>
        <v>54805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40" s="16" customFormat="1" ht="12" x14ac:dyDescent="0.2">
      <c r="A63" s="2"/>
      <c r="B63" s="2"/>
      <c r="C63" s="2"/>
      <c r="D63" s="2"/>
      <c r="E63" s="2"/>
      <c r="F63" s="26">
        <f t="shared" si="9"/>
        <v>57</v>
      </c>
      <c r="G63" s="27">
        <f t="shared" ca="1" si="16"/>
        <v>47050</v>
      </c>
      <c r="H63" s="24">
        <f t="shared" ca="1" si="19"/>
        <v>9635</v>
      </c>
      <c r="I63" s="24">
        <f t="shared" ca="1" si="18"/>
        <v>363.24</v>
      </c>
      <c r="J63" s="24">
        <f t="shared" ca="1" si="5"/>
        <v>9271.76</v>
      </c>
      <c r="K63" s="24">
        <f t="shared" ca="1" si="6"/>
        <v>0</v>
      </c>
      <c r="L63" s="24">
        <f t="shared" ca="1" si="10"/>
        <v>0</v>
      </c>
      <c r="M63" s="24">
        <f t="shared" ca="1" si="7"/>
        <v>363.24</v>
      </c>
      <c r="N63" s="24">
        <f t="shared" ca="1" si="12"/>
        <v>0</v>
      </c>
      <c r="O63" s="24">
        <f t="shared" ca="1" si="1"/>
        <v>0</v>
      </c>
      <c r="P63" s="24">
        <f t="shared" ca="1" si="8"/>
        <v>27967.689999999893</v>
      </c>
      <c r="Q63" s="36">
        <f t="shared" si="11"/>
        <v>4</v>
      </c>
      <c r="R63" s="36">
        <f t="shared" ca="1" si="17"/>
        <v>4</v>
      </c>
      <c r="S63" s="2">
        <f t="shared" ca="1" si="13"/>
        <v>0</v>
      </c>
      <c r="T63" s="34">
        <f t="shared" ca="1" si="14"/>
        <v>9635</v>
      </c>
      <c r="U63" s="57">
        <f t="shared" ca="1" si="15"/>
        <v>55170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40" s="16" customFormat="1" x14ac:dyDescent="0.2">
      <c r="A64" s="2"/>
      <c r="B64" s="2"/>
      <c r="C64" s="2"/>
      <c r="D64" s="2"/>
      <c r="E64" s="2"/>
      <c r="F64" s="26">
        <f t="shared" si="9"/>
        <v>58</v>
      </c>
      <c r="G64" s="27">
        <f t="shared" ca="1" si="16"/>
        <v>47081</v>
      </c>
      <c r="H64" s="24">
        <f t="shared" ca="1" si="19"/>
        <v>9635</v>
      </c>
      <c r="I64" s="24">
        <f t="shared" ca="1" si="18"/>
        <v>281.89</v>
      </c>
      <c r="J64" s="24">
        <f t="shared" ca="1" si="5"/>
        <v>9353.11</v>
      </c>
      <c r="K64" s="24">
        <f t="shared" ca="1" si="6"/>
        <v>0</v>
      </c>
      <c r="L64" s="24">
        <f t="shared" ca="1" si="10"/>
        <v>0</v>
      </c>
      <c r="M64" s="24">
        <f t="shared" ca="1" si="7"/>
        <v>281.89</v>
      </c>
      <c r="N64" s="24">
        <f t="shared" ca="1" si="12"/>
        <v>0</v>
      </c>
      <c r="O64" s="24">
        <f t="shared" ca="1" si="1"/>
        <v>0</v>
      </c>
      <c r="P64" s="24">
        <f t="shared" ca="1" si="8"/>
        <v>18614.579999999893</v>
      </c>
      <c r="Q64" s="36">
        <f t="shared" si="11"/>
        <v>3</v>
      </c>
      <c r="R64" s="36">
        <f t="shared" ca="1" si="17"/>
        <v>3</v>
      </c>
      <c r="S64" s="2">
        <f t="shared" ca="1" si="13"/>
        <v>0</v>
      </c>
      <c r="T64" s="34">
        <f t="shared" ca="1" si="14"/>
        <v>9635</v>
      </c>
      <c r="U64" s="57">
        <f t="shared" ca="1" si="15"/>
        <v>55535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3"/>
    </row>
    <row r="65" spans="1:21" s="16" customFormat="1" ht="12" x14ac:dyDescent="0.2">
      <c r="A65" s="2"/>
      <c r="B65" s="2"/>
      <c r="C65" s="2"/>
      <c r="D65" s="2"/>
      <c r="E65" s="2"/>
      <c r="F65" s="26">
        <f t="shared" si="9"/>
        <v>59</v>
      </c>
      <c r="G65" s="27">
        <f t="shared" ca="1" si="16"/>
        <v>47111</v>
      </c>
      <c r="H65" s="24">
        <f t="shared" ca="1" si="19"/>
        <v>9635</v>
      </c>
      <c r="I65" s="24">
        <f t="shared" ca="1" si="18"/>
        <v>181.57</v>
      </c>
      <c r="J65" s="24">
        <f t="shared" ca="1" si="5"/>
        <v>9453.43</v>
      </c>
      <c r="K65" s="24">
        <f t="shared" ca="1" si="6"/>
        <v>0</v>
      </c>
      <c r="L65" s="24">
        <f t="shared" ca="1" si="10"/>
        <v>0</v>
      </c>
      <c r="M65" s="24">
        <f t="shared" ca="1" si="7"/>
        <v>181.57</v>
      </c>
      <c r="N65" s="24">
        <f t="shared" ca="1" si="12"/>
        <v>0</v>
      </c>
      <c r="O65" s="24">
        <f t="shared" ca="1" si="1"/>
        <v>0</v>
      </c>
      <c r="P65" s="24">
        <f t="shared" ca="1" si="8"/>
        <v>9161.1499999998923</v>
      </c>
      <c r="Q65" s="36">
        <f t="shared" si="11"/>
        <v>2</v>
      </c>
      <c r="R65" s="36">
        <f t="shared" ca="1" si="17"/>
        <v>2</v>
      </c>
      <c r="S65" s="2">
        <f t="shared" ca="1" si="13"/>
        <v>0</v>
      </c>
      <c r="T65" s="34">
        <f t="shared" ca="1" si="14"/>
        <v>9635</v>
      </c>
      <c r="U65" s="57">
        <f t="shared" ca="1" si="15"/>
        <v>55900</v>
      </c>
    </row>
    <row r="66" spans="1:21" s="16" customFormat="1" ht="12" x14ac:dyDescent="0.2">
      <c r="A66" s="2"/>
      <c r="B66" s="2"/>
      <c r="C66" s="2"/>
      <c r="D66" s="2"/>
      <c r="E66" s="2"/>
      <c r="F66" s="26">
        <f t="shared" si="9"/>
        <v>60</v>
      </c>
      <c r="G66" s="27">
        <f t="shared" ca="1" si="16"/>
        <v>47142</v>
      </c>
      <c r="H66" s="24">
        <f ca="1">IF(Q66=1,K66+I66+J66,IF(P65+K66+I66&gt;H65,$D$15,IF(P65=0,0,P65+K66+I66+I97)))</f>
        <v>9253.7399999998925</v>
      </c>
      <c r="I66" s="24">
        <f t="shared" ca="1" si="18"/>
        <v>92.59</v>
      </c>
      <c r="J66" s="24">
        <f t="shared" ca="1" si="5"/>
        <v>9161.1499999998923</v>
      </c>
      <c r="K66" s="24">
        <f t="shared" ca="1" si="6"/>
        <v>0</v>
      </c>
      <c r="L66" s="24">
        <f t="shared" ca="1" si="10"/>
        <v>0</v>
      </c>
      <c r="M66" s="24">
        <f t="shared" ca="1" si="7"/>
        <v>92.59</v>
      </c>
      <c r="N66" s="24">
        <f t="shared" ca="1" si="12"/>
        <v>0</v>
      </c>
      <c r="O66" s="24">
        <f t="shared" ca="1" si="1"/>
        <v>0</v>
      </c>
      <c r="P66" s="24">
        <f t="shared" ca="1" si="8"/>
        <v>0</v>
      </c>
      <c r="Q66" s="36">
        <f t="shared" si="11"/>
        <v>1</v>
      </c>
      <c r="R66" s="36">
        <f t="shared" ca="1" si="17"/>
        <v>1</v>
      </c>
      <c r="S66" s="2">
        <f t="shared" ca="1" si="13"/>
        <v>0</v>
      </c>
      <c r="T66" s="34">
        <f t="shared" ca="1" si="14"/>
        <v>9635</v>
      </c>
      <c r="U66" s="57">
        <f t="shared" ca="1" si="15"/>
        <v>56265</v>
      </c>
    </row>
    <row r="67" spans="1:21" s="16" customFormat="1" ht="12" x14ac:dyDescent="0.2">
      <c r="A67" s="2"/>
      <c r="B67" s="2"/>
      <c r="C67" s="13"/>
      <c r="D67" s="13"/>
      <c r="E67" s="2"/>
      <c r="F67" s="26">
        <f t="shared" si="9"/>
        <v>61</v>
      </c>
      <c r="G67" s="27">
        <f t="shared" ca="1" si="16"/>
        <v>47173</v>
      </c>
      <c r="H67" s="24">
        <f t="shared" ref="H67:H75" ca="1" si="20">IF(Q67=1,K67+I67+J67,IF(P66+K67+I67&gt;H66,$D$15,IF(P66=0,0,P66+K67+I67+I68)))</f>
        <v>0</v>
      </c>
      <c r="I67" s="24">
        <f t="shared" ca="1" si="18"/>
        <v>0</v>
      </c>
      <c r="J67" s="24">
        <f t="shared" si="5"/>
        <v>0</v>
      </c>
      <c r="K67" s="24">
        <f t="shared" ca="1" si="6"/>
        <v>0</v>
      </c>
      <c r="L67" s="24">
        <f t="shared" ca="1" si="10"/>
        <v>0</v>
      </c>
      <c r="M67" s="24">
        <f t="shared" ca="1" si="7"/>
        <v>0</v>
      </c>
      <c r="N67" s="24">
        <f t="shared" ca="1" si="12"/>
        <v>0</v>
      </c>
      <c r="O67" s="24">
        <f t="shared" ca="1" si="1"/>
        <v>0</v>
      </c>
      <c r="P67" s="24">
        <f t="shared" ca="1" si="8"/>
        <v>0</v>
      </c>
      <c r="Q67" s="36">
        <f t="shared" si="11"/>
        <v>0</v>
      </c>
      <c r="R67" s="36">
        <f t="shared" ca="1" si="17"/>
        <v>0</v>
      </c>
      <c r="S67" s="2">
        <f t="shared" ca="1" si="13"/>
        <v>0</v>
      </c>
      <c r="T67" s="34">
        <f t="shared" ca="1" si="14"/>
        <v>9635</v>
      </c>
      <c r="U67" s="57">
        <f t="shared" ca="1" si="15"/>
        <v>56630</v>
      </c>
    </row>
    <row r="68" spans="1:21" s="16" customFormat="1" ht="12" x14ac:dyDescent="0.2">
      <c r="A68" s="2"/>
      <c r="B68" s="2"/>
      <c r="C68" s="2"/>
      <c r="D68" s="13"/>
      <c r="E68" s="2"/>
      <c r="F68" s="26">
        <f t="shared" si="9"/>
        <v>62</v>
      </c>
      <c r="G68" s="27">
        <f t="shared" ca="1" si="16"/>
        <v>47201</v>
      </c>
      <c r="H68" s="24">
        <f t="shared" ca="1" si="20"/>
        <v>0</v>
      </c>
      <c r="I68" s="24">
        <f t="shared" ca="1" si="18"/>
        <v>0</v>
      </c>
      <c r="J68" s="24">
        <f t="shared" si="5"/>
        <v>0</v>
      </c>
      <c r="K68" s="24">
        <f t="shared" ca="1" si="6"/>
        <v>0</v>
      </c>
      <c r="L68" s="24">
        <f t="shared" ca="1" si="10"/>
        <v>0</v>
      </c>
      <c r="M68" s="24">
        <f t="shared" ca="1" si="7"/>
        <v>0</v>
      </c>
      <c r="N68" s="24">
        <f t="shared" ca="1" si="12"/>
        <v>0</v>
      </c>
      <c r="O68" s="24">
        <f t="shared" ca="1" si="1"/>
        <v>0</v>
      </c>
      <c r="P68" s="24">
        <f t="shared" ca="1" si="8"/>
        <v>0</v>
      </c>
      <c r="Q68" s="36">
        <f t="shared" si="11"/>
        <v>0</v>
      </c>
      <c r="R68" s="36">
        <f t="shared" ca="1" si="17"/>
        <v>0</v>
      </c>
      <c r="S68" s="2">
        <f t="shared" ca="1" si="13"/>
        <v>0</v>
      </c>
      <c r="T68" s="34">
        <f t="shared" ca="1" si="14"/>
        <v>9635</v>
      </c>
      <c r="U68" s="57">
        <f t="shared" ca="1" si="15"/>
        <v>56995</v>
      </c>
    </row>
    <row r="69" spans="1:21" s="16" customFormat="1" ht="12" x14ac:dyDescent="0.2">
      <c r="A69" s="2"/>
      <c r="B69" s="2"/>
      <c r="C69" s="2"/>
      <c r="D69" s="2"/>
      <c r="E69" s="2"/>
      <c r="F69" s="26">
        <f t="shared" si="9"/>
        <v>63</v>
      </c>
      <c r="G69" s="27">
        <f t="shared" ca="1" si="16"/>
        <v>47232</v>
      </c>
      <c r="H69" s="24">
        <f t="shared" ca="1" si="20"/>
        <v>0</v>
      </c>
      <c r="I69" s="24">
        <f t="shared" ca="1" si="18"/>
        <v>0</v>
      </c>
      <c r="J69" s="24">
        <f t="shared" si="5"/>
        <v>0</v>
      </c>
      <c r="K69" s="24">
        <f t="shared" ca="1" si="6"/>
        <v>0</v>
      </c>
      <c r="L69" s="24">
        <f t="shared" ca="1" si="10"/>
        <v>0</v>
      </c>
      <c r="M69" s="24">
        <f t="shared" ca="1" si="7"/>
        <v>0</v>
      </c>
      <c r="N69" s="24">
        <f t="shared" ca="1" si="12"/>
        <v>0</v>
      </c>
      <c r="O69" s="24">
        <f t="shared" ca="1" si="1"/>
        <v>0</v>
      </c>
      <c r="P69" s="24">
        <f t="shared" ca="1" si="8"/>
        <v>0</v>
      </c>
      <c r="Q69" s="36">
        <f t="shared" si="11"/>
        <v>0</v>
      </c>
      <c r="R69" s="36">
        <f t="shared" ca="1" si="17"/>
        <v>0</v>
      </c>
      <c r="S69" s="2">
        <f t="shared" ref="S69:S100" ca="1" si="21">IF($C$7&gt;$AB$40,ROUND(P38*$C$23/(DATEVALUE(CONCATENATE("01/01/",YEAR(G39)+1))-DATEVALUE(CONCATENATE("01/01/",YEAR(G39))))*(G39-G38),2),0)</f>
        <v>0</v>
      </c>
      <c r="T69" s="34">
        <f t="shared" ref="T69:T100" ca="1" si="22">I39+J39+K39-O39</f>
        <v>9635</v>
      </c>
      <c r="U69" s="57">
        <f t="shared" ca="1" si="15"/>
        <v>57360</v>
      </c>
    </row>
    <row r="70" spans="1:21" s="16" customFormat="1" ht="12" x14ac:dyDescent="0.2">
      <c r="A70" s="2"/>
      <c r="B70" s="2"/>
      <c r="C70" s="2"/>
      <c r="D70" s="2"/>
      <c r="E70" s="2"/>
      <c r="F70" s="26">
        <f t="shared" si="9"/>
        <v>64</v>
      </c>
      <c r="G70" s="27">
        <f t="shared" ca="1" si="16"/>
        <v>47262</v>
      </c>
      <c r="H70" s="24">
        <f t="shared" ca="1" si="20"/>
        <v>0</v>
      </c>
      <c r="I70" s="24">
        <f t="shared" ca="1" si="18"/>
        <v>0</v>
      </c>
      <c r="J70" s="24">
        <f t="shared" si="5"/>
        <v>0</v>
      </c>
      <c r="K70" s="24">
        <f t="shared" ca="1" si="6"/>
        <v>0</v>
      </c>
      <c r="L70" s="24">
        <f t="shared" ca="1" si="10"/>
        <v>0</v>
      </c>
      <c r="M70" s="24">
        <f t="shared" ca="1" si="7"/>
        <v>0</v>
      </c>
      <c r="N70" s="24">
        <f t="shared" ca="1" si="12"/>
        <v>0</v>
      </c>
      <c r="O70" s="24">
        <f t="shared" ca="1" si="1"/>
        <v>0</v>
      </c>
      <c r="P70" s="24">
        <f t="shared" ca="1" si="8"/>
        <v>0</v>
      </c>
      <c r="Q70" s="36">
        <f t="shared" si="11"/>
        <v>0</v>
      </c>
      <c r="R70" s="36">
        <f t="shared" ca="1" si="17"/>
        <v>0</v>
      </c>
      <c r="S70" s="2">
        <f t="shared" ca="1" si="21"/>
        <v>0</v>
      </c>
      <c r="T70" s="34">
        <f t="shared" ca="1" si="22"/>
        <v>9635</v>
      </c>
      <c r="U70" s="57">
        <f t="shared" ca="1" si="15"/>
        <v>57725</v>
      </c>
    </row>
    <row r="71" spans="1:21" s="16" customFormat="1" ht="12" x14ac:dyDescent="0.2">
      <c r="A71" s="2"/>
      <c r="B71" s="2"/>
      <c r="C71" s="2"/>
      <c r="D71" s="2"/>
      <c r="E71" s="2"/>
      <c r="F71" s="26">
        <f t="shared" si="9"/>
        <v>65</v>
      </c>
      <c r="G71" s="27">
        <f t="shared" ref="G71:G85" ca="1" si="23">IF((OR(DAY($Z$43)=29,DAY($Z$43)=30,DAY($Z$43)=31)),(EDATE($C$7-3,F71)),(IF((OR(DAY($Z$43)=1,DAY($Z$43)=2,DAY($Z$43)=3)),(EDATE($C$7,F71)+3),EDATE($C$7,F71))))</f>
        <v>47293</v>
      </c>
      <c r="H71" s="24">
        <f t="shared" ca="1" si="20"/>
        <v>0</v>
      </c>
      <c r="I71" s="24">
        <f t="shared" ca="1" si="18"/>
        <v>0</v>
      </c>
      <c r="J71" s="24">
        <f t="shared" si="5"/>
        <v>0</v>
      </c>
      <c r="K71" s="24">
        <f t="shared" ca="1" si="6"/>
        <v>0</v>
      </c>
      <c r="L71" s="24">
        <f t="shared" ca="1" si="10"/>
        <v>0</v>
      </c>
      <c r="M71" s="24">
        <f t="shared" ca="1" si="7"/>
        <v>0</v>
      </c>
      <c r="N71" s="24">
        <f t="shared" ca="1" si="12"/>
        <v>0</v>
      </c>
      <c r="O71" s="24">
        <f t="shared" ref="O71:O85" ca="1" si="24">IF(R71=0,0,$D$17)</f>
        <v>0</v>
      </c>
      <c r="P71" s="24">
        <f t="shared" ca="1" si="8"/>
        <v>0</v>
      </c>
      <c r="Q71" s="36">
        <f t="shared" si="11"/>
        <v>0</v>
      </c>
      <c r="R71" s="36">
        <f t="shared" ref="R71:R85" ca="1" si="25">IF(ISERR(CEILING(FLOOR(NPER($C$16/12,-$Z$44,P70),0.1),1))=TRUE,0,CEILING(FLOOR(NPER($C$16/12,-$Z$44,P70),0.1),1))</f>
        <v>0</v>
      </c>
      <c r="S71" s="2">
        <f t="shared" ca="1" si="21"/>
        <v>0</v>
      </c>
      <c r="T71" s="34">
        <f t="shared" ca="1" si="22"/>
        <v>9635</v>
      </c>
      <c r="U71" s="57">
        <f t="shared" ca="1" si="15"/>
        <v>58090</v>
      </c>
    </row>
    <row r="72" spans="1:21" s="16" customFormat="1" ht="12" x14ac:dyDescent="0.2">
      <c r="A72" s="2"/>
      <c r="B72" s="2"/>
      <c r="C72" s="2"/>
      <c r="D72" s="2"/>
      <c r="E72" s="2"/>
      <c r="F72" s="26">
        <f t="shared" si="9"/>
        <v>66</v>
      </c>
      <c r="G72" s="27">
        <f t="shared" ca="1" si="23"/>
        <v>47323</v>
      </c>
      <c r="H72" s="24">
        <f t="shared" ca="1" si="20"/>
        <v>0</v>
      </c>
      <c r="I72" s="24">
        <f t="shared" ref="I72:I85" ca="1" si="26">IF($C$7&gt;$AB$40,ROUND(P71*$C$16/(DATEVALUE(CONCATENATE("01/01/",YEAR(G72)+1))-DATEVALUE(CONCATENATE("01/01/",YEAR(G72))))*(G72-G71),2),ROUND(P70*$C$16/(DATEVALUE(CONCATENATE("01/01/",YEAR(G71)+1))-DATEVALUE(CONCATENATE("01/01/",YEAR(G71))))*(G71-G70),2))</f>
        <v>0</v>
      </c>
      <c r="J72" s="24">
        <f t="shared" ref="J72:J84" si="27">IF(Q72=0,0,IF(Q72=1,P71,IF(P71+K72+I72&gt;H71,H72-I72-K72,P71)))</f>
        <v>0</v>
      </c>
      <c r="K72" s="24">
        <f t="shared" ref="K72:K85" ca="1" si="28">IF(M72&gt;$D$15,$D$15-I72,IF(R72=0,0,N72))</f>
        <v>0</v>
      </c>
      <c r="L72" s="24">
        <f t="shared" ca="1" si="10"/>
        <v>0</v>
      </c>
      <c r="M72" s="24">
        <f t="shared" ca="1" si="7"/>
        <v>0</v>
      </c>
      <c r="N72" s="24">
        <f t="shared" ca="1" si="12"/>
        <v>0</v>
      </c>
      <c r="O72" s="24">
        <f t="shared" ca="1" si="24"/>
        <v>0</v>
      </c>
      <c r="P72" s="24">
        <f t="shared" ref="P72:P84" ca="1" si="29">IF(OR(Q72=1,P71=0),0,P71-J72)</f>
        <v>0</v>
      </c>
      <c r="Q72" s="36">
        <f t="shared" si="11"/>
        <v>0</v>
      </c>
      <c r="R72" s="36">
        <f t="shared" ca="1" si="25"/>
        <v>0</v>
      </c>
      <c r="S72" s="2">
        <f t="shared" ca="1" si="21"/>
        <v>0</v>
      </c>
      <c r="T72" s="34">
        <f t="shared" ca="1" si="22"/>
        <v>9635</v>
      </c>
      <c r="U72" s="57">
        <f t="shared" ca="1" si="15"/>
        <v>58455</v>
      </c>
    </row>
    <row r="73" spans="1:21" s="16" customFormat="1" ht="12" x14ac:dyDescent="0.2">
      <c r="A73" s="2"/>
      <c r="B73" s="2"/>
      <c r="C73" s="2"/>
      <c r="D73" s="2"/>
      <c r="E73" s="2"/>
      <c r="F73" s="26">
        <f t="shared" ref="F73:F85" si="30">F72+1</f>
        <v>67</v>
      </c>
      <c r="G73" s="27">
        <f t="shared" ca="1" si="23"/>
        <v>47354</v>
      </c>
      <c r="H73" s="24">
        <f t="shared" ca="1" si="20"/>
        <v>0</v>
      </c>
      <c r="I73" s="24">
        <f t="shared" ca="1" si="26"/>
        <v>0</v>
      </c>
      <c r="J73" s="24">
        <f t="shared" si="27"/>
        <v>0</v>
      </c>
      <c r="K73" s="24">
        <f t="shared" ca="1" si="28"/>
        <v>0</v>
      </c>
      <c r="L73" s="24">
        <f t="shared" ca="1" si="10"/>
        <v>0</v>
      </c>
      <c r="M73" s="24">
        <f t="shared" ca="1" si="7"/>
        <v>0</v>
      </c>
      <c r="N73" s="24">
        <f t="shared" ca="1" si="12"/>
        <v>0</v>
      </c>
      <c r="O73" s="24">
        <f t="shared" ca="1" si="24"/>
        <v>0</v>
      </c>
      <c r="P73" s="24">
        <f t="shared" ca="1" si="29"/>
        <v>0</v>
      </c>
      <c r="Q73" s="36">
        <f t="shared" ref="Q73:Q85" si="31">IF((Q72-1)&lt;0,0,Q72-1)</f>
        <v>0</v>
      </c>
      <c r="R73" s="36">
        <f t="shared" ca="1" si="25"/>
        <v>0</v>
      </c>
      <c r="S73" s="2">
        <f t="shared" ca="1" si="21"/>
        <v>0</v>
      </c>
      <c r="T73" s="34">
        <f t="shared" ca="1" si="22"/>
        <v>9635</v>
      </c>
      <c r="U73" s="57">
        <f t="shared" ca="1" si="15"/>
        <v>58820</v>
      </c>
    </row>
    <row r="74" spans="1:21" s="16" customFormat="1" ht="12" x14ac:dyDescent="0.2">
      <c r="A74" s="2"/>
      <c r="B74" s="2"/>
      <c r="C74" s="2"/>
      <c r="D74" s="2"/>
      <c r="E74" s="2"/>
      <c r="F74" s="26">
        <f t="shared" si="30"/>
        <v>68</v>
      </c>
      <c r="G74" s="27">
        <f t="shared" ca="1" si="23"/>
        <v>47385</v>
      </c>
      <c r="H74" s="24">
        <f t="shared" ca="1" si="20"/>
        <v>0</v>
      </c>
      <c r="I74" s="24">
        <f t="shared" ca="1" si="26"/>
        <v>0</v>
      </c>
      <c r="J74" s="24">
        <f t="shared" si="27"/>
        <v>0</v>
      </c>
      <c r="K74" s="24">
        <f t="shared" ca="1" si="28"/>
        <v>0</v>
      </c>
      <c r="L74" s="24">
        <f t="shared" ca="1" si="10"/>
        <v>0</v>
      </c>
      <c r="M74" s="24">
        <f t="shared" ca="1" si="7"/>
        <v>0</v>
      </c>
      <c r="N74" s="24">
        <f t="shared" ca="1" si="12"/>
        <v>0</v>
      </c>
      <c r="O74" s="24">
        <f t="shared" ca="1" si="24"/>
        <v>0</v>
      </c>
      <c r="P74" s="24">
        <f t="shared" ca="1" si="29"/>
        <v>0</v>
      </c>
      <c r="Q74" s="36">
        <f t="shared" si="31"/>
        <v>0</v>
      </c>
      <c r="R74" s="36">
        <f t="shared" ca="1" si="25"/>
        <v>0</v>
      </c>
      <c r="S74" s="2">
        <f t="shared" ca="1" si="21"/>
        <v>0</v>
      </c>
      <c r="T74" s="34">
        <f t="shared" ca="1" si="22"/>
        <v>9635</v>
      </c>
      <c r="U74" s="57">
        <f t="shared" ca="1" si="15"/>
        <v>59185</v>
      </c>
    </row>
    <row r="75" spans="1:21" s="16" customFormat="1" ht="12" x14ac:dyDescent="0.2">
      <c r="A75" s="2"/>
      <c r="B75" s="2"/>
      <c r="C75" s="2"/>
      <c r="D75" s="2"/>
      <c r="E75" s="2"/>
      <c r="F75" s="26">
        <f t="shared" si="30"/>
        <v>69</v>
      </c>
      <c r="G75" s="27">
        <f t="shared" ca="1" si="23"/>
        <v>47415</v>
      </c>
      <c r="H75" s="24">
        <f t="shared" ca="1" si="20"/>
        <v>0</v>
      </c>
      <c r="I75" s="24">
        <f t="shared" ca="1" si="26"/>
        <v>0</v>
      </c>
      <c r="J75" s="24">
        <f t="shared" si="27"/>
        <v>0</v>
      </c>
      <c r="K75" s="24">
        <f t="shared" ca="1" si="28"/>
        <v>0</v>
      </c>
      <c r="L75" s="24">
        <f t="shared" ca="1" si="10"/>
        <v>0</v>
      </c>
      <c r="M75" s="24">
        <f t="shared" ca="1" si="7"/>
        <v>0</v>
      </c>
      <c r="N75" s="24">
        <f t="shared" ca="1" si="12"/>
        <v>0</v>
      </c>
      <c r="O75" s="24">
        <f t="shared" ca="1" si="24"/>
        <v>0</v>
      </c>
      <c r="P75" s="24">
        <f t="shared" ca="1" si="29"/>
        <v>0</v>
      </c>
      <c r="Q75" s="36">
        <f t="shared" si="31"/>
        <v>0</v>
      </c>
      <c r="R75" s="36">
        <f t="shared" ca="1" si="25"/>
        <v>0</v>
      </c>
      <c r="S75" s="2">
        <f t="shared" ca="1" si="21"/>
        <v>0</v>
      </c>
      <c r="T75" s="34">
        <f t="shared" ca="1" si="22"/>
        <v>9635</v>
      </c>
      <c r="U75" s="57">
        <f t="shared" ca="1" si="15"/>
        <v>59550</v>
      </c>
    </row>
    <row r="76" spans="1:21" s="16" customFormat="1" ht="12" x14ac:dyDescent="0.2">
      <c r="A76" s="2"/>
      <c r="B76" s="2"/>
      <c r="C76" s="2"/>
      <c r="D76" s="2"/>
      <c r="E76" s="2"/>
      <c r="F76" s="26">
        <f t="shared" si="30"/>
        <v>70</v>
      </c>
      <c r="G76" s="27">
        <f t="shared" ca="1" si="23"/>
        <v>47446</v>
      </c>
      <c r="H76" s="24">
        <f t="shared" ref="H76:H84" ca="1" si="32">IF(Q76=1,K76+I76+J76,IF(P75+K76+I76&gt;H75,$D$15,IF(P75=0,0,P75+K76+I76+I107)))</f>
        <v>0</v>
      </c>
      <c r="I76" s="24">
        <f t="shared" ca="1" si="26"/>
        <v>0</v>
      </c>
      <c r="J76" s="24">
        <f t="shared" si="27"/>
        <v>0</v>
      </c>
      <c r="K76" s="24">
        <f t="shared" ca="1" si="28"/>
        <v>0</v>
      </c>
      <c r="L76" s="24">
        <f t="shared" ca="1" si="10"/>
        <v>0</v>
      </c>
      <c r="M76" s="24">
        <f t="shared" ca="1" si="7"/>
        <v>0</v>
      </c>
      <c r="N76" s="24">
        <f t="shared" ca="1" si="12"/>
        <v>0</v>
      </c>
      <c r="O76" s="24">
        <f t="shared" ca="1" si="24"/>
        <v>0</v>
      </c>
      <c r="P76" s="24">
        <f t="shared" ca="1" si="29"/>
        <v>0</v>
      </c>
      <c r="Q76" s="36">
        <f t="shared" si="31"/>
        <v>0</v>
      </c>
      <c r="R76" s="36">
        <f t="shared" ca="1" si="25"/>
        <v>0</v>
      </c>
      <c r="S76" s="2">
        <f t="shared" ca="1" si="21"/>
        <v>0</v>
      </c>
      <c r="T76" s="34">
        <f t="shared" ca="1" si="22"/>
        <v>9635</v>
      </c>
      <c r="U76" s="57">
        <f t="shared" ca="1" si="15"/>
        <v>59915</v>
      </c>
    </row>
    <row r="77" spans="1:21" s="16" customFormat="1" ht="12" x14ac:dyDescent="0.2">
      <c r="A77" s="2"/>
      <c r="B77" s="2"/>
      <c r="C77" s="2"/>
      <c r="D77" s="2"/>
      <c r="E77" s="2"/>
      <c r="F77" s="26">
        <f t="shared" si="30"/>
        <v>71</v>
      </c>
      <c r="G77" s="27">
        <f t="shared" ca="1" si="23"/>
        <v>47476</v>
      </c>
      <c r="H77" s="24">
        <f t="shared" ca="1" si="32"/>
        <v>0</v>
      </c>
      <c r="I77" s="24">
        <f t="shared" ca="1" si="26"/>
        <v>0</v>
      </c>
      <c r="J77" s="24">
        <f t="shared" si="27"/>
        <v>0</v>
      </c>
      <c r="K77" s="24">
        <f t="shared" ca="1" si="28"/>
        <v>0</v>
      </c>
      <c r="L77" s="24">
        <f t="shared" ca="1" si="10"/>
        <v>0</v>
      </c>
      <c r="M77" s="24">
        <f t="shared" ca="1" si="7"/>
        <v>0</v>
      </c>
      <c r="N77" s="24">
        <f t="shared" ca="1" si="12"/>
        <v>0</v>
      </c>
      <c r="O77" s="24">
        <f t="shared" ca="1" si="24"/>
        <v>0</v>
      </c>
      <c r="P77" s="24">
        <f t="shared" ca="1" si="29"/>
        <v>0</v>
      </c>
      <c r="Q77" s="36">
        <f t="shared" si="31"/>
        <v>0</v>
      </c>
      <c r="R77" s="36">
        <f t="shared" ca="1" si="25"/>
        <v>0</v>
      </c>
      <c r="S77" s="2">
        <f t="shared" ca="1" si="21"/>
        <v>0</v>
      </c>
      <c r="T77" s="34">
        <f t="shared" ca="1" si="22"/>
        <v>9635</v>
      </c>
      <c r="U77" s="57">
        <f t="shared" ca="1" si="15"/>
        <v>60280</v>
      </c>
    </row>
    <row r="78" spans="1:21" s="16" customFormat="1" ht="12" x14ac:dyDescent="0.2">
      <c r="A78" s="2"/>
      <c r="B78" s="2"/>
      <c r="C78" s="2"/>
      <c r="D78" s="2"/>
      <c r="E78" s="2"/>
      <c r="F78" s="26">
        <f t="shared" si="30"/>
        <v>72</v>
      </c>
      <c r="G78" s="27">
        <f t="shared" ca="1" si="23"/>
        <v>47507</v>
      </c>
      <c r="H78" s="24">
        <f t="shared" ca="1" si="32"/>
        <v>0</v>
      </c>
      <c r="I78" s="24">
        <f t="shared" ca="1" si="26"/>
        <v>0</v>
      </c>
      <c r="J78" s="24">
        <f t="shared" si="27"/>
        <v>0</v>
      </c>
      <c r="K78" s="24">
        <f t="shared" ca="1" si="28"/>
        <v>0</v>
      </c>
      <c r="L78" s="24">
        <f t="shared" ca="1" si="10"/>
        <v>0</v>
      </c>
      <c r="M78" s="24">
        <f t="shared" ca="1" si="7"/>
        <v>0</v>
      </c>
      <c r="N78" s="24">
        <f t="shared" ca="1" si="12"/>
        <v>0</v>
      </c>
      <c r="O78" s="24">
        <f t="shared" ca="1" si="24"/>
        <v>0</v>
      </c>
      <c r="P78" s="24">
        <f t="shared" ca="1" si="29"/>
        <v>0</v>
      </c>
      <c r="Q78" s="36">
        <f t="shared" si="31"/>
        <v>0</v>
      </c>
      <c r="R78" s="36">
        <f t="shared" ca="1" si="25"/>
        <v>0</v>
      </c>
      <c r="S78" s="2">
        <f t="shared" ca="1" si="21"/>
        <v>0</v>
      </c>
      <c r="T78" s="34">
        <f t="shared" ca="1" si="22"/>
        <v>9635</v>
      </c>
      <c r="U78" s="57">
        <f t="shared" ca="1" si="15"/>
        <v>60645</v>
      </c>
    </row>
    <row r="79" spans="1:21" s="16" customFormat="1" ht="12" x14ac:dyDescent="0.2">
      <c r="A79" s="53"/>
      <c r="C79" s="2"/>
      <c r="D79" s="13"/>
      <c r="E79" s="2"/>
      <c r="F79" s="26">
        <f t="shared" si="30"/>
        <v>73</v>
      </c>
      <c r="G79" s="27">
        <f t="shared" ca="1" si="23"/>
        <v>47538</v>
      </c>
      <c r="H79" s="24">
        <f t="shared" ca="1" si="32"/>
        <v>0</v>
      </c>
      <c r="I79" s="24">
        <f t="shared" ca="1" si="26"/>
        <v>0</v>
      </c>
      <c r="J79" s="24">
        <f t="shared" si="27"/>
        <v>0</v>
      </c>
      <c r="K79" s="24">
        <f t="shared" ca="1" si="28"/>
        <v>0</v>
      </c>
      <c r="L79" s="24">
        <f t="shared" ca="1" si="10"/>
        <v>0</v>
      </c>
      <c r="M79" s="24">
        <f t="shared" ca="1" si="7"/>
        <v>0</v>
      </c>
      <c r="N79" s="24">
        <f t="shared" ca="1" si="12"/>
        <v>0</v>
      </c>
      <c r="O79" s="24">
        <f t="shared" ca="1" si="24"/>
        <v>0</v>
      </c>
      <c r="P79" s="24">
        <f t="shared" ca="1" si="29"/>
        <v>0</v>
      </c>
      <c r="Q79" s="36">
        <f t="shared" si="31"/>
        <v>0</v>
      </c>
      <c r="R79" s="36">
        <f t="shared" ca="1" si="25"/>
        <v>0</v>
      </c>
      <c r="S79" s="2">
        <f t="shared" ca="1" si="21"/>
        <v>0</v>
      </c>
      <c r="T79" s="34">
        <f t="shared" ca="1" si="22"/>
        <v>9635</v>
      </c>
      <c r="U79" s="57">
        <f t="shared" ca="1" si="15"/>
        <v>61010</v>
      </c>
    </row>
    <row r="80" spans="1:21" s="16" customFormat="1" ht="12" x14ac:dyDescent="0.2">
      <c r="A80" s="53"/>
      <c r="B80" s="2"/>
      <c r="C80" s="2"/>
      <c r="D80" s="2"/>
      <c r="E80" s="2"/>
      <c r="F80" s="26">
        <f t="shared" si="30"/>
        <v>74</v>
      </c>
      <c r="G80" s="27">
        <f t="shared" ca="1" si="23"/>
        <v>47566</v>
      </c>
      <c r="H80" s="24">
        <f t="shared" ca="1" si="32"/>
        <v>0</v>
      </c>
      <c r="I80" s="24">
        <f t="shared" ca="1" si="26"/>
        <v>0</v>
      </c>
      <c r="J80" s="24">
        <f t="shared" si="27"/>
        <v>0</v>
      </c>
      <c r="K80" s="24">
        <f t="shared" ca="1" si="28"/>
        <v>0</v>
      </c>
      <c r="L80" s="24">
        <f t="shared" ca="1" si="10"/>
        <v>0</v>
      </c>
      <c r="M80" s="24">
        <f t="shared" ca="1" si="7"/>
        <v>0</v>
      </c>
      <c r="N80" s="24">
        <f t="shared" ca="1" si="12"/>
        <v>0</v>
      </c>
      <c r="O80" s="24">
        <f t="shared" ca="1" si="24"/>
        <v>0</v>
      </c>
      <c r="P80" s="24">
        <f t="shared" ca="1" si="29"/>
        <v>0</v>
      </c>
      <c r="Q80" s="36">
        <f t="shared" si="31"/>
        <v>0</v>
      </c>
      <c r="R80" s="36">
        <f t="shared" ca="1" si="25"/>
        <v>0</v>
      </c>
      <c r="S80" s="2">
        <f t="shared" ca="1" si="21"/>
        <v>0</v>
      </c>
      <c r="T80" s="34">
        <f t="shared" ca="1" si="22"/>
        <v>9635</v>
      </c>
      <c r="U80" s="57">
        <f t="shared" ca="1" si="15"/>
        <v>61375</v>
      </c>
    </row>
    <row r="81" spans="1:40" s="16" customFormat="1" ht="12" x14ac:dyDescent="0.2">
      <c r="A81" s="2"/>
      <c r="B81" s="2"/>
      <c r="C81" s="1"/>
      <c r="D81" s="1"/>
      <c r="E81" s="2"/>
      <c r="F81" s="26">
        <f t="shared" si="30"/>
        <v>75</v>
      </c>
      <c r="G81" s="27">
        <f t="shared" ca="1" si="23"/>
        <v>47597</v>
      </c>
      <c r="H81" s="24">
        <f t="shared" ca="1" si="32"/>
        <v>0</v>
      </c>
      <c r="I81" s="24">
        <f t="shared" ca="1" si="26"/>
        <v>0</v>
      </c>
      <c r="J81" s="24">
        <f t="shared" si="27"/>
        <v>0</v>
      </c>
      <c r="K81" s="24">
        <f t="shared" ca="1" si="28"/>
        <v>0</v>
      </c>
      <c r="L81" s="24">
        <f t="shared" ca="1" si="10"/>
        <v>0</v>
      </c>
      <c r="M81" s="24">
        <f t="shared" ca="1" si="7"/>
        <v>0</v>
      </c>
      <c r="N81" s="24">
        <f t="shared" ref="N81:N85" ca="1" si="33">IF(R81=0,0,$D$17)</f>
        <v>0</v>
      </c>
      <c r="O81" s="24">
        <f t="shared" ca="1" si="24"/>
        <v>0</v>
      </c>
      <c r="P81" s="24">
        <f t="shared" ca="1" si="29"/>
        <v>0</v>
      </c>
      <c r="Q81" s="36">
        <f t="shared" si="31"/>
        <v>0</v>
      </c>
      <c r="R81" s="36">
        <f t="shared" ca="1" si="25"/>
        <v>0</v>
      </c>
      <c r="S81" s="2">
        <f t="shared" ca="1" si="21"/>
        <v>0</v>
      </c>
      <c r="T81" s="34">
        <f t="shared" ca="1" si="22"/>
        <v>9635</v>
      </c>
      <c r="U81" s="57">
        <f t="shared" ca="1" si="15"/>
        <v>61740</v>
      </c>
    </row>
    <row r="82" spans="1:40" s="16" customFormat="1" ht="12" x14ac:dyDescent="0.2">
      <c r="A82" s="2"/>
      <c r="B82" s="2"/>
      <c r="C82" s="1"/>
      <c r="D82" s="1"/>
      <c r="E82" s="2"/>
      <c r="F82" s="26">
        <f t="shared" si="30"/>
        <v>76</v>
      </c>
      <c r="G82" s="27">
        <f t="shared" ca="1" si="23"/>
        <v>47627</v>
      </c>
      <c r="H82" s="24">
        <f t="shared" ca="1" si="32"/>
        <v>0</v>
      </c>
      <c r="I82" s="24">
        <f t="shared" ca="1" si="26"/>
        <v>0</v>
      </c>
      <c r="J82" s="24">
        <f t="shared" si="27"/>
        <v>0</v>
      </c>
      <c r="K82" s="24">
        <f t="shared" ca="1" si="28"/>
        <v>0</v>
      </c>
      <c r="L82" s="24">
        <f t="shared" ca="1" si="10"/>
        <v>0</v>
      </c>
      <c r="M82" s="24">
        <f t="shared" ca="1" si="7"/>
        <v>0</v>
      </c>
      <c r="N82" s="24">
        <f t="shared" ca="1" si="33"/>
        <v>0</v>
      </c>
      <c r="O82" s="24">
        <f t="shared" ca="1" si="24"/>
        <v>0</v>
      </c>
      <c r="P82" s="24">
        <f t="shared" ca="1" si="29"/>
        <v>0</v>
      </c>
      <c r="Q82" s="36">
        <f t="shared" si="31"/>
        <v>0</v>
      </c>
      <c r="R82" s="36">
        <f t="shared" ca="1" si="25"/>
        <v>0</v>
      </c>
      <c r="S82" s="2">
        <f t="shared" ca="1" si="21"/>
        <v>0</v>
      </c>
      <c r="T82" s="34">
        <f t="shared" ca="1" si="22"/>
        <v>9635</v>
      </c>
      <c r="U82" s="57">
        <f t="shared" ca="1" si="15"/>
        <v>62105</v>
      </c>
    </row>
    <row r="83" spans="1:40" s="16" customFormat="1" ht="12" x14ac:dyDescent="0.2">
      <c r="A83" s="2"/>
      <c r="B83" s="2"/>
      <c r="C83" s="1"/>
      <c r="D83" s="1"/>
      <c r="E83" s="2"/>
      <c r="F83" s="26">
        <f t="shared" si="30"/>
        <v>77</v>
      </c>
      <c r="G83" s="27">
        <f t="shared" ca="1" si="23"/>
        <v>47658</v>
      </c>
      <c r="H83" s="24">
        <f t="shared" ca="1" si="32"/>
        <v>0</v>
      </c>
      <c r="I83" s="24">
        <f t="shared" ca="1" si="26"/>
        <v>0</v>
      </c>
      <c r="J83" s="24">
        <f t="shared" si="27"/>
        <v>0</v>
      </c>
      <c r="K83" s="24">
        <f t="shared" ca="1" si="28"/>
        <v>0</v>
      </c>
      <c r="L83" s="24">
        <f t="shared" ca="1" si="10"/>
        <v>0</v>
      </c>
      <c r="M83" s="24">
        <f t="shared" ca="1" si="7"/>
        <v>0</v>
      </c>
      <c r="N83" s="24">
        <f t="shared" ca="1" si="33"/>
        <v>0</v>
      </c>
      <c r="O83" s="24">
        <f t="shared" ca="1" si="24"/>
        <v>0</v>
      </c>
      <c r="P83" s="24">
        <f t="shared" ca="1" si="29"/>
        <v>0</v>
      </c>
      <c r="Q83" s="36">
        <f t="shared" si="31"/>
        <v>0</v>
      </c>
      <c r="R83" s="36">
        <f t="shared" ca="1" si="25"/>
        <v>0</v>
      </c>
      <c r="S83" s="2">
        <f t="shared" ca="1" si="21"/>
        <v>0</v>
      </c>
      <c r="T83" s="34">
        <f t="shared" ca="1" si="22"/>
        <v>9635</v>
      </c>
      <c r="U83" s="57">
        <f t="shared" ca="1" si="15"/>
        <v>62470</v>
      </c>
    </row>
    <row r="84" spans="1:40" s="16" customFormat="1" ht="12" x14ac:dyDescent="0.2">
      <c r="A84" s="2"/>
      <c r="B84" s="2"/>
      <c r="C84" s="1"/>
      <c r="D84" s="1"/>
      <c r="E84" s="2"/>
      <c r="F84" s="26">
        <f t="shared" si="30"/>
        <v>78</v>
      </c>
      <c r="G84" s="27">
        <f t="shared" ca="1" si="23"/>
        <v>47688</v>
      </c>
      <c r="H84" s="24">
        <f t="shared" ca="1" si="32"/>
        <v>0</v>
      </c>
      <c r="I84" s="24">
        <f t="shared" ca="1" si="26"/>
        <v>0</v>
      </c>
      <c r="J84" s="24">
        <f t="shared" si="27"/>
        <v>0</v>
      </c>
      <c r="K84" s="24">
        <f t="shared" ca="1" si="28"/>
        <v>0</v>
      </c>
      <c r="L84" s="24">
        <f t="shared" ca="1" si="10"/>
        <v>0</v>
      </c>
      <c r="M84" s="24">
        <f t="shared" ca="1" si="7"/>
        <v>0</v>
      </c>
      <c r="N84" s="24">
        <f t="shared" ca="1" si="33"/>
        <v>0</v>
      </c>
      <c r="O84" s="24">
        <f t="shared" ca="1" si="24"/>
        <v>0</v>
      </c>
      <c r="P84" s="24">
        <f t="shared" ca="1" si="29"/>
        <v>0</v>
      </c>
      <c r="Q84" s="36">
        <f t="shared" si="31"/>
        <v>0</v>
      </c>
      <c r="R84" s="36">
        <f t="shared" ca="1" si="25"/>
        <v>0</v>
      </c>
      <c r="S84" s="2">
        <f t="shared" ca="1" si="21"/>
        <v>0</v>
      </c>
      <c r="T84" s="34">
        <f t="shared" ca="1" si="22"/>
        <v>9635</v>
      </c>
      <c r="U84" s="57">
        <f t="shared" ca="1" si="15"/>
        <v>62835</v>
      </c>
    </row>
    <row r="85" spans="1:40" s="16" customFormat="1" ht="12" x14ac:dyDescent="0.2">
      <c r="A85" s="2"/>
      <c r="B85" s="2"/>
      <c r="C85" s="1"/>
      <c r="D85" s="1"/>
      <c r="E85" s="2"/>
      <c r="F85" s="26">
        <f t="shared" si="30"/>
        <v>79</v>
      </c>
      <c r="G85" s="27">
        <f t="shared" ca="1" si="23"/>
        <v>47719</v>
      </c>
      <c r="H85" s="24">
        <f ca="1">IF(Q85=1,K85+I85+J85,IF(P84+K85+I85&gt;H84,$D$15,IF(P84=0,0,P84+K85+I85+I86)))</f>
        <v>0</v>
      </c>
      <c r="I85" s="24">
        <f t="shared" ca="1" si="26"/>
        <v>0</v>
      </c>
      <c r="J85" s="24">
        <f ca="1">IF(OR(P84=0),0,IF(P84+K85+I85&gt;H84,H85-I85-K85,P84))</f>
        <v>0</v>
      </c>
      <c r="K85" s="24">
        <f t="shared" ca="1" si="28"/>
        <v>0</v>
      </c>
      <c r="L85" s="24">
        <f t="shared" ca="1" si="10"/>
        <v>0</v>
      </c>
      <c r="M85" s="24">
        <f t="shared" ca="1" si="7"/>
        <v>0</v>
      </c>
      <c r="N85" s="24">
        <f t="shared" ca="1" si="33"/>
        <v>0</v>
      </c>
      <c r="O85" s="24">
        <f t="shared" ca="1" si="24"/>
        <v>0</v>
      </c>
      <c r="P85" s="24">
        <f ca="1">IF(OR(Q85=1,P84=0),0,P84-J85)</f>
        <v>0</v>
      </c>
      <c r="Q85" s="36">
        <f t="shared" si="31"/>
        <v>0</v>
      </c>
      <c r="R85" s="36">
        <f t="shared" ca="1" si="25"/>
        <v>0</v>
      </c>
      <c r="S85" s="2">
        <f t="shared" ca="1" si="21"/>
        <v>0</v>
      </c>
      <c r="T85" s="34">
        <f t="shared" ca="1" si="22"/>
        <v>9635</v>
      </c>
      <c r="U85" s="57">
        <f t="shared" ca="1" si="15"/>
        <v>63200</v>
      </c>
    </row>
    <row r="86" spans="1:40" s="16" customFormat="1" ht="12" x14ac:dyDescent="0.2">
      <c r="A86" s="2"/>
      <c r="B86" s="2"/>
      <c r="C86" s="1"/>
      <c r="D86" s="1"/>
      <c r="E86" s="2"/>
      <c r="F86" s="28"/>
      <c r="G86" s="29" t="s">
        <v>7</v>
      </c>
      <c r="H86" s="30">
        <f ca="1">(SUM(H7:H85)-IF(CODE(C10)=209,AE40,0))</f>
        <v>577718.73999999987</v>
      </c>
      <c r="I86" s="31">
        <f ca="1">SUM(I7:I85)</f>
        <v>143718.74</v>
      </c>
      <c r="J86" s="30">
        <f ca="1">SUM(J7:J85)</f>
        <v>433999.99999999977</v>
      </c>
      <c r="K86" s="31">
        <f ca="1">SUM(K7:K85)</f>
        <v>0</v>
      </c>
      <c r="L86" s="31"/>
      <c r="M86" s="31"/>
      <c r="N86" s="31"/>
      <c r="O86" s="31"/>
      <c r="P86" s="31"/>
      <c r="Q86" s="31"/>
      <c r="R86" s="51"/>
      <c r="S86" s="2">
        <f t="shared" ca="1" si="21"/>
        <v>0</v>
      </c>
      <c r="T86" s="34">
        <f t="shared" ca="1" si="22"/>
        <v>9635</v>
      </c>
      <c r="U86" s="57">
        <f t="shared" ca="1" si="15"/>
        <v>63565</v>
      </c>
    </row>
    <row r="87" spans="1:40" s="16" customFormat="1" ht="12" x14ac:dyDescent="0.2">
      <c r="A87" s="2"/>
      <c r="B87" s="2"/>
      <c r="C87" s="1"/>
      <c r="D87" s="1"/>
      <c r="E87" s="2"/>
      <c r="F87" s="32"/>
      <c r="H87" s="2"/>
      <c r="J87" s="1"/>
      <c r="K87" s="33"/>
      <c r="L87" s="33"/>
      <c r="M87" s="33"/>
      <c r="N87" s="33"/>
      <c r="O87" s="33"/>
      <c r="P87" s="33"/>
      <c r="Q87" s="33"/>
      <c r="R87" s="52"/>
      <c r="S87" s="2">
        <f t="shared" ca="1" si="21"/>
        <v>0</v>
      </c>
      <c r="T87" s="34">
        <f t="shared" ca="1" si="22"/>
        <v>9635</v>
      </c>
      <c r="U87" s="57">
        <f t="shared" ca="1" si="15"/>
        <v>63930</v>
      </c>
    </row>
    <row r="88" spans="1:40" s="16" customFormat="1" x14ac:dyDescent="0.2">
      <c r="A88" s="2"/>
      <c r="B88" s="2"/>
      <c r="C88" s="1"/>
      <c r="D88" s="1"/>
      <c r="E88" s="1"/>
      <c r="F88" s="1"/>
      <c r="G88" s="53"/>
      <c r="H88" s="1"/>
      <c r="I88" s="54"/>
      <c r="J88" s="1"/>
      <c r="K88" s="3"/>
      <c r="L88" s="3"/>
      <c r="M88" s="3"/>
      <c r="N88" s="3"/>
      <c r="O88" s="3"/>
      <c r="P88" s="2"/>
      <c r="Q88" s="2"/>
      <c r="R88" s="44"/>
      <c r="S88" s="2">
        <f t="shared" ca="1" si="21"/>
        <v>0</v>
      </c>
      <c r="T88" s="34">
        <f t="shared" ca="1" si="22"/>
        <v>9635</v>
      </c>
      <c r="U88" s="57">
        <f t="shared" ca="1" si="15"/>
        <v>64295</v>
      </c>
    </row>
    <row r="89" spans="1:40" s="16" customFormat="1" ht="12" x14ac:dyDescent="0.2">
      <c r="A89" s="2"/>
      <c r="B89" s="2"/>
      <c r="C89" s="1"/>
      <c r="D89" s="1"/>
      <c r="E89" s="1"/>
      <c r="F89" s="1"/>
      <c r="G89" s="1"/>
      <c r="H89" s="1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2">
        <f t="shared" ca="1" si="21"/>
        <v>0</v>
      </c>
      <c r="T89" s="34">
        <f t="shared" ca="1" si="22"/>
        <v>9635</v>
      </c>
      <c r="U89" s="57">
        <f t="shared" ca="1" si="15"/>
        <v>64660</v>
      </c>
    </row>
    <row r="90" spans="1:40" s="16" customFormat="1" x14ac:dyDescent="0.2">
      <c r="A90" s="2"/>
      <c r="B90" s="2"/>
      <c r="C90" s="1"/>
      <c r="D90" s="1"/>
      <c r="E90" s="1"/>
      <c r="F90" s="1"/>
      <c r="G90" s="1"/>
      <c r="H90" s="1"/>
      <c r="I90" s="2"/>
      <c r="J90" s="1"/>
      <c r="K90" s="3"/>
      <c r="L90" s="3"/>
      <c r="M90" s="3"/>
      <c r="N90" s="3"/>
      <c r="O90" s="3"/>
      <c r="P90" s="2"/>
      <c r="Q90" s="2"/>
      <c r="R90" s="44"/>
      <c r="S90" s="2">
        <f t="shared" ca="1" si="21"/>
        <v>0</v>
      </c>
      <c r="T90" s="34">
        <f t="shared" ca="1" si="22"/>
        <v>9635</v>
      </c>
      <c r="U90" s="57">
        <f t="shared" ca="1" si="15"/>
        <v>65025</v>
      </c>
    </row>
    <row r="91" spans="1:40" s="16" customFormat="1" x14ac:dyDescent="0.2">
      <c r="A91" s="2"/>
      <c r="B91" s="2"/>
      <c r="C91" s="1"/>
      <c r="D91" s="1"/>
      <c r="E91" s="1"/>
      <c r="F91" s="1"/>
      <c r="G91" s="1"/>
      <c r="H91" s="1"/>
      <c r="I91" s="2"/>
      <c r="J91" s="1"/>
      <c r="K91" s="3"/>
      <c r="L91" s="3"/>
      <c r="M91" s="3"/>
      <c r="N91" s="3"/>
      <c r="O91" s="3"/>
      <c r="P91" s="2"/>
      <c r="Q91" s="2"/>
      <c r="R91" s="44"/>
      <c r="S91" s="2">
        <f t="shared" ca="1" si="21"/>
        <v>0</v>
      </c>
      <c r="T91" s="34">
        <f t="shared" ca="1" si="22"/>
        <v>9635</v>
      </c>
      <c r="U91" s="57">
        <f t="shared" ca="1" si="15"/>
        <v>65390</v>
      </c>
    </row>
    <row r="92" spans="1:40" s="16" customFormat="1" x14ac:dyDescent="0.2">
      <c r="A92" s="2"/>
      <c r="B92" s="2"/>
      <c r="C92" s="1"/>
      <c r="D92" s="1"/>
      <c r="E92" s="1"/>
      <c r="F92" s="1"/>
      <c r="G92" s="1"/>
      <c r="H92" s="1"/>
      <c r="I92" s="2"/>
      <c r="J92" s="1"/>
      <c r="K92" s="3"/>
      <c r="L92" s="3"/>
      <c r="M92" s="3"/>
      <c r="N92" s="3"/>
      <c r="O92" s="3"/>
      <c r="P92" s="2"/>
      <c r="Q92" s="2"/>
      <c r="R92" s="44"/>
      <c r="S92" s="2">
        <f t="shared" ca="1" si="21"/>
        <v>0</v>
      </c>
      <c r="T92" s="34">
        <f t="shared" ca="1" si="22"/>
        <v>9635</v>
      </c>
      <c r="U92" s="57">
        <f t="shared" ca="1" si="15"/>
        <v>65755</v>
      </c>
    </row>
    <row r="93" spans="1:40" s="16" customFormat="1" x14ac:dyDescent="0.2">
      <c r="A93" s="2"/>
      <c r="B93" s="2"/>
      <c r="C93" s="1"/>
      <c r="D93" s="1"/>
      <c r="E93" s="1"/>
      <c r="F93" s="1"/>
      <c r="G93" s="1"/>
      <c r="H93" s="1"/>
      <c r="I93" s="2"/>
      <c r="J93" s="1"/>
      <c r="K93" s="3"/>
      <c r="L93" s="3"/>
      <c r="M93" s="3"/>
      <c r="N93" s="3"/>
      <c r="O93" s="3"/>
      <c r="P93" s="2"/>
      <c r="Q93" s="2"/>
      <c r="R93" s="44"/>
      <c r="S93" s="2">
        <f t="shared" ca="1" si="21"/>
        <v>0</v>
      </c>
      <c r="T93" s="34">
        <f t="shared" ca="1" si="22"/>
        <v>9635</v>
      </c>
      <c r="U93" s="57">
        <f t="shared" ca="1" si="15"/>
        <v>66120</v>
      </c>
    </row>
    <row r="94" spans="1:40" x14ac:dyDescent="0.2">
      <c r="S94" s="2">
        <f t="shared" ca="1" si="21"/>
        <v>0</v>
      </c>
      <c r="T94" s="34">
        <f t="shared" ca="1" si="22"/>
        <v>9635</v>
      </c>
      <c r="U94" s="57">
        <f t="shared" ca="1" si="15"/>
        <v>66485</v>
      </c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 spans="1:40" x14ac:dyDescent="0.2">
      <c r="S95" s="2">
        <f t="shared" ca="1" si="21"/>
        <v>0</v>
      </c>
      <c r="T95" s="34">
        <f t="shared" ca="1" si="22"/>
        <v>9635</v>
      </c>
      <c r="U95" s="57">
        <f t="shared" ca="1" si="15"/>
        <v>66850</v>
      </c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 spans="1:40" x14ac:dyDescent="0.2">
      <c r="S96" s="2">
        <f t="shared" ca="1" si="21"/>
        <v>0</v>
      </c>
      <c r="T96" s="34">
        <f t="shared" ca="1" si="22"/>
        <v>9253.7399999998925</v>
      </c>
      <c r="U96" s="57">
        <f t="shared" ca="1" si="15"/>
        <v>67215</v>
      </c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 spans="19:40" x14ac:dyDescent="0.2">
      <c r="S97" s="2">
        <f t="shared" ca="1" si="21"/>
        <v>0</v>
      </c>
      <c r="T97" s="34">
        <f t="shared" ca="1" si="22"/>
        <v>0</v>
      </c>
      <c r="U97" s="57">
        <f t="shared" ca="1" si="15"/>
        <v>67580</v>
      </c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 spans="19:40" x14ac:dyDescent="0.2">
      <c r="S98" s="2">
        <f t="shared" ca="1" si="21"/>
        <v>0</v>
      </c>
      <c r="T98" s="34">
        <f t="shared" ca="1" si="22"/>
        <v>0</v>
      </c>
      <c r="U98" s="57">
        <f t="shared" ca="1" si="15"/>
        <v>67945</v>
      </c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 spans="19:40" x14ac:dyDescent="0.2">
      <c r="S99" s="2">
        <f t="shared" ca="1" si="21"/>
        <v>0</v>
      </c>
      <c r="T99" s="34">
        <f t="shared" ca="1" si="22"/>
        <v>0</v>
      </c>
      <c r="U99" s="57">
        <f t="shared" ca="1" si="15"/>
        <v>68310</v>
      </c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 spans="19:40" x14ac:dyDescent="0.2">
      <c r="S100" s="2">
        <f t="shared" ca="1" si="21"/>
        <v>0</v>
      </c>
      <c r="T100" s="34">
        <f t="shared" ca="1" si="22"/>
        <v>0</v>
      </c>
      <c r="U100" s="57">
        <f t="shared" ca="1" si="15"/>
        <v>68675</v>
      </c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 spans="19:40" x14ac:dyDescent="0.2">
      <c r="S101" s="2">
        <f t="shared" ref="S101:S115" ca="1" si="34">IF($C$7&gt;$AB$40,ROUND(P70*$C$23/(DATEVALUE(CONCATENATE("01/01/",YEAR(G71)+1))-DATEVALUE(CONCATENATE("01/01/",YEAR(G71))))*(G71-G70),2),0)</f>
        <v>0</v>
      </c>
      <c r="T101" s="34">
        <f t="shared" ref="T101:T105" ca="1" si="35">I71+J71+K71-O71</f>
        <v>0</v>
      </c>
      <c r="U101" s="57">
        <f t="shared" ca="1" si="15"/>
        <v>69040</v>
      </c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 spans="19:40" x14ac:dyDescent="0.2">
      <c r="S102" s="2">
        <f t="shared" ca="1" si="34"/>
        <v>0</v>
      </c>
      <c r="T102" s="34">
        <f t="shared" ca="1" si="35"/>
        <v>0</v>
      </c>
      <c r="U102" s="57">
        <f t="shared" ref="U102:U115" ca="1" si="36">U101+365</f>
        <v>69405</v>
      </c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spans="19:40" x14ac:dyDescent="0.2">
      <c r="S103" s="2">
        <f t="shared" ca="1" si="34"/>
        <v>0</v>
      </c>
      <c r="T103" s="34">
        <f t="shared" ca="1" si="35"/>
        <v>0</v>
      </c>
      <c r="U103" s="57">
        <f t="shared" ca="1" si="36"/>
        <v>69770</v>
      </c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 spans="19:40" x14ac:dyDescent="0.2">
      <c r="S104" s="2">
        <f t="shared" ca="1" si="34"/>
        <v>0</v>
      </c>
      <c r="T104" s="34">
        <f t="shared" ca="1" si="35"/>
        <v>0</v>
      </c>
      <c r="U104" s="57">
        <f t="shared" ca="1" si="36"/>
        <v>70135</v>
      </c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</row>
    <row r="105" spans="19:40" x14ac:dyDescent="0.2">
      <c r="S105" s="2">
        <f t="shared" ca="1" si="34"/>
        <v>0</v>
      </c>
      <c r="T105" s="34">
        <f t="shared" ca="1" si="35"/>
        <v>0</v>
      </c>
      <c r="U105" s="57">
        <f t="shared" ca="1" si="36"/>
        <v>70500</v>
      </c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</row>
    <row r="106" spans="19:40" x14ac:dyDescent="0.2">
      <c r="S106" s="2">
        <f t="shared" ca="1" si="34"/>
        <v>0</v>
      </c>
      <c r="T106" s="34">
        <f t="shared" ref="T106:T115" ca="1" si="37">I76+J76+K76-O76</f>
        <v>0</v>
      </c>
      <c r="U106" s="57">
        <f t="shared" ca="1" si="36"/>
        <v>70865</v>
      </c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</row>
    <row r="107" spans="19:40" x14ac:dyDescent="0.2">
      <c r="S107" s="2">
        <f t="shared" ca="1" si="34"/>
        <v>0</v>
      </c>
      <c r="T107" s="34">
        <f t="shared" ca="1" si="37"/>
        <v>0</v>
      </c>
      <c r="U107" s="57">
        <f ca="1">U76+365</f>
        <v>60280</v>
      </c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9:40" x14ac:dyDescent="0.2">
      <c r="S108" s="2">
        <f t="shared" ca="1" si="34"/>
        <v>0</v>
      </c>
      <c r="T108" s="34">
        <f t="shared" ca="1" si="37"/>
        <v>0</v>
      </c>
      <c r="U108" s="57">
        <f t="shared" ca="1" si="36"/>
        <v>60645</v>
      </c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</row>
    <row r="109" spans="19:40" x14ac:dyDescent="0.2">
      <c r="S109" s="2">
        <f t="shared" ca="1" si="34"/>
        <v>0</v>
      </c>
      <c r="T109" s="34">
        <f t="shared" ca="1" si="37"/>
        <v>0</v>
      </c>
      <c r="U109" s="57">
        <f t="shared" ca="1" si="36"/>
        <v>61010</v>
      </c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</row>
    <row r="110" spans="19:40" x14ac:dyDescent="0.2">
      <c r="S110" s="2">
        <f t="shared" ca="1" si="34"/>
        <v>0</v>
      </c>
      <c r="T110" s="34">
        <f t="shared" ca="1" si="37"/>
        <v>0</v>
      </c>
      <c r="U110" s="57">
        <f t="shared" ca="1" si="36"/>
        <v>61375</v>
      </c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</row>
    <row r="111" spans="19:40" x14ac:dyDescent="0.2">
      <c r="S111" s="2">
        <f t="shared" ca="1" si="34"/>
        <v>0</v>
      </c>
      <c r="T111" s="34">
        <f t="shared" ca="1" si="37"/>
        <v>0</v>
      </c>
      <c r="U111" s="57">
        <f t="shared" ca="1" si="36"/>
        <v>61740</v>
      </c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</row>
    <row r="112" spans="19:40" x14ac:dyDescent="0.2">
      <c r="S112" s="2">
        <f t="shared" ca="1" si="34"/>
        <v>0</v>
      </c>
      <c r="T112" s="34">
        <f t="shared" ca="1" si="37"/>
        <v>0</v>
      </c>
      <c r="U112" s="57">
        <f t="shared" ca="1" si="36"/>
        <v>62105</v>
      </c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</row>
    <row r="113" spans="19:34" x14ac:dyDescent="0.2">
      <c r="S113" s="2">
        <f t="shared" ca="1" si="34"/>
        <v>0</v>
      </c>
      <c r="T113" s="34">
        <f t="shared" ca="1" si="37"/>
        <v>0</v>
      </c>
      <c r="U113" s="57">
        <f t="shared" ca="1" si="36"/>
        <v>62470</v>
      </c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</row>
    <row r="114" spans="19:34" x14ac:dyDescent="0.2">
      <c r="S114" s="2">
        <f t="shared" ca="1" si="34"/>
        <v>0</v>
      </c>
      <c r="T114" s="34">
        <f t="shared" ca="1" si="37"/>
        <v>0</v>
      </c>
      <c r="U114" s="57">
        <f t="shared" ca="1" si="36"/>
        <v>62835</v>
      </c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</row>
    <row r="115" spans="19:34" x14ac:dyDescent="0.2">
      <c r="S115" s="2">
        <f t="shared" ca="1" si="34"/>
        <v>0</v>
      </c>
      <c r="T115" s="34">
        <f t="shared" ca="1" si="37"/>
        <v>0</v>
      </c>
      <c r="U115" s="57">
        <f t="shared" ca="1" si="36"/>
        <v>63200</v>
      </c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</row>
    <row r="116" spans="19:34" x14ac:dyDescent="0.2">
      <c r="S116" s="35">
        <f ca="1">SUM(S37:S115)</f>
        <v>0</v>
      </c>
      <c r="T116" s="35">
        <f ca="1">SUM(T37:T115)</f>
        <v>577718.73999999987</v>
      </c>
      <c r="U116" s="60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</row>
    <row r="117" spans="19:34" x14ac:dyDescent="0.2">
      <c r="U117" s="16"/>
      <c r="V117" s="16"/>
      <c r="W117" s="16"/>
      <c r="X117" s="16"/>
      <c r="Y117" s="16"/>
      <c r="Z117" s="16"/>
      <c r="AA117" s="33"/>
      <c r="AB117" s="33"/>
      <c r="AC117" s="33"/>
      <c r="AD117" s="33"/>
      <c r="AE117" s="16"/>
      <c r="AF117" s="16"/>
      <c r="AG117" s="60"/>
      <c r="AH117" s="16"/>
    </row>
  </sheetData>
  <mergeCells count="31">
    <mergeCell ref="A24:B24"/>
    <mergeCell ref="A18:B18"/>
    <mergeCell ref="A19:B19"/>
    <mergeCell ref="A20:B20"/>
    <mergeCell ref="A21:B21"/>
    <mergeCell ref="A22:B22"/>
    <mergeCell ref="A23:B23"/>
    <mergeCell ref="A17:B17"/>
    <mergeCell ref="A10:B10"/>
    <mergeCell ref="C10:D10"/>
    <mergeCell ref="A11:B11"/>
    <mergeCell ref="C11:D11"/>
    <mergeCell ref="A12:B12"/>
    <mergeCell ref="A13:B13"/>
    <mergeCell ref="C13:D13"/>
    <mergeCell ref="A14:B14"/>
    <mergeCell ref="A15:B15"/>
    <mergeCell ref="A16:B16"/>
    <mergeCell ref="A7:B7"/>
    <mergeCell ref="C7:D7"/>
    <mergeCell ref="A8:B8"/>
    <mergeCell ref="C8:D8"/>
    <mergeCell ref="A9:B9"/>
    <mergeCell ref="C9:D9"/>
    <mergeCell ref="A6:B6"/>
    <mergeCell ref="C6:D6"/>
    <mergeCell ref="A1:D2"/>
    <mergeCell ref="A3:D4"/>
    <mergeCell ref="F3:Q4"/>
    <mergeCell ref="A5:B5"/>
    <mergeCell ref="C5:D5"/>
  </mergeCells>
  <dataValidations count="4">
    <dataValidation type="list" allowBlank="1" showInputMessage="1" showErrorMessage="1" sqref="C10:D10">
      <formula1>$S$3:$AN$3</formula1>
    </dataValidation>
    <dataValidation type="list" allowBlank="1" showInputMessage="1" showErrorMessage="1" sqref="C6:D6">
      <formula1>$V$48:$AB$48</formula1>
    </dataValidation>
    <dataValidation type="list" allowBlank="1" showInputMessage="1" showErrorMessage="1" sqref="C11:D11">
      <formula1>$Y$19:$Z$19</formula1>
    </dataValidation>
    <dataValidation type="list" allowBlank="1" showInputMessage="1" showErrorMessage="1" sqref="C16">
      <formula1>IF($C$10=$S$3,$S$4:$S$15,IF($C$10=$T$3,$T$4:$T$9,IF($C$10=$U$3,$U$4:$U$6,IF($C$10=$V$3,$V$4:$V$6,IF($C$10=$W$3,$W$4:$W$6,IF($C$10=$Y$3,$Y$4:$Y$6,IF($C$10=$Z$3,$Z$4:$Z$6,$AO$1)))))))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TP160"/>
  <sheetViews>
    <sheetView showGridLines="0" view="pageBreakPreview" zoomScale="70" zoomScaleNormal="90" zoomScaleSheetLayoutView="70" workbookViewId="0">
      <selection activeCell="D11" sqref="D11"/>
    </sheetView>
  </sheetViews>
  <sheetFormatPr defaultColWidth="8.7109375" defaultRowHeight="12.75" x14ac:dyDescent="0.2"/>
  <cols>
    <col min="1" max="1" width="46.7109375" style="2" customWidth="1"/>
    <col min="2" max="2" width="40.140625" style="2" customWidth="1"/>
    <col min="3" max="4" width="20.140625" style="1" bestFit="1" customWidth="1"/>
    <col min="5" max="5" width="26.42578125" style="1" customWidth="1"/>
    <col min="6" max="6" width="9.7109375" style="1" customWidth="1"/>
    <col min="7" max="7" width="6.42578125" style="1" bestFit="1" customWidth="1"/>
    <col min="8" max="8" width="10.7109375" style="1" customWidth="1"/>
    <col min="9" max="9" width="15.42578125" style="1" customWidth="1"/>
    <col min="10" max="10" width="15.42578125" style="2" customWidth="1"/>
    <col min="11" max="11" width="15.42578125" style="1" customWidth="1"/>
    <col min="12" max="16" width="15" style="3" hidden="1" customWidth="1"/>
    <col min="17" max="17" width="13.7109375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7109375" style="2" hidden="1" customWidth="1"/>
    <col min="25" max="25" width="47.28515625" style="2" hidden="1" customWidth="1"/>
    <col min="26" max="26" width="33.71093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1" width="14.42578125" style="2" customWidth="1"/>
    <col min="42" max="42" width="13.140625" style="2" customWidth="1"/>
    <col min="43" max="43" width="13.7109375" style="2" customWidth="1"/>
    <col min="44" max="44" width="12" style="2" hidden="1" customWidth="1"/>
    <col min="45" max="46" width="13.7109375" style="2" hidden="1" customWidth="1"/>
    <col min="47" max="53" width="8.7109375" style="2" hidden="1" customWidth="1"/>
    <col min="54" max="54" width="14" style="2" bestFit="1" customWidth="1"/>
    <col min="55" max="56" width="8.7109375" style="2" hidden="1" customWidth="1"/>
    <col min="57" max="57" width="9.7109375" style="1" hidden="1" customWidth="1"/>
    <col min="58" max="58" width="11.42578125" style="2" hidden="1" customWidth="1"/>
    <col min="59" max="59" width="1.140625" style="2" customWidth="1"/>
    <col min="60" max="60" width="3.7109375" style="2" customWidth="1"/>
    <col min="61" max="61" width="24.140625" style="2" customWidth="1"/>
    <col min="62" max="62" width="3.7109375" style="2" customWidth="1"/>
    <col min="63" max="63" width="41.42578125" style="2" customWidth="1"/>
    <col min="64" max="64" width="4.42578125" style="2" customWidth="1"/>
    <col min="65" max="65" width="18" style="2" customWidth="1"/>
    <col min="66" max="66" width="4.7109375" style="2" customWidth="1"/>
    <col min="67" max="67" width="7.7109375" style="2" customWidth="1"/>
    <col min="68" max="68" width="8.7109375" style="2"/>
    <col min="69" max="69" width="8.7109375" style="2" hidden="1" customWidth="1"/>
    <col min="70" max="70" width="12.7109375" style="2" hidden="1" customWidth="1"/>
    <col min="71" max="71" width="10.7109375" style="2" hidden="1" customWidth="1"/>
    <col min="72" max="16384" width="8.7109375" style="2"/>
  </cols>
  <sheetData>
    <row r="1" spans="1:71" ht="12.75" customHeight="1" x14ac:dyDescent="0.2">
      <c r="A1" s="757" t="s">
        <v>225</v>
      </c>
      <c r="B1" s="758"/>
      <c r="C1" s="758"/>
      <c r="D1" s="758"/>
      <c r="E1" s="759"/>
      <c r="F1" s="292"/>
      <c r="G1" s="2"/>
      <c r="H1" s="2"/>
      <c r="I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IF($C$11=$AD$3,$AD$4,IF($C$11=$AE$3,$AE$4,IF($C$11=$AF$3,$AF$4,IF($C$11=$AG$3,$AG$4,IF($C$11=$AH$3,$AH$4,IF($C$11=$AI$3,$AI$4,""))))))</f>
        <v/>
      </c>
      <c r="AK1" s="65"/>
      <c r="BE1" s="2"/>
    </row>
    <row r="2" spans="1:71" ht="31.5" customHeight="1" x14ac:dyDescent="0.2">
      <c r="A2" s="760"/>
      <c r="B2" s="761"/>
      <c r="C2" s="761"/>
      <c r="D2" s="761"/>
      <c r="E2" s="762"/>
      <c r="F2" s="292"/>
      <c r="G2" s="2"/>
      <c r="H2" s="2"/>
      <c r="I2" s="2"/>
      <c r="K2" s="462" t="e">
        <f>IF($C$11=$T$3,$T$5:$T$19,IF($C$11=$U$3,$U$5:$U$19,IF($C$11=$V$3,$V$5:$V$19,IF($C$11=$W$3,$W$5:$W$19,IF($C$11=$X$3,$X$5:$X$19)))))</f>
        <v>#VALUE!</v>
      </c>
      <c r="L2" s="462"/>
      <c r="M2" s="462"/>
      <c r="N2" s="462"/>
      <c r="O2" s="462"/>
      <c r="P2" s="462"/>
      <c r="Q2" s="462" t="e">
        <f>IF($D$11=$T$3,$T$5:$T$19,IF($D$11=$U$3,$U$5:$U$19,IF($D$11=$V$3,$V$5:$V$19,IF($D$11=$W$3,$W$5:$W$19,IF($D$11=$X$3,$X$5:$X$19)))))</f>
        <v>#VALUE!</v>
      </c>
      <c r="S2" s="2"/>
      <c r="AB2" s="2"/>
      <c r="AC2" s="2"/>
      <c r="AD2" s="2"/>
      <c r="AE2" s="2"/>
      <c r="BE2" s="2"/>
    </row>
    <row r="3" spans="1:71" ht="22.15" customHeight="1" x14ac:dyDescent="0.25">
      <c r="A3" s="770" t="s">
        <v>196</v>
      </c>
      <c r="B3" s="771"/>
      <c r="C3" s="771"/>
      <c r="D3" s="771"/>
      <c r="E3" s="772"/>
      <c r="F3" s="310"/>
      <c r="G3" s="765" t="str">
        <f>CONCATENATE("График платежей - Тариф ",C11)</f>
        <v>График платежей - Тариф Базовый</v>
      </c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146"/>
      <c r="T3" s="63" t="s">
        <v>33</v>
      </c>
      <c r="U3" s="63" t="s">
        <v>127</v>
      </c>
      <c r="V3" s="63" t="s">
        <v>72</v>
      </c>
      <c r="W3" s="63" t="s">
        <v>73</v>
      </c>
      <c r="X3" s="63" t="s">
        <v>74</v>
      </c>
      <c r="Y3" s="63"/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765" t="str">
        <f>CONCATENATE("График платежей - Тариф ",D11)</f>
        <v>График платежей - Тариф Базовый</v>
      </c>
      <c r="AN3" s="765"/>
      <c r="AO3" s="765"/>
      <c r="AP3" s="765"/>
      <c r="AQ3" s="765"/>
      <c r="AR3" s="765"/>
      <c r="AS3" s="765"/>
      <c r="AT3" s="765"/>
      <c r="AU3" s="765"/>
      <c r="AV3" s="765"/>
      <c r="AW3" s="765"/>
      <c r="AX3" s="765"/>
      <c r="AY3" s="765"/>
      <c r="AZ3" s="765"/>
      <c r="BA3" s="765"/>
      <c r="BB3" s="765"/>
      <c r="BC3" s="765"/>
      <c r="BD3" s="102"/>
      <c r="BE3" s="102"/>
      <c r="BF3" s="102"/>
      <c r="BI3" s="794" t="s">
        <v>94</v>
      </c>
      <c r="BJ3" s="794"/>
      <c r="BK3" s="794"/>
      <c r="BL3" s="794"/>
      <c r="BM3" s="794"/>
      <c r="BN3" s="794"/>
      <c r="BO3" s="794"/>
    </row>
    <row r="4" spans="1:71" ht="13.5" hidden="1" customHeight="1" x14ac:dyDescent="0.2">
      <c r="A4" s="342"/>
      <c r="B4" s="342"/>
      <c r="C4" s="342"/>
      <c r="D4" s="342"/>
      <c r="E4" s="342"/>
      <c r="F4" s="228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146"/>
      <c r="T4" s="15"/>
      <c r="U4" s="15"/>
      <c r="V4" s="15"/>
      <c r="W4" s="15"/>
      <c r="X4" s="15"/>
      <c r="Y4" s="147"/>
      <c r="Z4" s="63" t="s">
        <v>72</v>
      </c>
      <c r="AA4" s="147"/>
      <c r="AB4" s="147"/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765"/>
      <c r="AN4" s="765"/>
      <c r="AO4" s="765"/>
      <c r="AP4" s="765"/>
      <c r="AQ4" s="765"/>
      <c r="AR4" s="765"/>
      <c r="AS4" s="765"/>
      <c r="AT4" s="765"/>
      <c r="AU4" s="765"/>
      <c r="AV4" s="765"/>
      <c r="AW4" s="765"/>
      <c r="AX4" s="765"/>
      <c r="AY4" s="765"/>
      <c r="AZ4" s="765"/>
      <c r="BA4" s="765"/>
      <c r="BB4" s="765"/>
      <c r="BC4" s="765"/>
      <c r="BD4" s="102"/>
      <c r="BE4" s="102"/>
      <c r="BF4" s="102"/>
      <c r="BG4" s="57"/>
    </row>
    <row r="5" spans="1:71" ht="12" hidden="1" customHeight="1" thickBot="1" x14ac:dyDescent="0.25">
      <c r="A5" s="764"/>
      <c r="B5" s="764"/>
      <c r="C5" s="764"/>
      <c r="D5" s="764"/>
      <c r="E5" s="764"/>
      <c r="F5" s="229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5.8999999999999997E-2</v>
      </c>
      <c r="U5" s="15">
        <f>T5</f>
        <v>5.8999999999999997E-2</v>
      </c>
      <c r="V5" s="15">
        <f t="shared" ref="V5:X5" si="0">U5</f>
        <v>5.8999999999999997E-2</v>
      </c>
      <c r="W5" s="15">
        <f t="shared" si="0"/>
        <v>5.8999999999999997E-2</v>
      </c>
      <c r="X5" s="15">
        <f t="shared" si="0"/>
        <v>5.8999999999999997E-2</v>
      </c>
      <c r="Y5" s="15"/>
      <c r="Z5" s="63" t="s">
        <v>73</v>
      </c>
      <c r="AA5" s="147"/>
      <c r="AB5" s="147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2"/>
      <c r="BE5" s="117"/>
      <c r="BF5" s="102"/>
      <c r="BG5" s="57"/>
    </row>
    <row r="6" spans="1:71" ht="31.15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216</v>
      </c>
      <c r="J6" s="776" t="s">
        <v>217</v>
      </c>
      <c r="K6" s="776" t="s">
        <v>192</v>
      </c>
      <c r="L6" s="776"/>
      <c r="M6" s="776"/>
      <c r="N6" s="776"/>
      <c r="O6" s="776"/>
      <c r="P6" s="776"/>
      <c r="Q6" s="776" t="s">
        <v>193</v>
      </c>
      <c r="R6" s="117"/>
      <c r="S6" s="49"/>
      <c r="T6" s="15">
        <v>6.9000000000000006E-2</v>
      </c>
      <c r="U6" s="15">
        <f t="shared" ref="U6:X17" si="1">T6</f>
        <v>6.9000000000000006E-2</v>
      </c>
      <c r="V6" s="15">
        <f t="shared" si="1"/>
        <v>6.9000000000000006E-2</v>
      </c>
      <c r="W6" s="15">
        <f t="shared" si="1"/>
        <v>6.9000000000000006E-2</v>
      </c>
      <c r="X6" s="15">
        <f t="shared" si="1"/>
        <v>6.9000000000000006E-2</v>
      </c>
      <c r="Y6" s="15"/>
      <c r="Z6" s="63" t="s">
        <v>74</v>
      </c>
      <c r="AA6" s="147"/>
      <c r="AB6" s="147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802" t="s">
        <v>148</v>
      </c>
      <c r="AN6" s="802" t="s">
        <v>187</v>
      </c>
      <c r="AO6" s="802" t="s">
        <v>216</v>
      </c>
      <c r="AP6" s="802" t="s">
        <v>217</v>
      </c>
      <c r="AQ6" s="802" t="s">
        <v>217</v>
      </c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B6" s="802" t="s">
        <v>193</v>
      </c>
      <c r="BC6" s="103"/>
      <c r="BD6" s="102"/>
      <c r="BE6" s="117"/>
      <c r="BF6" s="102"/>
      <c r="BG6" s="57"/>
      <c r="BI6" s="795" t="s">
        <v>95</v>
      </c>
      <c r="BJ6" s="795"/>
      <c r="BK6" s="795"/>
      <c r="BL6" s="795"/>
      <c r="BM6" s="795"/>
      <c r="BN6" s="795"/>
      <c r="BO6" s="795"/>
      <c r="BQ6" s="2">
        <v>0</v>
      </c>
      <c r="BR6" s="398">
        <f>DATE(YEAR($C$9),MONTH($C$9)+BQ6,1)</f>
        <v>44348</v>
      </c>
      <c r="BS6" s="2">
        <v>1</v>
      </c>
    </row>
    <row r="7" spans="1:71" ht="24" customHeight="1" x14ac:dyDescent="0.5">
      <c r="A7" s="766" t="s">
        <v>200</v>
      </c>
      <c r="B7" s="766"/>
      <c r="C7" s="767">
        <v>1000000</v>
      </c>
      <c r="D7" s="767"/>
      <c r="E7" s="362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345"/>
      <c r="G7" s="776"/>
      <c r="H7" s="776"/>
      <c r="I7" s="776"/>
      <c r="J7" s="776"/>
      <c r="K7" s="776"/>
      <c r="L7" s="776" t="s">
        <v>36</v>
      </c>
      <c r="M7" s="776" t="s">
        <v>39</v>
      </c>
      <c r="N7" s="776" t="s">
        <v>38</v>
      </c>
      <c r="O7" s="776" t="s">
        <v>37</v>
      </c>
      <c r="P7" s="776" t="s">
        <v>40</v>
      </c>
      <c r="Q7" s="776"/>
      <c r="R7" s="149" t="s">
        <v>32</v>
      </c>
      <c r="S7" s="150" t="s">
        <v>31</v>
      </c>
      <c r="T7" s="15">
        <v>7.9000000000000001E-2</v>
      </c>
      <c r="U7" s="15">
        <f t="shared" si="1"/>
        <v>7.9000000000000001E-2</v>
      </c>
      <c r="V7" s="15">
        <f t="shared" si="1"/>
        <v>7.9000000000000001E-2</v>
      </c>
      <c r="W7" s="15">
        <f t="shared" si="1"/>
        <v>7.9000000000000001E-2</v>
      </c>
      <c r="X7" s="15">
        <f t="shared" si="1"/>
        <v>7.9000000000000001E-2</v>
      </c>
      <c r="Y7" s="101"/>
      <c r="Z7" s="101"/>
      <c r="AA7" s="147"/>
      <c r="AB7" s="147"/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SUM(AL9:AL108)</f>
        <v>60</v>
      </c>
      <c r="AM7" s="802"/>
      <c r="AN7" s="802"/>
      <c r="AO7" s="802"/>
      <c r="AP7" s="802"/>
      <c r="AQ7" s="802"/>
      <c r="AR7" s="431" t="s">
        <v>36</v>
      </c>
      <c r="AS7" s="431" t="s">
        <v>39</v>
      </c>
      <c r="AT7" s="431" t="s">
        <v>38</v>
      </c>
      <c r="AU7" s="431" t="s">
        <v>37</v>
      </c>
      <c r="AV7" s="431" t="s">
        <v>40</v>
      </c>
      <c r="AW7" s="431"/>
      <c r="AX7" s="431"/>
      <c r="AY7" s="431"/>
      <c r="AZ7" s="431"/>
      <c r="BA7" s="431"/>
      <c r="BB7" s="802"/>
      <c r="BC7" s="149" t="s">
        <v>32</v>
      </c>
      <c r="BD7" s="104" t="s">
        <v>31</v>
      </c>
      <c r="BE7" s="153">
        <f>BE8</f>
        <v>44370</v>
      </c>
      <c r="BF7" s="108">
        <f>I8</f>
        <v>-1220900</v>
      </c>
      <c r="BG7" s="61"/>
      <c r="BI7" s="784" t="s">
        <v>84</v>
      </c>
      <c r="BJ7" s="777" t="s">
        <v>85</v>
      </c>
      <c r="BK7" s="127" t="s">
        <v>86</v>
      </c>
      <c r="BL7" s="124" t="s">
        <v>88</v>
      </c>
      <c r="BM7" s="798" t="s">
        <v>9</v>
      </c>
      <c r="BN7" s="800" t="s">
        <v>89</v>
      </c>
      <c r="BO7" s="796">
        <v>1</v>
      </c>
      <c r="BQ7" s="2">
        <f>BQ6+1</f>
        <v>1</v>
      </c>
      <c r="BR7" s="398">
        <f t="shared" ref="BR7:BR18" si="2">DATE(YEAR($C$9),MONTH($C$9)+BQ7,1)</f>
        <v>44378</v>
      </c>
      <c r="BS7" s="2">
        <f>BS6+1</f>
        <v>2</v>
      </c>
    </row>
    <row r="8" spans="1:71" ht="21" customHeight="1" thickBot="1" x14ac:dyDescent="0.55000000000000004">
      <c r="A8" s="766" t="s">
        <v>276</v>
      </c>
      <c r="B8" s="766"/>
      <c r="C8" s="193" t="s">
        <v>111</v>
      </c>
      <c r="D8" s="193" t="s">
        <v>111</v>
      </c>
      <c r="E8" s="362"/>
      <c r="F8" s="345"/>
      <c r="G8" s="420"/>
      <c r="H8" s="421">
        <f>C9</f>
        <v>44370</v>
      </c>
      <c r="I8" s="422">
        <f>-C23</f>
        <v>-1220900</v>
      </c>
      <c r="J8" s="423"/>
      <c r="K8" s="424"/>
      <c r="L8" s="424"/>
      <c r="M8" s="424"/>
      <c r="N8" s="424"/>
      <c r="O8" s="424"/>
      <c r="P8" s="424"/>
      <c r="Q8" s="425">
        <f>C23</f>
        <v>1220900</v>
      </c>
      <c r="R8" s="25"/>
      <c r="S8" s="36"/>
      <c r="T8" s="15">
        <v>8.8999999999999996E-2</v>
      </c>
      <c r="U8" s="15">
        <f t="shared" si="1"/>
        <v>8.8999999999999996E-2</v>
      </c>
      <c r="V8" s="15">
        <f t="shared" si="1"/>
        <v>8.8999999999999996E-2</v>
      </c>
      <c r="W8" s="15">
        <f t="shared" si="1"/>
        <v>8.8999999999999996E-2</v>
      </c>
      <c r="X8" s="15">
        <f t="shared" si="1"/>
        <v>8.8999999999999996E-2</v>
      </c>
      <c r="Y8" s="15"/>
      <c r="Z8" s="15"/>
      <c r="AA8" s="147"/>
      <c r="AB8" s="147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432"/>
      <c r="AN8" s="433">
        <f>C9</f>
        <v>44370</v>
      </c>
      <c r="AO8" s="434">
        <f>-D23</f>
        <v>-1161900</v>
      </c>
      <c r="AP8" s="435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7">
        <f>D23</f>
        <v>1161900</v>
      </c>
      <c r="BC8" s="106"/>
      <c r="BD8" s="108"/>
      <c r="BE8" s="22">
        <f t="shared" ref="BE8:BE18" si="3">H8</f>
        <v>44370</v>
      </c>
      <c r="BF8" s="104">
        <f>$C$25</f>
        <v>156000</v>
      </c>
      <c r="BI8" s="785"/>
      <c r="BJ8" s="778"/>
      <c r="BK8" s="125" t="s">
        <v>87</v>
      </c>
      <c r="BL8" s="126" t="s">
        <v>88</v>
      </c>
      <c r="BM8" s="799"/>
      <c r="BN8" s="801"/>
      <c r="BO8" s="797"/>
      <c r="BQ8" s="2">
        <f t="shared" ref="BQ8:BQ15" si="4">BQ7+1</f>
        <v>2</v>
      </c>
      <c r="BR8" s="398">
        <f t="shared" si="2"/>
        <v>44409</v>
      </c>
      <c r="BS8" s="2">
        <f t="shared" ref="BS8:BS18" si="5">BS7+1</f>
        <v>3</v>
      </c>
    </row>
    <row r="9" spans="1:71" ht="18" customHeight="1" thickBot="1" x14ac:dyDescent="0.35">
      <c r="A9" s="766" t="s">
        <v>199</v>
      </c>
      <c r="B9" s="766"/>
      <c r="C9" s="788">
        <v>44370</v>
      </c>
      <c r="D9" s="788"/>
      <c r="E9" s="362"/>
      <c r="F9" s="345"/>
      <c r="G9" s="426">
        <f>1</f>
        <v>1</v>
      </c>
      <c r="H9" s="427">
        <f t="shared" ref="H9:H18" si="6">IF((OR(DAY($AA$54)=29,DAY($AA$54)=30,DAY($AA$54)=31)),(EDATE($C$9-3,G9)),(IF((OR(DAY($AA$54)=1,DAY($AA$54)=2,DAY($AA$54)=3)),(EDATE($C$9,G9)+3),EDATE($C$9,G9))))</f>
        <v>44400</v>
      </c>
      <c r="I9" s="423">
        <f t="shared" ref="I9:I40" si="7">IF(AND(G9&gt;=$T$22,G9&lt;=$T$22+2),$T$23,IF(AND(Q8+L9+J9&gt;I8,I8&lt;&gt;0),$C$24,IF(Q8=0,0,Q8+L9+J9+J10)))</f>
        <v>30288</v>
      </c>
      <c r="J9" s="423">
        <f t="shared" ref="J9:J40" si="8">IF(AND(G9&gt;=$T$22,G9&lt;=$T$22+2),0,IF($C$9&gt;$AC$51,ROUND(Q8*$AA$15*((H9-DATE(YEAR(H9),MONTH(H9),1)+1)/(DATE(YEAR(H9)+1,1,1)-DATE(YEAR(H9),1,1))+(EOMONTH(H8,0)-H8)/(DATE(YEAR(H8)+1,1,1)-DATE(YEAR(H8),1,1))),2),0))</f>
        <v>16958.8</v>
      </c>
      <c r="K9" s="423">
        <f>IF(S9=0,0,IF(S9=1,Q8,IF(Q8+L9+J9&gt;I8,I9-J9-L9,Q8)))</f>
        <v>13329.2</v>
      </c>
      <c r="L9" s="423">
        <f>IF(N9&gt;$C$24,$C$24-J9,IF(S9=0,0,P9)+AF51)</f>
        <v>0</v>
      </c>
      <c r="M9" s="423">
        <f>O8-L8</f>
        <v>0</v>
      </c>
      <c r="N9" s="423">
        <f>J9+O9</f>
        <v>16958.8</v>
      </c>
      <c r="O9" s="423">
        <f>IF(S9=0,0,0)</f>
        <v>0</v>
      </c>
      <c r="P9" s="423">
        <f>IF(S9=0,0,0)</f>
        <v>0</v>
      </c>
      <c r="Q9" s="423">
        <f>IF(OR(S9=M151,Q8=0),0,Q8-K9)</f>
        <v>1207570.8</v>
      </c>
      <c r="R9" s="36">
        <f>C10</f>
        <v>60</v>
      </c>
      <c r="S9" s="36">
        <f t="shared" ref="S9:S40" si="9">IF(ISERR(CEILING(FLOOR(NPER($C$12/12,-$AA$55,Q8),0.1),1))=TRUE,0,CEILING(FLOOR(NPER($C$12/12,-$AA$55,Q8),0.1),1))</f>
        <v>60</v>
      </c>
      <c r="T9" s="15">
        <v>9.9000000000000005E-2</v>
      </c>
      <c r="U9" s="15">
        <f t="shared" si="1"/>
        <v>9.9000000000000005E-2</v>
      </c>
      <c r="V9" s="15">
        <f t="shared" si="1"/>
        <v>9.9000000000000005E-2</v>
      </c>
      <c r="W9" s="15">
        <f t="shared" si="1"/>
        <v>9.9000000000000005E-2</v>
      </c>
      <c r="X9" s="15">
        <f t="shared" si="1"/>
        <v>9.9000000000000005E-2</v>
      </c>
      <c r="Y9" s="15"/>
      <c r="Z9" s="132"/>
      <c r="AA9" s="147"/>
      <c r="AB9" s="147"/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438">
        <f>1</f>
        <v>1</v>
      </c>
      <c r="AN9" s="439">
        <f t="shared" ref="AN9:AN18" si="10">IF((OR(DAY($AA$54)=29,DAY($AA$54)=30,DAY($AA$54)=31)),(EDATE($C$9-3,AM9)),(IF((OR(DAY($AA$54)=1,DAY($AA$54)=2,DAY($AA$54)=3)),(EDATE($C$9,AM9)+3),EDATE($C$9,AM9))))</f>
        <v>44400</v>
      </c>
      <c r="AO9" s="435">
        <f t="shared" ref="AO9:AO40" si="11">IF(AND(G9&gt;=$T$22,G9&lt;=$T$22+2),$T$23,IF(AND(BB8+AR9+AP9&gt;AO8,AO8&lt;&gt;0),$D$24,IF(BB8=0,0,BB8+AR9+AP9+AP10)))</f>
        <v>30731</v>
      </c>
      <c r="AP9" s="435">
        <f t="shared" ref="AP9:AP40" si="12">IF(AND(G9&gt;=$T$22,G9&lt;=$T$22+2),0,IF($C$9&gt;$AC$51,ROUND(BB8*$AB$15*((AN9-DATE(YEAR(AN9),MONTH(AN9),1)+1)/(DATE(YEAR(AN9)+1,1,1)-DATE(YEAR(AN9),1,1))+(EOMONTH(AN8,0)-AN8)/(DATE(YEAR(AN8)+1,1,1)-DATE(YEAR(AN8),1,1))),2),0))</f>
        <v>19004.23</v>
      </c>
      <c r="AQ9" s="435">
        <f>IF(BD9=0,0,IF(BD9=1,BB8,IF(BB8+AR9+AP9&gt;AO8,AO9-AP9-AR9,BB8)))</f>
        <v>11726.77</v>
      </c>
      <c r="AR9" s="435">
        <f t="shared" ref="AR9:AR40" si="13">IF(AT9&gt;$D$24,$D$24-AP9,IF(BD9=0,0,AV9)+BS57)</f>
        <v>0</v>
      </c>
      <c r="AS9" s="435"/>
      <c r="AT9" s="435">
        <f>AP9+AU9</f>
        <v>19004.23</v>
      </c>
      <c r="AU9" s="435">
        <f>IF(BD9=0,0,0)</f>
        <v>0</v>
      </c>
      <c r="AV9" s="435">
        <f>IF(BD9=0,0,0)</f>
        <v>0</v>
      </c>
      <c r="AW9" s="435"/>
      <c r="AX9" s="435"/>
      <c r="AY9" s="435"/>
      <c r="AZ9" s="435"/>
      <c r="BA9" s="435"/>
      <c r="BB9" s="435">
        <f>IF(OR(BD9=1,BB8=0),0,BB8-AQ9)</f>
        <v>1150173.23</v>
      </c>
      <c r="BC9" s="108">
        <f>C10</f>
        <v>60</v>
      </c>
      <c r="BD9" s="108">
        <f t="shared" ref="BD9:BD18" si="14">IF(ISERR(CEILING(FLOOR(NPER($C$12/12,-$AA$55,BB8),0.1),1))=TRUE,0,CEILING(FLOOR(NPER($C$12/12,-$AA$55,BB8),0.1),1))</f>
        <v>56</v>
      </c>
      <c r="BE9" s="22">
        <f t="shared" si="3"/>
        <v>44400</v>
      </c>
      <c r="BF9" s="108">
        <f t="shared" ref="BF9:BF18" si="15">I9</f>
        <v>30288</v>
      </c>
      <c r="BQ9" s="2">
        <f t="shared" si="4"/>
        <v>3</v>
      </c>
      <c r="BR9" s="398">
        <f t="shared" si="2"/>
        <v>44440</v>
      </c>
      <c r="BS9" s="2">
        <f t="shared" si="5"/>
        <v>4</v>
      </c>
    </row>
    <row r="10" spans="1:71" ht="18" customHeight="1" x14ac:dyDescent="0.3">
      <c r="A10" s="766" t="s">
        <v>198</v>
      </c>
      <c r="B10" s="766"/>
      <c r="C10" s="787">
        <v>60</v>
      </c>
      <c r="D10" s="787"/>
      <c r="E10" s="362"/>
      <c r="F10" s="345"/>
      <c r="G10" s="426">
        <f>G9+1</f>
        <v>2</v>
      </c>
      <c r="H10" s="427">
        <f t="shared" si="6"/>
        <v>44431</v>
      </c>
      <c r="I10" s="423">
        <f t="shared" si="7"/>
        <v>30288</v>
      </c>
      <c r="J10" s="423">
        <f t="shared" si="8"/>
        <v>17332.78</v>
      </c>
      <c r="K10" s="423">
        <f t="shared" ref="K10:K40" si="16">IF(S10=0,0,IF(S10=1,Q9,IF(Q9+L10+J10&gt;I9,I10-J10-L10,Q9)))</f>
        <v>12955.220000000001</v>
      </c>
      <c r="L10" s="423">
        <f t="shared" ref="L10:L41" si="17">IF(N10&gt;$C$24,$C$24-J10,IF(S10=0,0,O10))</f>
        <v>0</v>
      </c>
      <c r="M10" s="423">
        <f>O9-L9</f>
        <v>0</v>
      </c>
      <c r="N10" s="423">
        <f t="shared" ref="N10:N85" si="18">J10+O10</f>
        <v>17332.78</v>
      </c>
      <c r="O10" s="423">
        <f t="shared" ref="O10:O67" si="19">IF(S10=0,0,0)</f>
        <v>0</v>
      </c>
      <c r="P10" s="423">
        <f t="shared" ref="P10:P67" si="20">IF(S10=0,0,0)</f>
        <v>0</v>
      </c>
      <c r="Q10" s="423">
        <f t="shared" ref="Q10:Q40" si="21">IF(OR(S10=1,Q9=0),0,Q9-K10)</f>
        <v>1194615.58</v>
      </c>
      <c r="R10" s="36">
        <f>IF((R9-1)&lt;0,0,R9-1)</f>
        <v>59</v>
      </c>
      <c r="S10" s="36">
        <f t="shared" si="9"/>
        <v>59</v>
      </c>
      <c r="T10" s="15">
        <v>0.109</v>
      </c>
      <c r="U10" s="15">
        <f t="shared" si="1"/>
        <v>0.109</v>
      </c>
      <c r="V10" s="15">
        <f t="shared" si="1"/>
        <v>0.109</v>
      </c>
      <c r="W10" s="15">
        <f t="shared" si="1"/>
        <v>0.109</v>
      </c>
      <c r="X10" s="15">
        <f t="shared" si="1"/>
        <v>0.109</v>
      </c>
      <c r="Y10" s="15"/>
      <c r="Z10" s="15"/>
      <c r="AA10" s="147"/>
      <c r="AB10" s="147"/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3" si="22">IF(OR(AO10="",AO10=0),0,1)</f>
        <v>1</v>
      </c>
      <c r="AM10" s="438">
        <f>AM9+1</f>
        <v>2</v>
      </c>
      <c r="AN10" s="439">
        <f t="shared" si="10"/>
        <v>44431</v>
      </c>
      <c r="AO10" s="435">
        <f t="shared" si="11"/>
        <v>30731</v>
      </c>
      <c r="AP10" s="435">
        <f t="shared" si="12"/>
        <v>19439.5</v>
      </c>
      <c r="AQ10" s="435">
        <f t="shared" ref="AQ10:AQ18" si="23">IF(BD10=0,0,IF(BD10=1,BB9,IF(BB9+AR10+AP10&gt;AO9,AO10-AP10-AR10,BB9)))</f>
        <v>11291.5</v>
      </c>
      <c r="AR10" s="435">
        <f t="shared" si="13"/>
        <v>0</v>
      </c>
      <c r="AS10" s="435">
        <f>AU9-AR9</f>
        <v>0</v>
      </c>
      <c r="AT10" s="435">
        <f t="shared" ref="AT10:AT85" si="24">AP10+AU10</f>
        <v>19439.5</v>
      </c>
      <c r="AU10" s="435">
        <f t="shared" ref="AU10:AU18" si="25">IF(BD10=0,0,0)</f>
        <v>0</v>
      </c>
      <c r="AV10" s="435">
        <f t="shared" ref="AV10:AV18" si="26">IF(BD10=0,0,0)</f>
        <v>0</v>
      </c>
      <c r="AW10" s="435"/>
      <c r="AX10" s="435"/>
      <c r="AY10" s="435"/>
      <c r="AZ10" s="435"/>
      <c r="BA10" s="435"/>
      <c r="BB10" s="435">
        <f t="shared" ref="BB10:BB18" si="27">IF(OR(BD10=1,BB9=0),0,BB9-AQ10)</f>
        <v>1138881.73</v>
      </c>
      <c r="BC10" s="108">
        <f>IF((BC9-1)&lt;0,0,BC9-1)</f>
        <v>59</v>
      </c>
      <c r="BD10" s="108">
        <f t="shared" si="14"/>
        <v>55</v>
      </c>
      <c r="BE10" s="22">
        <f t="shared" si="3"/>
        <v>44431</v>
      </c>
      <c r="BF10" s="108">
        <f t="shared" si="15"/>
        <v>30288</v>
      </c>
      <c r="BI10" s="784" t="s">
        <v>90</v>
      </c>
      <c r="BJ10" s="777" t="s">
        <v>85</v>
      </c>
      <c r="BK10" s="129" t="s">
        <v>84</v>
      </c>
      <c r="BQ10" s="2">
        <f t="shared" si="4"/>
        <v>4</v>
      </c>
      <c r="BR10" s="398">
        <f t="shared" si="2"/>
        <v>44470</v>
      </c>
      <c r="BS10" s="2">
        <f t="shared" si="5"/>
        <v>5</v>
      </c>
    </row>
    <row r="11" spans="1:71" ht="18" customHeight="1" thickBot="1" x14ac:dyDescent="0.35">
      <c r="A11" s="766" t="s">
        <v>271</v>
      </c>
      <c r="B11" s="766"/>
      <c r="C11" s="221" t="s">
        <v>33</v>
      </c>
      <c r="D11" s="221" t="s">
        <v>33</v>
      </c>
      <c r="E11" s="363"/>
      <c r="F11" s="346"/>
      <c r="G11" s="426">
        <f>G10+1</f>
        <v>3</v>
      </c>
      <c r="H11" s="427">
        <f t="shared" si="6"/>
        <v>44462</v>
      </c>
      <c r="I11" s="423">
        <f t="shared" si="7"/>
        <v>30288</v>
      </c>
      <c r="J11" s="423">
        <f t="shared" si="8"/>
        <v>17146.82</v>
      </c>
      <c r="K11" s="423">
        <f t="shared" si="16"/>
        <v>13141.18</v>
      </c>
      <c r="L11" s="423">
        <f t="shared" si="17"/>
        <v>0</v>
      </c>
      <c r="M11" s="423">
        <f>O10-L10</f>
        <v>0</v>
      </c>
      <c r="N11" s="423">
        <f t="shared" si="18"/>
        <v>17146.82</v>
      </c>
      <c r="O11" s="423">
        <f t="shared" si="19"/>
        <v>0</v>
      </c>
      <c r="P11" s="423">
        <f t="shared" si="20"/>
        <v>0</v>
      </c>
      <c r="Q11" s="423">
        <f t="shared" si="21"/>
        <v>1181474.4000000001</v>
      </c>
      <c r="R11" s="36">
        <f>IF((R10-1)&lt;0,0,R10-1)</f>
        <v>58</v>
      </c>
      <c r="S11" s="36">
        <f t="shared" si="9"/>
        <v>58</v>
      </c>
      <c r="T11" s="15">
        <v>0.11899999999999999</v>
      </c>
      <c r="U11" s="15">
        <f t="shared" si="1"/>
        <v>0.11899999999999999</v>
      </c>
      <c r="V11" s="15">
        <f t="shared" si="1"/>
        <v>0.11899999999999999</v>
      </c>
      <c r="W11" s="15">
        <f t="shared" si="1"/>
        <v>0.11899999999999999</v>
      </c>
      <c r="X11" s="15">
        <f t="shared" si="1"/>
        <v>0.11899999999999999</v>
      </c>
      <c r="Y11" s="15"/>
      <c r="Z11" s="15"/>
      <c r="AA11" s="147"/>
      <c r="AB11" s="147"/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2"/>
        <v>1</v>
      </c>
      <c r="AM11" s="438">
        <f>AM10+1</f>
        <v>3</v>
      </c>
      <c r="AN11" s="439">
        <f t="shared" si="10"/>
        <v>44462</v>
      </c>
      <c r="AO11" s="435">
        <f t="shared" si="11"/>
        <v>30731</v>
      </c>
      <c r="AP11" s="435">
        <f t="shared" si="12"/>
        <v>19248.66</v>
      </c>
      <c r="AQ11" s="435">
        <f t="shared" si="23"/>
        <v>11482.34</v>
      </c>
      <c r="AR11" s="435">
        <f t="shared" si="13"/>
        <v>0</v>
      </c>
      <c r="AS11" s="435">
        <f>AU10-AR10</f>
        <v>0</v>
      </c>
      <c r="AT11" s="435">
        <f t="shared" si="24"/>
        <v>19248.66</v>
      </c>
      <c r="AU11" s="435">
        <f t="shared" si="25"/>
        <v>0</v>
      </c>
      <c r="AV11" s="435">
        <f t="shared" si="26"/>
        <v>0</v>
      </c>
      <c r="AW11" s="435"/>
      <c r="AX11" s="435"/>
      <c r="AY11" s="435"/>
      <c r="AZ11" s="435"/>
      <c r="BA11" s="435"/>
      <c r="BB11" s="435">
        <f t="shared" si="27"/>
        <v>1127399.3899999999</v>
      </c>
      <c r="BC11" s="108">
        <f>IF((BC10-1)&lt;0,0,BC10-1)</f>
        <v>58</v>
      </c>
      <c r="BD11" s="108">
        <f t="shared" si="14"/>
        <v>54</v>
      </c>
      <c r="BE11" s="22">
        <f t="shared" si="3"/>
        <v>44462</v>
      </c>
      <c r="BF11" s="108">
        <f t="shared" si="15"/>
        <v>30288</v>
      </c>
      <c r="BI11" s="785"/>
      <c r="BJ11" s="778"/>
      <c r="BK11" s="128" t="s">
        <v>91</v>
      </c>
      <c r="BQ11" s="2">
        <f t="shared" si="4"/>
        <v>5</v>
      </c>
      <c r="BR11" s="398">
        <f t="shared" si="2"/>
        <v>44501</v>
      </c>
      <c r="BS11" s="2">
        <f t="shared" si="5"/>
        <v>6</v>
      </c>
    </row>
    <row r="12" spans="1:71" ht="19.899999999999999" customHeight="1" thickBot="1" x14ac:dyDescent="0.35">
      <c r="A12" s="780" t="s">
        <v>272</v>
      </c>
      <c r="B12" s="781"/>
      <c r="C12" s="220">
        <v>0.16900000000000001</v>
      </c>
      <c r="D12" s="220">
        <v>0.19900000000000001</v>
      </c>
      <c r="E12" s="364">
        <f>$C$12-D12</f>
        <v>-0.03</v>
      </c>
      <c r="F12" s="325"/>
      <c r="G12" s="426">
        <f t="shared" ref="G12:G74" si="28">G11+1</f>
        <v>4</v>
      </c>
      <c r="H12" s="427">
        <f t="shared" si="6"/>
        <v>44492</v>
      </c>
      <c r="I12" s="423">
        <f t="shared" si="7"/>
        <v>30288</v>
      </c>
      <c r="J12" s="423">
        <f t="shared" si="8"/>
        <v>16411.16</v>
      </c>
      <c r="K12" s="423">
        <f t="shared" si="16"/>
        <v>13876.84</v>
      </c>
      <c r="L12" s="423">
        <f t="shared" si="17"/>
        <v>0</v>
      </c>
      <c r="M12" s="423">
        <f t="shared" ref="M12:M85" si="29">O11-L11</f>
        <v>0</v>
      </c>
      <c r="N12" s="423">
        <f t="shared" si="18"/>
        <v>16411.16</v>
      </c>
      <c r="O12" s="423">
        <f t="shared" si="19"/>
        <v>0</v>
      </c>
      <c r="P12" s="423">
        <f t="shared" si="20"/>
        <v>0</v>
      </c>
      <c r="Q12" s="423">
        <f t="shared" si="21"/>
        <v>1167597.56</v>
      </c>
      <c r="R12" s="36">
        <f t="shared" ref="R12:R75" si="30">IF((R11-1)&lt;0,0,R11-1)</f>
        <v>57</v>
      </c>
      <c r="S12" s="36">
        <f t="shared" si="9"/>
        <v>57</v>
      </c>
      <c r="T12" s="15">
        <v>0.129</v>
      </c>
      <c r="U12" s="15">
        <f t="shared" si="1"/>
        <v>0.129</v>
      </c>
      <c r="V12" s="15">
        <f t="shared" si="1"/>
        <v>0.129</v>
      </c>
      <c r="W12" s="15">
        <f t="shared" si="1"/>
        <v>0.129</v>
      </c>
      <c r="X12" s="15">
        <f t="shared" si="1"/>
        <v>0.129</v>
      </c>
      <c r="Y12" s="15"/>
      <c r="Z12" s="15"/>
      <c r="AA12" s="147"/>
      <c r="AB12" s="147"/>
      <c r="AC12" s="15"/>
      <c r="AD12" s="15"/>
      <c r="AE12" s="15"/>
      <c r="AF12" s="15"/>
      <c r="AG12" s="15"/>
      <c r="AH12" s="15"/>
      <c r="AI12" s="15"/>
      <c r="AK12" s="57"/>
      <c r="AL12" s="130">
        <f t="shared" si="22"/>
        <v>1</v>
      </c>
      <c r="AM12" s="438">
        <f t="shared" ref="AM12:AM74" si="31">AM11+1</f>
        <v>4</v>
      </c>
      <c r="AN12" s="439">
        <f t="shared" si="10"/>
        <v>44492</v>
      </c>
      <c r="AO12" s="435">
        <f t="shared" si="11"/>
        <v>30731</v>
      </c>
      <c r="AP12" s="435">
        <f t="shared" si="12"/>
        <v>18439.93</v>
      </c>
      <c r="AQ12" s="435">
        <f t="shared" si="23"/>
        <v>12291.07</v>
      </c>
      <c r="AR12" s="435">
        <f t="shared" si="13"/>
        <v>0</v>
      </c>
      <c r="AS12" s="435">
        <f t="shared" ref="AS12:AS13" si="32">AU11-AR11</f>
        <v>0</v>
      </c>
      <c r="AT12" s="435">
        <f t="shared" si="24"/>
        <v>18439.93</v>
      </c>
      <c r="AU12" s="435">
        <f t="shared" si="25"/>
        <v>0</v>
      </c>
      <c r="AV12" s="435">
        <f t="shared" si="26"/>
        <v>0</v>
      </c>
      <c r="AW12" s="435"/>
      <c r="AX12" s="435"/>
      <c r="AY12" s="435"/>
      <c r="AZ12" s="435"/>
      <c r="BA12" s="435"/>
      <c r="BB12" s="435">
        <f t="shared" si="27"/>
        <v>1115108.3199999998</v>
      </c>
      <c r="BC12" s="108">
        <f t="shared" ref="BC12:BC80" si="33">IF((BC11-1)&lt;0,0,BC11-1)</f>
        <v>57</v>
      </c>
      <c r="BD12" s="108">
        <f t="shared" si="14"/>
        <v>54</v>
      </c>
      <c r="BE12" s="22">
        <f t="shared" si="3"/>
        <v>44492</v>
      </c>
      <c r="BF12" s="108">
        <f t="shared" si="15"/>
        <v>30288</v>
      </c>
      <c r="BQ12" s="2">
        <f t="shared" si="4"/>
        <v>6</v>
      </c>
      <c r="BR12" s="398">
        <f t="shared" si="2"/>
        <v>44531</v>
      </c>
      <c r="BS12" s="2">
        <f t="shared" si="5"/>
        <v>7</v>
      </c>
    </row>
    <row r="13" spans="1:71" ht="16.899999999999999" customHeight="1" x14ac:dyDescent="0.2">
      <c r="A13" s="768" t="s">
        <v>220</v>
      </c>
      <c r="B13" s="273" t="s">
        <v>224</v>
      </c>
      <c r="C13" s="397" t="s">
        <v>47</v>
      </c>
      <c r="D13" s="397" t="s">
        <v>35</v>
      </c>
      <c r="E13" s="401" t="s">
        <v>270</v>
      </c>
      <c r="F13" s="191"/>
      <c r="G13" s="426">
        <f>G12+1</f>
        <v>5</v>
      </c>
      <c r="H13" s="427">
        <f t="shared" si="6"/>
        <v>44523</v>
      </c>
      <c r="I13" s="423">
        <f t="shared" si="7"/>
        <v>30288</v>
      </c>
      <c r="J13" s="423">
        <f t="shared" si="8"/>
        <v>16759.02</v>
      </c>
      <c r="K13" s="423">
        <f t="shared" si="16"/>
        <v>13528.98</v>
      </c>
      <c r="L13" s="423">
        <f t="shared" si="17"/>
        <v>0</v>
      </c>
      <c r="M13" s="423">
        <f t="shared" si="29"/>
        <v>0</v>
      </c>
      <c r="N13" s="423">
        <f t="shared" si="18"/>
        <v>16759.02</v>
      </c>
      <c r="O13" s="423">
        <f t="shared" si="19"/>
        <v>0</v>
      </c>
      <c r="P13" s="423">
        <f t="shared" si="20"/>
        <v>0</v>
      </c>
      <c r="Q13" s="423">
        <f>IF(OR(S13=1,Q12=0),0,Q12-K13)</f>
        <v>1154068.58</v>
      </c>
      <c r="R13" s="36">
        <f>IF((R12-1)&lt;0,0,R12-1)</f>
        <v>56</v>
      </c>
      <c r="S13" s="36">
        <f t="shared" si="9"/>
        <v>56</v>
      </c>
      <c r="T13" s="15">
        <v>0.13900000000000001</v>
      </c>
      <c r="U13" s="15">
        <f t="shared" si="1"/>
        <v>0.13900000000000001</v>
      </c>
      <c r="V13" s="15">
        <f t="shared" si="1"/>
        <v>0.13900000000000001</v>
      </c>
      <c r="W13" s="15">
        <f t="shared" si="1"/>
        <v>0.13900000000000001</v>
      </c>
      <c r="X13" s="15">
        <f t="shared" si="1"/>
        <v>0.13900000000000001</v>
      </c>
      <c r="Y13" s="15"/>
      <c r="Z13" s="15"/>
      <c r="AA13" s="62"/>
      <c r="AB13" s="62"/>
      <c r="AC13" s="15"/>
      <c r="AD13" s="15"/>
      <c r="AE13" s="15"/>
      <c r="AF13" s="15"/>
      <c r="AG13" s="15"/>
      <c r="AH13" s="15"/>
      <c r="AI13" s="15"/>
      <c r="AL13" s="130">
        <f t="shared" si="22"/>
        <v>1</v>
      </c>
      <c r="AM13" s="440">
        <f>AM12+1</f>
        <v>5</v>
      </c>
      <c r="AN13" s="441">
        <f t="shared" si="10"/>
        <v>44523</v>
      </c>
      <c r="AO13" s="435">
        <f t="shared" si="11"/>
        <v>30731</v>
      </c>
      <c r="AP13" s="435">
        <f t="shared" si="12"/>
        <v>18846.86</v>
      </c>
      <c r="AQ13" s="435">
        <f t="shared" si="23"/>
        <v>11884.14</v>
      </c>
      <c r="AR13" s="435">
        <f t="shared" si="13"/>
        <v>0</v>
      </c>
      <c r="AS13" s="435">
        <f t="shared" si="32"/>
        <v>0</v>
      </c>
      <c r="AT13" s="435">
        <f t="shared" si="24"/>
        <v>18846.86</v>
      </c>
      <c r="AU13" s="435">
        <f t="shared" si="25"/>
        <v>0</v>
      </c>
      <c r="AV13" s="435">
        <f t="shared" si="26"/>
        <v>0</v>
      </c>
      <c r="AW13" s="435"/>
      <c r="AX13" s="435"/>
      <c r="AY13" s="435"/>
      <c r="AZ13" s="435"/>
      <c r="BA13" s="435"/>
      <c r="BB13" s="435">
        <f t="shared" si="27"/>
        <v>1103224.18</v>
      </c>
      <c r="BC13" s="108">
        <f>IF((BC12-1)&lt;0,0,BC12-1)</f>
        <v>56</v>
      </c>
      <c r="BD13" s="108">
        <f t="shared" si="14"/>
        <v>53</v>
      </c>
      <c r="BE13" s="22">
        <f t="shared" si="3"/>
        <v>44523</v>
      </c>
      <c r="BF13" s="108">
        <f t="shared" si="15"/>
        <v>30288</v>
      </c>
      <c r="BI13" s="784" t="s">
        <v>92</v>
      </c>
      <c r="BJ13" s="777" t="s">
        <v>85</v>
      </c>
      <c r="BK13" s="129" t="s">
        <v>90</v>
      </c>
      <c r="BQ13" s="2">
        <f t="shared" si="4"/>
        <v>7</v>
      </c>
      <c r="BR13" s="398">
        <f t="shared" si="2"/>
        <v>44562</v>
      </c>
      <c r="BS13" s="2">
        <f t="shared" si="5"/>
        <v>8</v>
      </c>
    </row>
    <row r="14" spans="1:71" ht="18" customHeight="1" thickBot="1" x14ac:dyDescent="0.35">
      <c r="A14" s="768"/>
      <c r="B14" s="186" t="s">
        <v>223</v>
      </c>
      <c r="C14" s="402">
        <f>IF(OR(C8="Гарантия стандарт",C8="Гарантия пакет",C8="Гарантия плюс"),"",IF(C12&lt;11.9%,0,IF(C13="Да",IF(C11=$T$3,T28,IF(C11=$V$3,V28,IF(C11=$W$3,W28,IF(C11=$X$3,X28,IF(C11=$U$3,U28,X28)))))-IF(AND(C11&lt;&gt;"Базовый",C12=11.9%),1%,0),"")))</f>
        <v>9.9000000000000005E-2</v>
      </c>
      <c r="D14" s="399" t="str">
        <f>IF(OR(D8="Гарантия стандарт",D8="Гарантия пакет",D8="Гарантия плюс"),"",IF(D12&lt;11.9%,0,IF(D13="Да",IF(D11=$T$3,T28,IF(D11=$U$3,U28,IF(D11=$V$3,V28,IF(D11=$W$3,W28,IF(D11=$X$3,X28,Y21)))))-IF(AND(D11&lt;&gt;"Базовый",D12=11.9%),1%,0),"")))</f>
        <v/>
      </c>
      <c r="E14" s="363">
        <f>IF(OR(D14="",D14=0),C14,IF(OR(C14="",C14=0),D14,C14-D14))</f>
        <v>9.9000000000000005E-2</v>
      </c>
      <c r="F14" s="346"/>
      <c r="G14" s="426">
        <f>G13+1</f>
        <v>6</v>
      </c>
      <c r="H14" s="427">
        <f t="shared" si="6"/>
        <v>44553</v>
      </c>
      <c r="I14" s="423">
        <f t="shared" si="7"/>
        <v>30288</v>
      </c>
      <c r="J14" s="423">
        <f t="shared" si="8"/>
        <v>16030.49</v>
      </c>
      <c r="K14" s="423">
        <f t="shared" si="16"/>
        <v>14257.51</v>
      </c>
      <c r="L14" s="423">
        <f t="shared" si="17"/>
        <v>0</v>
      </c>
      <c r="M14" s="423">
        <f>O13-L13</f>
        <v>0</v>
      </c>
      <c r="N14" s="423">
        <f t="shared" si="18"/>
        <v>16030.49</v>
      </c>
      <c r="O14" s="423">
        <f t="shared" si="19"/>
        <v>0</v>
      </c>
      <c r="P14" s="423">
        <f t="shared" si="20"/>
        <v>0</v>
      </c>
      <c r="Q14" s="423">
        <f t="shared" si="21"/>
        <v>1139811.07</v>
      </c>
      <c r="R14" s="36">
        <f>IF((R13-1)&lt;0,0,R13-1)</f>
        <v>55</v>
      </c>
      <c r="S14" s="36">
        <f t="shared" si="9"/>
        <v>55</v>
      </c>
      <c r="T14" s="101">
        <v>0.14899999999999999</v>
      </c>
      <c r="U14" s="15">
        <f t="shared" si="1"/>
        <v>0.14899999999999999</v>
      </c>
      <c r="V14" s="15">
        <f t="shared" si="1"/>
        <v>0.14899999999999999</v>
      </c>
      <c r="W14" s="15">
        <f t="shared" si="1"/>
        <v>0.14899999999999999</v>
      </c>
      <c r="X14" s="15">
        <f t="shared" si="1"/>
        <v>0.14899999999999999</v>
      </c>
      <c r="Y14" s="15"/>
      <c r="Z14" s="15"/>
      <c r="AA14" s="15">
        <f>$C$12</f>
        <v>0.16900000000000001</v>
      </c>
      <c r="AB14" s="15">
        <f>D12</f>
        <v>0.19900000000000001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2"/>
        <v>1</v>
      </c>
      <c r="AM14" s="438">
        <f>AM13+1</f>
        <v>6</v>
      </c>
      <c r="AN14" s="439">
        <f t="shared" si="10"/>
        <v>44553</v>
      </c>
      <c r="AO14" s="435">
        <f t="shared" si="11"/>
        <v>30731</v>
      </c>
      <c r="AP14" s="435">
        <f t="shared" si="12"/>
        <v>18044.52</v>
      </c>
      <c r="AQ14" s="435">
        <f t="shared" si="23"/>
        <v>12686.48</v>
      </c>
      <c r="AR14" s="435">
        <f t="shared" si="13"/>
        <v>0</v>
      </c>
      <c r="AS14" s="435">
        <f>AU13-AR13</f>
        <v>0</v>
      </c>
      <c r="AT14" s="435">
        <f t="shared" si="24"/>
        <v>18044.52</v>
      </c>
      <c r="AU14" s="435">
        <f t="shared" si="25"/>
        <v>0</v>
      </c>
      <c r="AV14" s="435">
        <f t="shared" si="26"/>
        <v>0</v>
      </c>
      <c r="AW14" s="435"/>
      <c r="AX14" s="435"/>
      <c r="AY14" s="435"/>
      <c r="AZ14" s="435"/>
      <c r="BA14" s="435"/>
      <c r="BB14" s="435">
        <f t="shared" si="27"/>
        <v>1090537.7</v>
      </c>
      <c r="BC14" s="108">
        <f>IF((BC13-1)&lt;0,0,BC13-1)</f>
        <v>55</v>
      </c>
      <c r="BD14" s="108">
        <f t="shared" si="14"/>
        <v>52</v>
      </c>
      <c r="BE14" s="22">
        <f t="shared" si="3"/>
        <v>44553</v>
      </c>
      <c r="BF14" s="108">
        <f t="shared" si="15"/>
        <v>30288</v>
      </c>
      <c r="BI14" s="785"/>
      <c r="BJ14" s="778"/>
      <c r="BK14" s="128" t="s">
        <v>93</v>
      </c>
      <c r="BQ14" s="2">
        <f t="shared" si="4"/>
        <v>8</v>
      </c>
      <c r="BR14" s="398">
        <f t="shared" si="2"/>
        <v>44593</v>
      </c>
      <c r="BS14" s="2">
        <f t="shared" si="5"/>
        <v>9</v>
      </c>
    </row>
    <row r="15" spans="1:71" ht="18" customHeight="1" x14ac:dyDescent="0.3">
      <c r="A15" s="768"/>
      <c r="B15" s="273" t="s">
        <v>287</v>
      </c>
      <c r="C15" s="360">
        <f>IF(OR(C8="Гарантия стандарт",C8="Гарантия пакет",C8="Гарантия плюс"),"",IF(C12&lt;11.9%,"",IF(C13="Да",IF(C11=$T$3,T29,IF(C11=$V$3,V29,IF(C11=$W$3,W29,IF(C11=$X$3,X29,IF(C11=$U$3,U29,X29))))),"")))</f>
        <v>5.8999999999999997E-2</v>
      </c>
      <c r="D15" s="222" t="str">
        <f>IF(OR(D8="Гарантия стандарт",D8="Гарантия пакет",D8="Гарантия плюс"),"",IF(D12&lt;11.9%,0,IF(D13="Да",IF(D11=$T$3,T38,IF(D11=$U$3,U38,IF(D11=$V$3,V38,IF(D11=$W$3,W38,IF(D11=$X$3,X38,""))))),"")))</f>
        <v/>
      </c>
      <c r="E15" s="364">
        <f t="shared" ref="E15:E18" si="34">IF(D15="",C15,IF(C15="",D15,C15-D15))</f>
        <v>5.8999999999999997E-2</v>
      </c>
      <c r="F15" s="325"/>
      <c r="G15" s="426">
        <f t="shared" si="28"/>
        <v>7</v>
      </c>
      <c r="H15" s="427">
        <f t="shared" si="6"/>
        <v>44584</v>
      </c>
      <c r="I15" s="423">
        <f t="shared" si="7"/>
        <v>30288</v>
      </c>
      <c r="J15" s="423">
        <f t="shared" si="8"/>
        <v>16360.19</v>
      </c>
      <c r="K15" s="423">
        <f>IF(S15=0,0,IF(S15=1,Q14,IF(Q14+L15+J15&gt;I14,I15-J15-L15,Q14)))</f>
        <v>13927.81</v>
      </c>
      <c r="L15" s="423">
        <f t="shared" si="17"/>
        <v>0</v>
      </c>
      <c r="M15" s="423">
        <f t="shared" si="29"/>
        <v>0</v>
      </c>
      <c r="N15" s="423">
        <f t="shared" si="18"/>
        <v>16360.19</v>
      </c>
      <c r="O15" s="423">
        <f t="shared" si="19"/>
        <v>0</v>
      </c>
      <c r="P15" s="423">
        <f t="shared" si="20"/>
        <v>0</v>
      </c>
      <c r="Q15" s="423">
        <f>IF(OR(S15=1,Q14=0),0,Q14-K15)</f>
        <v>1125883.26</v>
      </c>
      <c r="R15" s="36">
        <f t="shared" si="30"/>
        <v>54</v>
      </c>
      <c r="S15" s="36">
        <f t="shared" si="9"/>
        <v>54</v>
      </c>
      <c r="T15" s="15">
        <v>0.159</v>
      </c>
      <c r="U15" s="15">
        <f t="shared" si="1"/>
        <v>0.159</v>
      </c>
      <c r="V15" s="15">
        <f t="shared" si="1"/>
        <v>0.159</v>
      </c>
      <c r="W15" s="15">
        <f t="shared" si="1"/>
        <v>0.159</v>
      </c>
      <c r="X15" s="15">
        <f t="shared" si="1"/>
        <v>0.159</v>
      </c>
      <c r="Y15" s="15"/>
      <c r="Z15" s="15"/>
      <c r="AA15" s="15">
        <f>IF(AND(C8&lt;&gt;"Гарантия стандарт",C8&lt;&gt;"Гарантия пакет",C8&lt;&gt;"Гарантия плюс",C11&lt;&gt;"Базовый"),AA14-2%,AA14)</f>
        <v>0.16900000000000001</v>
      </c>
      <c r="AB15" s="15">
        <f>IF(AND(D8&lt;&gt;"Гарантия стандарт",D8&lt;&gt;"Гарантия пакет",D8&lt;&gt;"Гарантия плюс",D11&lt;&gt;"Базовый"),AB14-2%,AB14)</f>
        <v>0.19900000000000001</v>
      </c>
      <c r="AC15" s="15"/>
      <c r="AD15" s="15"/>
      <c r="AE15" s="15"/>
      <c r="AF15" s="15"/>
      <c r="AG15" s="15"/>
      <c r="AH15" s="15"/>
      <c r="AI15" s="15"/>
      <c r="AL15" s="130">
        <f t="shared" si="22"/>
        <v>1</v>
      </c>
      <c r="AM15" s="438">
        <f t="shared" si="31"/>
        <v>7</v>
      </c>
      <c r="AN15" s="439">
        <f t="shared" si="10"/>
        <v>44584</v>
      </c>
      <c r="AO15" s="435">
        <f t="shared" si="11"/>
        <v>30731</v>
      </c>
      <c r="AP15" s="435">
        <f t="shared" si="12"/>
        <v>18431.580000000002</v>
      </c>
      <c r="AQ15" s="435">
        <f t="shared" si="23"/>
        <v>12299.419999999998</v>
      </c>
      <c r="AR15" s="435">
        <f t="shared" si="13"/>
        <v>0</v>
      </c>
      <c r="AS15" s="435">
        <f t="shared" ref="AS15:AS18" si="35">AU14-AR14</f>
        <v>0</v>
      </c>
      <c r="AT15" s="435">
        <f t="shared" si="24"/>
        <v>18431.580000000002</v>
      </c>
      <c r="AU15" s="435">
        <f t="shared" si="25"/>
        <v>0</v>
      </c>
      <c r="AV15" s="435">
        <f t="shared" si="26"/>
        <v>0</v>
      </c>
      <c r="AW15" s="435"/>
      <c r="AX15" s="435"/>
      <c r="AY15" s="435"/>
      <c r="AZ15" s="435"/>
      <c r="BA15" s="435"/>
      <c r="BB15" s="435">
        <f t="shared" si="27"/>
        <v>1078238.28</v>
      </c>
      <c r="BC15" s="108">
        <f t="shared" si="33"/>
        <v>54</v>
      </c>
      <c r="BD15" s="108">
        <f t="shared" si="14"/>
        <v>51</v>
      </c>
      <c r="BE15" s="22">
        <f t="shared" si="3"/>
        <v>44584</v>
      </c>
      <c r="BF15" s="108">
        <f t="shared" si="15"/>
        <v>30288</v>
      </c>
      <c r="BQ15" s="2">
        <f t="shared" si="4"/>
        <v>9</v>
      </c>
      <c r="BR15" s="398">
        <f t="shared" si="2"/>
        <v>44621</v>
      </c>
      <c r="BS15" s="2">
        <f t="shared" si="5"/>
        <v>10</v>
      </c>
    </row>
    <row r="16" spans="1:71" ht="18" customHeight="1" x14ac:dyDescent="0.3">
      <c r="A16" s="768"/>
      <c r="B16" s="273" t="s">
        <v>221</v>
      </c>
      <c r="C16" s="361">
        <f>IF(OR(C8="Гарантия стандарт",C8="Гарантия пакет",C8="Гарантия плюс"),0,IF(AND(C14&lt;&gt;0,C13&lt;&gt;"нет"),IF(C13="Нет","",ROUND($C$7*C15,2)),""))</f>
        <v>59000</v>
      </c>
      <c r="D16" s="400" t="str">
        <f>IF(OR(D8="Гарантия стандарт",D8="Гарантия пакет",D8="Гарантия плюс"),"",IF(AND(D14&lt;&gt;0,D13&lt;&gt;"нет"),IF(D13="Нет","",ROUND($C$7*D15,2)),""))</f>
        <v/>
      </c>
      <c r="E16" s="365">
        <f t="shared" si="34"/>
        <v>59000</v>
      </c>
      <c r="F16" s="192"/>
      <c r="G16" s="426">
        <f t="shared" si="28"/>
        <v>8</v>
      </c>
      <c r="H16" s="427">
        <f t="shared" si="6"/>
        <v>44615</v>
      </c>
      <c r="I16" s="423">
        <f t="shared" si="7"/>
        <v>30288</v>
      </c>
      <c r="J16" s="423">
        <f t="shared" si="8"/>
        <v>16160.28</v>
      </c>
      <c r="K16" s="423">
        <f t="shared" si="16"/>
        <v>14127.72</v>
      </c>
      <c r="L16" s="423">
        <f t="shared" si="17"/>
        <v>0</v>
      </c>
      <c r="M16" s="423">
        <f t="shared" si="29"/>
        <v>0</v>
      </c>
      <c r="N16" s="423">
        <f t="shared" si="18"/>
        <v>16160.28</v>
      </c>
      <c r="O16" s="423">
        <f t="shared" si="19"/>
        <v>0</v>
      </c>
      <c r="P16" s="423">
        <f t="shared" si="20"/>
        <v>0</v>
      </c>
      <c r="Q16" s="423">
        <f t="shared" si="21"/>
        <v>1111755.54</v>
      </c>
      <c r="R16" s="36">
        <f t="shared" si="30"/>
        <v>53</v>
      </c>
      <c r="S16" s="36">
        <f t="shared" si="9"/>
        <v>53</v>
      </c>
      <c r="T16" s="15">
        <v>0.16900000000000001</v>
      </c>
      <c r="U16" s="15">
        <f t="shared" si="1"/>
        <v>0.16900000000000001</v>
      </c>
      <c r="V16" s="15">
        <f t="shared" si="1"/>
        <v>0.16900000000000001</v>
      </c>
      <c r="W16" s="15">
        <f t="shared" si="1"/>
        <v>0.16900000000000001</v>
      </c>
      <c r="X16" s="15">
        <f t="shared" si="1"/>
        <v>0.16900000000000001</v>
      </c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2"/>
        <v>1</v>
      </c>
      <c r="AM16" s="438">
        <f t="shared" si="31"/>
        <v>8</v>
      </c>
      <c r="AN16" s="439">
        <f t="shared" si="10"/>
        <v>44615</v>
      </c>
      <c r="AO16" s="435">
        <f t="shared" si="11"/>
        <v>30731</v>
      </c>
      <c r="AP16" s="435">
        <f t="shared" si="12"/>
        <v>18223.7</v>
      </c>
      <c r="AQ16" s="435">
        <f t="shared" si="23"/>
        <v>12507.3</v>
      </c>
      <c r="AR16" s="435">
        <f t="shared" si="13"/>
        <v>0</v>
      </c>
      <c r="AS16" s="435">
        <f t="shared" si="35"/>
        <v>0</v>
      </c>
      <c r="AT16" s="435">
        <f t="shared" si="24"/>
        <v>18223.7</v>
      </c>
      <c r="AU16" s="435">
        <f t="shared" si="25"/>
        <v>0</v>
      </c>
      <c r="AV16" s="435">
        <f t="shared" si="26"/>
        <v>0</v>
      </c>
      <c r="AW16" s="435"/>
      <c r="AX16" s="435"/>
      <c r="AY16" s="435"/>
      <c r="AZ16" s="435"/>
      <c r="BA16" s="435"/>
      <c r="BB16" s="435">
        <f t="shared" si="27"/>
        <v>1065730.98</v>
      </c>
      <c r="BC16" s="108">
        <f t="shared" si="33"/>
        <v>53</v>
      </c>
      <c r="BD16" s="108">
        <f t="shared" si="14"/>
        <v>50</v>
      </c>
      <c r="BE16" s="22">
        <f t="shared" si="3"/>
        <v>44615</v>
      </c>
      <c r="BF16" s="108">
        <f t="shared" si="15"/>
        <v>30288</v>
      </c>
      <c r="BQ16" s="2">
        <f>BQ15+1</f>
        <v>10</v>
      </c>
      <c r="BR16" s="398">
        <f t="shared" si="2"/>
        <v>44652</v>
      </c>
      <c r="BS16" s="2">
        <f t="shared" si="5"/>
        <v>11</v>
      </c>
    </row>
    <row r="17" spans="1:388" ht="18" customHeight="1" x14ac:dyDescent="0.3">
      <c r="A17" s="768"/>
      <c r="B17" s="273" t="s">
        <v>222</v>
      </c>
      <c r="C17" s="361">
        <f>IF(OR(C8="Гарантия стандарт",C8="Гарантия пакет",C8="Гарантия плюс"),"",IF(AND($C$14&lt;&gt;0,C13&lt;&gt;"нет"),J109-T156,""))</f>
        <v>246780.94</v>
      </c>
      <c r="D17" s="400" t="str">
        <f>IF(OR(D8="Гарантия стандарт",D8="Гарантия пакет",D8="Гарантия плюс"),"",IF(AND($D$14&lt;&gt;0,$D$13&lt;&gt;"нет"),AP109-BG154,""))</f>
        <v/>
      </c>
      <c r="E17" s="365">
        <f t="shared" si="34"/>
        <v>246780.94</v>
      </c>
      <c r="F17" s="192"/>
      <c r="G17" s="426">
        <f t="shared" si="28"/>
        <v>9</v>
      </c>
      <c r="H17" s="427">
        <f t="shared" si="6"/>
        <v>44643</v>
      </c>
      <c r="I17" s="423">
        <f t="shared" si="7"/>
        <v>30288</v>
      </c>
      <c r="J17" s="423">
        <f t="shared" si="8"/>
        <v>14413.23</v>
      </c>
      <c r="K17" s="423">
        <f t="shared" si="16"/>
        <v>15874.77</v>
      </c>
      <c r="L17" s="423">
        <f t="shared" si="17"/>
        <v>0</v>
      </c>
      <c r="M17" s="423">
        <f t="shared" si="29"/>
        <v>0</v>
      </c>
      <c r="N17" s="423">
        <f t="shared" si="18"/>
        <v>14413.23</v>
      </c>
      <c r="O17" s="423">
        <f t="shared" si="19"/>
        <v>0</v>
      </c>
      <c r="P17" s="423">
        <f t="shared" si="20"/>
        <v>0</v>
      </c>
      <c r="Q17" s="423">
        <f t="shared" si="21"/>
        <v>1095880.77</v>
      </c>
      <c r="R17" s="36">
        <f t="shared" si="30"/>
        <v>52</v>
      </c>
      <c r="S17" s="36">
        <f t="shared" si="9"/>
        <v>52</v>
      </c>
      <c r="T17" s="15">
        <v>0.17499999999999999</v>
      </c>
      <c r="U17" s="15">
        <f t="shared" si="1"/>
        <v>0.17499999999999999</v>
      </c>
      <c r="V17" s="15">
        <f t="shared" si="1"/>
        <v>0.17499999999999999</v>
      </c>
      <c r="W17" s="15">
        <f t="shared" si="1"/>
        <v>0.17499999999999999</v>
      </c>
      <c r="X17" s="15">
        <f t="shared" si="1"/>
        <v>0.17499999999999999</v>
      </c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2"/>
        <v>1</v>
      </c>
      <c r="AM17" s="438">
        <f t="shared" si="31"/>
        <v>9</v>
      </c>
      <c r="AN17" s="439">
        <f t="shared" si="10"/>
        <v>44643</v>
      </c>
      <c r="AO17" s="435">
        <f t="shared" si="11"/>
        <v>30731</v>
      </c>
      <c r="AP17" s="435">
        <f t="shared" si="12"/>
        <v>16269.19</v>
      </c>
      <c r="AQ17" s="435">
        <f t="shared" si="23"/>
        <v>14461.81</v>
      </c>
      <c r="AR17" s="435">
        <f t="shared" si="13"/>
        <v>0</v>
      </c>
      <c r="AS17" s="435">
        <f t="shared" si="35"/>
        <v>0</v>
      </c>
      <c r="AT17" s="435">
        <f t="shared" si="24"/>
        <v>16269.19</v>
      </c>
      <c r="AU17" s="435">
        <f t="shared" si="25"/>
        <v>0</v>
      </c>
      <c r="AV17" s="435">
        <f t="shared" si="26"/>
        <v>0</v>
      </c>
      <c r="AW17" s="435"/>
      <c r="AX17" s="435"/>
      <c r="AY17" s="435"/>
      <c r="AZ17" s="435"/>
      <c r="BA17" s="435"/>
      <c r="BB17" s="435">
        <f t="shared" si="27"/>
        <v>1051269.17</v>
      </c>
      <c r="BC17" s="108">
        <f t="shared" si="33"/>
        <v>52</v>
      </c>
      <c r="BD17" s="108">
        <f t="shared" si="14"/>
        <v>49</v>
      </c>
      <c r="BE17" s="22">
        <f t="shared" si="3"/>
        <v>44643</v>
      </c>
      <c r="BF17" s="108">
        <f t="shared" si="15"/>
        <v>30288</v>
      </c>
      <c r="BQ17" s="2">
        <f t="shared" ref="BQ17:BQ18" si="36">BQ16+1</f>
        <v>11</v>
      </c>
      <c r="BR17" s="398">
        <f t="shared" si="2"/>
        <v>44682</v>
      </c>
      <c r="BS17" s="2">
        <f t="shared" si="5"/>
        <v>12</v>
      </c>
    </row>
    <row r="18" spans="1:388" ht="18" customHeight="1" thickBot="1" x14ac:dyDescent="0.35">
      <c r="A18" s="768"/>
      <c r="B18" s="406" t="s">
        <v>77</v>
      </c>
      <c r="C18" s="360">
        <f>IF(OR(C8="Гарантия стандарт",C8="Гарантия пакет",C8="Гарантия плюс"),"",IF(AND($C$14&lt;&gt;0,C13&lt;&gt;"нет"),IF(C13="Нет","",C17/C7),""))</f>
        <v>0.24678094</v>
      </c>
      <c r="D18" s="222" t="str">
        <f>IF(OR(D8="Гарантия стандарт",D8="Гарантия пакет",D8="Гарантия плюс"),"",IF(AND($D$14&lt;&gt;0,$D$13&lt;&gt;"нет"),IF(D13="Нет","",D17/C7),""))</f>
        <v/>
      </c>
      <c r="E18" s="364">
        <f t="shared" si="34"/>
        <v>0.24678094</v>
      </c>
      <c r="F18" s="325"/>
      <c r="G18" s="426">
        <f t="shared" si="28"/>
        <v>10</v>
      </c>
      <c r="H18" s="427">
        <f t="shared" si="6"/>
        <v>44674</v>
      </c>
      <c r="I18" s="423">
        <f t="shared" si="7"/>
        <v>30288</v>
      </c>
      <c r="J18" s="423">
        <f t="shared" si="8"/>
        <v>15729.64</v>
      </c>
      <c r="K18" s="423">
        <f t="shared" si="16"/>
        <v>14558.36</v>
      </c>
      <c r="L18" s="423">
        <f t="shared" si="17"/>
        <v>0</v>
      </c>
      <c r="M18" s="423">
        <f t="shared" si="29"/>
        <v>0</v>
      </c>
      <c r="N18" s="423">
        <f t="shared" si="18"/>
        <v>15729.64</v>
      </c>
      <c r="O18" s="423">
        <f t="shared" si="19"/>
        <v>0</v>
      </c>
      <c r="P18" s="423">
        <f t="shared" si="20"/>
        <v>0</v>
      </c>
      <c r="Q18" s="423">
        <f t="shared" si="21"/>
        <v>1081322.4099999999</v>
      </c>
      <c r="R18" s="36">
        <f t="shared" si="30"/>
        <v>51</v>
      </c>
      <c r="S18" s="36">
        <f t="shared" si="9"/>
        <v>51</v>
      </c>
      <c r="T18" s="15">
        <v>0.17899999999999999</v>
      </c>
      <c r="U18" s="15">
        <f t="shared" ref="U18:U21" si="37">T18</f>
        <v>0.17899999999999999</v>
      </c>
      <c r="V18" s="15">
        <f t="shared" ref="V18:V21" si="38">U18</f>
        <v>0.17899999999999999</v>
      </c>
      <c r="W18" s="15">
        <f t="shared" ref="W18:W21" si="39">V18</f>
        <v>0.17899999999999999</v>
      </c>
      <c r="X18" s="15">
        <f t="shared" ref="X18:X21" si="40">W18</f>
        <v>0.17899999999999999</v>
      </c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2"/>
        <v>1</v>
      </c>
      <c r="AM18" s="438">
        <f t="shared" si="31"/>
        <v>10</v>
      </c>
      <c r="AN18" s="439">
        <f t="shared" si="10"/>
        <v>44674</v>
      </c>
      <c r="AO18" s="435">
        <f t="shared" si="11"/>
        <v>30731</v>
      </c>
      <c r="AP18" s="435">
        <f t="shared" si="12"/>
        <v>17767.89</v>
      </c>
      <c r="AQ18" s="435">
        <f t="shared" si="23"/>
        <v>12963.11</v>
      </c>
      <c r="AR18" s="435">
        <f t="shared" si="13"/>
        <v>0</v>
      </c>
      <c r="AS18" s="435">
        <f t="shared" si="35"/>
        <v>0</v>
      </c>
      <c r="AT18" s="435">
        <f t="shared" si="24"/>
        <v>17767.89</v>
      </c>
      <c r="AU18" s="435">
        <f t="shared" si="25"/>
        <v>0</v>
      </c>
      <c r="AV18" s="435">
        <f t="shared" si="26"/>
        <v>0</v>
      </c>
      <c r="AW18" s="435"/>
      <c r="AX18" s="435"/>
      <c r="AY18" s="435"/>
      <c r="AZ18" s="435"/>
      <c r="BA18" s="435"/>
      <c r="BB18" s="435">
        <f t="shared" si="27"/>
        <v>1038306.0599999999</v>
      </c>
      <c r="BC18" s="108">
        <f t="shared" si="33"/>
        <v>51</v>
      </c>
      <c r="BD18" s="108">
        <f t="shared" si="14"/>
        <v>48</v>
      </c>
      <c r="BE18" s="22">
        <f t="shared" si="3"/>
        <v>44674</v>
      </c>
      <c r="BF18" s="108">
        <f t="shared" si="15"/>
        <v>30288</v>
      </c>
      <c r="BQ18" s="2">
        <f t="shared" si="36"/>
        <v>12</v>
      </c>
      <c r="BR18" s="398">
        <f t="shared" si="2"/>
        <v>44713</v>
      </c>
      <c r="BS18" s="2">
        <f t="shared" si="5"/>
        <v>13</v>
      </c>
    </row>
    <row r="19" spans="1:388" ht="19.149999999999999" customHeight="1" x14ac:dyDescent="0.3">
      <c r="A19" s="773" t="s">
        <v>218</v>
      </c>
      <c r="B19" s="347" t="s">
        <v>102</v>
      </c>
      <c r="C19" s="359" t="s">
        <v>20</v>
      </c>
      <c r="D19" s="397" t="s">
        <v>20</v>
      </c>
      <c r="E19" s="401" t="s">
        <v>270</v>
      </c>
      <c r="F19" s="345"/>
      <c r="G19" s="426">
        <f>G18+1</f>
        <v>11</v>
      </c>
      <c r="H19" s="427">
        <f t="shared" ref="H19:H20" si="41">IF((OR(DAY($AA$54)=29,DAY($AA$54)=30,DAY($AA$54)=31)),(EDATE($C$9-3,G19)),(IF((OR(DAY($AA$54)=1,DAY($AA$54)=2,DAY($AA$54)=3)),(EDATE($C$9,G19)+3),EDATE($C$9,G19))))</f>
        <v>44704</v>
      </c>
      <c r="I19" s="423">
        <f t="shared" si="7"/>
        <v>30288</v>
      </c>
      <c r="J19" s="423">
        <f t="shared" si="8"/>
        <v>15020.01</v>
      </c>
      <c r="K19" s="423">
        <f t="shared" si="16"/>
        <v>15267.99</v>
      </c>
      <c r="L19" s="423">
        <f t="shared" si="17"/>
        <v>0</v>
      </c>
      <c r="M19" s="423">
        <f>O18-L18</f>
        <v>0</v>
      </c>
      <c r="N19" s="423">
        <f t="shared" si="18"/>
        <v>15020.01</v>
      </c>
      <c r="O19" s="423">
        <f t="shared" si="19"/>
        <v>0</v>
      </c>
      <c r="P19" s="423">
        <f t="shared" si="20"/>
        <v>0</v>
      </c>
      <c r="Q19" s="423">
        <f t="shared" si="21"/>
        <v>1066054.42</v>
      </c>
      <c r="R19" s="36">
        <f>IF((R18-1)&lt;0,0,R18-1)</f>
        <v>50</v>
      </c>
      <c r="S19" s="36">
        <f t="shared" si="9"/>
        <v>50</v>
      </c>
      <c r="T19" s="15">
        <v>0.189</v>
      </c>
      <c r="U19" s="15">
        <f t="shared" si="37"/>
        <v>0.189</v>
      </c>
      <c r="V19" s="15">
        <f t="shared" si="38"/>
        <v>0.189</v>
      </c>
      <c r="W19" s="15">
        <f t="shared" si="39"/>
        <v>0.189</v>
      </c>
      <c r="X19" s="15">
        <f t="shared" si="40"/>
        <v>0.189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2"/>
        <v>1</v>
      </c>
      <c r="AM19" s="438">
        <f>AM18+1</f>
        <v>11</v>
      </c>
      <c r="AN19" s="439">
        <f t="shared" ref="AN19:AN20" si="42">IF((OR(DAY($AA$54)=29,DAY($AA$54)=30,DAY($AA$54)=31)),(EDATE($C$9-3,AM19)),(IF((OR(DAY($AA$54)=1,DAY($AA$54)=2,DAY($AA$54)=3)),(EDATE($C$9,AM19)+3),EDATE($C$9,AM19))))</f>
        <v>44704</v>
      </c>
      <c r="AO19" s="435">
        <f t="shared" si="11"/>
        <v>30731</v>
      </c>
      <c r="AP19" s="435">
        <f t="shared" si="12"/>
        <v>16982.7</v>
      </c>
      <c r="AQ19" s="435">
        <f t="shared" ref="AQ19:AQ50" si="43">IF(BD25=0,0,IF(BD25=1,BB18,IF(BB18+AR19+AP19&gt;AO18,AO19-AP19-AR19,BB18)))</f>
        <v>13748.3</v>
      </c>
      <c r="AR19" s="435">
        <f t="shared" si="13"/>
        <v>0</v>
      </c>
      <c r="AS19" s="435">
        <f>AU18-AR18</f>
        <v>0</v>
      </c>
      <c r="AT19" s="435">
        <f t="shared" si="24"/>
        <v>16982.7</v>
      </c>
      <c r="AU19" s="435">
        <f t="shared" ref="AU19:AU50" si="44">IF(BD25=0,0,0)</f>
        <v>0</v>
      </c>
      <c r="AV19" s="435">
        <f t="shared" ref="AV19:AV50" si="45">IF(BD25=0,0,0)</f>
        <v>0</v>
      </c>
      <c r="AW19" s="435"/>
      <c r="AX19" s="435"/>
      <c r="AY19" s="435"/>
      <c r="AZ19" s="435"/>
      <c r="BA19" s="435"/>
      <c r="BB19" s="435">
        <f t="shared" ref="BB19:BB50" si="46">IF(OR(BD25=1,BB18=0),0,BB18-AQ19)</f>
        <v>1024557.7599999999</v>
      </c>
      <c r="BC19" s="108"/>
      <c r="BD19" s="108"/>
      <c r="BE19" s="22"/>
      <c r="BF19" s="108"/>
    </row>
    <row r="20" spans="1:388" ht="19.149999999999999" customHeight="1" x14ac:dyDescent="0.2">
      <c r="A20" s="774"/>
      <c r="B20" s="347" t="s">
        <v>105</v>
      </c>
      <c r="C20" s="404">
        <f>IF(OR(C8="Гарантия стандарт",C8="Гарантия пакет",C8="Гарантия плюс"),$T$47,$T$46)</f>
        <v>5900</v>
      </c>
      <c r="D20" s="223">
        <f>IF(OR(D8="Гарантия стандарт",D8="Гарантия пакет",D8="Гарантия плюс"),$U$47,$U$46)</f>
        <v>5900</v>
      </c>
      <c r="E20" s="405"/>
      <c r="F20" s="345"/>
      <c r="G20" s="426">
        <f>G19+1</f>
        <v>12</v>
      </c>
      <c r="H20" s="427">
        <f t="shared" si="41"/>
        <v>44735</v>
      </c>
      <c r="I20" s="423">
        <f t="shared" si="7"/>
        <v>30288</v>
      </c>
      <c r="J20" s="423">
        <f t="shared" si="8"/>
        <v>15301.53</v>
      </c>
      <c r="K20" s="423">
        <f t="shared" si="16"/>
        <v>14986.47</v>
      </c>
      <c r="L20" s="423">
        <f t="shared" si="17"/>
        <v>0</v>
      </c>
      <c r="M20" s="423">
        <f>O19-L19</f>
        <v>0</v>
      </c>
      <c r="N20" s="423">
        <f t="shared" si="18"/>
        <v>15301.53</v>
      </c>
      <c r="O20" s="423">
        <f t="shared" si="19"/>
        <v>0</v>
      </c>
      <c r="P20" s="423">
        <f t="shared" si="20"/>
        <v>0</v>
      </c>
      <c r="Q20" s="423">
        <f t="shared" si="21"/>
        <v>1051067.95</v>
      </c>
      <c r="R20" s="36">
        <f>IF((R19-1)&lt;0,0,R19-1)</f>
        <v>49</v>
      </c>
      <c r="S20" s="36">
        <f t="shared" si="9"/>
        <v>49</v>
      </c>
      <c r="T20" s="15">
        <v>0.19900000000000001</v>
      </c>
      <c r="U20" s="15">
        <f t="shared" si="37"/>
        <v>0.19900000000000001</v>
      </c>
      <c r="V20" s="15">
        <f t="shared" si="38"/>
        <v>0.19900000000000001</v>
      </c>
      <c r="W20" s="15">
        <f t="shared" si="39"/>
        <v>0.19900000000000001</v>
      </c>
      <c r="X20" s="15">
        <f t="shared" si="40"/>
        <v>0.19900000000000001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2"/>
        <v>1</v>
      </c>
      <c r="AM20" s="440">
        <f>AM19+1</f>
        <v>12</v>
      </c>
      <c r="AN20" s="441">
        <f t="shared" si="42"/>
        <v>44735</v>
      </c>
      <c r="AO20" s="435">
        <f t="shared" si="11"/>
        <v>30731</v>
      </c>
      <c r="AP20" s="435">
        <f t="shared" si="12"/>
        <v>17316.43</v>
      </c>
      <c r="AQ20" s="435">
        <f t="shared" si="43"/>
        <v>13414.57</v>
      </c>
      <c r="AR20" s="435">
        <f t="shared" si="13"/>
        <v>0</v>
      </c>
      <c r="AS20" s="435">
        <f>AU19-AR19</f>
        <v>0</v>
      </c>
      <c r="AT20" s="435">
        <f t="shared" si="24"/>
        <v>17316.43</v>
      </c>
      <c r="AU20" s="435">
        <f t="shared" si="44"/>
        <v>0</v>
      </c>
      <c r="AV20" s="435">
        <f t="shared" si="45"/>
        <v>0</v>
      </c>
      <c r="AW20" s="435"/>
      <c r="AX20" s="435"/>
      <c r="AY20" s="435"/>
      <c r="AZ20" s="435"/>
      <c r="BA20" s="435"/>
      <c r="BB20" s="435">
        <f t="shared" si="46"/>
        <v>1011143.19</v>
      </c>
      <c r="BC20" s="108"/>
      <c r="BD20" s="108"/>
      <c r="BE20" s="22"/>
      <c r="BF20" s="108"/>
    </row>
    <row r="21" spans="1:388" ht="45" customHeight="1" x14ac:dyDescent="0.3">
      <c r="A21" s="779" t="str">
        <f>IF(AND($C$8=$D$8,$C$13=$D$13),"3. Рассчитайте выгоду от перехода на иной тарифный план","ПРОВЕДИ СРАВНЕНИЕ ДВУХ ВАРИАНТОВ КРЕДИТА")</f>
        <v>ПРОВЕДИ СРАВНЕНИЕ ДВУХ ВАРИАНТОВ КРЕДИТА</v>
      </c>
      <c r="B21" s="779"/>
      <c r="C21" s="779"/>
      <c r="D21" s="779"/>
      <c r="E21" s="779"/>
      <c r="F21" s="352"/>
      <c r="G21" s="426">
        <f>G20+1</f>
        <v>13</v>
      </c>
      <c r="H21" s="427">
        <f t="shared" ref="H21:H52" si="47">IF((OR(DAY($AA$54)=29,DAY($AA$54)=30,DAY($AA$54)=31)),(EDATE($C$9-3,G21)),(IF((OR(DAY($AA$54)=1,DAY($AA$54)=2,DAY($AA$54)=3)),(EDATE($C$9,G21)+3),EDATE($C$9,G21))))</f>
        <v>44765</v>
      </c>
      <c r="I21" s="423">
        <f t="shared" si="7"/>
        <v>30288</v>
      </c>
      <c r="J21" s="423">
        <f t="shared" si="8"/>
        <v>14599.77</v>
      </c>
      <c r="K21" s="423">
        <f>IF(S21=0,0,IF(S21=1,Q20,IF(Q20+L21+J21&gt;I20,I21-J21-L21,Q20)))</f>
        <v>15688.23</v>
      </c>
      <c r="L21" s="423">
        <f t="shared" si="17"/>
        <v>0</v>
      </c>
      <c r="M21" s="423">
        <f>O20-L20</f>
        <v>0</v>
      </c>
      <c r="N21" s="423">
        <f t="shared" si="18"/>
        <v>14599.77</v>
      </c>
      <c r="O21" s="423">
        <f t="shared" si="19"/>
        <v>0</v>
      </c>
      <c r="P21" s="423">
        <f t="shared" si="20"/>
        <v>0</v>
      </c>
      <c r="Q21" s="423">
        <f>IF(OR(S21=1,Q20=0),0,Q20-K21)</f>
        <v>1035379.72</v>
      </c>
      <c r="R21" s="36">
        <f>IF((R20-1)&lt;0,0,R20-1)</f>
        <v>48</v>
      </c>
      <c r="S21" s="36">
        <f t="shared" si="9"/>
        <v>48</v>
      </c>
      <c r="T21" s="15">
        <v>0.219</v>
      </c>
      <c r="U21" s="15">
        <f t="shared" si="37"/>
        <v>0.219</v>
      </c>
      <c r="V21" s="15">
        <f t="shared" si="38"/>
        <v>0.219</v>
      </c>
      <c r="W21" s="15">
        <f t="shared" si="39"/>
        <v>0.219</v>
      </c>
      <c r="X21" s="15">
        <f t="shared" si="40"/>
        <v>0.219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2"/>
        <v>1</v>
      </c>
      <c r="AM21" s="438">
        <f>AM20+1</f>
        <v>13</v>
      </c>
      <c r="AN21" s="439">
        <f t="shared" ref="AN21:AN52" si="48">IF((OR(DAY($AA$54)=29,DAY($AA$54)=30,DAY($AA$54)=31)),(EDATE($C$9-3,AM21)),(IF((OR(DAY($AA$54)=1,DAY($AA$54)=2,DAY($AA$54)=3)),(EDATE($C$9,AM21)+3),EDATE($C$9,AM21))))</f>
        <v>44765</v>
      </c>
      <c r="AO21" s="435">
        <f t="shared" si="11"/>
        <v>30731</v>
      </c>
      <c r="AP21" s="435">
        <f t="shared" si="12"/>
        <v>16538.419999999998</v>
      </c>
      <c r="AQ21" s="435">
        <f>IF(BD27=0,0,IF(BD27=1,BB20,IF(BB20+AR21+AP21&gt;AO20,AO21-AP21-AR21,BB20)))</f>
        <v>14192.580000000002</v>
      </c>
      <c r="AR21" s="435">
        <f t="shared" si="13"/>
        <v>0</v>
      </c>
      <c r="AS21" s="435">
        <f>AU20-AR20</f>
        <v>0</v>
      </c>
      <c r="AT21" s="435">
        <f t="shared" si="24"/>
        <v>16538.419999999998</v>
      </c>
      <c r="AU21" s="435">
        <f t="shared" si="44"/>
        <v>0</v>
      </c>
      <c r="AV21" s="435">
        <f t="shared" si="45"/>
        <v>0</v>
      </c>
      <c r="AW21" s="435"/>
      <c r="AX21" s="435"/>
      <c r="AY21" s="435"/>
      <c r="AZ21" s="435"/>
      <c r="BA21" s="435"/>
      <c r="BB21" s="435">
        <f>IF(OR(BD27=1,BB20=0),0,BB20-AQ21)</f>
        <v>996950.61</v>
      </c>
      <c r="BC21" s="108"/>
      <c r="BD21" s="108"/>
      <c r="BE21" s="22"/>
      <c r="BF21" s="108"/>
    </row>
    <row r="22" spans="1:388" ht="19.899999999999999" customHeight="1" x14ac:dyDescent="0.3">
      <c r="A22" s="349"/>
      <c r="B22" s="349"/>
      <c r="C22" s="407" t="s">
        <v>81</v>
      </c>
      <c r="D22" s="407" t="str">
        <f>IF(AND($C$8=$D$8,$C$13=$D$13),"В течение срока кредита","При обращении")</f>
        <v>При обращении</v>
      </c>
      <c r="E22" s="348"/>
      <c r="F22" s="348"/>
      <c r="G22" s="426">
        <f t="shared" si="28"/>
        <v>14</v>
      </c>
      <c r="H22" s="427">
        <f t="shared" si="47"/>
        <v>44796</v>
      </c>
      <c r="I22" s="423">
        <f t="shared" si="7"/>
        <v>30288</v>
      </c>
      <c r="J22" s="423">
        <f t="shared" si="8"/>
        <v>14861.24</v>
      </c>
      <c r="K22" s="423">
        <f t="shared" si="16"/>
        <v>15426.76</v>
      </c>
      <c r="L22" s="423">
        <f t="shared" si="17"/>
        <v>0</v>
      </c>
      <c r="M22" s="423">
        <f t="shared" si="29"/>
        <v>0</v>
      </c>
      <c r="N22" s="423">
        <f t="shared" si="18"/>
        <v>14861.24</v>
      </c>
      <c r="O22" s="423">
        <f t="shared" si="19"/>
        <v>0</v>
      </c>
      <c r="P22" s="423">
        <f t="shared" si="20"/>
        <v>0</v>
      </c>
      <c r="Q22" s="423">
        <f t="shared" si="21"/>
        <v>1019952.96</v>
      </c>
      <c r="R22" s="36">
        <f t="shared" si="30"/>
        <v>47</v>
      </c>
      <c r="S22" s="36">
        <f t="shared" si="9"/>
        <v>47</v>
      </c>
      <c r="T22" s="130">
        <v>100000</v>
      </c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2"/>
        <v>1</v>
      </c>
      <c r="AM22" s="438">
        <f t="shared" si="31"/>
        <v>14</v>
      </c>
      <c r="AN22" s="439">
        <f t="shared" si="48"/>
        <v>44796</v>
      </c>
      <c r="AO22" s="435">
        <f t="shared" si="11"/>
        <v>30731</v>
      </c>
      <c r="AP22" s="435">
        <f t="shared" si="12"/>
        <v>16849.830000000002</v>
      </c>
      <c r="AQ22" s="435">
        <f t="shared" si="43"/>
        <v>13881.169999999998</v>
      </c>
      <c r="AR22" s="435">
        <f t="shared" si="13"/>
        <v>0</v>
      </c>
      <c r="AS22" s="435">
        <f t="shared" ref="AS22:AS85" si="49">AU21-AR21</f>
        <v>0</v>
      </c>
      <c r="AT22" s="435">
        <f t="shared" si="24"/>
        <v>16849.830000000002</v>
      </c>
      <c r="AU22" s="435">
        <f t="shared" si="44"/>
        <v>0</v>
      </c>
      <c r="AV22" s="435">
        <f t="shared" si="45"/>
        <v>0</v>
      </c>
      <c r="AW22" s="435"/>
      <c r="AX22" s="435"/>
      <c r="AY22" s="435"/>
      <c r="AZ22" s="435"/>
      <c r="BA22" s="435"/>
      <c r="BB22" s="435">
        <f t="shared" si="46"/>
        <v>983069.44</v>
      </c>
      <c r="BC22" s="108"/>
      <c r="BD22" s="108"/>
      <c r="BE22" s="22"/>
      <c r="BF22" s="108"/>
    </row>
    <row r="23" spans="1:388" ht="24" customHeight="1" x14ac:dyDescent="0.3">
      <c r="A23" s="769" t="str">
        <f>IF(AND(OR($C$8&lt;&gt;"Нет",$D$8&lt;&gt;"Нет"),OR($C$19&lt;&gt;"Нет",D19&lt;&gt;"Нет")),"Сумма кредита + ФЗ +
пакет ВСЕ ПОД КОНТРОЛЕМ, руб.",IF(AND(OR($C$8&lt;&gt;"Нет",$D$8&lt;&gt;"Нет"),$C$19&lt;&gt;"Да",D19&lt;&gt;"Да"),"Сумма кредита + ФЗ, руб.",IF(AND(C8="Нет",$D$8="Нет",OR($C$19&lt;&gt;"Нет",D19&lt;&gt;"Нет")),"Сумма кредита + пакет услуг Всё под контролем, руб.","Сумма кредита, руб.")))</f>
        <v>Сумма кредита + ФЗ +
пакет ВСЕ ПОД КОНТРОЛЕМ, руб.</v>
      </c>
      <c r="B23" s="769"/>
      <c r="C23" s="408">
        <f>$C$7+(IF($C$8="Нет",0,IF($C$25&lt;&gt;"",$C$25,0))+IF(C13="Нет",0,IF($C$16&lt;&gt;"",$C$16,0))+IF(C19="Нет",0,IF(C19="Да",C20,0)))</f>
        <v>1220900</v>
      </c>
      <c r="D23" s="408">
        <f>$C$7+(IF($D$8="Нет",0,IF($D$25&lt;&gt;"",$D$25,0))+IF(D13="Нет",0,IF($D$16&lt;&gt;"",$D$16,0))+IF(D19="Нет",0,IF(D19="Да",D20,0)))</f>
        <v>1161900</v>
      </c>
      <c r="E23" s="350">
        <f t="shared" ref="E23:E40" si="50">C23-D23</f>
        <v>59000</v>
      </c>
      <c r="F23" s="352"/>
      <c r="G23" s="426">
        <f t="shared" si="28"/>
        <v>15</v>
      </c>
      <c r="H23" s="427">
        <f t="shared" si="47"/>
        <v>44827</v>
      </c>
      <c r="I23" s="423">
        <f t="shared" si="7"/>
        <v>30288</v>
      </c>
      <c r="J23" s="423">
        <f t="shared" si="8"/>
        <v>14639.82</v>
      </c>
      <c r="K23" s="423">
        <f t="shared" si="16"/>
        <v>15648.18</v>
      </c>
      <c r="L23" s="423">
        <f t="shared" si="17"/>
        <v>0</v>
      </c>
      <c r="M23" s="423">
        <f t="shared" si="29"/>
        <v>0</v>
      </c>
      <c r="N23" s="423">
        <f t="shared" si="18"/>
        <v>14639.82</v>
      </c>
      <c r="O23" s="423">
        <f t="shared" si="19"/>
        <v>0</v>
      </c>
      <c r="P23" s="423">
        <f t="shared" si="20"/>
        <v>0</v>
      </c>
      <c r="Q23" s="423">
        <f t="shared" si="21"/>
        <v>1004304.7799999999</v>
      </c>
      <c r="R23" s="36">
        <f t="shared" si="30"/>
        <v>46</v>
      </c>
      <c r="S23" s="36">
        <f t="shared" si="9"/>
        <v>46</v>
      </c>
      <c r="T23" s="54">
        <f>ROUND(Q8*0.5%,-2)</f>
        <v>6100</v>
      </c>
      <c r="U23" s="54">
        <f>ROUND(Q8*0.5%,0)</f>
        <v>6105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2"/>
        <v>1</v>
      </c>
      <c r="AM23" s="438">
        <f t="shared" si="31"/>
        <v>15</v>
      </c>
      <c r="AN23" s="439">
        <f t="shared" si="48"/>
        <v>44827</v>
      </c>
      <c r="AO23" s="435">
        <f t="shared" si="11"/>
        <v>30731</v>
      </c>
      <c r="AP23" s="435">
        <f t="shared" si="12"/>
        <v>16615.22</v>
      </c>
      <c r="AQ23" s="435">
        <f t="shared" si="43"/>
        <v>14115.779999999999</v>
      </c>
      <c r="AR23" s="435">
        <f t="shared" si="13"/>
        <v>0</v>
      </c>
      <c r="AS23" s="435">
        <f t="shared" si="49"/>
        <v>0</v>
      </c>
      <c r="AT23" s="435">
        <f t="shared" si="24"/>
        <v>16615.22</v>
      </c>
      <c r="AU23" s="435">
        <f t="shared" si="44"/>
        <v>0</v>
      </c>
      <c r="AV23" s="435">
        <f t="shared" si="45"/>
        <v>0</v>
      </c>
      <c r="AW23" s="435"/>
      <c r="AX23" s="435"/>
      <c r="AY23" s="435"/>
      <c r="AZ23" s="435"/>
      <c r="BA23" s="435"/>
      <c r="BB23" s="435">
        <f t="shared" si="46"/>
        <v>968953.65999999992</v>
      </c>
      <c r="BC23" s="108"/>
      <c r="BD23" s="108"/>
      <c r="BE23" s="22"/>
      <c r="BF23" s="108"/>
    </row>
    <row r="24" spans="1:388" ht="27" customHeight="1" x14ac:dyDescent="0.3">
      <c r="A24" s="769" t="str">
        <f>IF(AND(OR($C$8&lt;&gt;"Нет",$D$8&lt;&gt;"Нет"),OR($C$19&lt;&gt;"Нет",D19&lt;&gt;"Нет")),"Платёж с учетом ФЗ + 
ВСЕ ПОД КОНТРОЛЕМ, руб.",IF(AND(OR($C$8&lt;&gt;"Нет",$D$8&lt;&gt;"Нет"),$C$19&lt;&gt;"Да",D19&lt;&gt;"Да"),"Платёж с учетом ФЗ, руб.",IF(AND(C8="Нет",$D$8="Нет",OR($C$19&lt;&gt;"Нет",D19&lt;&gt;"Нет")),"Платёж с учетом ВСЕ ПОД КОНТРОЛЕМ, руб.","Сумма кредита, руб.")))</f>
        <v>Платёж с учетом ФЗ + 
ВСЕ ПОД КОНТРОЛЕМ, руб.</v>
      </c>
      <c r="B24" s="769"/>
      <c r="C24" s="408">
        <f>ROUNDUP($AA$55/AD47,0)*AD47</f>
        <v>30288</v>
      </c>
      <c r="D24" s="408">
        <f>ROUNDUP(AC$55/$AD$47,0)*$AD$47</f>
        <v>30731</v>
      </c>
      <c r="E24" s="350">
        <f t="shared" si="50"/>
        <v>-443</v>
      </c>
      <c r="F24" s="348"/>
      <c r="G24" s="426">
        <f t="shared" si="28"/>
        <v>16</v>
      </c>
      <c r="H24" s="427">
        <f t="shared" si="47"/>
        <v>44857</v>
      </c>
      <c r="I24" s="423">
        <f t="shared" si="7"/>
        <v>30288</v>
      </c>
      <c r="J24" s="423">
        <f t="shared" si="8"/>
        <v>13950.21</v>
      </c>
      <c r="K24" s="423">
        <f t="shared" si="16"/>
        <v>16337.79</v>
      </c>
      <c r="L24" s="423">
        <f t="shared" si="17"/>
        <v>0</v>
      </c>
      <c r="M24" s="423">
        <f t="shared" si="29"/>
        <v>0</v>
      </c>
      <c r="N24" s="423">
        <f t="shared" si="18"/>
        <v>13950.21</v>
      </c>
      <c r="O24" s="423">
        <f t="shared" si="19"/>
        <v>0</v>
      </c>
      <c r="P24" s="423">
        <f t="shared" si="20"/>
        <v>0</v>
      </c>
      <c r="Q24" s="423">
        <f t="shared" si="21"/>
        <v>987966.98999999987</v>
      </c>
      <c r="R24" s="36">
        <f t="shared" si="30"/>
        <v>45</v>
      </c>
      <c r="S24" s="36">
        <f t="shared" si="9"/>
        <v>45</v>
      </c>
      <c r="T24" s="15"/>
      <c r="U24" s="15"/>
      <c r="V24" s="15"/>
      <c r="W24" s="15"/>
      <c r="X24" s="15"/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2"/>
        <v>1</v>
      </c>
      <c r="AM24" s="438">
        <f t="shared" si="31"/>
        <v>16</v>
      </c>
      <c r="AN24" s="439">
        <f t="shared" si="48"/>
        <v>44857</v>
      </c>
      <c r="AO24" s="435">
        <f t="shared" si="11"/>
        <v>30731</v>
      </c>
      <c r="AP24" s="435">
        <f t="shared" si="12"/>
        <v>15848.37</v>
      </c>
      <c r="AQ24" s="435">
        <f t="shared" si="43"/>
        <v>14882.63</v>
      </c>
      <c r="AR24" s="435">
        <f t="shared" si="13"/>
        <v>0</v>
      </c>
      <c r="AS24" s="435">
        <f t="shared" si="49"/>
        <v>0</v>
      </c>
      <c r="AT24" s="435">
        <f t="shared" si="24"/>
        <v>15848.37</v>
      </c>
      <c r="AU24" s="435">
        <f t="shared" si="44"/>
        <v>0</v>
      </c>
      <c r="AV24" s="435">
        <f t="shared" si="45"/>
        <v>0</v>
      </c>
      <c r="AW24" s="435"/>
      <c r="AX24" s="435"/>
      <c r="AY24" s="435"/>
      <c r="AZ24" s="435"/>
      <c r="BA24" s="435"/>
      <c r="BB24" s="435">
        <f t="shared" si="46"/>
        <v>954071.02999999991</v>
      </c>
      <c r="BC24" s="108"/>
      <c r="BD24" s="108"/>
      <c r="BE24" s="22"/>
      <c r="BF24" s="108"/>
    </row>
    <row r="25" spans="1:388" ht="18" customHeight="1" x14ac:dyDescent="0.2">
      <c r="A25" s="763" t="s">
        <v>275</v>
      </c>
      <c r="B25" s="763"/>
      <c r="C25" s="410">
        <f>IF(C8="Гарантия пакет",(AD65*AD79+AE65*AE79),INDEX($Z$79:$AH$79,MATCH(C$8,$Z$59:$AH$59,0))*C26)*MIN($C$10,60)</f>
        <v>156000</v>
      </c>
      <c r="D25" s="410">
        <f>IF(D8="Гарантия пакет",(AD65*AD79+AE65*AE79),INDEX($Z$79:$AH$79,MATCH(D$8,$Z$59:$AH$59,0))*D26)*MIN($C$10,60)</f>
        <v>156000</v>
      </c>
      <c r="E25" s="226">
        <f>C25-D25</f>
        <v>0</v>
      </c>
      <c r="F25" s="350"/>
      <c r="G25" s="426">
        <f t="shared" si="28"/>
        <v>17</v>
      </c>
      <c r="H25" s="427">
        <f t="shared" si="47"/>
        <v>44888</v>
      </c>
      <c r="I25" s="423">
        <f t="shared" si="7"/>
        <v>30288</v>
      </c>
      <c r="J25" s="423">
        <f t="shared" si="8"/>
        <v>14180.71</v>
      </c>
      <c r="K25" s="423">
        <f t="shared" si="16"/>
        <v>16107.29</v>
      </c>
      <c r="L25" s="423">
        <f t="shared" si="17"/>
        <v>0</v>
      </c>
      <c r="M25" s="423">
        <f t="shared" si="29"/>
        <v>0</v>
      </c>
      <c r="N25" s="423">
        <f t="shared" si="18"/>
        <v>14180.71</v>
      </c>
      <c r="O25" s="423">
        <f t="shared" si="19"/>
        <v>0</v>
      </c>
      <c r="P25" s="423">
        <f t="shared" si="20"/>
        <v>0</v>
      </c>
      <c r="Q25" s="423">
        <f t="shared" si="21"/>
        <v>971859.69999999984</v>
      </c>
      <c r="R25" s="36">
        <f t="shared" si="30"/>
        <v>44</v>
      </c>
      <c r="S25" s="36">
        <f t="shared" si="9"/>
        <v>44</v>
      </c>
      <c r="T25" s="15"/>
      <c r="U25" s="15"/>
      <c r="V25" s="15"/>
      <c r="W25" s="15"/>
      <c r="X25" s="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2"/>
        <v>1</v>
      </c>
      <c r="AM25" s="442">
        <f t="shared" si="31"/>
        <v>17</v>
      </c>
      <c r="AN25" s="441">
        <f t="shared" si="48"/>
        <v>44888</v>
      </c>
      <c r="AO25" s="435">
        <f t="shared" si="11"/>
        <v>30731</v>
      </c>
      <c r="AP25" s="435">
        <f t="shared" si="12"/>
        <v>16125.11</v>
      </c>
      <c r="AQ25" s="435">
        <f t="shared" si="43"/>
        <v>14605.89</v>
      </c>
      <c r="AR25" s="435">
        <f t="shared" si="13"/>
        <v>0</v>
      </c>
      <c r="AS25" s="435">
        <f t="shared" si="49"/>
        <v>0</v>
      </c>
      <c r="AT25" s="435">
        <f t="shared" si="24"/>
        <v>16125.11</v>
      </c>
      <c r="AU25" s="435">
        <f t="shared" si="44"/>
        <v>0</v>
      </c>
      <c r="AV25" s="435">
        <f t="shared" si="45"/>
        <v>0</v>
      </c>
      <c r="AW25" s="435"/>
      <c r="AX25" s="435"/>
      <c r="AY25" s="435"/>
      <c r="AZ25" s="435"/>
      <c r="BA25" s="435"/>
      <c r="BB25" s="435">
        <f t="shared" si="46"/>
        <v>939465.1399999999</v>
      </c>
      <c r="BC25" s="108">
        <f>IF((BC18-1)&lt;0,0,BC18-1)</f>
        <v>50</v>
      </c>
      <c r="BD25" s="108">
        <f t="shared" ref="BD25:BD56" si="51">IF(ISERR(CEILING(FLOOR(NPER($C$12/12,-$AA$55,BB18),0.1),1))=TRUE,0,CEILING(FLOOR(NPER($C$12/12,-$AA$55,BB18),0.1),1))</f>
        <v>48</v>
      </c>
      <c r="BE25" s="22">
        <f>H19</f>
        <v>44704</v>
      </c>
      <c r="BF25" s="108">
        <f>I19</f>
        <v>30288</v>
      </c>
    </row>
    <row r="26" spans="1:388" ht="16.899999999999999" customHeight="1" x14ac:dyDescent="0.3">
      <c r="A26" s="763" t="s">
        <v>100</v>
      </c>
      <c r="B26" s="763"/>
      <c r="C26" s="409">
        <f>IF(C8=Z59,Z65,IF(C8=AA59,AA65,IF(C8=AC59,AC65,IF(C8=AD59,AD65,IF(C8=AB59,AB65,IF(C8=AE59,AE65,IF(C8=AF59,AF65,0)))))))</f>
        <v>2E-3</v>
      </c>
      <c r="D26" s="409">
        <f>IF(D8=Z59,Z65,IF(D8=AA59,AA65,IF(D8=AC59,AC65,IF(D8=AD59,AD65,IF(D8=AB59,AB65,IF(D8=AE59,AE65,IF(D8=AF59,AF65,0)))))))</f>
        <v>2E-3</v>
      </c>
      <c r="E26" s="351"/>
      <c r="F26" s="350"/>
      <c r="G26" s="426">
        <f t="shared" si="28"/>
        <v>18</v>
      </c>
      <c r="H26" s="427">
        <f t="shared" si="47"/>
        <v>44918</v>
      </c>
      <c r="I26" s="423">
        <f t="shared" si="7"/>
        <v>30288</v>
      </c>
      <c r="J26" s="423">
        <f t="shared" si="8"/>
        <v>13499.53</v>
      </c>
      <c r="K26" s="423">
        <f t="shared" si="16"/>
        <v>16788.47</v>
      </c>
      <c r="L26" s="423">
        <f t="shared" si="17"/>
        <v>0</v>
      </c>
      <c r="M26" s="423">
        <f t="shared" si="29"/>
        <v>0</v>
      </c>
      <c r="N26" s="423">
        <f t="shared" si="18"/>
        <v>13499.53</v>
      </c>
      <c r="O26" s="423">
        <f t="shared" si="19"/>
        <v>0</v>
      </c>
      <c r="P26" s="423">
        <f t="shared" si="20"/>
        <v>0</v>
      </c>
      <c r="Q26" s="423">
        <f t="shared" si="21"/>
        <v>955071.22999999986</v>
      </c>
      <c r="R26" s="36">
        <f t="shared" si="30"/>
        <v>43</v>
      </c>
      <c r="S26" s="36">
        <f t="shared" si="9"/>
        <v>43</v>
      </c>
      <c r="T26" s="84">
        <v>9.9000000000000005E-2</v>
      </c>
      <c r="U26" s="84">
        <v>6.9000000000000006E-2</v>
      </c>
      <c r="V26" s="84">
        <v>6.9000000000000006E-2</v>
      </c>
      <c r="W26" s="84">
        <v>6.9000000000000006E-2</v>
      </c>
      <c r="X26" s="84">
        <v>6.9000000000000006E-2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2"/>
        <v>1</v>
      </c>
      <c r="AM26" s="438">
        <f t="shared" si="31"/>
        <v>18</v>
      </c>
      <c r="AN26" s="439">
        <f t="shared" si="48"/>
        <v>44918</v>
      </c>
      <c r="AO26" s="435">
        <f t="shared" si="11"/>
        <v>30731</v>
      </c>
      <c r="AP26" s="435">
        <f t="shared" si="12"/>
        <v>15366.05</v>
      </c>
      <c r="AQ26" s="435">
        <f t="shared" si="43"/>
        <v>15364.95</v>
      </c>
      <c r="AR26" s="435">
        <f t="shared" si="13"/>
        <v>0</v>
      </c>
      <c r="AS26" s="435">
        <f t="shared" si="49"/>
        <v>0</v>
      </c>
      <c r="AT26" s="435">
        <f t="shared" si="24"/>
        <v>15366.05</v>
      </c>
      <c r="AU26" s="435">
        <f t="shared" si="44"/>
        <v>0</v>
      </c>
      <c r="AV26" s="435">
        <f t="shared" si="45"/>
        <v>0</v>
      </c>
      <c r="AW26" s="435"/>
      <c r="AX26" s="435"/>
      <c r="AY26" s="435"/>
      <c r="AZ26" s="435"/>
      <c r="BA26" s="435"/>
      <c r="BB26" s="435">
        <f t="shared" si="46"/>
        <v>924100.19</v>
      </c>
      <c r="BC26" s="108">
        <f>IF((BC25-1)&lt;0,0,BC25-1)</f>
        <v>49</v>
      </c>
      <c r="BD26" s="108">
        <f t="shared" si="51"/>
        <v>47</v>
      </c>
      <c r="BE26" s="22">
        <f>H20</f>
        <v>44735</v>
      </c>
      <c r="BF26" s="108">
        <f>I20</f>
        <v>30288</v>
      </c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</row>
    <row r="27" spans="1:388" ht="15.75" customHeight="1" x14ac:dyDescent="0.3">
      <c r="A27" s="763" t="s">
        <v>325</v>
      </c>
      <c r="B27" s="763"/>
      <c r="C27" s="410">
        <f>IF(C8="Гарантия пакет",(AD65*AD79+AE65*AE79),INDEX($Z$79:$AH$79,MATCH(C$8,$Z$59:$AH$59,0)))</f>
        <v>1300000</v>
      </c>
      <c r="D27" s="410">
        <f>IF(D8="Гарантия пакет",(AD65*AD79+AE65*AE79),INDEX($Z$79:$AH$79,MATCH(D$8,$Z$59:$AH$59,0)))</f>
        <v>1300000</v>
      </c>
      <c r="E27" s="226">
        <f>C27-D27</f>
        <v>0</v>
      </c>
      <c r="F27" s="351"/>
      <c r="G27" s="426">
        <f t="shared" si="28"/>
        <v>19</v>
      </c>
      <c r="H27" s="427">
        <f t="shared" si="47"/>
        <v>44949</v>
      </c>
      <c r="I27" s="423">
        <f t="shared" si="7"/>
        <v>30288</v>
      </c>
      <c r="J27" s="423">
        <f t="shared" si="8"/>
        <v>13708.54</v>
      </c>
      <c r="K27" s="423">
        <f t="shared" si="16"/>
        <v>16579.46</v>
      </c>
      <c r="L27" s="423">
        <f t="shared" si="17"/>
        <v>0</v>
      </c>
      <c r="M27" s="423">
        <f t="shared" si="29"/>
        <v>0</v>
      </c>
      <c r="N27" s="423">
        <f t="shared" si="18"/>
        <v>13708.54</v>
      </c>
      <c r="O27" s="423">
        <f t="shared" si="19"/>
        <v>0</v>
      </c>
      <c r="P27" s="423">
        <f t="shared" si="20"/>
        <v>0</v>
      </c>
      <c r="Q27" s="423">
        <f t="shared" si="21"/>
        <v>938491.7699999999</v>
      </c>
      <c r="R27" s="36">
        <f t="shared" si="30"/>
        <v>42</v>
      </c>
      <c r="S27" s="36">
        <f t="shared" si="9"/>
        <v>42</v>
      </c>
      <c r="T27" s="112">
        <v>0</v>
      </c>
      <c r="U27" s="112">
        <v>5.8999999999999997E-2</v>
      </c>
      <c r="V27" s="112">
        <v>5.8999999999999997E-2</v>
      </c>
      <c r="W27" s="112">
        <v>5.8999999999999997E-2</v>
      </c>
      <c r="X27" s="112">
        <v>5.8999999999999997E-2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2"/>
        <v>1</v>
      </c>
      <c r="AM27" s="438">
        <f t="shared" si="31"/>
        <v>19</v>
      </c>
      <c r="AN27" s="439">
        <f t="shared" si="48"/>
        <v>44949</v>
      </c>
      <c r="AO27" s="435">
        <f t="shared" si="11"/>
        <v>30731</v>
      </c>
      <c r="AP27" s="435">
        <f t="shared" si="12"/>
        <v>15618.56</v>
      </c>
      <c r="AQ27" s="435">
        <f t="shared" si="43"/>
        <v>15112.44</v>
      </c>
      <c r="AR27" s="435">
        <f t="shared" si="13"/>
        <v>0</v>
      </c>
      <c r="AS27" s="435">
        <f t="shared" si="49"/>
        <v>0</v>
      </c>
      <c r="AT27" s="435">
        <f t="shared" si="24"/>
        <v>15618.56</v>
      </c>
      <c r="AU27" s="435">
        <f t="shared" si="44"/>
        <v>0</v>
      </c>
      <c r="AV27" s="435">
        <f t="shared" si="45"/>
        <v>0</v>
      </c>
      <c r="AW27" s="435"/>
      <c r="AX27" s="435"/>
      <c r="AY27" s="435"/>
      <c r="AZ27" s="435"/>
      <c r="BA27" s="435"/>
      <c r="BB27" s="435">
        <f t="shared" si="46"/>
        <v>908987.75</v>
      </c>
      <c r="BC27" s="108">
        <f t="shared" si="33"/>
        <v>48</v>
      </c>
      <c r="BD27" s="108">
        <f t="shared" si="51"/>
        <v>46</v>
      </c>
      <c r="BE27" s="22">
        <f t="shared" ref="BE27:BE56" si="52">H21</f>
        <v>44765</v>
      </c>
      <c r="BF27" s="108">
        <f t="shared" ref="BF27:BF56" si="53">I21</f>
        <v>30288</v>
      </c>
    </row>
    <row r="28" spans="1:388" ht="18" customHeight="1" x14ac:dyDescent="0.3">
      <c r="A28" s="763" t="s">
        <v>277</v>
      </c>
      <c r="B28" s="763"/>
      <c r="C28" s="410">
        <f>C25/$C$10</f>
        <v>2600</v>
      </c>
      <c r="D28" s="410">
        <f>D25/$C$10</f>
        <v>2600</v>
      </c>
      <c r="E28" s="226">
        <f t="shared" si="50"/>
        <v>0</v>
      </c>
      <c r="F28" s="191"/>
      <c r="G28" s="426">
        <f t="shared" si="28"/>
        <v>20</v>
      </c>
      <c r="H28" s="427">
        <f t="shared" si="47"/>
        <v>44980</v>
      </c>
      <c r="I28" s="423">
        <f t="shared" si="7"/>
        <v>30288</v>
      </c>
      <c r="J28" s="423">
        <f t="shared" si="8"/>
        <v>13470.57</v>
      </c>
      <c r="K28" s="423">
        <f t="shared" si="16"/>
        <v>16817.43</v>
      </c>
      <c r="L28" s="423">
        <f t="shared" si="17"/>
        <v>0</v>
      </c>
      <c r="M28" s="423">
        <f t="shared" si="29"/>
        <v>0</v>
      </c>
      <c r="N28" s="423">
        <f t="shared" si="18"/>
        <v>13470.57</v>
      </c>
      <c r="O28" s="423">
        <f t="shared" si="19"/>
        <v>0</v>
      </c>
      <c r="P28" s="423">
        <f t="shared" si="20"/>
        <v>0</v>
      </c>
      <c r="Q28" s="423">
        <f t="shared" si="21"/>
        <v>921674.33999999985</v>
      </c>
      <c r="R28" s="36">
        <f t="shared" si="30"/>
        <v>41</v>
      </c>
      <c r="S28" s="36">
        <f t="shared" si="9"/>
        <v>41</v>
      </c>
      <c r="T28" s="101">
        <v>9.9000000000000005E-2</v>
      </c>
      <c r="U28" s="101">
        <v>6.9000000000000006E-2</v>
      </c>
      <c r="V28" s="101">
        <v>6.9000000000000006E-2</v>
      </c>
      <c r="W28" s="101">
        <v>6.9000000000000006E-2</v>
      </c>
      <c r="X28" s="101">
        <v>6.9000000000000006E-2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2"/>
        <v>1</v>
      </c>
      <c r="AM28" s="438">
        <f t="shared" si="31"/>
        <v>20</v>
      </c>
      <c r="AN28" s="439">
        <f t="shared" si="48"/>
        <v>44980</v>
      </c>
      <c r="AO28" s="435">
        <f t="shared" si="11"/>
        <v>30731</v>
      </c>
      <c r="AP28" s="435">
        <f t="shared" si="12"/>
        <v>15363.14</v>
      </c>
      <c r="AQ28" s="435">
        <f t="shared" si="43"/>
        <v>15367.86</v>
      </c>
      <c r="AR28" s="435">
        <f t="shared" si="13"/>
        <v>0</v>
      </c>
      <c r="AS28" s="435">
        <f t="shared" si="49"/>
        <v>0</v>
      </c>
      <c r="AT28" s="435">
        <f t="shared" si="24"/>
        <v>15363.14</v>
      </c>
      <c r="AU28" s="435">
        <f t="shared" si="44"/>
        <v>0</v>
      </c>
      <c r="AV28" s="435">
        <f t="shared" si="45"/>
        <v>0</v>
      </c>
      <c r="AW28" s="435"/>
      <c r="AX28" s="435"/>
      <c r="AY28" s="435"/>
      <c r="AZ28" s="435"/>
      <c r="BA28" s="435"/>
      <c r="BB28" s="435">
        <f t="shared" si="46"/>
        <v>893619.89</v>
      </c>
      <c r="BC28" s="108">
        <f t="shared" si="33"/>
        <v>47</v>
      </c>
      <c r="BD28" s="108">
        <f t="shared" si="51"/>
        <v>45</v>
      </c>
      <c r="BE28" s="22">
        <f t="shared" si="52"/>
        <v>44796</v>
      </c>
      <c r="BF28" s="108">
        <f t="shared" si="53"/>
        <v>30288</v>
      </c>
    </row>
    <row r="29" spans="1:388" ht="15.75" customHeight="1" x14ac:dyDescent="0.3">
      <c r="A29" s="763" t="s">
        <v>278</v>
      </c>
      <c r="B29" s="763"/>
      <c r="C29" s="410">
        <f>ROUND($C$28/30.4,2)</f>
        <v>85.53</v>
      </c>
      <c r="D29" s="410">
        <f>ROUND($D$28/30.4,2)</f>
        <v>85.53</v>
      </c>
      <c r="E29" s="226">
        <f t="shared" si="50"/>
        <v>0</v>
      </c>
      <c r="F29" s="191"/>
      <c r="G29" s="426">
        <f t="shared" si="28"/>
        <v>21</v>
      </c>
      <c r="H29" s="427">
        <f t="shared" si="47"/>
        <v>45008</v>
      </c>
      <c r="I29" s="423">
        <f t="shared" si="7"/>
        <v>30288</v>
      </c>
      <c r="J29" s="423">
        <f t="shared" si="8"/>
        <v>11948.94</v>
      </c>
      <c r="K29" s="423">
        <f t="shared" si="16"/>
        <v>18339.059999999998</v>
      </c>
      <c r="L29" s="423">
        <f t="shared" si="17"/>
        <v>0</v>
      </c>
      <c r="M29" s="423">
        <f t="shared" si="29"/>
        <v>0</v>
      </c>
      <c r="N29" s="423">
        <f t="shared" si="18"/>
        <v>11948.94</v>
      </c>
      <c r="O29" s="423">
        <f t="shared" si="19"/>
        <v>0</v>
      </c>
      <c r="P29" s="423">
        <f t="shared" si="20"/>
        <v>0</v>
      </c>
      <c r="Q29" s="423">
        <f t="shared" si="21"/>
        <v>903335.2799999998</v>
      </c>
      <c r="R29" s="36">
        <f t="shared" si="30"/>
        <v>40</v>
      </c>
      <c r="S29" s="36">
        <f t="shared" si="9"/>
        <v>40</v>
      </c>
      <c r="T29" s="101">
        <f>IF($C$12=T11,T30,IF($C$12=T12,T30,IF($C$12=T13,T31,IF($C$12=T14,T31,IF($C$12=T15,T32,IF($C$12=T16,T33,IF($C$12=T17,T33,IF($C$12=T18,T33,IF($C$12=T19,T34,IF($C$12=T21,0,IF($C$12=T20,T34,T30)))))))))))</f>
        <v>5.8999999999999997E-2</v>
      </c>
      <c r="U29" s="101">
        <f>IF($C$12=U11,U30,IF($C$12=U12,U30,IF($C$12=U13,U31,IF($C$12=U14,U31,IF($C$12=U15,U32,IF($C$12=U16,U33,IF($C$12=U17,U33,IF($C$12=U18,U33,IF($C$12=U19,U34,IF($C$12=U21,0,IF($C$12=U20,U34,U30)))))))))))</f>
        <v>5.8999999999999997E-2</v>
      </c>
      <c r="V29" s="101">
        <f>IF($C$12=V11,V30,IF($C$12=V12,V30,IF($C$12=V13,V31,IF($C$12=V14,V31,IF($C$12=V15,V32,IF($C$12=V16,V33,IF($C$12=V17,V33,IF($C$12=V18,V33,IF($C$12=V19,V34,IF($C$12=V21,0,IF($C$12=V20,V34,V30)))))))))))</f>
        <v>5.8999999999999997E-2</v>
      </c>
      <c r="W29" s="101">
        <f>IF($C$12=W11,W30,IF($C$12=W12,W30,IF($C$12=W13,W31,IF($C$12=W14,W31,IF($C$12=W15,W32,IF($C$12=W16,W33,IF($C$12=W17,W33,IF($C$12=W18,W33,IF($C$12=W19,W34,IF($C$12=W21,0,IF($C$12=W20,W34,W30)))))))))))</f>
        <v>5.8999999999999997E-2</v>
      </c>
      <c r="X29" s="101">
        <f>IF($C$12=X11,X30,IF($C$12=X12,X30,IF($C$12=X13,X31,IF($C$12=X14,X31,IF($C$12=X15,X32,IF($C$12=X16,X33,IF($C$12=X17,X33,IF($C$12=X18,X33,IF($C$12=X19,X34,IF($C$12=X21,0,IF($C$12=X20,X34,X30)))))))))))</f>
        <v>5.8999999999999997E-2</v>
      </c>
      <c r="AB29" s="82"/>
      <c r="AC29" s="2"/>
      <c r="AD29" s="2"/>
      <c r="AE29" s="2"/>
      <c r="AF29" s="3"/>
      <c r="AG29" s="3"/>
      <c r="AH29" s="3"/>
      <c r="AI29" s="3"/>
      <c r="AL29" s="130">
        <f t="shared" si="22"/>
        <v>1</v>
      </c>
      <c r="AM29" s="438">
        <f t="shared" si="31"/>
        <v>21</v>
      </c>
      <c r="AN29" s="439">
        <f t="shared" si="48"/>
        <v>45008</v>
      </c>
      <c r="AO29" s="435">
        <f t="shared" si="11"/>
        <v>30731</v>
      </c>
      <c r="AP29" s="435">
        <f t="shared" si="12"/>
        <v>13641.78</v>
      </c>
      <c r="AQ29" s="435">
        <f t="shared" si="43"/>
        <v>17089.22</v>
      </c>
      <c r="AR29" s="435">
        <f t="shared" si="13"/>
        <v>0</v>
      </c>
      <c r="AS29" s="435">
        <f t="shared" si="49"/>
        <v>0</v>
      </c>
      <c r="AT29" s="435">
        <f t="shared" si="24"/>
        <v>13641.78</v>
      </c>
      <c r="AU29" s="435">
        <f t="shared" si="44"/>
        <v>0</v>
      </c>
      <c r="AV29" s="435">
        <f t="shared" si="45"/>
        <v>0</v>
      </c>
      <c r="AW29" s="435"/>
      <c r="AX29" s="435"/>
      <c r="AY29" s="435"/>
      <c r="AZ29" s="435"/>
      <c r="BA29" s="435"/>
      <c r="BB29" s="435">
        <f t="shared" si="46"/>
        <v>876530.67</v>
      </c>
      <c r="BC29" s="108">
        <f t="shared" si="33"/>
        <v>46</v>
      </c>
      <c r="BD29" s="108">
        <f t="shared" si="51"/>
        <v>44</v>
      </c>
      <c r="BE29" s="22">
        <f t="shared" si="52"/>
        <v>44827</v>
      </c>
      <c r="BF29" s="108">
        <f t="shared" si="53"/>
        <v>30288</v>
      </c>
    </row>
    <row r="30" spans="1:388" ht="25.5" customHeight="1" x14ac:dyDescent="0.3">
      <c r="A30" s="763" t="s">
        <v>78</v>
      </c>
      <c r="B30" s="763"/>
      <c r="C30" s="411">
        <f>I109</f>
        <v>1816696.0699999996</v>
      </c>
      <c r="D30" s="411">
        <f>AO109</f>
        <v>1843188.72</v>
      </c>
      <c r="E30" s="190">
        <f>C30-D30</f>
        <v>-26492.650000000373</v>
      </c>
      <c r="F30" s="191"/>
      <c r="G30" s="426">
        <f t="shared" si="28"/>
        <v>22</v>
      </c>
      <c r="H30" s="427">
        <f t="shared" si="47"/>
        <v>45039</v>
      </c>
      <c r="I30" s="423">
        <f t="shared" si="7"/>
        <v>30288</v>
      </c>
      <c r="J30" s="423">
        <f t="shared" si="8"/>
        <v>12965.95</v>
      </c>
      <c r="K30" s="423">
        <f t="shared" si="16"/>
        <v>17322.05</v>
      </c>
      <c r="L30" s="423">
        <f t="shared" si="17"/>
        <v>0</v>
      </c>
      <c r="M30" s="423">
        <f t="shared" si="29"/>
        <v>0</v>
      </c>
      <c r="N30" s="423">
        <f t="shared" si="18"/>
        <v>12965.95</v>
      </c>
      <c r="O30" s="423">
        <f t="shared" si="19"/>
        <v>0</v>
      </c>
      <c r="P30" s="423">
        <f t="shared" si="20"/>
        <v>0</v>
      </c>
      <c r="Q30" s="423">
        <f t="shared" si="21"/>
        <v>886013.22999999975</v>
      </c>
      <c r="R30" s="36">
        <f t="shared" si="30"/>
        <v>39</v>
      </c>
      <c r="S30" s="36">
        <f t="shared" si="9"/>
        <v>39</v>
      </c>
      <c r="T30" s="84">
        <v>2.1999999999999999E-2</v>
      </c>
      <c r="U30" s="84">
        <v>2.1999999999999999E-2</v>
      </c>
      <c r="V30" s="84">
        <v>2.1999999999999999E-2</v>
      </c>
      <c r="W30" s="84">
        <v>2.1999999999999999E-2</v>
      </c>
      <c r="X30" s="84">
        <v>2.1999999999999999E-2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2"/>
        <v>1</v>
      </c>
      <c r="AM30" s="438">
        <f t="shared" si="31"/>
        <v>22</v>
      </c>
      <c r="AN30" s="439">
        <f t="shared" si="48"/>
        <v>45039</v>
      </c>
      <c r="AO30" s="435">
        <f t="shared" si="11"/>
        <v>30731</v>
      </c>
      <c r="AP30" s="435">
        <f t="shared" si="12"/>
        <v>14814.57</v>
      </c>
      <c r="AQ30" s="435">
        <f t="shared" si="43"/>
        <v>15916.43</v>
      </c>
      <c r="AR30" s="435">
        <f t="shared" si="13"/>
        <v>0</v>
      </c>
      <c r="AS30" s="435">
        <f t="shared" si="49"/>
        <v>0</v>
      </c>
      <c r="AT30" s="435">
        <f t="shared" si="24"/>
        <v>14814.57</v>
      </c>
      <c r="AU30" s="435">
        <f t="shared" si="44"/>
        <v>0</v>
      </c>
      <c r="AV30" s="435">
        <f t="shared" si="45"/>
        <v>0</v>
      </c>
      <c r="AW30" s="435"/>
      <c r="AX30" s="435"/>
      <c r="AY30" s="435"/>
      <c r="AZ30" s="435"/>
      <c r="BA30" s="435"/>
      <c r="BB30" s="435">
        <f t="shared" si="46"/>
        <v>860614.24</v>
      </c>
      <c r="BC30" s="108">
        <f t="shared" si="33"/>
        <v>45</v>
      </c>
      <c r="BD30" s="108">
        <f t="shared" si="51"/>
        <v>43</v>
      </c>
      <c r="BE30" s="22">
        <f t="shared" si="52"/>
        <v>44857</v>
      </c>
      <c r="BF30" s="108">
        <f t="shared" si="53"/>
        <v>30288</v>
      </c>
    </row>
    <row r="31" spans="1:388" ht="21" customHeight="1" x14ac:dyDescent="0.3">
      <c r="A31" s="763" t="s">
        <v>75</v>
      </c>
      <c r="B31" s="763"/>
      <c r="C31" s="412">
        <f>J109</f>
        <v>595796.06999999995</v>
      </c>
      <c r="D31" s="412">
        <f>AP109</f>
        <v>681288.71999999974</v>
      </c>
      <c r="E31" s="192">
        <f>C31-D31</f>
        <v>-85492.64999999979</v>
      </c>
      <c r="F31" s="190"/>
      <c r="G31" s="426">
        <f t="shared" si="28"/>
        <v>23</v>
      </c>
      <c r="H31" s="427">
        <f t="shared" si="47"/>
        <v>45069</v>
      </c>
      <c r="I31" s="423">
        <f t="shared" si="7"/>
        <v>30288</v>
      </c>
      <c r="J31" s="423">
        <f t="shared" si="8"/>
        <v>12307.09</v>
      </c>
      <c r="K31" s="423">
        <f t="shared" si="16"/>
        <v>17980.91</v>
      </c>
      <c r="L31" s="423">
        <f t="shared" si="17"/>
        <v>0</v>
      </c>
      <c r="M31" s="423">
        <f t="shared" si="29"/>
        <v>0</v>
      </c>
      <c r="N31" s="423">
        <f t="shared" si="18"/>
        <v>12307.09</v>
      </c>
      <c r="O31" s="423">
        <f t="shared" si="19"/>
        <v>0</v>
      </c>
      <c r="P31" s="423">
        <f t="shared" si="20"/>
        <v>0</v>
      </c>
      <c r="Q31" s="423">
        <f t="shared" si="21"/>
        <v>868032.31999999972</v>
      </c>
      <c r="R31" s="36">
        <f t="shared" si="30"/>
        <v>38</v>
      </c>
      <c r="S31" s="36">
        <f t="shared" si="9"/>
        <v>38</v>
      </c>
      <c r="T31" s="84">
        <v>2.9000000000000001E-2</v>
      </c>
      <c r="U31" s="84">
        <v>2.9000000000000001E-2</v>
      </c>
      <c r="V31" s="84">
        <v>2.9000000000000001E-2</v>
      </c>
      <c r="W31" s="84">
        <v>2.9000000000000001E-2</v>
      </c>
      <c r="X31" s="84">
        <v>2.9000000000000001E-2</v>
      </c>
      <c r="Y31" s="13" t="s">
        <v>79</v>
      </c>
      <c r="Z31" s="15">
        <f>IF(C11=T3,T29,IF(C11=V3,V29,IF(C11=W3,W29,IF(C11=X3,X29,IF(C11=U3,U29,)))))</f>
        <v>5.8999999999999997E-2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L31" s="130">
        <f t="shared" si="22"/>
        <v>1</v>
      </c>
      <c r="AM31" s="438">
        <f t="shared" si="31"/>
        <v>23</v>
      </c>
      <c r="AN31" s="439">
        <f t="shared" si="48"/>
        <v>45069</v>
      </c>
      <c r="AO31" s="435">
        <f t="shared" si="11"/>
        <v>30731</v>
      </c>
      <c r="AP31" s="435">
        <f t="shared" si="12"/>
        <v>14076.35</v>
      </c>
      <c r="AQ31" s="435">
        <f t="shared" si="43"/>
        <v>16654.650000000001</v>
      </c>
      <c r="AR31" s="435">
        <f t="shared" si="13"/>
        <v>0</v>
      </c>
      <c r="AS31" s="435">
        <f t="shared" si="49"/>
        <v>0</v>
      </c>
      <c r="AT31" s="435">
        <f t="shared" si="24"/>
        <v>14076.35</v>
      </c>
      <c r="AU31" s="435">
        <f t="shared" si="44"/>
        <v>0</v>
      </c>
      <c r="AV31" s="435">
        <f t="shared" si="45"/>
        <v>0</v>
      </c>
      <c r="AW31" s="435"/>
      <c r="AX31" s="435"/>
      <c r="AY31" s="435"/>
      <c r="AZ31" s="435"/>
      <c r="BA31" s="435"/>
      <c r="BB31" s="435">
        <f t="shared" si="46"/>
        <v>843959.59</v>
      </c>
      <c r="BC31" s="108">
        <f t="shared" si="33"/>
        <v>44</v>
      </c>
      <c r="BD31" s="108">
        <f t="shared" si="51"/>
        <v>42</v>
      </c>
      <c r="BE31" s="22">
        <f t="shared" si="52"/>
        <v>44888</v>
      </c>
      <c r="BF31" s="108">
        <f t="shared" si="53"/>
        <v>30288</v>
      </c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</row>
    <row r="32" spans="1:388" ht="33" customHeight="1" x14ac:dyDescent="0.3">
      <c r="A32" s="783" t="s">
        <v>279</v>
      </c>
      <c r="B32" s="783"/>
      <c r="C32" s="428">
        <f>C31+IF(C16&lt;&gt;"",C16,0)-IF(C17&lt;&gt;"",C17,0)</f>
        <v>408015.12999999995</v>
      </c>
      <c r="D32" s="428">
        <f>D31+IF(D16&lt;&gt;"",D16,0)-IF(D17&lt;&gt;"",D17,0)</f>
        <v>681288.71999999974</v>
      </c>
      <c r="E32" s="429">
        <f>C32-D32</f>
        <v>-273273.58999999979</v>
      </c>
      <c r="F32" s="192"/>
      <c r="G32" s="426">
        <f t="shared" si="28"/>
        <v>24</v>
      </c>
      <c r="H32" s="427">
        <f t="shared" si="47"/>
        <v>45100</v>
      </c>
      <c r="I32" s="423">
        <f t="shared" si="7"/>
        <v>30288</v>
      </c>
      <c r="J32" s="423">
        <f t="shared" si="8"/>
        <v>12459.24</v>
      </c>
      <c r="K32" s="423">
        <f t="shared" si="16"/>
        <v>17828.760000000002</v>
      </c>
      <c r="L32" s="423">
        <f t="shared" si="17"/>
        <v>0</v>
      </c>
      <c r="M32" s="423">
        <f t="shared" si="29"/>
        <v>0</v>
      </c>
      <c r="N32" s="423">
        <f t="shared" si="18"/>
        <v>12459.24</v>
      </c>
      <c r="O32" s="423">
        <f t="shared" si="19"/>
        <v>0</v>
      </c>
      <c r="P32" s="423">
        <f t="shared" si="20"/>
        <v>0</v>
      </c>
      <c r="Q32" s="423">
        <f t="shared" si="21"/>
        <v>850203.55999999971</v>
      </c>
      <c r="R32" s="36">
        <f t="shared" si="30"/>
        <v>37</v>
      </c>
      <c r="S32" s="36">
        <f t="shared" si="9"/>
        <v>37</v>
      </c>
      <c r="T32" s="122">
        <v>3.9E-2</v>
      </c>
      <c r="U32" s="122">
        <v>3.9E-2</v>
      </c>
      <c r="V32" s="122">
        <v>3.9E-2</v>
      </c>
      <c r="W32" s="122">
        <v>3.9E-2</v>
      </c>
      <c r="X32" s="122">
        <v>3.9E-2</v>
      </c>
      <c r="Y32" s="13" t="s">
        <v>80</v>
      </c>
      <c r="Z32" s="15">
        <f>IF(D11=T3,T29,IF(D11=V3,V29,IF(D11=W3,W29,IF(D11=X3,X29,IF(D11=U3,U29,)))))</f>
        <v>5.8999999999999997E-2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2"/>
        <v>1</v>
      </c>
      <c r="AM32" s="438">
        <f t="shared" si="31"/>
        <v>24</v>
      </c>
      <c r="AN32" s="439">
        <f t="shared" si="48"/>
        <v>45100</v>
      </c>
      <c r="AO32" s="435">
        <f t="shared" si="11"/>
        <v>30731</v>
      </c>
      <c r="AP32" s="435">
        <f t="shared" si="12"/>
        <v>14264.07</v>
      </c>
      <c r="AQ32" s="435">
        <f t="shared" si="43"/>
        <v>16466.93</v>
      </c>
      <c r="AR32" s="435">
        <f t="shared" si="13"/>
        <v>0</v>
      </c>
      <c r="AS32" s="435">
        <f t="shared" si="49"/>
        <v>0</v>
      </c>
      <c r="AT32" s="435">
        <f t="shared" si="24"/>
        <v>14264.07</v>
      </c>
      <c r="AU32" s="435">
        <f t="shared" si="44"/>
        <v>0</v>
      </c>
      <c r="AV32" s="435">
        <f t="shared" si="45"/>
        <v>0</v>
      </c>
      <c r="AW32" s="435"/>
      <c r="AX32" s="435"/>
      <c r="AY32" s="435"/>
      <c r="AZ32" s="435"/>
      <c r="BA32" s="435"/>
      <c r="BB32" s="435">
        <f t="shared" si="46"/>
        <v>827492.65999999992</v>
      </c>
      <c r="BC32" s="108">
        <f t="shared" si="33"/>
        <v>43</v>
      </c>
      <c r="BD32" s="108">
        <f t="shared" si="51"/>
        <v>41</v>
      </c>
      <c r="BE32" s="22">
        <f t="shared" si="52"/>
        <v>44918</v>
      </c>
      <c r="BF32" s="108">
        <f t="shared" si="53"/>
        <v>30288</v>
      </c>
    </row>
    <row r="33" spans="1:1212" ht="19.899999999999999" customHeight="1" x14ac:dyDescent="0.3">
      <c r="A33" s="793" t="s">
        <v>280</v>
      </c>
      <c r="B33" s="793"/>
      <c r="C33" s="415"/>
      <c r="D33" s="415"/>
      <c r="E33" s="415"/>
      <c r="F33" s="234"/>
      <c r="G33" s="426">
        <f t="shared" si="28"/>
        <v>25</v>
      </c>
      <c r="H33" s="427">
        <f t="shared" si="47"/>
        <v>45130</v>
      </c>
      <c r="I33" s="423">
        <f t="shared" si="7"/>
        <v>30288</v>
      </c>
      <c r="J33" s="423">
        <f t="shared" si="8"/>
        <v>11809.68</v>
      </c>
      <c r="K33" s="423">
        <f t="shared" si="16"/>
        <v>18478.32</v>
      </c>
      <c r="L33" s="423">
        <f t="shared" si="17"/>
        <v>0</v>
      </c>
      <c r="M33" s="423">
        <f t="shared" si="29"/>
        <v>0</v>
      </c>
      <c r="N33" s="423">
        <f t="shared" si="18"/>
        <v>11809.68</v>
      </c>
      <c r="O33" s="423">
        <f t="shared" si="19"/>
        <v>0</v>
      </c>
      <c r="P33" s="423">
        <f t="shared" si="20"/>
        <v>0</v>
      </c>
      <c r="Q33" s="423">
        <f t="shared" si="21"/>
        <v>831725.23999999976</v>
      </c>
      <c r="R33" s="36">
        <f t="shared" si="30"/>
        <v>36</v>
      </c>
      <c r="S33" s="36">
        <f t="shared" si="9"/>
        <v>36</v>
      </c>
      <c r="T33" s="84">
        <v>5.8999999999999997E-2</v>
      </c>
      <c r="U33" s="84">
        <v>5.8999999999999997E-2</v>
      </c>
      <c r="V33" s="84">
        <v>5.8999999999999997E-2</v>
      </c>
      <c r="W33" s="84">
        <v>5.8999999999999997E-2</v>
      </c>
      <c r="X33" s="84">
        <v>5.8999999999999997E-2</v>
      </c>
      <c r="AB33" s="15"/>
      <c r="AJ33" s="16"/>
      <c r="AK33" s="16"/>
      <c r="AL33" s="130">
        <f t="shared" si="22"/>
        <v>1</v>
      </c>
      <c r="AM33" s="438">
        <f t="shared" si="31"/>
        <v>25</v>
      </c>
      <c r="AN33" s="439">
        <f t="shared" si="48"/>
        <v>45130</v>
      </c>
      <c r="AO33" s="435">
        <f t="shared" si="11"/>
        <v>30731</v>
      </c>
      <c r="AP33" s="435">
        <f t="shared" si="12"/>
        <v>13534.61</v>
      </c>
      <c r="AQ33" s="435">
        <f t="shared" si="43"/>
        <v>17196.39</v>
      </c>
      <c r="AR33" s="435">
        <f t="shared" si="13"/>
        <v>0</v>
      </c>
      <c r="AS33" s="435">
        <f t="shared" si="49"/>
        <v>0</v>
      </c>
      <c r="AT33" s="435">
        <f t="shared" si="24"/>
        <v>13534.61</v>
      </c>
      <c r="AU33" s="435">
        <f t="shared" si="44"/>
        <v>0</v>
      </c>
      <c r="AV33" s="435">
        <f t="shared" si="45"/>
        <v>0</v>
      </c>
      <c r="AW33" s="435"/>
      <c r="AX33" s="435"/>
      <c r="AY33" s="435"/>
      <c r="AZ33" s="435"/>
      <c r="BA33" s="435"/>
      <c r="BB33" s="435">
        <f t="shared" si="46"/>
        <v>810296.2699999999</v>
      </c>
      <c r="BC33" s="108">
        <f t="shared" si="33"/>
        <v>42</v>
      </c>
      <c r="BD33" s="108">
        <f t="shared" si="51"/>
        <v>41</v>
      </c>
      <c r="BE33" s="22">
        <f t="shared" si="52"/>
        <v>44949</v>
      </c>
      <c r="BF33" s="108">
        <f t="shared" si="53"/>
        <v>30288</v>
      </c>
      <c r="BI33" s="782" t="str">
        <f>IF(AL7&lt;C10,CONCATENATE("← Срок с учетом перехода на иной тарифный план равен ",AL7," мес."),"")</f>
        <v/>
      </c>
      <c r="BK33" s="131"/>
    </row>
    <row r="34" spans="1:1212" ht="19.899999999999999" customHeight="1" x14ac:dyDescent="0.3">
      <c r="A34" s="763" t="s">
        <v>281</v>
      </c>
      <c r="B34" s="763"/>
      <c r="C34" s="410">
        <f>IF(OR(C8="Гарантия стандарт",C8="Гарантия пакет"),0,Z56)</f>
        <v>23376</v>
      </c>
      <c r="D34" s="410">
        <f>IF(OR(D8="Гарантия стандарт",D8="Гарантия пакет"),0,AD57)</f>
        <v>30718.629288286247</v>
      </c>
      <c r="E34" s="191">
        <f t="shared" si="50"/>
        <v>-7342.6292882862472</v>
      </c>
      <c r="F34" s="191"/>
      <c r="G34" s="426">
        <f t="shared" si="28"/>
        <v>26</v>
      </c>
      <c r="H34" s="427">
        <f t="shared" si="47"/>
        <v>45161</v>
      </c>
      <c r="I34" s="423">
        <f t="shared" si="7"/>
        <v>30288</v>
      </c>
      <c r="J34" s="423">
        <f t="shared" si="8"/>
        <v>11938.11</v>
      </c>
      <c r="K34" s="423">
        <f t="shared" si="16"/>
        <v>18349.89</v>
      </c>
      <c r="L34" s="423">
        <f t="shared" si="17"/>
        <v>0</v>
      </c>
      <c r="M34" s="423">
        <f t="shared" si="29"/>
        <v>0</v>
      </c>
      <c r="N34" s="423">
        <f t="shared" si="18"/>
        <v>11938.11</v>
      </c>
      <c r="O34" s="423">
        <f t="shared" si="19"/>
        <v>0</v>
      </c>
      <c r="P34" s="423">
        <f t="shared" si="20"/>
        <v>0</v>
      </c>
      <c r="Q34" s="423">
        <f t="shared" si="21"/>
        <v>813375.34999999974</v>
      </c>
      <c r="R34" s="36">
        <f t="shared" si="30"/>
        <v>35</v>
      </c>
      <c r="S34" s="36">
        <f t="shared" si="9"/>
        <v>35</v>
      </c>
      <c r="T34" s="84">
        <v>7.9000000000000001E-2</v>
      </c>
      <c r="U34" s="84">
        <v>7.9000000000000001E-2</v>
      </c>
      <c r="V34" s="84">
        <v>7.9000000000000001E-2</v>
      </c>
      <c r="W34" s="84">
        <v>7.9000000000000001E-2</v>
      </c>
      <c r="X34" s="84">
        <v>7.9000000000000001E-2</v>
      </c>
      <c r="AB34" s="2"/>
      <c r="AJ34" s="16"/>
      <c r="AK34" s="16"/>
      <c r="AL34" s="130">
        <f t="shared" si="22"/>
        <v>1</v>
      </c>
      <c r="AM34" s="438">
        <f t="shared" si="31"/>
        <v>26</v>
      </c>
      <c r="AN34" s="439">
        <f t="shared" si="48"/>
        <v>45161</v>
      </c>
      <c r="AO34" s="435">
        <f t="shared" si="11"/>
        <v>30731</v>
      </c>
      <c r="AP34" s="435">
        <f t="shared" si="12"/>
        <v>13695.12</v>
      </c>
      <c r="AQ34" s="435">
        <f t="shared" si="43"/>
        <v>17035.879999999997</v>
      </c>
      <c r="AR34" s="435">
        <f t="shared" si="13"/>
        <v>0</v>
      </c>
      <c r="AS34" s="435">
        <f t="shared" si="49"/>
        <v>0</v>
      </c>
      <c r="AT34" s="435">
        <f t="shared" si="24"/>
        <v>13695.12</v>
      </c>
      <c r="AU34" s="435">
        <f t="shared" si="44"/>
        <v>0</v>
      </c>
      <c r="AV34" s="435">
        <f t="shared" si="45"/>
        <v>0</v>
      </c>
      <c r="AW34" s="435"/>
      <c r="AX34" s="435"/>
      <c r="AY34" s="435"/>
      <c r="AZ34" s="435"/>
      <c r="BA34" s="435"/>
      <c r="BB34" s="435">
        <f t="shared" si="46"/>
        <v>793260.3899999999</v>
      </c>
      <c r="BC34" s="108">
        <f t="shared" si="33"/>
        <v>41</v>
      </c>
      <c r="BD34" s="108">
        <f t="shared" si="51"/>
        <v>40</v>
      </c>
      <c r="BE34" s="22">
        <f t="shared" si="52"/>
        <v>44980</v>
      </c>
      <c r="BF34" s="108">
        <f t="shared" si="53"/>
        <v>30288</v>
      </c>
      <c r="BI34" s="782"/>
    </row>
    <row r="35" spans="1:1212" ht="21" customHeight="1" x14ac:dyDescent="0.3">
      <c r="A35" s="763" t="s">
        <v>282</v>
      </c>
      <c r="B35" s="763"/>
      <c r="C35" s="413">
        <f>IF(OR(C8="Гарантия стандарт",C8="Гарантия пакет"),0,$C$10+$AA$57)</f>
        <v>96</v>
      </c>
      <c r="D35" s="413">
        <f>IF(OR(D8="Гарантия стандарт",D8="Гарантия пакет"),0,$C$10+$AA$57)</f>
        <v>96</v>
      </c>
      <c r="E35" s="191"/>
      <c r="F35" s="191"/>
      <c r="G35" s="426">
        <f t="shared" si="28"/>
        <v>27</v>
      </c>
      <c r="H35" s="427">
        <f t="shared" si="47"/>
        <v>45192</v>
      </c>
      <c r="I35" s="423">
        <f t="shared" si="7"/>
        <v>30288</v>
      </c>
      <c r="J35" s="423">
        <f t="shared" si="8"/>
        <v>11674.72</v>
      </c>
      <c r="K35" s="423">
        <f t="shared" si="16"/>
        <v>18613.28</v>
      </c>
      <c r="L35" s="423">
        <f t="shared" si="17"/>
        <v>0</v>
      </c>
      <c r="M35" s="423">
        <f t="shared" si="29"/>
        <v>0</v>
      </c>
      <c r="N35" s="423">
        <f t="shared" si="18"/>
        <v>11674.72</v>
      </c>
      <c r="O35" s="423">
        <f t="shared" si="19"/>
        <v>0</v>
      </c>
      <c r="P35" s="423">
        <f t="shared" si="20"/>
        <v>0</v>
      </c>
      <c r="Q35" s="423">
        <f t="shared" si="21"/>
        <v>794762.06999999972</v>
      </c>
      <c r="R35" s="36">
        <f t="shared" si="30"/>
        <v>34</v>
      </c>
      <c r="S35" s="36">
        <f t="shared" si="9"/>
        <v>34</v>
      </c>
      <c r="T35" s="2">
        <v>1</v>
      </c>
      <c r="U35" s="2">
        <v>1</v>
      </c>
      <c r="V35" s="3">
        <v>1</v>
      </c>
      <c r="W35" s="2">
        <v>1</v>
      </c>
      <c r="X35" s="3">
        <v>1</v>
      </c>
      <c r="AB35" s="15"/>
      <c r="AJ35" s="16"/>
      <c r="AK35" s="16"/>
      <c r="AL35" s="130">
        <f t="shared" si="22"/>
        <v>1</v>
      </c>
      <c r="AM35" s="438">
        <f t="shared" si="31"/>
        <v>27</v>
      </c>
      <c r="AN35" s="439">
        <f t="shared" si="48"/>
        <v>45192</v>
      </c>
      <c r="AO35" s="435">
        <f t="shared" si="11"/>
        <v>30731</v>
      </c>
      <c r="AP35" s="435">
        <f t="shared" si="12"/>
        <v>13407.19</v>
      </c>
      <c r="AQ35" s="435">
        <f t="shared" si="43"/>
        <v>17323.809999999998</v>
      </c>
      <c r="AR35" s="435">
        <f t="shared" si="13"/>
        <v>0</v>
      </c>
      <c r="AS35" s="435">
        <f t="shared" si="49"/>
        <v>0</v>
      </c>
      <c r="AT35" s="435">
        <f t="shared" si="24"/>
        <v>13407.19</v>
      </c>
      <c r="AU35" s="435">
        <f t="shared" si="44"/>
        <v>0</v>
      </c>
      <c r="AV35" s="435">
        <f t="shared" si="45"/>
        <v>0</v>
      </c>
      <c r="AW35" s="435"/>
      <c r="AX35" s="435"/>
      <c r="AY35" s="435"/>
      <c r="AZ35" s="435"/>
      <c r="BA35" s="435"/>
      <c r="BB35" s="435">
        <f t="shared" si="46"/>
        <v>775936.57999999984</v>
      </c>
      <c r="BC35" s="108">
        <f t="shared" si="33"/>
        <v>40</v>
      </c>
      <c r="BD35" s="108">
        <f t="shared" si="51"/>
        <v>39</v>
      </c>
      <c r="BE35" s="22">
        <f t="shared" si="52"/>
        <v>45008</v>
      </c>
      <c r="BF35" s="108">
        <f t="shared" si="53"/>
        <v>30288</v>
      </c>
      <c r="BI35" s="782"/>
    </row>
    <row r="36" spans="1:1212" ht="22.5" customHeight="1" x14ac:dyDescent="0.3">
      <c r="A36" s="763" t="s">
        <v>283</v>
      </c>
      <c r="B36" s="763"/>
      <c r="C36" s="414">
        <f>IF(OR(C8="Гарантия стандарт",C8="Гарантия пакет"),0,Z57)</f>
        <v>0.16900000000000001</v>
      </c>
      <c r="D36" s="414">
        <f>IF(OR(D8="Гарантия стандарт",D8="Гарантия пакет"),0,AC57)</f>
        <v>0.19900000000000001</v>
      </c>
      <c r="E36" s="351">
        <f t="shared" si="50"/>
        <v>-0.03</v>
      </c>
      <c r="F36" s="351"/>
      <c r="G36" s="426">
        <f t="shared" si="28"/>
        <v>28</v>
      </c>
      <c r="H36" s="427">
        <f t="shared" si="47"/>
        <v>45222</v>
      </c>
      <c r="I36" s="423">
        <f t="shared" si="7"/>
        <v>30288</v>
      </c>
      <c r="J36" s="423">
        <f t="shared" si="8"/>
        <v>11039.57</v>
      </c>
      <c r="K36" s="423">
        <f t="shared" si="16"/>
        <v>19248.43</v>
      </c>
      <c r="L36" s="423">
        <f t="shared" si="17"/>
        <v>0</v>
      </c>
      <c r="M36" s="423">
        <f t="shared" si="29"/>
        <v>0</v>
      </c>
      <c r="N36" s="423">
        <f t="shared" si="18"/>
        <v>11039.57</v>
      </c>
      <c r="O36" s="423">
        <f t="shared" si="19"/>
        <v>0</v>
      </c>
      <c r="P36" s="423">
        <f t="shared" si="20"/>
        <v>0</v>
      </c>
      <c r="Q36" s="423">
        <f t="shared" si="21"/>
        <v>775513.63999999966</v>
      </c>
      <c r="R36" s="36">
        <f t="shared" si="30"/>
        <v>33</v>
      </c>
      <c r="S36" s="36">
        <f t="shared" si="9"/>
        <v>33</v>
      </c>
      <c r="T36" s="2">
        <v>0</v>
      </c>
      <c r="U36" s="2">
        <v>1</v>
      </c>
      <c r="V36" s="2">
        <v>2</v>
      </c>
      <c r="W36" s="2">
        <v>3</v>
      </c>
      <c r="X36" s="2">
        <v>4</v>
      </c>
      <c r="AB36" s="15"/>
      <c r="AJ36" s="16"/>
      <c r="AK36" s="16"/>
      <c r="AL36" s="130">
        <f t="shared" si="22"/>
        <v>1</v>
      </c>
      <c r="AM36" s="438">
        <f t="shared" si="31"/>
        <v>28</v>
      </c>
      <c r="AN36" s="439">
        <f t="shared" si="48"/>
        <v>45222</v>
      </c>
      <c r="AO36" s="435">
        <f t="shared" si="11"/>
        <v>30731</v>
      </c>
      <c r="AP36" s="435">
        <f t="shared" si="12"/>
        <v>12691.35</v>
      </c>
      <c r="AQ36" s="435">
        <f t="shared" si="43"/>
        <v>18039.650000000001</v>
      </c>
      <c r="AR36" s="435">
        <f t="shared" si="13"/>
        <v>0</v>
      </c>
      <c r="AS36" s="435">
        <f t="shared" si="49"/>
        <v>0</v>
      </c>
      <c r="AT36" s="435">
        <f t="shared" si="24"/>
        <v>12691.35</v>
      </c>
      <c r="AU36" s="435">
        <f t="shared" si="44"/>
        <v>0</v>
      </c>
      <c r="AV36" s="435">
        <f t="shared" si="45"/>
        <v>0</v>
      </c>
      <c r="AW36" s="435"/>
      <c r="AX36" s="435"/>
      <c r="AY36" s="435"/>
      <c r="AZ36" s="435"/>
      <c r="BA36" s="435"/>
      <c r="BB36" s="435">
        <f t="shared" si="46"/>
        <v>757896.92999999982</v>
      </c>
      <c r="BC36" s="108">
        <f t="shared" si="33"/>
        <v>39</v>
      </c>
      <c r="BD36" s="108">
        <f t="shared" si="51"/>
        <v>38</v>
      </c>
      <c r="BE36" s="22">
        <f t="shared" si="52"/>
        <v>45039</v>
      </c>
      <c r="BF36" s="108">
        <f t="shared" si="53"/>
        <v>30288</v>
      </c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</row>
    <row r="37" spans="1:1212" s="16" customFormat="1" ht="19.899999999999999" customHeight="1" x14ac:dyDescent="0.3">
      <c r="A37" s="790" t="s">
        <v>175</v>
      </c>
      <c r="B37" s="790"/>
      <c r="C37" s="791"/>
      <c r="D37" s="791"/>
      <c r="E37" s="790"/>
      <c r="F37" s="353"/>
      <c r="G37" s="426">
        <f t="shared" si="28"/>
        <v>29</v>
      </c>
      <c r="H37" s="427">
        <f t="shared" si="47"/>
        <v>45253</v>
      </c>
      <c r="I37" s="423">
        <f t="shared" si="7"/>
        <v>30288</v>
      </c>
      <c r="J37" s="423">
        <f t="shared" si="8"/>
        <v>11131.28</v>
      </c>
      <c r="K37" s="423">
        <f t="shared" si="16"/>
        <v>19156.72</v>
      </c>
      <c r="L37" s="423">
        <f t="shared" si="17"/>
        <v>0</v>
      </c>
      <c r="M37" s="423">
        <f t="shared" si="29"/>
        <v>0</v>
      </c>
      <c r="N37" s="423">
        <f t="shared" si="18"/>
        <v>11131.28</v>
      </c>
      <c r="O37" s="423">
        <f t="shared" si="19"/>
        <v>0</v>
      </c>
      <c r="P37" s="423">
        <f t="shared" si="20"/>
        <v>0</v>
      </c>
      <c r="Q37" s="423">
        <f t="shared" si="21"/>
        <v>756356.91999999969</v>
      </c>
      <c r="R37" s="36">
        <f t="shared" si="30"/>
        <v>32</v>
      </c>
      <c r="S37" s="36">
        <f t="shared" si="9"/>
        <v>32</v>
      </c>
      <c r="Y37" s="2"/>
      <c r="Z37" s="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2"/>
        <v>1</v>
      </c>
      <c r="AM37" s="438">
        <f t="shared" si="31"/>
        <v>29</v>
      </c>
      <c r="AN37" s="439">
        <f t="shared" si="48"/>
        <v>45253</v>
      </c>
      <c r="AO37" s="435">
        <f t="shared" si="11"/>
        <v>30731</v>
      </c>
      <c r="AP37" s="435">
        <f t="shared" si="12"/>
        <v>12809.5</v>
      </c>
      <c r="AQ37" s="435">
        <f t="shared" si="43"/>
        <v>17921.5</v>
      </c>
      <c r="AR37" s="435">
        <f t="shared" si="13"/>
        <v>0</v>
      </c>
      <c r="AS37" s="435">
        <f t="shared" si="49"/>
        <v>0</v>
      </c>
      <c r="AT37" s="435">
        <f t="shared" si="24"/>
        <v>12809.5</v>
      </c>
      <c r="AU37" s="435">
        <f t="shared" si="44"/>
        <v>0</v>
      </c>
      <c r="AV37" s="435">
        <f t="shared" si="45"/>
        <v>0</v>
      </c>
      <c r="AW37" s="435"/>
      <c r="AX37" s="435"/>
      <c r="AY37" s="435"/>
      <c r="AZ37" s="435"/>
      <c r="BA37" s="435"/>
      <c r="BB37" s="435">
        <f t="shared" si="46"/>
        <v>739975.42999999982</v>
      </c>
      <c r="BC37" s="108">
        <f t="shared" si="33"/>
        <v>38</v>
      </c>
      <c r="BD37" s="108">
        <f t="shared" si="51"/>
        <v>37</v>
      </c>
      <c r="BE37" s="22">
        <f t="shared" si="52"/>
        <v>45069</v>
      </c>
      <c r="BF37" s="108">
        <f t="shared" si="53"/>
        <v>30288</v>
      </c>
    </row>
    <row r="38" spans="1:1212" s="16" customFormat="1" ht="19.899999999999999" customHeight="1" x14ac:dyDescent="0.3">
      <c r="A38" s="792" t="s">
        <v>284</v>
      </c>
      <c r="B38" s="213" t="s">
        <v>180</v>
      </c>
      <c r="C38" s="410">
        <f>C32/($C$10/12)</f>
        <v>81603.025999999983</v>
      </c>
      <c r="D38" s="410">
        <f>D32/($C$10/12)</f>
        <v>136257.74399999995</v>
      </c>
      <c r="E38" s="191">
        <f t="shared" si="50"/>
        <v>-54654.717999999964</v>
      </c>
      <c r="F38" s="191"/>
      <c r="G38" s="426">
        <f t="shared" si="28"/>
        <v>30</v>
      </c>
      <c r="H38" s="427">
        <f t="shared" si="47"/>
        <v>45283</v>
      </c>
      <c r="I38" s="423">
        <f t="shared" si="7"/>
        <v>30288</v>
      </c>
      <c r="J38" s="423">
        <f t="shared" si="8"/>
        <v>10506.11</v>
      </c>
      <c r="K38" s="423">
        <f t="shared" si="16"/>
        <v>19781.89</v>
      </c>
      <c r="L38" s="423">
        <f t="shared" si="17"/>
        <v>0</v>
      </c>
      <c r="M38" s="423">
        <f t="shared" si="29"/>
        <v>0</v>
      </c>
      <c r="N38" s="423">
        <f t="shared" si="18"/>
        <v>10506.11</v>
      </c>
      <c r="O38" s="423">
        <f t="shared" si="19"/>
        <v>0</v>
      </c>
      <c r="P38" s="423">
        <f t="shared" si="20"/>
        <v>0</v>
      </c>
      <c r="Q38" s="423">
        <f t="shared" si="21"/>
        <v>736575.02999999968</v>
      </c>
      <c r="R38" s="36">
        <f t="shared" si="30"/>
        <v>31</v>
      </c>
      <c r="S38" s="36">
        <f t="shared" si="9"/>
        <v>31</v>
      </c>
      <c r="T38" s="101">
        <f>IF($D$12=T11,T30,IF($D$12=T12,T30,IF($D$12=T13,T31,IF($D$12=T14,T31,IF($D$12=T15,T32,IF($D$12=T16,T33,IF($D$12=T17,T33,IF($D$12=T18,T33,IF($D$12=T19,T34,IF($D$12=T21,0,IF($D$12=T20,T34,T30)))))))))))</f>
        <v>7.9000000000000001E-2</v>
      </c>
      <c r="U38" s="101">
        <f>IF($D$12=U11,U30,IF($D$12=U12,U30,IF($D$12=U13,U31,IF($D$12=U14,U31,IF($D$12=U15,U32,IF($D$12=U16,U33,IF($D$12=U17,U33,IF($D$12=U18,U33,IF($D$12=U19,U34,IF($D$12=U21,0,IF($D$12=U20,U34,U30)))))))))))</f>
        <v>7.9000000000000001E-2</v>
      </c>
      <c r="V38" s="101">
        <f>IF($D$12=V11,V30,IF($D$12=V12,V30,IF($D$12=V13,V31,IF($D$12=V14,V31,IF($D$12=V15,V32,IF($D$12=V16,V33,IF($D$12=V17,V33,IF($D$12=V18,V33,IF($D$12=V19,V34,IF($D$12=V21,0,IF($D$12=V20,V34,V30)))))))))))</f>
        <v>7.9000000000000001E-2</v>
      </c>
      <c r="W38" s="101">
        <f>IF($D$12=W11,W30,IF($D$12=W12,W30,IF($D$12=W13,W31,IF($D$12=W14,W31,IF($D$12=W15,W32,IF($D$12=W16,W33,IF($D$12=W17,W33,IF($D$12=W18,W33,IF($D$12=W19,W34,IF($D$12=W21,0,IF($D$12=W20,W34,W30)))))))))))</f>
        <v>7.9000000000000001E-2</v>
      </c>
      <c r="X38" s="101">
        <f>IF($D$12=X11,X30,IF($D$12=X12,X30,IF($D$12=X13,X31,IF($D$12=X14,X31,IF($D$12=X15,X32,IF($D$12=X16,X33,IF($D$12=X17,X33,IF($D$12=X18,X33,IF($D$12=X19,X34,IF($D$12=X21,0,IF($D$12=X20,X34,X30)))))))))))</f>
        <v>7.9000000000000001E-2</v>
      </c>
      <c r="Y38" s="2"/>
      <c r="Z38" s="2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2"/>
        <v>1</v>
      </c>
      <c r="AM38" s="438">
        <f t="shared" si="31"/>
        <v>30</v>
      </c>
      <c r="AN38" s="439">
        <f t="shared" si="48"/>
        <v>45283</v>
      </c>
      <c r="AO38" s="435">
        <f t="shared" si="11"/>
        <v>30731</v>
      </c>
      <c r="AP38" s="435">
        <f t="shared" si="12"/>
        <v>12103.16</v>
      </c>
      <c r="AQ38" s="435">
        <f t="shared" si="43"/>
        <v>18627.84</v>
      </c>
      <c r="AR38" s="435">
        <f t="shared" si="13"/>
        <v>0</v>
      </c>
      <c r="AS38" s="435">
        <f t="shared" si="49"/>
        <v>0</v>
      </c>
      <c r="AT38" s="435">
        <f t="shared" si="24"/>
        <v>12103.16</v>
      </c>
      <c r="AU38" s="435">
        <f t="shared" si="44"/>
        <v>0</v>
      </c>
      <c r="AV38" s="435">
        <f t="shared" si="45"/>
        <v>0</v>
      </c>
      <c r="AW38" s="435"/>
      <c r="AX38" s="435"/>
      <c r="AY38" s="435"/>
      <c r="AZ38" s="435"/>
      <c r="BA38" s="435"/>
      <c r="BB38" s="435">
        <f t="shared" si="46"/>
        <v>721347.58999999985</v>
      </c>
      <c r="BC38" s="108">
        <f t="shared" si="33"/>
        <v>37</v>
      </c>
      <c r="BD38" s="108">
        <f t="shared" si="51"/>
        <v>36</v>
      </c>
      <c r="BE38" s="22">
        <f t="shared" si="52"/>
        <v>45100</v>
      </c>
      <c r="BF38" s="108">
        <f t="shared" si="53"/>
        <v>30288</v>
      </c>
    </row>
    <row r="39" spans="1:1212" s="16" customFormat="1" ht="19.899999999999999" customHeight="1" x14ac:dyDescent="0.3">
      <c r="A39" s="792"/>
      <c r="B39" s="213" t="s">
        <v>181</v>
      </c>
      <c r="C39" s="416">
        <f>C38/C23</f>
        <v>6.6838419198951574E-2</v>
      </c>
      <c r="D39" s="416">
        <f>D38/D23</f>
        <v>0.11727148980118766</v>
      </c>
      <c r="E39" s="191"/>
      <c r="F39" s="191"/>
      <c r="G39" s="426">
        <f t="shared" si="28"/>
        <v>31</v>
      </c>
      <c r="H39" s="427">
        <f t="shared" si="47"/>
        <v>45314</v>
      </c>
      <c r="I39" s="423">
        <f t="shared" si="7"/>
        <v>30288</v>
      </c>
      <c r="J39" s="423">
        <f t="shared" si="8"/>
        <v>10550.94</v>
      </c>
      <c r="K39" s="423">
        <f t="shared" si="16"/>
        <v>19737.059999999998</v>
      </c>
      <c r="L39" s="423">
        <f t="shared" si="17"/>
        <v>0</v>
      </c>
      <c r="M39" s="423">
        <f t="shared" si="29"/>
        <v>0</v>
      </c>
      <c r="N39" s="423">
        <f t="shared" si="18"/>
        <v>10550.94</v>
      </c>
      <c r="O39" s="423">
        <f t="shared" si="19"/>
        <v>0</v>
      </c>
      <c r="P39" s="423">
        <f t="shared" si="20"/>
        <v>0</v>
      </c>
      <c r="Q39" s="423">
        <f t="shared" si="21"/>
        <v>716837.96999999974</v>
      </c>
      <c r="R39" s="36">
        <f t="shared" si="30"/>
        <v>30</v>
      </c>
      <c r="S39" s="36">
        <f t="shared" si="9"/>
        <v>30</v>
      </c>
      <c r="V39" s="57"/>
      <c r="W39" s="2"/>
      <c r="X39" s="2"/>
      <c r="Y39" s="2"/>
      <c r="Z39" s="2"/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2"/>
        <v>1</v>
      </c>
      <c r="AM39" s="438">
        <f t="shared" si="31"/>
        <v>31</v>
      </c>
      <c r="AN39" s="439">
        <f t="shared" si="48"/>
        <v>45314</v>
      </c>
      <c r="AO39" s="435">
        <f t="shared" si="11"/>
        <v>30731</v>
      </c>
      <c r="AP39" s="435">
        <f t="shared" si="12"/>
        <v>12167.05</v>
      </c>
      <c r="AQ39" s="435">
        <f t="shared" si="43"/>
        <v>18563.95</v>
      </c>
      <c r="AR39" s="435">
        <f t="shared" si="13"/>
        <v>0</v>
      </c>
      <c r="AS39" s="435">
        <f t="shared" si="49"/>
        <v>0</v>
      </c>
      <c r="AT39" s="435">
        <f t="shared" si="24"/>
        <v>12167.05</v>
      </c>
      <c r="AU39" s="435">
        <f t="shared" si="44"/>
        <v>0</v>
      </c>
      <c r="AV39" s="435">
        <f t="shared" si="45"/>
        <v>0</v>
      </c>
      <c r="AW39" s="435"/>
      <c r="AX39" s="435"/>
      <c r="AY39" s="435"/>
      <c r="AZ39" s="435"/>
      <c r="BA39" s="435"/>
      <c r="BB39" s="435">
        <f t="shared" si="46"/>
        <v>702783.6399999999</v>
      </c>
      <c r="BC39" s="108">
        <f t="shared" si="33"/>
        <v>36</v>
      </c>
      <c r="BD39" s="108">
        <f t="shared" si="51"/>
        <v>35</v>
      </c>
      <c r="BE39" s="22">
        <f t="shared" si="52"/>
        <v>45130</v>
      </c>
      <c r="BF39" s="108">
        <f t="shared" si="53"/>
        <v>30288</v>
      </c>
    </row>
    <row r="40" spans="1:1212" s="16" customFormat="1" ht="20.25" customHeight="1" x14ac:dyDescent="0.3">
      <c r="A40" s="763" t="s">
        <v>177</v>
      </c>
      <c r="B40" s="763"/>
      <c r="C40" s="410">
        <f>C38/12</f>
        <v>6800.2521666666653</v>
      </c>
      <c r="D40" s="410">
        <f>D38/12</f>
        <v>11354.811999999996</v>
      </c>
      <c r="E40" s="191">
        <f t="shared" si="50"/>
        <v>-4554.559833333331</v>
      </c>
      <c r="F40" s="191"/>
      <c r="G40" s="426">
        <f t="shared" si="28"/>
        <v>32</v>
      </c>
      <c r="H40" s="427">
        <f t="shared" si="47"/>
        <v>45345</v>
      </c>
      <c r="I40" s="423">
        <f t="shared" si="7"/>
        <v>30288</v>
      </c>
      <c r="J40" s="423">
        <f t="shared" si="8"/>
        <v>10260.969999999999</v>
      </c>
      <c r="K40" s="423">
        <f t="shared" si="16"/>
        <v>20027.03</v>
      </c>
      <c r="L40" s="423">
        <f t="shared" si="17"/>
        <v>0</v>
      </c>
      <c r="M40" s="423">
        <f t="shared" si="29"/>
        <v>0</v>
      </c>
      <c r="N40" s="423">
        <f t="shared" si="18"/>
        <v>10260.969999999999</v>
      </c>
      <c r="O40" s="423">
        <f t="shared" si="19"/>
        <v>0</v>
      </c>
      <c r="P40" s="423">
        <f t="shared" si="20"/>
        <v>0</v>
      </c>
      <c r="Q40" s="423">
        <f t="shared" si="21"/>
        <v>696810.93999999971</v>
      </c>
      <c r="R40" s="36">
        <f t="shared" si="30"/>
        <v>29</v>
      </c>
      <c r="S40" s="36">
        <f t="shared" si="9"/>
        <v>29</v>
      </c>
      <c r="T40" s="138" t="s">
        <v>104</v>
      </c>
      <c r="U40" s="139"/>
      <c r="V40" s="139" t="s">
        <v>20</v>
      </c>
      <c r="W40" s="139" t="s">
        <v>29</v>
      </c>
      <c r="X40" s="139"/>
      <c r="Y40" s="139"/>
      <c r="Z40" s="139"/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2"/>
        <v>1</v>
      </c>
      <c r="AM40" s="438">
        <f t="shared" si="31"/>
        <v>32</v>
      </c>
      <c r="AN40" s="439">
        <f t="shared" si="48"/>
        <v>45345</v>
      </c>
      <c r="AO40" s="435">
        <f t="shared" si="11"/>
        <v>30731</v>
      </c>
      <c r="AP40" s="435">
        <f t="shared" si="12"/>
        <v>11845.55</v>
      </c>
      <c r="AQ40" s="435">
        <f t="shared" si="43"/>
        <v>18885.45</v>
      </c>
      <c r="AR40" s="435">
        <f t="shared" si="13"/>
        <v>0</v>
      </c>
      <c r="AS40" s="435">
        <f t="shared" si="49"/>
        <v>0</v>
      </c>
      <c r="AT40" s="435">
        <f t="shared" si="24"/>
        <v>11845.55</v>
      </c>
      <c r="AU40" s="435">
        <f t="shared" si="44"/>
        <v>0</v>
      </c>
      <c r="AV40" s="435">
        <f t="shared" si="45"/>
        <v>0</v>
      </c>
      <c r="AW40" s="435"/>
      <c r="AX40" s="435"/>
      <c r="AY40" s="435"/>
      <c r="AZ40" s="435"/>
      <c r="BA40" s="435"/>
      <c r="BB40" s="435">
        <f t="shared" si="46"/>
        <v>683898.19</v>
      </c>
      <c r="BC40" s="108">
        <f t="shared" si="33"/>
        <v>35</v>
      </c>
      <c r="BD40" s="108">
        <f t="shared" si="51"/>
        <v>34</v>
      </c>
      <c r="BE40" s="22">
        <f t="shared" si="52"/>
        <v>45161</v>
      </c>
      <c r="BF40" s="108">
        <f t="shared" si="53"/>
        <v>30288</v>
      </c>
    </row>
    <row r="41" spans="1:1212" s="16" customFormat="1" ht="23.25" customHeight="1" thickBot="1" x14ac:dyDescent="0.35">
      <c r="A41" s="789" t="s">
        <v>176</v>
      </c>
      <c r="B41" s="789"/>
      <c r="C41" s="417">
        <f>C40/30</f>
        <v>226.67507222222218</v>
      </c>
      <c r="D41" s="417">
        <f>D40/30</f>
        <v>378.49373333333318</v>
      </c>
      <c r="E41" s="202">
        <f t="shared" ref="E41" si="54">C41-D41</f>
        <v>-151.818661111111</v>
      </c>
      <c r="F41" s="191"/>
      <c r="G41" s="426">
        <f t="shared" si="28"/>
        <v>33</v>
      </c>
      <c r="H41" s="427">
        <f t="shared" si="47"/>
        <v>45374</v>
      </c>
      <c r="I41" s="423">
        <f t="shared" ref="I41:I72" si="55">IF(AND(G41&gt;=$T$22,G41&lt;=$T$22+2),$T$23,IF(AND(Q40+L41+J41&gt;I40,I40&lt;&gt;0),$C$24,IF(Q40=0,0,Q40+L41+J41+J42)))</f>
        <v>30288</v>
      </c>
      <c r="J41" s="423">
        <f t="shared" ref="J41:J72" si="56">IF(AND(G41&gt;=$T$22,G41&lt;=$T$22+2),0,IF($C$9&gt;$AC$51,ROUND(Q40*$AA$15*((H41-DATE(YEAR(H41),MONTH(H41),1)+1)/(DATE(YEAR(H41)+1,1,1)-DATE(YEAR(H41),1,1))+(EOMONTH(H40,0)-H40)/(DATE(YEAR(H40)+1,1,1)-DATE(YEAR(H40),1,1))),2),0))</f>
        <v>9330.7900000000009</v>
      </c>
      <c r="K41" s="423">
        <f t="shared" ref="K41:K72" si="57">IF(S41=0,0,IF(S41=1,Q40,IF(Q40+L41+J41&gt;I40,I41-J41-L41,Q40)))</f>
        <v>20957.21</v>
      </c>
      <c r="L41" s="423">
        <f t="shared" si="17"/>
        <v>0</v>
      </c>
      <c r="M41" s="423">
        <f t="shared" si="29"/>
        <v>0</v>
      </c>
      <c r="N41" s="423">
        <f t="shared" si="18"/>
        <v>9330.7900000000009</v>
      </c>
      <c r="O41" s="423">
        <f t="shared" si="19"/>
        <v>0</v>
      </c>
      <c r="P41" s="423">
        <f t="shared" si="20"/>
        <v>0</v>
      </c>
      <c r="Q41" s="423">
        <f t="shared" ref="Q41:Q72" si="58">IF(OR(S41=1,Q40=0),0,Q40-K41)</f>
        <v>675853.72999999975</v>
      </c>
      <c r="R41" s="36">
        <f t="shared" si="30"/>
        <v>28</v>
      </c>
      <c r="S41" s="36">
        <f t="shared" ref="S41:S72" si="59">IF(ISERR(CEILING(FLOOR(NPER($C$12/12,-$AA$55,Q40),0.1),1))=TRUE,0,CEILING(FLOOR(NPER($C$12/12,-$AA$55,Q40),0.1),1))</f>
        <v>28</v>
      </c>
      <c r="T41" s="140" t="s">
        <v>106</v>
      </c>
      <c r="U41" s="140" t="s">
        <v>107</v>
      </c>
      <c r="V41" s="140" t="s">
        <v>108</v>
      </c>
      <c r="W41" s="140" t="s">
        <v>109</v>
      </c>
      <c r="X41" s="140" t="s">
        <v>110</v>
      </c>
      <c r="Y41" s="140" t="s">
        <v>326</v>
      </c>
      <c r="Z41" s="140" t="s">
        <v>327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2"/>
        <v>1</v>
      </c>
      <c r="AM41" s="438">
        <f t="shared" si="31"/>
        <v>33</v>
      </c>
      <c r="AN41" s="439">
        <f t="shared" si="48"/>
        <v>45374</v>
      </c>
      <c r="AO41" s="435">
        <f t="shared" ref="AO41:AO72" si="60">IF(AND(G41&gt;=$T$22,G41&lt;=$T$22+2),$T$23,IF(AND(BB40+AR41+AP41&gt;AO40,AO40&lt;&gt;0),$D$24,IF(BB40=0,0,BB40+AR41+AP41+AP42)))</f>
        <v>30731</v>
      </c>
      <c r="AP41" s="435">
        <f t="shared" ref="AP41:AP72" si="61">IF(AND(G41&gt;=$T$22,G41&lt;=$T$22+2),0,IF($C$9&gt;$AC$51,ROUND(BB40*$AB$15*((AN41-DATE(YEAR(AN41),MONTH(AN41),1)+1)/(DATE(YEAR(AN41)+1,1,1)-DATE(YEAR(AN41),1,1))+(EOMONTH(AN40,0)-AN40)/(DATE(YEAR(AN40)+1,1,1)-DATE(YEAR(AN40),1,1))),2),0))</f>
        <v>10783.54</v>
      </c>
      <c r="AQ41" s="435">
        <f t="shared" si="43"/>
        <v>19947.46</v>
      </c>
      <c r="AR41" s="435">
        <f t="shared" ref="AR41:AR72" si="62">IF(AT41&gt;$D$24,$D$24-AP41,IF(BD41=0,0,AV41)+BS89)</f>
        <v>0</v>
      </c>
      <c r="AS41" s="435">
        <f t="shared" si="49"/>
        <v>0</v>
      </c>
      <c r="AT41" s="435">
        <f t="shared" si="24"/>
        <v>10783.54</v>
      </c>
      <c r="AU41" s="435">
        <f t="shared" si="44"/>
        <v>0</v>
      </c>
      <c r="AV41" s="435">
        <f t="shared" si="45"/>
        <v>0</v>
      </c>
      <c r="AW41" s="435"/>
      <c r="AX41" s="435"/>
      <c r="AY41" s="435"/>
      <c r="AZ41" s="435"/>
      <c r="BA41" s="435"/>
      <c r="BB41" s="435">
        <f t="shared" si="46"/>
        <v>663950.73</v>
      </c>
      <c r="BC41" s="108">
        <f t="shared" si="33"/>
        <v>34</v>
      </c>
      <c r="BD41" s="108">
        <f t="shared" si="51"/>
        <v>33</v>
      </c>
      <c r="BE41" s="22">
        <f t="shared" si="52"/>
        <v>45192</v>
      </c>
      <c r="BF41" s="108">
        <f t="shared" si="53"/>
        <v>30288</v>
      </c>
    </row>
    <row r="42" spans="1:1212" s="16" customFormat="1" ht="19.899999999999999" customHeight="1" x14ac:dyDescent="0.3">
      <c r="A42" s="178"/>
      <c r="B42" s="178"/>
      <c r="C42" s="178"/>
      <c r="D42" s="178"/>
      <c r="E42" s="178"/>
      <c r="F42" s="178"/>
      <c r="G42" s="426">
        <f t="shared" si="28"/>
        <v>34</v>
      </c>
      <c r="H42" s="427">
        <f t="shared" si="47"/>
        <v>45405</v>
      </c>
      <c r="I42" s="423">
        <f t="shared" si="55"/>
        <v>30288</v>
      </c>
      <c r="J42" s="423">
        <f t="shared" si="56"/>
        <v>9674.31</v>
      </c>
      <c r="K42" s="423">
        <f t="shared" si="57"/>
        <v>20613.690000000002</v>
      </c>
      <c r="L42" s="423">
        <f t="shared" ref="L42:L73" si="63">IF(N42&gt;$C$24,$C$24-J42,IF(S42=0,0,O42))</f>
        <v>0</v>
      </c>
      <c r="M42" s="423">
        <f t="shared" si="29"/>
        <v>0</v>
      </c>
      <c r="N42" s="423">
        <f t="shared" si="18"/>
        <v>9674.31</v>
      </c>
      <c r="O42" s="423">
        <f t="shared" si="19"/>
        <v>0</v>
      </c>
      <c r="P42" s="423">
        <f t="shared" si="20"/>
        <v>0</v>
      </c>
      <c r="Q42" s="423">
        <f t="shared" si="58"/>
        <v>655240.0399999998</v>
      </c>
      <c r="R42" s="36">
        <f t="shared" si="30"/>
        <v>27</v>
      </c>
      <c r="S42" s="36">
        <f t="shared" si="59"/>
        <v>27</v>
      </c>
      <c r="T42" s="141">
        <v>13</v>
      </c>
      <c r="U42" s="142">
        <v>19</v>
      </c>
      <c r="V42" s="142">
        <v>31</v>
      </c>
      <c r="W42" s="141">
        <v>43</v>
      </c>
      <c r="X42" s="141">
        <v>55</v>
      </c>
      <c r="Y42" s="141">
        <v>67</v>
      </c>
      <c r="Z42" s="141">
        <v>79</v>
      </c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2"/>
        <v>1</v>
      </c>
      <c r="AM42" s="438">
        <f t="shared" si="31"/>
        <v>34</v>
      </c>
      <c r="AN42" s="439">
        <f t="shared" si="48"/>
        <v>45405</v>
      </c>
      <c r="AO42" s="435">
        <f t="shared" si="60"/>
        <v>30731</v>
      </c>
      <c r="AP42" s="435">
        <f t="shared" si="61"/>
        <v>11191.02</v>
      </c>
      <c r="AQ42" s="435">
        <f t="shared" si="43"/>
        <v>19539.98</v>
      </c>
      <c r="AR42" s="435">
        <f t="shared" si="62"/>
        <v>0</v>
      </c>
      <c r="AS42" s="435">
        <f t="shared" si="49"/>
        <v>0</v>
      </c>
      <c r="AT42" s="435">
        <f t="shared" si="24"/>
        <v>11191.02</v>
      </c>
      <c r="AU42" s="435">
        <f t="shared" si="44"/>
        <v>0</v>
      </c>
      <c r="AV42" s="435">
        <f t="shared" si="45"/>
        <v>0</v>
      </c>
      <c r="AW42" s="435"/>
      <c r="AX42" s="435"/>
      <c r="AY42" s="435"/>
      <c r="AZ42" s="435"/>
      <c r="BA42" s="435"/>
      <c r="BB42" s="435">
        <f t="shared" si="46"/>
        <v>644410.75</v>
      </c>
      <c r="BC42" s="108">
        <f t="shared" si="33"/>
        <v>33</v>
      </c>
      <c r="BD42" s="108">
        <f t="shared" si="51"/>
        <v>32</v>
      </c>
      <c r="BE42" s="22">
        <f t="shared" si="52"/>
        <v>45222</v>
      </c>
      <c r="BF42" s="108">
        <f t="shared" si="53"/>
        <v>30288</v>
      </c>
    </row>
    <row r="43" spans="1:1212" s="16" customFormat="1" ht="25.15" customHeight="1" x14ac:dyDescent="0.3">
      <c r="A43" s="178"/>
      <c r="B43" s="178"/>
      <c r="C43" s="343"/>
      <c r="D43" s="786" t="str">
        <f>IF(AL7&lt;C10,CONCATENATE("Срок с учетом перехода на иной тарифный план равен ",AL7," мес."),"")</f>
        <v/>
      </c>
      <c r="E43" s="178"/>
      <c r="F43" s="178"/>
      <c r="G43" s="426">
        <f t="shared" si="28"/>
        <v>35</v>
      </c>
      <c r="H43" s="427">
        <f t="shared" si="47"/>
        <v>45435</v>
      </c>
      <c r="I43" s="423">
        <f t="shared" si="55"/>
        <v>30288</v>
      </c>
      <c r="J43" s="423">
        <f t="shared" si="56"/>
        <v>9076.69</v>
      </c>
      <c r="K43" s="423">
        <f t="shared" si="57"/>
        <v>21211.309999999998</v>
      </c>
      <c r="L43" s="423">
        <f t="shared" si="63"/>
        <v>0</v>
      </c>
      <c r="M43" s="423">
        <f t="shared" si="29"/>
        <v>0</v>
      </c>
      <c r="N43" s="423">
        <f t="shared" si="18"/>
        <v>9076.69</v>
      </c>
      <c r="O43" s="423">
        <f t="shared" si="19"/>
        <v>0</v>
      </c>
      <c r="P43" s="423">
        <f t="shared" si="20"/>
        <v>0</v>
      </c>
      <c r="Q43" s="423">
        <f t="shared" si="58"/>
        <v>634028.72999999975</v>
      </c>
      <c r="R43" s="36">
        <f t="shared" si="30"/>
        <v>26</v>
      </c>
      <c r="S43" s="36">
        <f t="shared" si="59"/>
        <v>26</v>
      </c>
      <c r="T43" s="142">
        <v>18</v>
      </c>
      <c r="U43" s="142">
        <v>30</v>
      </c>
      <c r="V43" s="142">
        <v>42</v>
      </c>
      <c r="W43" s="142">
        <v>54</v>
      </c>
      <c r="X43" s="142">
        <v>60</v>
      </c>
      <c r="Y43" s="142">
        <v>78</v>
      </c>
      <c r="Z43" s="142">
        <v>84</v>
      </c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2"/>
        <v>1</v>
      </c>
      <c r="AM43" s="438">
        <f t="shared" si="31"/>
        <v>35</v>
      </c>
      <c r="AN43" s="439">
        <f t="shared" si="48"/>
        <v>45435</v>
      </c>
      <c r="AO43" s="435">
        <f t="shared" si="60"/>
        <v>30731</v>
      </c>
      <c r="AP43" s="435">
        <f t="shared" si="61"/>
        <v>10511.29</v>
      </c>
      <c r="AQ43" s="435">
        <f t="shared" si="43"/>
        <v>20219.71</v>
      </c>
      <c r="AR43" s="435">
        <f t="shared" si="62"/>
        <v>0</v>
      </c>
      <c r="AS43" s="435">
        <f t="shared" si="49"/>
        <v>0</v>
      </c>
      <c r="AT43" s="435">
        <f t="shared" si="24"/>
        <v>10511.29</v>
      </c>
      <c r="AU43" s="435">
        <f t="shared" si="44"/>
        <v>0</v>
      </c>
      <c r="AV43" s="435">
        <f t="shared" si="45"/>
        <v>0</v>
      </c>
      <c r="AW43" s="435"/>
      <c r="AX43" s="435"/>
      <c r="AY43" s="435"/>
      <c r="AZ43" s="435"/>
      <c r="BA43" s="435"/>
      <c r="BB43" s="435">
        <f t="shared" si="46"/>
        <v>624191.04</v>
      </c>
      <c r="BC43" s="108">
        <f t="shared" si="33"/>
        <v>32</v>
      </c>
      <c r="BD43" s="108">
        <f t="shared" si="51"/>
        <v>31</v>
      </c>
      <c r="BE43" s="22">
        <f t="shared" si="52"/>
        <v>45253</v>
      </c>
      <c r="BF43" s="108">
        <f t="shared" si="53"/>
        <v>30288</v>
      </c>
    </row>
    <row r="44" spans="1:1212" s="16" customFormat="1" ht="25.9" customHeight="1" x14ac:dyDescent="0.3">
      <c r="A44" s="178"/>
      <c r="B44" s="178"/>
      <c r="C44" s="344"/>
      <c r="D44" s="786"/>
      <c r="E44" s="178"/>
      <c r="F44" s="178"/>
      <c r="G44" s="426">
        <f t="shared" si="28"/>
        <v>36</v>
      </c>
      <c r="H44" s="427">
        <f t="shared" si="47"/>
        <v>45466</v>
      </c>
      <c r="I44" s="423">
        <f t="shared" si="55"/>
        <v>30288</v>
      </c>
      <c r="J44" s="423">
        <f t="shared" si="56"/>
        <v>9075.6200000000008</v>
      </c>
      <c r="K44" s="423">
        <f t="shared" si="57"/>
        <v>21212.379999999997</v>
      </c>
      <c r="L44" s="423">
        <f t="shared" si="63"/>
        <v>0</v>
      </c>
      <c r="M44" s="423">
        <f t="shared" si="29"/>
        <v>0</v>
      </c>
      <c r="N44" s="423">
        <f t="shared" si="18"/>
        <v>9075.6200000000008</v>
      </c>
      <c r="O44" s="423">
        <f t="shared" si="19"/>
        <v>0</v>
      </c>
      <c r="P44" s="423">
        <f t="shared" si="20"/>
        <v>0</v>
      </c>
      <c r="Q44" s="423">
        <f t="shared" si="58"/>
        <v>612816.34999999974</v>
      </c>
      <c r="R44" s="36">
        <f t="shared" si="30"/>
        <v>25</v>
      </c>
      <c r="S44" s="36">
        <f t="shared" si="59"/>
        <v>25</v>
      </c>
      <c r="T44" s="142">
        <v>2400</v>
      </c>
      <c r="U44" s="142">
        <v>2900</v>
      </c>
      <c r="V44" s="142">
        <v>3900</v>
      </c>
      <c r="W44" s="142">
        <v>4900</v>
      </c>
      <c r="X44" s="142">
        <v>5900</v>
      </c>
      <c r="Y44" s="142">
        <v>6900</v>
      </c>
      <c r="Z44" s="142">
        <v>7900</v>
      </c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2"/>
        <v>1</v>
      </c>
      <c r="AM44" s="438">
        <f t="shared" si="31"/>
        <v>36</v>
      </c>
      <c r="AN44" s="439">
        <f t="shared" si="48"/>
        <v>45466</v>
      </c>
      <c r="AO44" s="435">
        <f t="shared" si="60"/>
        <v>30731</v>
      </c>
      <c r="AP44" s="435">
        <f t="shared" si="61"/>
        <v>10520.86</v>
      </c>
      <c r="AQ44" s="435">
        <f t="shared" si="43"/>
        <v>20210.14</v>
      </c>
      <c r="AR44" s="435">
        <f t="shared" si="62"/>
        <v>0</v>
      </c>
      <c r="AS44" s="435">
        <f t="shared" si="49"/>
        <v>0</v>
      </c>
      <c r="AT44" s="435">
        <f t="shared" si="24"/>
        <v>10520.86</v>
      </c>
      <c r="AU44" s="435">
        <f t="shared" si="44"/>
        <v>0</v>
      </c>
      <c r="AV44" s="435">
        <f t="shared" si="45"/>
        <v>0</v>
      </c>
      <c r="AW44" s="435"/>
      <c r="AX44" s="435"/>
      <c r="AY44" s="435"/>
      <c r="AZ44" s="435"/>
      <c r="BA44" s="435"/>
      <c r="BB44" s="435">
        <f t="shared" si="46"/>
        <v>603980.9</v>
      </c>
      <c r="BC44" s="108">
        <f t="shared" si="33"/>
        <v>31</v>
      </c>
      <c r="BD44" s="108">
        <f t="shared" si="51"/>
        <v>31</v>
      </c>
      <c r="BE44" s="22">
        <f t="shared" si="52"/>
        <v>45283</v>
      </c>
      <c r="BF44" s="108">
        <f t="shared" si="53"/>
        <v>30288</v>
      </c>
    </row>
    <row r="45" spans="1:1212" s="16" customFormat="1" ht="14.25" x14ac:dyDescent="0.3">
      <c r="A45" s="178"/>
      <c r="B45" s="178"/>
      <c r="C45" s="182"/>
      <c r="D45" s="786"/>
      <c r="E45" s="178"/>
      <c r="F45" s="178"/>
      <c r="G45" s="426">
        <f t="shared" si="28"/>
        <v>37</v>
      </c>
      <c r="H45" s="427">
        <f t="shared" si="47"/>
        <v>45496</v>
      </c>
      <c r="I45" s="423">
        <f t="shared" si="55"/>
        <v>30288</v>
      </c>
      <c r="J45" s="423">
        <f t="shared" si="56"/>
        <v>8489.01</v>
      </c>
      <c r="K45" s="423">
        <f t="shared" si="57"/>
        <v>21798.989999999998</v>
      </c>
      <c r="L45" s="423">
        <f t="shared" si="63"/>
        <v>0</v>
      </c>
      <c r="M45" s="423">
        <f t="shared" si="29"/>
        <v>0</v>
      </c>
      <c r="N45" s="423">
        <f t="shared" si="18"/>
        <v>8489.01</v>
      </c>
      <c r="O45" s="423">
        <f t="shared" si="19"/>
        <v>0</v>
      </c>
      <c r="P45" s="423">
        <f t="shared" si="20"/>
        <v>0</v>
      </c>
      <c r="Q45" s="423">
        <f t="shared" si="58"/>
        <v>591017.35999999975</v>
      </c>
      <c r="R45" s="36">
        <f t="shared" si="30"/>
        <v>24</v>
      </c>
      <c r="S45" s="36">
        <f t="shared" si="59"/>
        <v>24</v>
      </c>
      <c r="T45" s="158">
        <v>1400</v>
      </c>
      <c r="U45" s="158">
        <v>1900</v>
      </c>
      <c r="V45" s="158">
        <v>2900</v>
      </c>
      <c r="W45" s="158">
        <v>3900</v>
      </c>
      <c r="X45" s="158">
        <v>4900</v>
      </c>
      <c r="Y45" s="158">
        <v>5900</v>
      </c>
      <c r="Z45" s="158">
        <v>6900</v>
      </c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2"/>
        <v>1</v>
      </c>
      <c r="AM45" s="438">
        <f t="shared" si="31"/>
        <v>37</v>
      </c>
      <c r="AN45" s="439">
        <f t="shared" si="48"/>
        <v>45496</v>
      </c>
      <c r="AO45" s="435">
        <f t="shared" si="60"/>
        <v>30731</v>
      </c>
      <c r="AP45" s="435">
        <f t="shared" si="61"/>
        <v>9851.82</v>
      </c>
      <c r="AQ45" s="435">
        <f t="shared" si="43"/>
        <v>20879.18</v>
      </c>
      <c r="AR45" s="435">
        <f t="shared" si="62"/>
        <v>0</v>
      </c>
      <c r="AS45" s="435">
        <f t="shared" si="49"/>
        <v>0</v>
      </c>
      <c r="AT45" s="435">
        <f t="shared" si="24"/>
        <v>9851.82</v>
      </c>
      <c r="AU45" s="435">
        <f t="shared" si="44"/>
        <v>0</v>
      </c>
      <c r="AV45" s="435">
        <f t="shared" si="45"/>
        <v>0</v>
      </c>
      <c r="AW45" s="435"/>
      <c r="AX45" s="435"/>
      <c r="AY45" s="435"/>
      <c r="AZ45" s="435"/>
      <c r="BA45" s="435"/>
      <c r="BB45" s="435">
        <f t="shared" si="46"/>
        <v>583101.72</v>
      </c>
      <c r="BC45" s="108">
        <f t="shared" si="33"/>
        <v>30</v>
      </c>
      <c r="BD45" s="108">
        <f t="shared" si="51"/>
        <v>30</v>
      </c>
      <c r="BE45" s="22">
        <f t="shared" si="52"/>
        <v>45314</v>
      </c>
      <c r="BF45" s="108">
        <f t="shared" si="53"/>
        <v>30288</v>
      </c>
    </row>
    <row r="46" spans="1:1212" s="16" customFormat="1" ht="14.25" x14ac:dyDescent="0.3">
      <c r="A46" s="178"/>
      <c r="B46" s="178"/>
      <c r="C46" s="178"/>
      <c r="D46" s="786"/>
      <c r="E46" s="178"/>
      <c r="F46" s="178"/>
      <c r="G46" s="426">
        <f t="shared" si="28"/>
        <v>38</v>
      </c>
      <c r="H46" s="427">
        <f t="shared" si="47"/>
        <v>45527</v>
      </c>
      <c r="I46" s="423">
        <f t="shared" si="55"/>
        <v>30288</v>
      </c>
      <c r="J46" s="423">
        <f t="shared" si="56"/>
        <v>8459.9500000000007</v>
      </c>
      <c r="K46" s="423">
        <f t="shared" si="57"/>
        <v>21828.05</v>
      </c>
      <c r="L46" s="423">
        <f t="shared" si="63"/>
        <v>0</v>
      </c>
      <c r="M46" s="423">
        <f t="shared" si="29"/>
        <v>0</v>
      </c>
      <c r="N46" s="423">
        <f t="shared" si="18"/>
        <v>8459.9500000000007</v>
      </c>
      <c r="O46" s="423">
        <f t="shared" si="19"/>
        <v>0</v>
      </c>
      <c r="P46" s="423">
        <f t="shared" si="20"/>
        <v>0</v>
      </c>
      <c r="Q46" s="423">
        <f t="shared" si="58"/>
        <v>569189.30999999971</v>
      </c>
      <c r="R46" s="36">
        <f t="shared" si="30"/>
        <v>23</v>
      </c>
      <c r="S46" s="36">
        <f t="shared" si="59"/>
        <v>23</v>
      </c>
      <c r="T46" s="2">
        <f>IF(C19="Да",IF($C$10&gt;=79,$Z$44,IF($C$10&gt;=67,$Y$44,IF($C$10&gt;=55,$X$44,IF($C$10&gt;=43,$W$44,IF($C$10&gt;=31,$V$44,IF($C$10&gt;=19,$U$44,$T$44)))))),"")</f>
        <v>5900</v>
      </c>
      <c r="U46" s="2">
        <f>IF(D19="Да",IF($C$10&gt;=79,$Z$44,IF($C$10&gt;=67,$Y$44,IF($C$10&gt;=55,$X$44,IF($C$10&gt;=43,$W$44,IF($C$10&gt;=31,$V$44,IF($C$10&gt;=19,$U$44,$T$44)))))),"")</f>
        <v>5900</v>
      </c>
      <c r="V46" s="2"/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2"/>
      <c r="AJ46" s="18">
        <f>AO8</f>
        <v>-1161900</v>
      </c>
      <c r="AK46" s="57">
        <f>AN8</f>
        <v>44370</v>
      </c>
      <c r="AL46" s="130">
        <f t="shared" si="22"/>
        <v>1</v>
      </c>
      <c r="AM46" s="438">
        <f t="shared" si="31"/>
        <v>38</v>
      </c>
      <c r="AN46" s="439">
        <f t="shared" si="48"/>
        <v>45527</v>
      </c>
      <c r="AO46" s="435">
        <f t="shared" si="60"/>
        <v>30731</v>
      </c>
      <c r="AP46" s="435">
        <f t="shared" si="61"/>
        <v>9828.2900000000009</v>
      </c>
      <c r="AQ46" s="435">
        <f t="shared" si="43"/>
        <v>20902.71</v>
      </c>
      <c r="AR46" s="435">
        <f t="shared" si="62"/>
        <v>0</v>
      </c>
      <c r="AS46" s="435">
        <f t="shared" si="49"/>
        <v>0</v>
      </c>
      <c r="AT46" s="435">
        <f t="shared" si="24"/>
        <v>9828.2900000000009</v>
      </c>
      <c r="AU46" s="435">
        <f t="shared" si="44"/>
        <v>0</v>
      </c>
      <c r="AV46" s="435">
        <f t="shared" si="45"/>
        <v>0</v>
      </c>
      <c r="AW46" s="435"/>
      <c r="AX46" s="435"/>
      <c r="AY46" s="435"/>
      <c r="AZ46" s="435"/>
      <c r="BA46" s="435"/>
      <c r="BB46" s="435">
        <f t="shared" si="46"/>
        <v>562199.01</v>
      </c>
      <c r="BC46" s="108">
        <f t="shared" si="33"/>
        <v>29</v>
      </c>
      <c r="BD46" s="108">
        <f t="shared" si="51"/>
        <v>29</v>
      </c>
      <c r="BE46" s="22">
        <f t="shared" si="52"/>
        <v>45345</v>
      </c>
      <c r="BF46" s="108">
        <f t="shared" si="53"/>
        <v>30288</v>
      </c>
    </row>
    <row r="47" spans="1:1212" s="16" customFormat="1" ht="14.25" x14ac:dyDescent="0.3">
      <c r="A47" s="178"/>
      <c r="B47" s="178"/>
      <c r="C47" s="178"/>
      <c r="D47" s="786"/>
      <c r="E47" s="178"/>
      <c r="F47" s="178"/>
      <c r="G47" s="426">
        <f t="shared" si="28"/>
        <v>39</v>
      </c>
      <c r="H47" s="427">
        <f t="shared" si="47"/>
        <v>45558</v>
      </c>
      <c r="I47" s="423">
        <f t="shared" si="55"/>
        <v>30288</v>
      </c>
      <c r="J47" s="423">
        <f t="shared" si="56"/>
        <v>8147.49</v>
      </c>
      <c r="K47" s="423">
        <f t="shared" si="57"/>
        <v>22140.510000000002</v>
      </c>
      <c r="L47" s="423">
        <f t="shared" si="63"/>
        <v>0</v>
      </c>
      <c r="M47" s="423">
        <f t="shared" si="29"/>
        <v>0</v>
      </c>
      <c r="N47" s="423">
        <f t="shared" si="18"/>
        <v>8147.49</v>
      </c>
      <c r="O47" s="423">
        <f t="shared" si="19"/>
        <v>0</v>
      </c>
      <c r="P47" s="423">
        <f t="shared" si="20"/>
        <v>0</v>
      </c>
      <c r="Q47" s="423">
        <f t="shared" si="58"/>
        <v>547048.7999999997</v>
      </c>
      <c r="R47" s="36">
        <f t="shared" si="30"/>
        <v>22</v>
      </c>
      <c r="S47" s="36">
        <f t="shared" si="59"/>
        <v>22</v>
      </c>
      <c r="T47" s="2">
        <f>IF(C19="Да",IF($C$10&gt;=79,$Z$45,IF($C$10&gt;=67,$Y$45,IF($C$10&gt;=55,$X$45,IF($C$10&gt;=43,$W$45,IF($C$10&gt;=31,$V$45,IF($C$10&gt;=19,$U$45,$T$45)))))),"")</f>
        <v>4900</v>
      </c>
      <c r="U47" s="2">
        <f>IF(D19="Да",IF($C$10&gt;=79,$Z$45,IF($C$10&gt;=67,$Y$45,IF($C$10&gt;=55,$X$45,IF($C$10&gt;=43,$W$45,IF($C$10&gt;=31,$V$45,IF($C$10&gt;=19,$U$45,$T$45)))))),"")</f>
        <v>4900</v>
      </c>
      <c r="V47" s="2"/>
      <c r="W47" s="2"/>
      <c r="X47" s="2"/>
      <c r="Y47" s="37"/>
      <c r="Z47" s="38">
        <v>0</v>
      </c>
      <c r="AA47" s="1" t="s">
        <v>20</v>
      </c>
      <c r="AB47" s="6" t="s">
        <v>15</v>
      </c>
      <c r="AC47" s="6"/>
      <c r="AD47" s="6">
        <f>IF(C11=T3,T35,IF(C11=U3,U35,IF(C11=V3,V35,IF(C11=W3,W35,IF(C11=X3,X35,IF(C11=AB3,AB28,IF(C11=AC3,AC28,IF(C11=AD3,AD28,IF(C11=AE3,AE28,IF(C11=AF3,AF28,IF(C11=AG3,AG28,IF(C11=AH3,AH28,IF(C11=AI3,AI28,IF(C11=AJ3,AJ11,IF(C11=AK3,AK11,IF(C11=AL3,AL11,IF(C11=AM3,AM11,IF(C11=AN3,AN11,IF(C11=AQ3,AQ11,IF(C11=Y3,Y28,IF(C11=Z3,Z28,IF(C11=AA3,AA28,IF(C11=AO3,AO11,IF(C11=AP3,AP11,X35))))))))))))))))))))))))</f>
        <v>1</v>
      </c>
      <c r="AE47" s="27">
        <v>41274</v>
      </c>
      <c r="AF47" s="2">
        <v>6</v>
      </c>
      <c r="AG47" s="2"/>
      <c r="AH47" s="2"/>
      <c r="AJ47" s="34">
        <f>IF(OR(D8="Гарантия стандарт",D8="Гарантия пакет"),D25,0)</f>
        <v>0</v>
      </c>
      <c r="AK47" s="57">
        <f>AN8</f>
        <v>44370</v>
      </c>
      <c r="AL47" s="130">
        <f t="shared" si="22"/>
        <v>1</v>
      </c>
      <c r="AM47" s="438">
        <f t="shared" si="31"/>
        <v>39</v>
      </c>
      <c r="AN47" s="439">
        <f t="shared" si="48"/>
        <v>45558</v>
      </c>
      <c r="AO47" s="435">
        <f t="shared" si="60"/>
        <v>30731</v>
      </c>
      <c r="AP47" s="435">
        <f t="shared" si="61"/>
        <v>9475.9699999999993</v>
      </c>
      <c r="AQ47" s="435">
        <f t="shared" si="43"/>
        <v>21255.03</v>
      </c>
      <c r="AR47" s="435">
        <f t="shared" si="62"/>
        <v>0</v>
      </c>
      <c r="AS47" s="435">
        <f t="shared" si="49"/>
        <v>0</v>
      </c>
      <c r="AT47" s="435">
        <f t="shared" si="24"/>
        <v>9475.9699999999993</v>
      </c>
      <c r="AU47" s="435">
        <f t="shared" si="44"/>
        <v>0</v>
      </c>
      <c r="AV47" s="435">
        <f t="shared" si="45"/>
        <v>0</v>
      </c>
      <c r="AW47" s="435"/>
      <c r="AX47" s="435"/>
      <c r="AY47" s="435"/>
      <c r="AZ47" s="435"/>
      <c r="BA47" s="435"/>
      <c r="BB47" s="435">
        <f t="shared" si="46"/>
        <v>540943.98</v>
      </c>
      <c r="BC47" s="108">
        <f t="shared" si="33"/>
        <v>28</v>
      </c>
      <c r="BD47" s="108">
        <f t="shared" si="51"/>
        <v>28</v>
      </c>
      <c r="BE47" s="22">
        <f t="shared" si="52"/>
        <v>45374</v>
      </c>
      <c r="BF47" s="108">
        <f t="shared" si="53"/>
        <v>30288</v>
      </c>
    </row>
    <row r="48" spans="1:1212" s="16" customFormat="1" ht="12" customHeight="1" x14ac:dyDescent="0.3">
      <c r="A48" s="178"/>
      <c r="B48" s="178"/>
      <c r="C48" s="178"/>
      <c r="D48" s="786"/>
      <c r="E48" s="178"/>
      <c r="F48" s="178"/>
      <c r="G48" s="426">
        <f t="shared" si="28"/>
        <v>40</v>
      </c>
      <c r="H48" s="427">
        <f t="shared" si="47"/>
        <v>45588</v>
      </c>
      <c r="I48" s="423">
        <f t="shared" si="55"/>
        <v>30288</v>
      </c>
      <c r="J48" s="423">
        <f t="shared" si="56"/>
        <v>7577.97</v>
      </c>
      <c r="K48" s="423">
        <f t="shared" si="57"/>
        <v>22710.03</v>
      </c>
      <c r="L48" s="423">
        <f t="shared" si="63"/>
        <v>0</v>
      </c>
      <c r="M48" s="423">
        <f t="shared" si="29"/>
        <v>0</v>
      </c>
      <c r="N48" s="423">
        <f t="shared" si="18"/>
        <v>7577.97</v>
      </c>
      <c r="O48" s="423">
        <f t="shared" si="19"/>
        <v>0</v>
      </c>
      <c r="P48" s="423">
        <f t="shared" si="20"/>
        <v>0</v>
      </c>
      <c r="Q48" s="423">
        <f t="shared" si="58"/>
        <v>524338.76999999967</v>
      </c>
      <c r="R48" s="36">
        <f t="shared" si="30"/>
        <v>21</v>
      </c>
      <c r="S48" s="36">
        <f t="shared" si="59"/>
        <v>21</v>
      </c>
      <c r="T48" s="2"/>
      <c r="U48" s="2"/>
      <c r="V48" s="2"/>
      <c r="W48" s="2"/>
      <c r="X48" s="2"/>
      <c r="Y48" s="37"/>
      <c r="Z48" s="39">
        <f>C7*(1-Z47)</f>
        <v>1000000</v>
      </c>
      <c r="AA48" s="9" t="s">
        <v>29</v>
      </c>
      <c r="AB48" s="2" t="s">
        <v>17</v>
      </c>
      <c r="AC48" s="2"/>
      <c r="AD48" s="2">
        <v>7.4000000000000003E-3</v>
      </c>
      <c r="AE48" s="59">
        <v>41750</v>
      </c>
      <c r="AF48" s="2">
        <v>72</v>
      </c>
      <c r="AG48" s="2"/>
      <c r="AH48" s="2"/>
      <c r="AI48" s="2">
        <f t="shared" ref="AI48:AI67" si="64">IF(AND(V16&gt;=$T$22,V16&lt;=$T$22+5),0,IF($C$9&gt;$AC$51,ROUND(AF8*$C$14/(DATEVALUE(CONCATENATE("01/01/",YEAR(W16)+1))-DATEVALUE(CONCATENATE("01/01/",YEAR(W16))))*(W16-W15),2),0))</f>
        <v>0</v>
      </c>
      <c r="AJ48" s="34">
        <f t="shared" ref="AJ48:AJ59" si="65">AO9</f>
        <v>30731</v>
      </c>
      <c r="AK48" s="57">
        <f>AK47+365</f>
        <v>44735</v>
      </c>
      <c r="AL48" s="130">
        <f t="shared" si="22"/>
        <v>1</v>
      </c>
      <c r="AM48" s="438">
        <f t="shared" si="31"/>
        <v>40</v>
      </c>
      <c r="AN48" s="439">
        <f t="shared" si="48"/>
        <v>45588</v>
      </c>
      <c r="AO48" s="435">
        <f t="shared" si="60"/>
        <v>30731</v>
      </c>
      <c r="AP48" s="435">
        <f t="shared" si="61"/>
        <v>8823.59</v>
      </c>
      <c r="AQ48" s="435">
        <f t="shared" si="43"/>
        <v>21907.41</v>
      </c>
      <c r="AR48" s="435">
        <f t="shared" si="62"/>
        <v>0</v>
      </c>
      <c r="AS48" s="435">
        <f t="shared" si="49"/>
        <v>0</v>
      </c>
      <c r="AT48" s="435">
        <f t="shared" si="24"/>
        <v>8823.59</v>
      </c>
      <c r="AU48" s="435">
        <f t="shared" si="44"/>
        <v>0</v>
      </c>
      <c r="AV48" s="435">
        <f t="shared" si="45"/>
        <v>0</v>
      </c>
      <c r="AW48" s="435"/>
      <c r="AX48" s="435"/>
      <c r="AY48" s="435"/>
      <c r="AZ48" s="435"/>
      <c r="BA48" s="435"/>
      <c r="BB48" s="435">
        <f t="shared" si="46"/>
        <v>519036.57</v>
      </c>
      <c r="BC48" s="108">
        <f t="shared" si="33"/>
        <v>27</v>
      </c>
      <c r="BD48" s="108">
        <f t="shared" si="51"/>
        <v>27</v>
      </c>
      <c r="BE48" s="22">
        <f t="shared" si="52"/>
        <v>45405</v>
      </c>
      <c r="BF48" s="108">
        <f t="shared" si="53"/>
        <v>30288</v>
      </c>
    </row>
    <row r="49" spans="1:59" s="16" customFormat="1" ht="12" customHeight="1" x14ac:dyDescent="0.3">
      <c r="A49" s="178"/>
      <c r="B49" s="178"/>
      <c r="C49" s="178"/>
      <c r="D49" s="786"/>
      <c r="E49" s="178"/>
      <c r="F49" s="178"/>
      <c r="G49" s="426">
        <f t="shared" si="28"/>
        <v>41</v>
      </c>
      <c r="H49" s="427">
        <f t="shared" si="47"/>
        <v>45619</v>
      </c>
      <c r="I49" s="423">
        <f t="shared" si="55"/>
        <v>30288</v>
      </c>
      <c r="J49" s="423">
        <f t="shared" si="56"/>
        <v>7505.49</v>
      </c>
      <c r="K49" s="423">
        <f t="shared" si="57"/>
        <v>22782.510000000002</v>
      </c>
      <c r="L49" s="423">
        <f t="shared" si="63"/>
        <v>0</v>
      </c>
      <c r="M49" s="423">
        <f t="shared" si="29"/>
        <v>0</v>
      </c>
      <c r="N49" s="423">
        <f t="shared" si="18"/>
        <v>7505.49</v>
      </c>
      <c r="O49" s="423">
        <f t="shared" si="19"/>
        <v>0</v>
      </c>
      <c r="P49" s="423">
        <f t="shared" si="20"/>
        <v>0</v>
      </c>
      <c r="Q49" s="423">
        <f t="shared" si="58"/>
        <v>501556.25999999966</v>
      </c>
      <c r="R49" s="36">
        <f t="shared" si="30"/>
        <v>20</v>
      </c>
      <c r="S49" s="36">
        <f t="shared" si="59"/>
        <v>20</v>
      </c>
      <c r="T49" s="2"/>
      <c r="U49" s="2"/>
      <c r="V49" s="2"/>
      <c r="W49" s="2"/>
      <c r="X49" s="2"/>
      <c r="Y49" s="37"/>
      <c r="Z49" s="41">
        <f>ROUNDUP(C7*AA49,0)</f>
        <v>0</v>
      </c>
      <c r="AA49" s="12">
        <v>0</v>
      </c>
      <c r="AB49" s="1">
        <v>15000</v>
      </c>
      <c r="AC49" s="53">
        <v>41365</v>
      </c>
      <c r="AD49" s="1">
        <v>500</v>
      </c>
      <c r="AE49" s="2">
        <f>ROUNDUP(($AA$55)/AD47,0)*AD47</f>
        <v>30288</v>
      </c>
      <c r="AF49" s="2"/>
      <c r="AG49" s="2"/>
      <c r="AH49" s="2"/>
      <c r="AI49" s="2">
        <f t="shared" si="64"/>
        <v>0</v>
      </c>
      <c r="AJ49" s="34">
        <f t="shared" si="65"/>
        <v>30731</v>
      </c>
      <c r="AK49" s="57">
        <f t="shared" ref="AK49:AK112" si="66">AK48+365</f>
        <v>45100</v>
      </c>
      <c r="AL49" s="130">
        <f t="shared" si="22"/>
        <v>1</v>
      </c>
      <c r="AM49" s="438">
        <f t="shared" si="31"/>
        <v>41</v>
      </c>
      <c r="AN49" s="439">
        <f t="shared" si="48"/>
        <v>45619</v>
      </c>
      <c r="AO49" s="435">
        <f t="shared" si="60"/>
        <v>30731</v>
      </c>
      <c r="AP49" s="435">
        <f t="shared" si="61"/>
        <v>8748.4599999999991</v>
      </c>
      <c r="AQ49" s="435">
        <f t="shared" si="43"/>
        <v>21982.54</v>
      </c>
      <c r="AR49" s="435">
        <f t="shared" si="62"/>
        <v>0</v>
      </c>
      <c r="AS49" s="435">
        <f t="shared" si="49"/>
        <v>0</v>
      </c>
      <c r="AT49" s="435">
        <f t="shared" si="24"/>
        <v>8748.4599999999991</v>
      </c>
      <c r="AU49" s="435">
        <f t="shared" si="44"/>
        <v>0</v>
      </c>
      <c r="AV49" s="435">
        <f t="shared" si="45"/>
        <v>0</v>
      </c>
      <c r="AW49" s="435"/>
      <c r="AX49" s="435"/>
      <c r="AY49" s="435"/>
      <c r="AZ49" s="435"/>
      <c r="BA49" s="435"/>
      <c r="BB49" s="435">
        <f t="shared" si="46"/>
        <v>497054.03</v>
      </c>
      <c r="BC49" s="108">
        <f t="shared" si="33"/>
        <v>26</v>
      </c>
      <c r="BD49" s="108">
        <f t="shared" si="51"/>
        <v>26</v>
      </c>
      <c r="BE49" s="22">
        <f t="shared" si="52"/>
        <v>45435</v>
      </c>
      <c r="BF49" s="108">
        <f t="shared" si="53"/>
        <v>30288</v>
      </c>
    </row>
    <row r="50" spans="1:59" s="16" customFormat="1" ht="12.75" customHeight="1" thickBot="1" x14ac:dyDescent="0.35">
      <c r="A50" s="178"/>
      <c r="B50" s="178"/>
      <c r="C50" s="178"/>
      <c r="D50" s="178"/>
      <c r="E50" s="178"/>
      <c r="F50" s="178"/>
      <c r="G50" s="426">
        <f t="shared" si="28"/>
        <v>42</v>
      </c>
      <c r="H50" s="427">
        <f t="shared" si="47"/>
        <v>45649</v>
      </c>
      <c r="I50" s="423">
        <f t="shared" si="55"/>
        <v>30288</v>
      </c>
      <c r="J50" s="423">
        <f t="shared" si="56"/>
        <v>6947.79</v>
      </c>
      <c r="K50" s="423">
        <f t="shared" si="57"/>
        <v>23340.21</v>
      </c>
      <c r="L50" s="423">
        <f t="shared" si="63"/>
        <v>0</v>
      </c>
      <c r="M50" s="423">
        <f t="shared" si="29"/>
        <v>0</v>
      </c>
      <c r="N50" s="423">
        <f t="shared" si="18"/>
        <v>6947.79</v>
      </c>
      <c r="O50" s="423">
        <f t="shared" si="19"/>
        <v>0</v>
      </c>
      <c r="P50" s="423">
        <f t="shared" si="20"/>
        <v>0</v>
      </c>
      <c r="Q50" s="423">
        <f t="shared" si="58"/>
        <v>478216.04999999964</v>
      </c>
      <c r="R50" s="36">
        <f t="shared" si="30"/>
        <v>19</v>
      </c>
      <c r="S50" s="36">
        <f t="shared" si="59"/>
        <v>19</v>
      </c>
      <c r="T50" s="2"/>
      <c r="U50" s="2"/>
      <c r="V50" s="2"/>
      <c r="W50" s="2"/>
      <c r="X50" s="2"/>
      <c r="Y50" s="40"/>
      <c r="Z50" s="42">
        <v>24</v>
      </c>
      <c r="AA50" s="14"/>
      <c r="AB50" s="1">
        <f>IF(C9&lt;AC49,300000,1000000)</f>
        <v>1000000</v>
      </c>
      <c r="AC50" s="53">
        <v>41501</v>
      </c>
      <c r="AD50" s="53">
        <v>41882</v>
      </c>
      <c r="AE50" s="2" t="e">
        <f>IF(C9&gt;AD50,XIRR(U55:U134,V55:V134)*12,XIRR(U55:U133,H8:H86))</f>
        <v>#NUM!</v>
      </c>
      <c r="AF50" s="2"/>
      <c r="AG50" s="2"/>
      <c r="AH50" s="2"/>
      <c r="AI50" s="2">
        <f t="shared" si="64"/>
        <v>0</v>
      </c>
      <c r="AJ50" s="34">
        <f t="shared" si="65"/>
        <v>30731</v>
      </c>
      <c r="AK50" s="57">
        <f t="shared" si="66"/>
        <v>45465</v>
      </c>
      <c r="AL50" s="130">
        <f t="shared" si="22"/>
        <v>1</v>
      </c>
      <c r="AM50" s="438">
        <f t="shared" si="31"/>
        <v>42</v>
      </c>
      <c r="AN50" s="439">
        <f t="shared" si="48"/>
        <v>45649</v>
      </c>
      <c r="AO50" s="435">
        <f t="shared" si="60"/>
        <v>30731</v>
      </c>
      <c r="AP50" s="435">
        <f t="shared" si="61"/>
        <v>8107.68</v>
      </c>
      <c r="AQ50" s="435">
        <f t="shared" si="43"/>
        <v>22623.32</v>
      </c>
      <c r="AR50" s="435">
        <f t="shared" si="62"/>
        <v>0</v>
      </c>
      <c r="AS50" s="435">
        <f t="shared" si="49"/>
        <v>0</v>
      </c>
      <c r="AT50" s="435">
        <f t="shared" si="24"/>
        <v>8107.68</v>
      </c>
      <c r="AU50" s="435">
        <f t="shared" si="44"/>
        <v>0</v>
      </c>
      <c r="AV50" s="435">
        <f t="shared" si="45"/>
        <v>0</v>
      </c>
      <c r="AW50" s="435"/>
      <c r="AX50" s="435"/>
      <c r="AY50" s="435"/>
      <c r="AZ50" s="435"/>
      <c r="BA50" s="435"/>
      <c r="BB50" s="435">
        <f t="shared" si="46"/>
        <v>474430.71</v>
      </c>
      <c r="BC50" s="108">
        <f t="shared" si="33"/>
        <v>25</v>
      </c>
      <c r="BD50" s="108">
        <f t="shared" si="51"/>
        <v>25</v>
      </c>
      <c r="BE50" s="22">
        <f t="shared" si="52"/>
        <v>45466</v>
      </c>
      <c r="BF50" s="108">
        <f t="shared" si="53"/>
        <v>30288</v>
      </c>
    </row>
    <row r="51" spans="1:59" s="16" customFormat="1" ht="12.75" customHeight="1" x14ac:dyDescent="0.3">
      <c r="A51" s="178"/>
      <c r="B51" s="178"/>
      <c r="C51" s="178"/>
      <c r="D51" s="178"/>
      <c r="E51" s="178"/>
      <c r="F51" s="178"/>
      <c r="G51" s="426">
        <f t="shared" si="28"/>
        <v>43</v>
      </c>
      <c r="H51" s="427">
        <f t="shared" si="47"/>
        <v>45680</v>
      </c>
      <c r="I51" s="423">
        <f t="shared" si="55"/>
        <v>30288</v>
      </c>
      <c r="J51" s="423">
        <f t="shared" si="56"/>
        <v>6859.2</v>
      </c>
      <c r="K51" s="423">
        <f t="shared" si="57"/>
        <v>23428.799999999999</v>
      </c>
      <c r="L51" s="423">
        <f t="shared" si="63"/>
        <v>0</v>
      </c>
      <c r="M51" s="423">
        <f t="shared" si="29"/>
        <v>0</v>
      </c>
      <c r="N51" s="423">
        <f t="shared" si="18"/>
        <v>6859.2</v>
      </c>
      <c r="O51" s="423">
        <f t="shared" si="19"/>
        <v>0</v>
      </c>
      <c r="P51" s="423">
        <f t="shared" si="20"/>
        <v>0</v>
      </c>
      <c r="Q51" s="423">
        <f t="shared" si="58"/>
        <v>454787.24999999965</v>
      </c>
      <c r="R51" s="36">
        <f t="shared" si="30"/>
        <v>18</v>
      </c>
      <c r="S51" s="36">
        <f t="shared" si="59"/>
        <v>18</v>
      </c>
      <c r="T51" s="2"/>
      <c r="U51" s="2"/>
      <c r="V51" s="2"/>
      <c r="W51" s="2"/>
      <c r="X51" s="2"/>
      <c r="Y51" s="17">
        <f>Z51/C7</f>
        <v>0.84318872</v>
      </c>
      <c r="Z51" s="42">
        <f>(D30-C7)</f>
        <v>843188.72</v>
      </c>
      <c r="AA51" s="58"/>
      <c r="AB51" s="53">
        <v>41632</v>
      </c>
      <c r="AC51" s="53">
        <v>41820</v>
      </c>
      <c r="AD51" s="53">
        <v>41857</v>
      </c>
      <c r="AE51" s="46">
        <v>41991</v>
      </c>
      <c r="AF51" s="18">
        <v>0</v>
      </c>
      <c r="AG51" s="3"/>
      <c r="AH51" s="3"/>
      <c r="AI51" s="2">
        <f t="shared" si="64"/>
        <v>0</v>
      </c>
      <c r="AJ51" s="34">
        <f t="shared" si="65"/>
        <v>30731</v>
      </c>
      <c r="AK51" s="57">
        <f t="shared" si="66"/>
        <v>45830</v>
      </c>
      <c r="AL51" s="130">
        <f t="shared" si="22"/>
        <v>1</v>
      </c>
      <c r="AM51" s="438">
        <f t="shared" si="31"/>
        <v>43</v>
      </c>
      <c r="AN51" s="439">
        <f t="shared" si="48"/>
        <v>45680</v>
      </c>
      <c r="AO51" s="435">
        <f t="shared" si="60"/>
        <v>30731</v>
      </c>
      <c r="AP51" s="435">
        <f t="shared" si="61"/>
        <v>8012.88</v>
      </c>
      <c r="AQ51" s="435">
        <f t="shared" ref="AQ51:AQ74" si="67">IF(BD57=0,0,IF(BD57=1,BB50,IF(BB50+AR51+AP51&gt;AO50,AO51-AP51-AR51,BB50)))</f>
        <v>22718.12</v>
      </c>
      <c r="AR51" s="435">
        <f t="shared" si="62"/>
        <v>0</v>
      </c>
      <c r="AS51" s="435">
        <f t="shared" si="49"/>
        <v>0</v>
      </c>
      <c r="AT51" s="435">
        <f t="shared" si="24"/>
        <v>8012.88</v>
      </c>
      <c r="AU51" s="435">
        <f t="shared" ref="AU51:AU73" si="68">IF(BD57=0,0,0)</f>
        <v>0</v>
      </c>
      <c r="AV51" s="435">
        <f t="shared" ref="AV51:AV73" si="69">IF(BD57=0,0,0)</f>
        <v>0</v>
      </c>
      <c r="AW51" s="435"/>
      <c r="AX51" s="435"/>
      <c r="AY51" s="435"/>
      <c r="AZ51" s="435"/>
      <c r="BA51" s="435"/>
      <c r="BB51" s="435">
        <f t="shared" ref="BB51:BB74" si="70">IF(OR(BD57=1,BB50=0),0,BB50-AQ51)</f>
        <v>451712.59</v>
      </c>
      <c r="BC51" s="108">
        <f t="shared" si="33"/>
        <v>24</v>
      </c>
      <c r="BD51" s="108">
        <f t="shared" si="51"/>
        <v>24</v>
      </c>
      <c r="BE51" s="22">
        <f t="shared" si="52"/>
        <v>45496</v>
      </c>
      <c r="BF51" s="108">
        <f t="shared" si="53"/>
        <v>30288</v>
      </c>
    </row>
    <row r="52" spans="1:59" s="16" customFormat="1" ht="12.75" customHeight="1" x14ac:dyDescent="0.3">
      <c r="A52" s="178"/>
      <c r="B52" s="178"/>
      <c r="C52" s="180"/>
      <c r="D52" s="181"/>
      <c r="E52" s="178"/>
      <c r="F52" s="178"/>
      <c r="G52" s="426">
        <f t="shared" si="28"/>
        <v>44</v>
      </c>
      <c r="H52" s="427">
        <f t="shared" si="47"/>
        <v>45711</v>
      </c>
      <c r="I52" s="423">
        <f t="shared" si="55"/>
        <v>30288</v>
      </c>
      <c r="J52" s="423">
        <f t="shared" si="56"/>
        <v>6527.75</v>
      </c>
      <c r="K52" s="423">
        <f t="shared" si="57"/>
        <v>23760.25</v>
      </c>
      <c r="L52" s="423">
        <f t="shared" si="63"/>
        <v>0</v>
      </c>
      <c r="M52" s="423">
        <f t="shared" si="29"/>
        <v>0</v>
      </c>
      <c r="N52" s="423">
        <f t="shared" si="18"/>
        <v>6527.75</v>
      </c>
      <c r="O52" s="423">
        <f t="shared" si="19"/>
        <v>0</v>
      </c>
      <c r="P52" s="423">
        <f t="shared" si="20"/>
        <v>0</v>
      </c>
      <c r="Q52" s="423">
        <f t="shared" si="58"/>
        <v>431026.99999999965</v>
      </c>
      <c r="R52" s="36">
        <f t="shared" si="30"/>
        <v>17</v>
      </c>
      <c r="S52" s="36">
        <f t="shared" si="59"/>
        <v>17</v>
      </c>
      <c r="T52" s="2"/>
      <c r="U52" s="2"/>
      <c r="V52" s="2"/>
      <c r="W52" s="2"/>
      <c r="X52" s="2"/>
      <c r="Y52" s="17">
        <f>IF(C8=Z59,Z65,IF(C8=AA59,AA65,IF(C8=AC59,AC65,IF(C8=AD59,AD65,IF(C8=AB59,AB65,IF(C8=AE59,AE65,IF(C8=AF59,AF65,IF(C8=#REF!,AG65,V35))))))))</f>
        <v>2E-3</v>
      </c>
      <c r="Z52" s="42"/>
      <c r="AA52" s="58"/>
      <c r="AB52" s="53">
        <v>42124</v>
      </c>
      <c r="AC52" s="53"/>
      <c r="AD52" s="53"/>
      <c r="AE52" s="46"/>
      <c r="AF52" s="2"/>
      <c r="AG52" s="3"/>
      <c r="AH52" s="3"/>
      <c r="AI52" s="2">
        <f t="shared" si="64"/>
        <v>0</v>
      </c>
      <c r="AJ52" s="34">
        <f t="shared" si="65"/>
        <v>30731</v>
      </c>
      <c r="AK52" s="57">
        <f t="shared" si="66"/>
        <v>46195</v>
      </c>
      <c r="AL52" s="130">
        <f t="shared" si="22"/>
        <v>1</v>
      </c>
      <c r="AM52" s="438">
        <f t="shared" si="31"/>
        <v>44</v>
      </c>
      <c r="AN52" s="439">
        <f t="shared" si="48"/>
        <v>45711</v>
      </c>
      <c r="AO52" s="435">
        <f t="shared" si="60"/>
        <v>30731</v>
      </c>
      <c r="AP52" s="435">
        <f t="shared" si="61"/>
        <v>7634.56</v>
      </c>
      <c r="AQ52" s="435">
        <f t="shared" si="67"/>
        <v>23096.44</v>
      </c>
      <c r="AR52" s="435">
        <f t="shared" si="62"/>
        <v>0</v>
      </c>
      <c r="AS52" s="435">
        <f t="shared" si="49"/>
        <v>0</v>
      </c>
      <c r="AT52" s="435">
        <f t="shared" si="24"/>
        <v>7634.56</v>
      </c>
      <c r="AU52" s="435">
        <f t="shared" si="68"/>
        <v>0</v>
      </c>
      <c r="AV52" s="435">
        <f t="shared" si="69"/>
        <v>0</v>
      </c>
      <c r="AW52" s="435"/>
      <c r="AX52" s="435"/>
      <c r="AY52" s="435"/>
      <c r="AZ52" s="435"/>
      <c r="BA52" s="435"/>
      <c r="BB52" s="435">
        <f t="shared" si="70"/>
        <v>428616.15</v>
      </c>
      <c r="BC52" s="108">
        <f t="shared" si="33"/>
        <v>23</v>
      </c>
      <c r="BD52" s="108">
        <f t="shared" si="51"/>
        <v>23</v>
      </c>
      <c r="BE52" s="22">
        <f t="shared" si="52"/>
        <v>45527</v>
      </c>
      <c r="BF52" s="108">
        <f t="shared" si="53"/>
        <v>30288</v>
      </c>
    </row>
    <row r="53" spans="1:59" s="16" customFormat="1" ht="12" customHeight="1" x14ac:dyDescent="0.3">
      <c r="A53" s="178"/>
      <c r="B53" s="178"/>
      <c r="C53" s="182"/>
      <c r="D53" s="182"/>
      <c r="E53" s="178"/>
      <c r="F53" s="178"/>
      <c r="G53" s="426">
        <f t="shared" si="28"/>
        <v>45</v>
      </c>
      <c r="H53" s="427">
        <f t="shared" ref="H53:H84" si="71">IF((OR(DAY($AA$54)=29,DAY($AA$54)=30,DAY($AA$54)=31)),(EDATE($C$9-3,G53)),(IF((OR(DAY($AA$54)=1,DAY($AA$54)=2,DAY($AA$54)=3)),(EDATE($C$9,G53)+3),EDATE($C$9,G53))))</f>
        <v>45739</v>
      </c>
      <c r="I53" s="423">
        <f t="shared" si="55"/>
        <v>30288</v>
      </c>
      <c r="J53" s="423">
        <f t="shared" si="56"/>
        <v>5588</v>
      </c>
      <c r="K53" s="423">
        <f t="shared" si="57"/>
        <v>24700</v>
      </c>
      <c r="L53" s="423">
        <f t="shared" si="63"/>
        <v>0</v>
      </c>
      <c r="M53" s="423">
        <f t="shared" si="29"/>
        <v>0</v>
      </c>
      <c r="N53" s="423">
        <f t="shared" si="18"/>
        <v>5588</v>
      </c>
      <c r="O53" s="423">
        <f t="shared" si="19"/>
        <v>0</v>
      </c>
      <c r="P53" s="423">
        <f t="shared" si="20"/>
        <v>0</v>
      </c>
      <c r="Q53" s="423">
        <f t="shared" si="58"/>
        <v>406326.99999999965</v>
      </c>
      <c r="R53" s="36">
        <f t="shared" si="30"/>
        <v>16</v>
      </c>
      <c r="S53" s="36">
        <f t="shared" si="59"/>
        <v>16</v>
      </c>
      <c r="T53" s="2"/>
      <c r="U53" s="2"/>
      <c r="V53" s="2"/>
      <c r="W53" s="2"/>
      <c r="X53" s="2"/>
      <c r="Y53" s="15">
        <f>IF(D8=Z59,Z65,IF(D8=AA59,AA65,IF(D8=AC59,AC65,IF(D8=AD59,AD65,IF(D8=AB59,AB65,IF(D8=AE59,AE65,IF(D8=AF59,AF65,V35)))))))</f>
        <v>2E-3</v>
      </c>
      <c r="Z53" s="2"/>
      <c r="AA53" s="2"/>
      <c r="AB53" s="2"/>
      <c r="AC53" s="2"/>
      <c r="AD53" s="2"/>
      <c r="AE53" s="2"/>
      <c r="AF53" s="2"/>
      <c r="AG53" s="2"/>
      <c r="AH53" s="2"/>
      <c r="AI53" s="2">
        <f t="shared" si="64"/>
        <v>0</v>
      </c>
      <c r="AJ53" s="34">
        <f t="shared" si="65"/>
        <v>30731</v>
      </c>
      <c r="AK53" s="57">
        <f t="shared" si="66"/>
        <v>46560</v>
      </c>
      <c r="AL53" s="130">
        <f t="shared" si="22"/>
        <v>1</v>
      </c>
      <c r="AM53" s="438">
        <f t="shared" si="31"/>
        <v>45</v>
      </c>
      <c r="AN53" s="439">
        <f t="shared" ref="AN53:AN84" si="72">IF((OR(DAY($AA$54)=29,DAY($AA$54)=30,DAY($AA$54)=31)),(EDATE($C$9-3,AM53)),(IF((OR(DAY($AA$54)=1,DAY($AA$54)=2,DAY($AA$54)=3)),(EDATE($C$9,AM53)+3),EDATE($C$9,AM53))))</f>
        <v>45739</v>
      </c>
      <c r="AO53" s="435">
        <f t="shared" si="60"/>
        <v>30731</v>
      </c>
      <c r="AP53" s="435">
        <f t="shared" si="61"/>
        <v>6543.15</v>
      </c>
      <c r="AQ53" s="435">
        <f t="shared" si="67"/>
        <v>24187.85</v>
      </c>
      <c r="AR53" s="435">
        <f t="shared" si="62"/>
        <v>0</v>
      </c>
      <c r="AS53" s="435">
        <f t="shared" si="49"/>
        <v>0</v>
      </c>
      <c r="AT53" s="435">
        <f t="shared" si="24"/>
        <v>6543.15</v>
      </c>
      <c r="AU53" s="435">
        <f t="shared" si="68"/>
        <v>0</v>
      </c>
      <c r="AV53" s="435">
        <f t="shared" si="69"/>
        <v>0</v>
      </c>
      <c r="AW53" s="435"/>
      <c r="AX53" s="435"/>
      <c r="AY53" s="435"/>
      <c r="AZ53" s="435"/>
      <c r="BA53" s="435"/>
      <c r="BB53" s="435">
        <f t="shared" si="70"/>
        <v>404428.30000000005</v>
      </c>
      <c r="BC53" s="108">
        <f t="shared" si="33"/>
        <v>22</v>
      </c>
      <c r="BD53" s="108">
        <f t="shared" si="51"/>
        <v>22</v>
      </c>
      <c r="BE53" s="22">
        <f t="shared" si="52"/>
        <v>45558</v>
      </c>
      <c r="BF53" s="108">
        <f t="shared" si="53"/>
        <v>30288</v>
      </c>
    </row>
    <row r="54" spans="1:59" s="16" customFormat="1" ht="12" customHeight="1" x14ac:dyDescent="0.3">
      <c r="A54" s="178"/>
      <c r="B54" s="178"/>
      <c r="C54" s="178"/>
      <c r="D54" s="182"/>
      <c r="E54" s="180"/>
      <c r="F54" s="178"/>
      <c r="G54" s="426">
        <f t="shared" si="28"/>
        <v>46</v>
      </c>
      <c r="H54" s="427">
        <f t="shared" si="71"/>
        <v>45770</v>
      </c>
      <c r="I54" s="423">
        <f t="shared" si="55"/>
        <v>30288</v>
      </c>
      <c r="J54" s="423">
        <f t="shared" si="56"/>
        <v>5832.18</v>
      </c>
      <c r="K54" s="423">
        <f t="shared" si="57"/>
        <v>24455.82</v>
      </c>
      <c r="L54" s="423">
        <f t="shared" si="63"/>
        <v>0</v>
      </c>
      <c r="M54" s="423">
        <f t="shared" si="29"/>
        <v>0</v>
      </c>
      <c r="N54" s="423">
        <f t="shared" si="18"/>
        <v>5832.18</v>
      </c>
      <c r="O54" s="423">
        <f t="shared" si="19"/>
        <v>0</v>
      </c>
      <c r="P54" s="423">
        <f t="shared" si="20"/>
        <v>0</v>
      </c>
      <c r="Q54" s="423">
        <f t="shared" si="58"/>
        <v>381871.17999999964</v>
      </c>
      <c r="R54" s="36">
        <f t="shared" si="30"/>
        <v>15</v>
      </c>
      <c r="S54" s="36">
        <f t="shared" si="59"/>
        <v>15</v>
      </c>
      <c r="T54" s="2"/>
      <c r="U54" s="18">
        <f>I8</f>
        <v>-1220900</v>
      </c>
      <c r="V54" s="57">
        <f>H8</f>
        <v>44370</v>
      </c>
      <c r="W54" s="2"/>
      <c r="X54" s="2"/>
      <c r="Y54" s="6"/>
      <c r="Z54" s="1"/>
      <c r="AA54" s="7">
        <f>H8</f>
        <v>44370</v>
      </c>
      <c r="AB54" s="47">
        <f>(C23+AF51)*AA14/12*(1+AA14/12)^(C10)/((1+AA14/12)^(C10)-1)+C23/10000*IF(C10&lt;11,20,IF(C10&lt;20,2.5,IF(C10&lt;37,1.5,IF(C10&lt;60,0.7,0.5))))*IF(AA14&lt;0.3,AA14/0.2,AA14/0.1)</f>
        <v>30328.484254795025</v>
      </c>
      <c r="AC54" s="2"/>
      <c r="AD54" s="47">
        <f>(D23+AF51)*AB14/12*(1+AB14/12)^(C10)/((1+AB14/12)^(C10)-1)+D23/10000*IF(C10&lt;11,20,IF(C10&lt;20,2.5,IF(C10&lt;37,1.5,IF(C10&lt;60,0.7,0.5))))*IF(AB14&lt;0.3,AB14/0.2,AB14/0.1)</f>
        <v>30776.433813286247</v>
      </c>
      <c r="AE54" s="2"/>
      <c r="AF54" s="2"/>
      <c r="AG54" s="2"/>
      <c r="AH54" s="2"/>
      <c r="AI54" s="2">
        <f t="shared" si="64"/>
        <v>0</v>
      </c>
      <c r="AJ54" s="34">
        <f t="shared" si="65"/>
        <v>30731</v>
      </c>
      <c r="AK54" s="57">
        <f t="shared" si="66"/>
        <v>46925</v>
      </c>
      <c r="AL54" s="130">
        <f t="shared" si="22"/>
        <v>1</v>
      </c>
      <c r="AM54" s="438">
        <f t="shared" si="31"/>
        <v>46</v>
      </c>
      <c r="AN54" s="439">
        <f t="shared" si="72"/>
        <v>45770</v>
      </c>
      <c r="AO54" s="435">
        <f t="shared" si="60"/>
        <v>30731</v>
      </c>
      <c r="AP54" s="435">
        <f t="shared" si="61"/>
        <v>6835.39</v>
      </c>
      <c r="AQ54" s="435">
        <f t="shared" si="67"/>
        <v>23895.61</v>
      </c>
      <c r="AR54" s="435">
        <f t="shared" si="62"/>
        <v>0</v>
      </c>
      <c r="AS54" s="435">
        <f t="shared" si="49"/>
        <v>0</v>
      </c>
      <c r="AT54" s="435">
        <f t="shared" si="24"/>
        <v>6835.39</v>
      </c>
      <c r="AU54" s="435">
        <f t="shared" si="68"/>
        <v>0</v>
      </c>
      <c r="AV54" s="435">
        <f t="shared" si="69"/>
        <v>0</v>
      </c>
      <c r="AW54" s="435"/>
      <c r="AX54" s="435"/>
      <c r="AY54" s="435"/>
      <c r="AZ54" s="435"/>
      <c r="BA54" s="435"/>
      <c r="BB54" s="435">
        <f t="shared" si="70"/>
        <v>380532.69000000006</v>
      </c>
      <c r="BC54" s="108">
        <f t="shared" si="33"/>
        <v>21</v>
      </c>
      <c r="BD54" s="108">
        <f t="shared" si="51"/>
        <v>21</v>
      </c>
      <c r="BE54" s="22">
        <f t="shared" si="52"/>
        <v>45588</v>
      </c>
      <c r="BF54" s="108">
        <f t="shared" si="53"/>
        <v>30288</v>
      </c>
      <c r="BG54" s="2">
        <f t="shared" ref="BG54:BG85" si="73">IF(AND(G9&gt;=$T$22,G9&lt;=$T$22+5),0,IF($C$9&gt;$AC$51,ROUND(BB8*IF($D$14="",0,$D$14)/(DATEVALUE(CONCATENATE("01/01/",YEAR(AN9)+1))-DATEVALUE(CONCATENATE("01/01/",YEAR(AN9))))*(AN9-AN8),2),0))</f>
        <v>0</v>
      </c>
    </row>
    <row r="55" spans="1:59" s="16" customFormat="1" ht="14.25" x14ac:dyDescent="0.3">
      <c r="A55" s="178"/>
      <c r="B55" s="178"/>
      <c r="C55" s="182"/>
      <c r="D55" s="182"/>
      <c r="E55" s="180"/>
      <c r="F55" s="180"/>
      <c r="G55" s="426">
        <f t="shared" si="28"/>
        <v>47</v>
      </c>
      <c r="H55" s="427">
        <f t="shared" si="71"/>
        <v>45800</v>
      </c>
      <c r="I55" s="423">
        <f t="shared" si="55"/>
        <v>30288</v>
      </c>
      <c r="J55" s="423">
        <f t="shared" si="56"/>
        <v>5304.35</v>
      </c>
      <c r="K55" s="423">
        <f t="shared" si="57"/>
        <v>24983.65</v>
      </c>
      <c r="L55" s="423">
        <f t="shared" si="63"/>
        <v>0</v>
      </c>
      <c r="M55" s="423">
        <f t="shared" si="29"/>
        <v>0</v>
      </c>
      <c r="N55" s="423">
        <f t="shared" si="18"/>
        <v>5304.35</v>
      </c>
      <c r="O55" s="423">
        <f t="shared" si="19"/>
        <v>0</v>
      </c>
      <c r="P55" s="423">
        <f t="shared" si="20"/>
        <v>0</v>
      </c>
      <c r="Q55" s="423">
        <f t="shared" si="58"/>
        <v>356887.52999999962</v>
      </c>
      <c r="R55" s="36">
        <f t="shared" si="30"/>
        <v>14</v>
      </c>
      <c r="S55" s="36">
        <f t="shared" si="59"/>
        <v>14</v>
      </c>
      <c r="U55" s="34">
        <f>IF(OR(C8="Гарантия стандарт",C8="Гарантия пакет"),C25,0)</f>
        <v>0</v>
      </c>
      <c r="V55" s="57">
        <f>H8</f>
        <v>44370</v>
      </c>
      <c r="W55" s="5" t="s">
        <v>11</v>
      </c>
      <c r="X55" s="4"/>
      <c r="Y55" s="11"/>
      <c r="Z55" s="10"/>
      <c r="AA55" s="13">
        <f>IF(DAY(C9)&lt;4,AB54,IF(DAY(C9)&gt;28,AB56,AB55))</f>
        <v>30287.217834795025</v>
      </c>
      <c r="AB55" s="156">
        <f>(C23+AF51)*AA14/12*(1+AA14/12)^(C10)/((1+AA14/12)^(C10)-1)+C23/10000*IF(C10&lt;11,20,IF(C10&lt;34,0.7,IF(C10&lt;58,0.3,0.1)))*IF(AA14&lt;0.3,AA14/0.2,AA14/0.1)</f>
        <v>30287.217834795025</v>
      </c>
      <c r="AC55" s="13">
        <f>IF(DAY(C9)&lt;4,AD54,IF(DAY(C9)&gt;28,AD56,AD55))</f>
        <v>30730.190193286246</v>
      </c>
      <c r="AD55" s="156">
        <f>(D23+AF51)*AB14/12*(1+AB14/12)^(C10)/((1+AB14/12)^(C10)-1)+D23/10000*IF(C10&lt;11,20,IF(C10&lt;34,0.7,IF(C10&lt;58,0.3,0.1)))*IF(AB14&lt;0.3,AB14/0.2,AB14/0.1)</f>
        <v>30730.190193286246</v>
      </c>
      <c r="AE55" s="2"/>
      <c r="AF55" s="2"/>
      <c r="AG55" s="2"/>
      <c r="AH55" s="2"/>
      <c r="AI55" s="2">
        <f t="shared" si="64"/>
        <v>0</v>
      </c>
      <c r="AJ55" s="34">
        <f t="shared" si="65"/>
        <v>30731</v>
      </c>
      <c r="AK55" s="57">
        <f t="shared" si="66"/>
        <v>47290</v>
      </c>
      <c r="AL55" s="130">
        <f t="shared" si="22"/>
        <v>1</v>
      </c>
      <c r="AM55" s="438">
        <f t="shared" si="31"/>
        <v>47</v>
      </c>
      <c r="AN55" s="439">
        <f t="shared" si="72"/>
        <v>45800</v>
      </c>
      <c r="AO55" s="435">
        <f t="shared" si="60"/>
        <v>30731</v>
      </c>
      <c r="AP55" s="435">
        <f t="shared" si="61"/>
        <v>6224.06</v>
      </c>
      <c r="AQ55" s="435">
        <f t="shared" si="67"/>
        <v>24506.94</v>
      </c>
      <c r="AR55" s="435">
        <f t="shared" si="62"/>
        <v>0</v>
      </c>
      <c r="AS55" s="435">
        <f t="shared" si="49"/>
        <v>0</v>
      </c>
      <c r="AT55" s="435">
        <f t="shared" si="24"/>
        <v>6224.06</v>
      </c>
      <c r="AU55" s="435">
        <f t="shared" si="68"/>
        <v>0</v>
      </c>
      <c r="AV55" s="435">
        <f t="shared" si="69"/>
        <v>0</v>
      </c>
      <c r="AW55" s="435"/>
      <c r="AX55" s="435"/>
      <c r="AY55" s="435"/>
      <c r="AZ55" s="435"/>
      <c r="BA55" s="435"/>
      <c r="BB55" s="435">
        <f t="shared" si="70"/>
        <v>356025.75000000006</v>
      </c>
      <c r="BC55" s="108">
        <f t="shared" si="33"/>
        <v>20</v>
      </c>
      <c r="BD55" s="108">
        <f t="shared" si="51"/>
        <v>20</v>
      </c>
      <c r="BE55" s="22">
        <f t="shared" si="52"/>
        <v>45619</v>
      </c>
      <c r="BF55" s="108">
        <f t="shared" si="53"/>
        <v>30288</v>
      </c>
      <c r="BG55" s="2">
        <f t="shared" si="73"/>
        <v>0</v>
      </c>
    </row>
    <row r="56" spans="1:59" s="16" customFormat="1" ht="14.25" x14ac:dyDescent="0.3">
      <c r="A56" s="178"/>
      <c r="B56" s="178"/>
      <c r="C56" s="178"/>
      <c r="D56" s="182"/>
      <c r="E56" s="178"/>
      <c r="F56" s="180"/>
      <c r="G56" s="426">
        <f t="shared" si="28"/>
        <v>48</v>
      </c>
      <c r="H56" s="427">
        <f t="shared" si="71"/>
        <v>45831</v>
      </c>
      <c r="I56" s="423">
        <f t="shared" si="55"/>
        <v>30288</v>
      </c>
      <c r="J56" s="423">
        <f t="shared" si="56"/>
        <v>5122.5600000000004</v>
      </c>
      <c r="K56" s="423">
        <f t="shared" si="57"/>
        <v>25165.439999999999</v>
      </c>
      <c r="L56" s="423">
        <f t="shared" si="63"/>
        <v>0</v>
      </c>
      <c r="M56" s="423">
        <f t="shared" si="29"/>
        <v>0</v>
      </c>
      <c r="N56" s="423">
        <f t="shared" si="18"/>
        <v>5122.5600000000004</v>
      </c>
      <c r="O56" s="423">
        <f t="shared" si="19"/>
        <v>0</v>
      </c>
      <c r="P56" s="423">
        <f t="shared" si="20"/>
        <v>0</v>
      </c>
      <c r="Q56" s="423">
        <f t="shared" si="58"/>
        <v>331722.08999999962</v>
      </c>
      <c r="R56" s="36">
        <f t="shared" si="30"/>
        <v>13</v>
      </c>
      <c r="S56" s="36">
        <f t="shared" si="59"/>
        <v>13</v>
      </c>
      <c r="T56" s="2">
        <f t="shared" ref="T56:T87" si="74">IF(AND(G9&gt;=$T$22,G9&lt;=$T$22+5),0,IF($C$9&gt;$AC$51,ROUND(Q8*$C$14/(DATEVALUE(CONCATENATE("01/01/",YEAR(H9)+1))-DATEVALUE(CONCATENATE("01/01/",YEAR(H9))))*(H9-H8),2),0))</f>
        <v>9934.4500000000007</v>
      </c>
      <c r="U56" s="34">
        <f t="shared" ref="U56:U87" si="75">J9+K9+L9-P9</f>
        <v>30288</v>
      </c>
      <c r="V56" s="57">
        <f>V55+365</f>
        <v>44735</v>
      </c>
      <c r="W56" s="8" t="s">
        <v>10</v>
      </c>
      <c r="X56" s="8"/>
      <c r="Y56" s="3"/>
      <c r="Z56" s="118">
        <f>ROUNDUP(AA56/AD47,0)*AD47</f>
        <v>23376</v>
      </c>
      <c r="AA56" s="13">
        <f>(C23+AF51)*Z57/12*(1+Z57/12)^(C10+AA57)/((1+Z57/12)^(C10+AA57)-1)+10*C23/100000*IF(C10+AA57&lt;24,4,IF(C10+AA57&lt;36,3,IF(C10+AA57&lt;48,2,IF(C10+AA57&lt;60,1.5,1))))*Z57/0.2</f>
        <v>23375.686972519845</v>
      </c>
      <c r="AB56" s="157">
        <f>(C23+AF51)*AA14/12*(1+AA14/12)^(C10)/((1+AA14/12)^(C10)-1)+C23/10000*IF(C10&lt;11,20,IF(C10&lt;34,0.7,IF(C10&lt;48,0.3,0)))*IF(AA14&lt;0.3,AA14/0.2,AA14/0.1)</f>
        <v>30276.901229795025</v>
      </c>
      <c r="AC56" s="13">
        <f>(D23+AF51)*AC57/12*(1+AC57/12)^(C10+AA57)/((1+AC57/12)^(C10+AA57)-1)+10*D23/100000*IF(C10+AA57&lt;24,4,IF(C10+AA57&lt;36,3,IF(C10+AA57&lt;48,2,IF(C10+AA57&lt;60,1.5,1))))*AC57/0.2</f>
        <v>24388.72482064601</v>
      </c>
      <c r="AD56" s="157">
        <f>(D23+AF51)*AB14/12*(1+AB14/12)^(C10)/((1+AB14/12)^(C10)-1)+D23/10000*IF(C10&lt;11,20,IF(C10&lt;34,0.7,IF(C10&lt;48,0.3,0)))*IF(AB14&lt;0.3,AB14/0.2,AB14/0.1)</f>
        <v>30718.629288286247</v>
      </c>
      <c r="AE56" s="2"/>
      <c r="AF56" s="2"/>
      <c r="AG56" s="2"/>
      <c r="AH56" s="2"/>
      <c r="AI56" s="2">
        <f t="shared" si="64"/>
        <v>0</v>
      </c>
      <c r="AJ56" s="34">
        <f t="shared" si="65"/>
        <v>30731</v>
      </c>
      <c r="AK56" s="57">
        <f t="shared" si="66"/>
        <v>47655</v>
      </c>
      <c r="AL56" s="130">
        <f t="shared" si="22"/>
        <v>1</v>
      </c>
      <c r="AM56" s="438">
        <f t="shared" si="31"/>
        <v>48</v>
      </c>
      <c r="AN56" s="439">
        <f t="shared" si="72"/>
        <v>45831</v>
      </c>
      <c r="AO56" s="435">
        <f t="shared" si="60"/>
        <v>30731</v>
      </c>
      <c r="AP56" s="435">
        <f t="shared" si="61"/>
        <v>6017.32</v>
      </c>
      <c r="AQ56" s="435">
        <f t="shared" si="67"/>
        <v>24713.68</v>
      </c>
      <c r="AR56" s="435">
        <f t="shared" si="62"/>
        <v>0</v>
      </c>
      <c r="AS56" s="435">
        <f t="shared" si="49"/>
        <v>0</v>
      </c>
      <c r="AT56" s="435">
        <f t="shared" si="24"/>
        <v>6017.32</v>
      </c>
      <c r="AU56" s="435">
        <f t="shared" si="68"/>
        <v>0</v>
      </c>
      <c r="AV56" s="435">
        <f t="shared" si="69"/>
        <v>0</v>
      </c>
      <c r="AW56" s="435"/>
      <c r="AX56" s="435"/>
      <c r="AY56" s="435"/>
      <c r="AZ56" s="435"/>
      <c r="BA56" s="435"/>
      <c r="BB56" s="435">
        <f t="shared" si="70"/>
        <v>331312.07000000007</v>
      </c>
      <c r="BC56" s="108">
        <f t="shared" si="33"/>
        <v>19</v>
      </c>
      <c r="BD56" s="108">
        <f t="shared" si="51"/>
        <v>19</v>
      </c>
      <c r="BE56" s="22">
        <f t="shared" si="52"/>
        <v>45649</v>
      </c>
      <c r="BF56" s="108">
        <f t="shared" si="53"/>
        <v>30288</v>
      </c>
      <c r="BG56" s="2">
        <f t="shared" si="73"/>
        <v>0</v>
      </c>
    </row>
    <row r="57" spans="1:59" s="16" customFormat="1" ht="14.25" x14ac:dyDescent="0.3">
      <c r="A57" s="178"/>
      <c r="B57" s="178"/>
      <c r="C57" s="178"/>
      <c r="D57" s="178"/>
      <c r="E57" s="178"/>
      <c r="F57" s="178"/>
      <c r="G57" s="426">
        <f t="shared" si="28"/>
        <v>49</v>
      </c>
      <c r="H57" s="427">
        <f t="shared" si="71"/>
        <v>45861</v>
      </c>
      <c r="I57" s="423">
        <f t="shared" si="55"/>
        <v>30288</v>
      </c>
      <c r="J57" s="423">
        <f t="shared" si="56"/>
        <v>4607.76</v>
      </c>
      <c r="K57" s="423">
        <f t="shared" si="57"/>
        <v>25680.239999999998</v>
      </c>
      <c r="L57" s="423">
        <f t="shared" si="63"/>
        <v>0</v>
      </c>
      <c r="M57" s="423">
        <f t="shared" si="29"/>
        <v>0</v>
      </c>
      <c r="N57" s="423">
        <f t="shared" si="18"/>
        <v>4607.76</v>
      </c>
      <c r="O57" s="423">
        <f t="shared" si="19"/>
        <v>0</v>
      </c>
      <c r="P57" s="423">
        <f t="shared" si="20"/>
        <v>0</v>
      </c>
      <c r="Q57" s="423">
        <f t="shared" si="58"/>
        <v>306041.84999999963</v>
      </c>
      <c r="R57" s="36">
        <f t="shared" si="30"/>
        <v>12</v>
      </c>
      <c r="S57" s="36">
        <f t="shared" si="59"/>
        <v>12</v>
      </c>
      <c r="T57" s="2">
        <f t="shared" si="74"/>
        <v>10153.52</v>
      </c>
      <c r="U57" s="34">
        <f t="shared" si="75"/>
        <v>30288</v>
      </c>
      <c r="V57" s="57">
        <f t="shared" ref="V57:V120" si="76">V56+365</f>
        <v>45100</v>
      </c>
      <c r="W57" s="8" t="s">
        <v>8</v>
      </c>
      <c r="X57" s="8"/>
      <c r="Y57" s="3"/>
      <c r="Z57" s="15">
        <f>IF(C9&gt;AE48,C12,C12+0.05)</f>
        <v>0.16900000000000001</v>
      </c>
      <c r="AA57" s="2">
        <f xml:space="preserve"> IF(C9&gt;AE48,36,24)</f>
        <v>36</v>
      </c>
      <c r="AB57" s="44">
        <f>(C23+AF51)*AA14/12*(1+AA14/12)^(C10)/((1+AA14/12)^(C10)-1)</f>
        <v>30276.901229795025</v>
      </c>
      <c r="AC57" s="15">
        <f>IF(C9&gt;AE48,D12,D12+0.05)</f>
        <v>0.19900000000000001</v>
      </c>
      <c r="AD57" s="118">
        <f>(D23+AF51)*AB14/12*(1+AB14/12)^(C10)/((1+AB14/12)^(C10)-1)</f>
        <v>30718.629288286247</v>
      </c>
      <c r="AE57" s="2"/>
      <c r="AF57" s="2"/>
      <c r="AG57" s="2"/>
      <c r="AH57" s="2"/>
      <c r="AI57" s="2">
        <f t="shared" si="64"/>
        <v>0</v>
      </c>
      <c r="AJ57" s="34">
        <f t="shared" si="65"/>
        <v>30731</v>
      </c>
      <c r="AK57" s="57">
        <f t="shared" si="66"/>
        <v>48020</v>
      </c>
      <c r="AL57" s="130">
        <f t="shared" si="22"/>
        <v>1</v>
      </c>
      <c r="AM57" s="438">
        <f t="shared" si="31"/>
        <v>49</v>
      </c>
      <c r="AN57" s="439">
        <f t="shared" si="72"/>
        <v>45861</v>
      </c>
      <c r="AO57" s="435">
        <f t="shared" si="60"/>
        <v>30731</v>
      </c>
      <c r="AP57" s="435">
        <f t="shared" si="61"/>
        <v>5418.99</v>
      </c>
      <c r="AQ57" s="435">
        <f t="shared" si="67"/>
        <v>25312.010000000002</v>
      </c>
      <c r="AR57" s="435">
        <f t="shared" si="62"/>
        <v>0</v>
      </c>
      <c r="AS57" s="435">
        <f t="shared" si="49"/>
        <v>0</v>
      </c>
      <c r="AT57" s="435">
        <f t="shared" si="24"/>
        <v>5418.99</v>
      </c>
      <c r="AU57" s="435">
        <f t="shared" si="68"/>
        <v>0</v>
      </c>
      <c r="AV57" s="435">
        <f t="shared" si="69"/>
        <v>0</v>
      </c>
      <c r="AW57" s="435"/>
      <c r="AX57" s="435"/>
      <c r="AY57" s="435"/>
      <c r="AZ57" s="435"/>
      <c r="BA57" s="435"/>
      <c r="BB57" s="435">
        <f t="shared" si="70"/>
        <v>306000.06000000006</v>
      </c>
      <c r="BC57" s="108">
        <f t="shared" si="33"/>
        <v>18</v>
      </c>
      <c r="BD57" s="108">
        <f t="shared" ref="BD57:BD88" si="77">IF(ISERR(CEILING(FLOOR(NPER($C$12/12,-$AA$55,BB50),0.1),1))=TRUE,0,CEILING(FLOOR(NPER($C$12/12,-$AA$55,BB50),0.1),1))</f>
        <v>18</v>
      </c>
      <c r="BE57" s="22">
        <f t="shared" ref="BE57:BE88" si="78">H51</f>
        <v>45680</v>
      </c>
      <c r="BF57" s="108">
        <f t="shared" ref="BF57:BF88" si="79">I51</f>
        <v>30288</v>
      </c>
      <c r="BG57" s="2">
        <f t="shared" si="73"/>
        <v>0</v>
      </c>
    </row>
    <row r="58" spans="1:59" s="16" customFormat="1" ht="15.75" customHeight="1" x14ac:dyDescent="0.3">
      <c r="A58" s="178"/>
      <c r="B58" s="178"/>
      <c r="C58" s="178"/>
      <c r="D58" s="178"/>
      <c r="E58" s="178"/>
      <c r="F58" s="178"/>
      <c r="G58" s="426">
        <f t="shared" si="28"/>
        <v>50</v>
      </c>
      <c r="H58" s="427">
        <f t="shared" si="71"/>
        <v>45892</v>
      </c>
      <c r="I58" s="423">
        <f t="shared" si="55"/>
        <v>30288</v>
      </c>
      <c r="J58" s="423">
        <f t="shared" si="56"/>
        <v>4392.75</v>
      </c>
      <c r="K58" s="423">
        <f t="shared" si="57"/>
        <v>25895.25</v>
      </c>
      <c r="L58" s="423">
        <f t="shared" si="63"/>
        <v>0</v>
      </c>
      <c r="M58" s="423">
        <f t="shared" si="29"/>
        <v>0</v>
      </c>
      <c r="N58" s="423">
        <f t="shared" si="18"/>
        <v>4392.75</v>
      </c>
      <c r="O58" s="423">
        <f t="shared" si="19"/>
        <v>0</v>
      </c>
      <c r="P58" s="423">
        <f t="shared" si="20"/>
        <v>0</v>
      </c>
      <c r="Q58" s="423">
        <f t="shared" si="58"/>
        <v>280146.59999999963</v>
      </c>
      <c r="R58" s="36">
        <f t="shared" si="30"/>
        <v>11</v>
      </c>
      <c r="S58" s="36">
        <f t="shared" si="59"/>
        <v>11</v>
      </c>
      <c r="T58" s="2">
        <f t="shared" si="74"/>
        <v>10044.59</v>
      </c>
      <c r="U58" s="34">
        <f t="shared" si="75"/>
        <v>30288</v>
      </c>
      <c r="V58" s="57">
        <f t="shared" si="76"/>
        <v>45465</v>
      </c>
      <c r="W58" s="5" t="s">
        <v>1</v>
      </c>
      <c r="X58" s="8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>
        <f t="shared" si="64"/>
        <v>0</v>
      </c>
      <c r="AJ58" s="34">
        <f t="shared" si="65"/>
        <v>30731</v>
      </c>
      <c r="AK58" s="57">
        <f t="shared" si="66"/>
        <v>48385</v>
      </c>
      <c r="AL58" s="130">
        <f t="shared" si="22"/>
        <v>1</v>
      </c>
      <c r="AM58" s="438">
        <f t="shared" si="31"/>
        <v>50</v>
      </c>
      <c r="AN58" s="439">
        <f t="shared" si="72"/>
        <v>45892</v>
      </c>
      <c r="AO58" s="435">
        <f t="shared" si="60"/>
        <v>30731</v>
      </c>
      <c r="AP58" s="435">
        <f t="shared" si="61"/>
        <v>5171.82</v>
      </c>
      <c r="AQ58" s="435">
        <f t="shared" si="67"/>
        <v>25559.18</v>
      </c>
      <c r="AR58" s="435">
        <f t="shared" si="62"/>
        <v>0</v>
      </c>
      <c r="AS58" s="435">
        <f t="shared" si="49"/>
        <v>0</v>
      </c>
      <c r="AT58" s="435">
        <f t="shared" si="24"/>
        <v>5171.82</v>
      </c>
      <c r="AU58" s="435">
        <f t="shared" si="68"/>
        <v>0</v>
      </c>
      <c r="AV58" s="435">
        <f t="shared" si="69"/>
        <v>0</v>
      </c>
      <c r="AW58" s="435"/>
      <c r="AX58" s="435"/>
      <c r="AY58" s="435"/>
      <c r="AZ58" s="435"/>
      <c r="BA58" s="435"/>
      <c r="BB58" s="435">
        <f t="shared" si="70"/>
        <v>280440.88000000006</v>
      </c>
      <c r="BC58" s="108">
        <f t="shared" si="33"/>
        <v>17</v>
      </c>
      <c r="BD58" s="108">
        <f t="shared" si="77"/>
        <v>17</v>
      </c>
      <c r="BE58" s="22">
        <f t="shared" si="78"/>
        <v>45711</v>
      </c>
      <c r="BF58" s="108">
        <f t="shared" si="79"/>
        <v>30288</v>
      </c>
      <c r="BG58" s="2">
        <f t="shared" si="73"/>
        <v>0</v>
      </c>
    </row>
    <row r="59" spans="1:59" s="16" customFormat="1" ht="25.5" x14ac:dyDescent="0.3">
      <c r="A59" s="178"/>
      <c r="B59" s="178"/>
      <c r="C59" s="178"/>
      <c r="D59" s="178"/>
      <c r="E59" s="178"/>
      <c r="F59" s="178"/>
      <c r="G59" s="426">
        <f t="shared" si="28"/>
        <v>51</v>
      </c>
      <c r="H59" s="427">
        <f t="shared" si="71"/>
        <v>45923</v>
      </c>
      <c r="I59" s="423">
        <f t="shared" si="55"/>
        <v>30288</v>
      </c>
      <c r="J59" s="423">
        <f t="shared" si="56"/>
        <v>4021.06</v>
      </c>
      <c r="K59" s="423">
        <f t="shared" si="57"/>
        <v>26266.94</v>
      </c>
      <c r="L59" s="423">
        <f t="shared" si="63"/>
        <v>0</v>
      </c>
      <c r="M59" s="423">
        <f t="shared" si="29"/>
        <v>0</v>
      </c>
      <c r="N59" s="423">
        <f t="shared" si="18"/>
        <v>4021.06</v>
      </c>
      <c r="O59" s="423">
        <f t="shared" si="19"/>
        <v>0</v>
      </c>
      <c r="P59" s="423">
        <f t="shared" si="20"/>
        <v>0</v>
      </c>
      <c r="Q59" s="423">
        <f t="shared" si="58"/>
        <v>253879.65999999963</v>
      </c>
      <c r="R59" s="36">
        <f t="shared" si="30"/>
        <v>10</v>
      </c>
      <c r="S59" s="36">
        <f t="shared" si="59"/>
        <v>10</v>
      </c>
      <c r="T59" s="2">
        <f t="shared" si="74"/>
        <v>9613.64</v>
      </c>
      <c r="U59" s="34">
        <f t="shared" si="75"/>
        <v>30288</v>
      </c>
      <c r="V59" s="57">
        <f t="shared" si="76"/>
        <v>45830</v>
      </c>
      <c r="W59" s="5" t="s">
        <v>42</v>
      </c>
      <c r="X59" s="8"/>
      <c r="Z59" s="144" t="s">
        <v>330</v>
      </c>
      <c r="AA59" s="144" t="s">
        <v>111</v>
      </c>
      <c r="AB59" s="145" t="s">
        <v>114</v>
      </c>
      <c r="AC59" s="144" t="s">
        <v>115</v>
      </c>
      <c r="AD59" s="144" t="s">
        <v>118</v>
      </c>
      <c r="AE59" s="144" t="s">
        <v>119</v>
      </c>
      <c r="AF59" s="145" t="s">
        <v>120</v>
      </c>
      <c r="AG59" s="2" t="s">
        <v>35</v>
      </c>
      <c r="AI59" s="2">
        <f t="shared" si="64"/>
        <v>0</v>
      </c>
      <c r="AJ59" s="34">
        <f t="shared" si="65"/>
        <v>30731</v>
      </c>
      <c r="AK59" s="57">
        <f t="shared" si="66"/>
        <v>48750</v>
      </c>
      <c r="AL59" s="130">
        <f t="shared" si="22"/>
        <v>1</v>
      </c>
      <c r="AM59" s="438">
        <f t="shared" si="31"/>
        <v>51</v>
      </c>
      <c r="AN59" s="439">
        <f t="shared" si="72"/>
        <v>45923</v>
      </c>
      <c r="AO59" s="435">
        <f t="shared" si="60"/>
        <v>30731</v>
      </c>
      <c r="AP59" s="435">
        <f t="shared" si="61"/>
        <v>4739.84</v>
      </c>
      <c r="AQ59" s="435">
        <f t="shared" si="67"/>
        <v>25991.16</v>
      </c>
      <c r="AR59" s="435">
        <f t="shared" si="62"/>
        <v>0</v>
      </c>
      <c r="AS59" s="435">
        <f t="shared" si="49"/>
        <v>0</v>
      </c>
      <c r="AT59" s="435">
        <f t="shared" si="24"/>
        <v>4739.84</v>
      </c>
      <c r="AU59" s="435">
        <f t="shared" si="68"/>
        <v>0</v>
      </c>
      <c r="AV59" s="435">
        <f t="shared" si="69"/>
        <v>0</v>
      </c>
      <c r="AW59" s="435"/>
      <c r="AX59" s="435"/>
      <c r="AY59" s="435"/>
      <c r="AZ59" s="435"/>
      <c r="BA59" s="435"/>
      <c r="BB59" s="435">
        <f t="shared" si="70"/>
        <v>254449.72000000006</v>
      </c>
      <c r="BC59" s="108">
        <f t="shared" si="33"/>
        <v>16</v>
      </c>
      <c r="BD59" s="108">
        <f t="shared" si="77"/>
        <v>16</v>
      </c>
      <c r="BE59" s="22">
        <f t="shared" si="78"/>
        <v>45739</v>
      </c>
      <c r="BF59" s="108">
        <f t="shared" si="79"/>
        <v>30288</v>
      </c>
      <c r="BG59" s="2">
        <f t="shared" si="73"/>
        <v>0</v>
      </c>
    </row>
    <row r="60" spans="1:59" s="16" customFormat="1" ht="14.25" x14ac:dyDescent="0.3">
      <c r="A60" s="178"/>
      <c r="B60" s="178"/>
      <c r="C60" s="178"/>
      <c r="D60" s="178"/>
      <c r="E60" s="178"/>
      <c r="F60" s="178"/>
      <c r="G60" s="426">
        <f t="shared" si="28"/>
        <v>52</v>
      </c>
      <c r="H60" s="427">
        <f t="shared" si="71"/>
        <v>45953</v>
      </c>
      <c r="I60" s="423">
        <f t="shared" si="55"/>
        <v>30288</v>
      </c>
      <c r="J60" s="423">
        <f t="shared" si="56"/>
        <v>3526.49</v>
      </c>
      <c r="K60" s="423">
        <f t="shared" si="57"/>
        <v>26761.510000000002</v>
      </c>
      <c r="L60" s="423">
        <f t="shared" si="63"/>
        <v>0</v>
      </c>
      <c r="M60" s="423">
        <f t="shared" si="29"/>
        <v>0</v>
      </c>
      <c r="N60" s="423">
        <f t="shared" si="18"/>
        <v>3526.49</v>
      </c>
      <c r="O60" s="423">
        <f t="shared" si="19"/>
        <v>0</v>
      </c>
      <c r="P60" s="423">
        <f t="shared" si="20"/>
        <v>0</v>
      </c>
      <c r="Q60" s="423">
        <f t="shared" si="58"/>
        <v>227118.14999999962</v>
      </c>
      <c r="R60" s="36">
        <f t="shared" si="30"/>
        <v>9</v>
      </c>
      <c r="S60" s="36">
        <f t="shared" si="59"/>
        <v>9</v>
      </c>
      <c r="T60" s="2">
        <f t="shared" si="74"/>
        <v>9817.42</v>
      </c>
      <c r="U60" s="34">
        <f t="shared" si="75"/>
        <v>30288</v>
      </c>
      <c r="V60" s="57">
        <f t="shared" si="76"/>
        <v>46195</v>
      </c>
      <c r="W60" s="5"/>
      <c r="X60" s="8"/>
      <c r="Y60" s="133" t="s">
        <v>97</v>
      </c>
      <c r="Z60" s="133" t="s">
        <v>125</v>
      </c>
      <c r="AA60" s="155"/>
      <c r="AB60" s="155"/>
      <c r="AC60" s="155"/>
      <c r="AD60" s="155"/>
      <c r="AE60" s="155"/>
      <c r="AF60" s="155"/>
      <c r="AG60" s="155"/>
      <c r="AH60" s="2"/>
      <c r="AI60" s="2">
        <f t="shared" si="64"/>
        <v>0</v>
      </c>
      <c r="AJ60" s="34">
        <f t="shared" ref="AJ60:AJ112" si="80">AO21</f>
        <v>30731</v>
      </c>
      <c r="AK60" s="57">
        <f t="shared" si="66"/>
        <v>49115</v>
      </c>
      <c r="AL60" s="130">
        <f t="shared" si="22"/>
        <v>1</v>
      </c>
      <c r="AM60" s="438">
        <f t="shared" si="31"/>
        <v>52</v>
      </c>
      <c r="AN60" s="439">
        <f t="shared" si="72"/>
        <v>45953</v>
      </c>
      <c r="AO60" s="435">
        <f t="shared" si="60"/>
        <v>30731</v>
      </c>
      <c r="AP60" s="435">
        <f t="shared" si="61"/>
        <v>4161.82</v>
      </c>
      <c r="AQ60" s="435">
        <f t="shared" si="67"/>
        <v>26569.18</v>
      </c>
      <c r="AR60" s="435">
        <f t="shared" si="62"/>
        <v>0</v>
      </c>
      <c r="AS60" s="435">
        <f t="shared" si="49"/>
        <v>0</v>
      </c>
      <c r="AT60" s="435">
        <f t="shared" si="24"/>
        <v>4161.82</v>
      </c>
      <c r="AU60" s="435">
        <f t="shared" si="68"/>
        <v>0</v>
      </c>
      <c r="AV60" s="435">
        <f t="shared" si="69"/>
        <v>0</v>
      </c>
      <c r="AW60" s="435"/>
      <c r="AX60" s="435"/>
      <c r="AY60" s="435"/>
      <c r="AZ60" s="435"/>
      <c r="BA60" s="435"/>
      <c r="BB60" s="435">
        <f t="shared" si="70"/>
        <v>227880.54000000007</v>
      </c>
      <c r="BC60" s="108">
        <f t="shared" si="33"/>
        <v>15</v>
      </c>
      <c r="BD60" s="108">
        <f t="shared" si="77"/>
        <v>15</v>
      </c>
      <c r="BE60" s="22">
        <f t="shared" si="78"/>
        <v>45770</v>
      </c>
      <c r="BF60" s="108">
        <f t="shared" si="79"/>
        <v>30288</v>
      </c>
      <c r="BG60" s="2">
        <f t="shared" si="73"/>
        <v>0</v>
      </c>
    </row>
    <row r="61" spans="1:59" s="16" customFormat="1" ht="15.75" customHeight="1" x14ac:dyDescent="0.3">
      <c r="A61" s="178"/>
      <c r="B61" s="178"/>
      <c r="C61" s="178"/>
      <c r="D61" s="178"/>
      <c r="E61" s="178"/>
      <c r="F61" s="178"/>
      <c r="G61" s="426">
        <f t="shared" si="28"/>
        <v>53</v>
      </c>
      <c r="H61" s="427">
        <f t="shared" si="71"/>
        <v>45984</v>
      </c>
      <c r="I61" s="423">
        <f t="shared" si="55"/>
        <v>30288</v>
      </c>
      <c r="J61" s="423">
        <f t="shared" si="56"/>
        <v>3259.92</v>
      </c>
      <c r="K61" s="423">
        <f t="shared" si="57"/>
        <v>27028.080000000002</v>
      </c>
      <c r="L61" s="423">
        <f t="shared" si="63"/>
        <v>0</v>
      </c>
      <c r="M61" s="423">
        <f t="shared" si="29"/>
        <v>0</v>
      </c>
      <c r="N61" s="423">
        <f t="shared" si="18"/>
        <v>3259.92</v>
      </c>
      <c r="O61" s="423">
        <f t="shared" si="19"/>
        <v>0</v>
      </c>
      <c r="P61" s="423">
        <f t="shared" si="20"/>
        <v>0</v>
      </c>
      <c r="Q61" s="423">
        <f t="shared" si="58"/>
        <v>200090.0699999996</v>
      </c>
      <c r="R61" s="36">
        <f t="shared" si="30"/>
        <v>8</v>
      </c>
      <c r="S61" s="36">
        <f t="shared" si="59"/>
        <v>8</v>
      </c>
      <c r="T61" s="2">
        <f t="shared" si="74"/>
        <v>9390.64</v>
      </c>
      <c r="U61" s="34">
        <f t="shared" si="75"/>
        <v>30288</v>
      </c>
      <c r="V61" s="57">
        <f t="shared" si="76"/>
        <v>46560</v>
      </c>
      <c r="W61" s="2"/>
      <c r="X61" s="2"/>
      <c r="Y61" s="135">
        <v>200000</v>
      </c>
      <c r="Z61" s="133">
        <v>3.5000000000000001E-3</v>
      </c>
      <c r="AA61" s="133">
        <v>3.5000000000000001E-3</v>
      </c>
      <c r="AB61" s="133">
        <v>2.5000000000000001E-3</v>
      </c>
      <c r="AC61" s="133">
        <v>3.0000000000000001E-3</v>
      </c>
      <c r="AD61" s="133">
        <v>1E-3</v>
      </c>
      <c r="AE61" s="133">
        <v>4.0000000000000001E-3</v>
      </c>
      <c r="AF61" s="133">
        <v>0</v>
      </c>
      <c r="AG61" s="133"/>
      <c r="AH61" s="2"/>
      <c r="AI61" s="2">
        <f t="shared" si="64"/>
        <v>0</v>
      </c>
      <c r="AJ61" s="34">
        <f t="shared" si="80"/>
        <v>30731</v>
      </c>
      <c r="AK61" s="57">
        <f t="shared" si="66"/>
        <v>49480</v>
      </c>
      <c r="AL61" s="130">
        <f t="shared" si="22"/>
        <v>1</v>
      </c>
      <c r="AM61" s="438">
        <f t="shared" si="31"/>
        <v>53</v>
      </c>
      <c r="AN61" s="439">
        <f t="shared" si="72"/>
        <v>45984</v>
      </c>
      <c r="AO61" s="435">
        <f t="shared" si="60"/>
        <v>30731</v>
      </c>
      <c r="AP61" s="435">
        <f t="shared" si="61"/>
        <v>3851.49</v>
      </c>
      <c r="AQ61" s="435">
        <f t="shared" si="67"/>
        <v>26879.510000000002</v>
      </c>
      <c r="AR61" s="435">
        <f t="shared" si="62"/>
        <v>0</v>
      </c>
      <c r="AS61" s="435">
        <f t="shared" si="49"/>
        <v>0</v>
      </c>
      <c r="AT61" s="435">
        <f t="shared" si="24"/>
        <v>3851.49</v>
      </c>
      <c r="AU61" s="435">
        <f t="shared" si="68"/>
        <v>0</v>
      </c>
      <c r="AV61" s="435">
        <f t="shared" si="69"/>
        <v>0</v>
      </c>
      <c r="AW61" s="435"/>
      <c r="AX61" s="435"/>
      <c r="AY61" s="435"/>
      <c r="AZ61" s="435"/>
      <c r="BA61" s="435"/>
      <c r="BB61" s="435">
        <f t="shared" si="70"/>
        <v>201001.03000000006</v>
      </c>
      <c r="BC61" s="108">
        <f t="shared" si="33"/>
        <v>14</v>
      </c>
      <c r="BD61" s="108">
        <f t="shared" si="77"/>
        <v>14</v>
      </c>
      <c r="BE61" s="22">
        <f t="shared" si="78"/>
        <v>45800</v>
      </c>
      <c r="BF61" s="108">
        <f t="shared" si="79"/>
        <v>30288</v>
      </c>
      <c r="BG61" s="2">
        <f t="shared" si="73"/>
        <v>0</v>
      </c>
    </row>
    <row r="62" spans="1:59" s="16" customFormat="1" ht="14.25" x14ac:dyDescent="0.3">
      <c r="A62" s="178"/>
      <c r="B62" s="178"/>
      <c r="C62" s="178"/>
      <c r="D62" s="178"/>
      <c r="E62" s="178"/>
      <c r="F62" s="178"/>
      <c r="G62" s="426">
        <f t="shared" si="28"/>
        <v>54</v>
      </c>
      <c r="H62" s="427">
        <f t="shared" si="71"/>
        <v>46014</v>
      </c>
      <c r="I62" s="423">
        <f t="shared" si="55"/>
        <v>30288</v>
      </c>
      <c r="J62" s="423">
        <f t="shared" si="56"/>
        <v>2779.33</v>
      </c>
      <c r="K62" s="423">
        <f t="shared" si="57"/>
        <v>27508.67</v>
      </c>
      <c r="L62" s="423">
        <f t="shared" si="63"/>
        <v>0</v>
      </c>
      <c r="M62" s="423">
        <f t="shared" si="29"/>
        <v>0</v>
      </c>
      <c r="N62" s="423">
        <f t="shared" si="18"/>
        <v>2779.33</v>
      </c>
      <c r="O62" s="423">
        <f t="shared" si="19"/>
        <v>0</v>
      </c>
      <c r="P62" s="423">
        <f t="shared" si="20"/>
        <v>0</v>
      </c>
      <c r="Q62" s="423">
        <f t="shared" si="58"/>
        <v>172581.39999999962</v>
      </c>
      <c r="R62" s="36">
        <f t="shared" si="30"/>
        <v>7</v>
      </c>
      <c r="S62" s="36">
        <f t="shared" si="59"/>
        <v>7</v>
      </c>
      <c r="T62" s="2">
        <f t="shared" si="74"/>
        <v>9583.7800000000007</v>
      </c>
      <c r="U62" s="34">
        <f t="shared" si="75"/>
        <v>30288</v>
      </c>
      <c r="V62" s="57">
        <f t="shared" si="76"/>
        <v>46925</v>
      </c>
      <c r="W62" s="6" t="s">
        <v>0</v>
      </c>
      <c r="X62" s="6"/>
      <c r="Y62" s="135">
        <v>600000</v>
      </c>
      <c r="Z62" s="133">
        <v>3.0000000000000001E-3</v>
      </c>
      <c r="AA62" s="133">
        <v>3.0000000000000001E-3</v>
      </c>
      <c r="AB62" s="133">
        <v>2.5000000000000001E-3</v>
      </c>
      <c r="AC62" s="133">
        <v>3.0000000000000001E-3</v>
      </c>
      <c r="AD62" s="133">
        <v>1E-3</v>
      </c>
      <c r="AE62" s="133">
        <v>4.0000000000000001E-3</v>
      </c>
      <c r="AF62" s="133">
        <v>0</v>
      </c>
      <c r="AG62" s="133"/>
      <c r="AH62" s="2"/>
      <c r="AI62" s="2">
        <f t="shared" si="64"/>
        <v>0</v>
      </c>
      <c r="AJ62" s="34">
        <f t="shared" si="80"/>
        <v>30731</v>
      </c>
      <c r="AK62" s="57">
        <f t="shared" si="66"/>
        <v>49845</v>
      </c>
      <c r="AL62" s="130">
        <f t="shared" si="22"/>
        <v>1</v>
      </c>
      <c r="AM62" s="438">
        <f t="shared" si="31"/>
        <v>54</v>
      </c>
      <c r="AN62" s="439">
        <f t="shared" si="72"/>
        <v>46014</v>
      </c>
      <c r="AO62" s="435">
        <f t="shared" si="60"/>
        <v>30731</v>
      </c>
      <c r="AP62" s="435">
        <f t="shared" si="61"/>
        <v>3287.61</v>
      </c>
      <c r="AQ62" s="435">
        <f t="shared" si="67"/>
        <v>27443.39</v>
      </c>
      <c r="AR62" s="435">
        <f t="shared" si="62"/>
        <v>0</v>
      </c>
      <c r="AS62" s="435">
        <f t="shared" si="49"/>
        <v>0</v>
      </c>
      <c r="AT62" s="435">
        <f t="shared" si="24"/>
        <v>3287.61</v>
      </c>
      <c r="AU62" s="435">
        <f t="shared" si="68"/>
        <v>0</v>
      </c>
      <c r="AV62" s="435">
        <f t="shared" si="69"/>
        <v>0</v>
      </c>
      <c r="AW62" s="435"/>
      <c r="AX62" s="435"/>
      <c r="AY62" s="435"/>
      <c r="AZ62" s="435"/>
      <c r="BA62" s="435"/>
      <c r="BB62" s="435">
        <f t="shared" si="70"/>
        <v>173557.64000000007</v>
      </c>
      <c r="BC62" s="108">
        <f t="shared" si="33"/>
        <v>13</v>
      </c>
      <c r="BD62" s="108">
        <f t="shared" si="77"/>
        <v>13</v>
      </c>
      <c r="BE62" s="22">
        <f t="shared" si="78"/>
        <v>45831</v>
      </c>
      <c r="BF62" s="108">
        <f t="shared" si="79"/>
        <v>30288</v>
      </c>
      <c r="BG62" s="2">
        <f t="shared" si="73"/>
        <v>0</v>
      </c>
    </row>
    <row r="63" spans="1:59" s="16" customFormat="1" ht="14.25" x14ac:dyDescent="0.3">
      <c r="A63" s="178"/>
      <c r="B63" s="178"/>
      <c r="C63" s="178"/>
      <c r="D63" s="178"/>
      <c r="E63" s="178"/>
      <c r="F63" s="178"/>
      <c r="G63" s="426">
        <f t="shared" si="28"/>
        <v>55</v>
      </c>
      <c r="H63" s="427">
        <f t="shared" si="71"/>
        <v>46045</v>
      </c>
      <c r="I63" s="423">
        <f t="shared" si="55"/>
        <v>30288</v>
      </c>
      <c r="J63" s="423">
        <f t="shared" si="56"/>
        <v>2477.13</v>
      </c>
      <c r="K63" s="423">
        <f t="shared" si="57"/>
        <v>27810.87</v>
      </c>
      <c r="L63" s="423">
        <f t="shared" si="63"/>
        <v>0</v>
      </c>
      <c r="M63" s="423">
        <f t="shared" si="29"/>
        <v>0</v>
      </c>
      <c r="N63" s="423">
        <f t="shared" si="18"/>
        <v>2477.13</v>
      </c>
      <c r="O63" s="423">
        <f t="shared" si="19"/>
        <v>0</v>
      </c>
      <c r="P63" s="423">
        <f t="shared" si="20"/>
        <v>0</v>
      </c>
      <c r="Q63" s="423">
        <f t="shared" si="58"/>
        <v>144770.52999999962</v>
      </c>
      <c r="R63" s="36">
        <f t="shared" si="30"/>
        <v>6</v>
      </c>
      <c r="S63" s="36">
        <f t="shared" si="59"/>
        <v>6</v>
      </c>
      <c r="T63" s="2">
        <f t="shared" si="74"/>
        <v>9466.67</v>
      </c>
      <c r="U63" s="34">
        <f t="shared" si="75"/>
        <v>30288</v>
      </c>
      <c r="V63" s="57">
        <f t="shared" si="76"/>
        <v>47290</v>
      </c>
      <c r="W63" s="11" t="s">
        <v>18</v>
      </c>
      <c r="X63" s="11"/>
      <c r="Y63" s="135">
        <v>1000000</v>
      </c>
      <c r="Z63" s="133">
        <v>2.5000000000000001E-3</v>
      </c>
      <c r="AA63" s="133">
        <v>2.5000000000000001E-3</v>
      </c>
      <c r="AB63" s="133">
        <v>2.5000000000000001E-3</v>
      </c>
      <c r="AC63" s="133">
        <v>3.0000000000000001E-3</v>
      </c>
      <c r="AD63" s="133">
        <v>1E-3</v>
      </c>
      <c r="AE63" s="133">
        <v>3.2000000000000002E-3</v>
      </c>
      <c r="AF63" s="133">
        <v>0</v>
      </c>
      <c r="AG63" s="133"/>
      <c r="AI63" s="2">
        <f t="shared" si="64"/>
        <v>0</v>
      </c>
      <c r="AJ63" s="34">
        <f t="shared" si="80"/>
        <v>30731</v>
      </c>
      <c r="AK63" s="57">
        <f t="shared" si="66"/>
        <v>50210</v>
      </c>
      <c r="AL63" s="130">
        <f t="shared" si="22"/>
        <v>1</v>
      </c>
      <c r="AM63" s="438">
        <f t="shared" si="31"/>
        <v>55</v>
      </c>
      <c r="AN63" s="439">
        <f t="shared" si="72"/>
        <v>46045</v>
      </c>
      <c r="AO63" s="435">
        <f t="shared" si="60"/>
        <v>30731</v>
      </c>
      <c r="AP63" s="435">
        <f t="shared" si="61"/>
        <v>2933.36</v>
      </c>
      <c r="AQ63" s="435">
        <f t="shared" si="67"/>
        <v>27797.64</v>
      </c>
      <c r="AR63" s="435">
        <f t="shared" si="62"/>
        <v>0</v>
      </c>
      <c r="AS63" s="435">
        <f t="shared" si="49"/>
        <v>0</v>
      </c>
      <c r="AT63" s="435">
        <f t="shared" si="24"/>
        <v>2933.36</v>
      </c>
      <c r="AU63" s="435">
        <f t="shared" si="68"/>
        <v>0</v>
      </c>
      <c r="AV63" s="435">
        <f t="shared" si="69"/>
        <v>0</v>
      </c>
      <c r="AW63" s="435"/>
      <c r="AX63" s="435"/>
      <c r="AY63" s="435"/>
      <c r="AZ63" s="435"/>
      <c r="BA63" s="435"/>
      <c r="BB63" s="435">
        <f t="shared" si="70"/>
        <v>145760.00000000006</v>
      </c>
      <c r="BC63" s="108">
        <f t="shared" si="33"/>
        <v>12</v>
      </c>
      <c r="BD63" s="108">
        <f t="shared" si="77"/>
        <v>12</v>
      </c>
      <c r="BE63" s="22">
        <f t="shared" si="78"/>
        <v>45861</v>
      </c>
      <c r="BF63" s="108">
        <f t="shared" si="79"/>
        <v>30288</v>
      </c>
      <c r="BG63" s="2">
        <f t="shared" si="73"/>
        <v>0</v>
      </c>
    </row>
    <row r="64" spans="1:59" s="16" customFormat="1" ht="14.25" x14ac:dyDescent="0.3">
      <c r="A64" s="178"/>
      <c r="B64" s="178"/>
      <c r="C64" s="178"/>
      <c r="D64" s="178"/>
      <c r="E64" s="178"/>
      <c r="F64" s="178"/>
      <c r="G64" s="426">
        <f t="shared" si="28"/>
        <v>56</v>
      </c>
      <c r="H64" s="427">
        <f t="shared" si="71"/>
        <v>46076</v>
      </c>
      <c r="I64" s="423">
        <f t="shared" si="55"/>
        <v>30288</v>
      </c>
      <c r="J64" s="423">
        <f t="shared" si="56"/>
        <v>2077.9499999999998</v>
      </c>
      <c r="K64" s="423">
        <f t="shared" si="57"/>
        <v>28210.05</v>
      </c>
      <c r="L64" s="423">
        <f t="shared" si="63"/>
        <v>0</v>
      </c>
      <c r="M64" s="423">
        <f t="shared" si="29"/>
        <v>0</v>
      </c>
      <c r="N64" s="423">
        <f t="shared" si="18"/>
        <v>2077.9499999999998</v>
      </c>
      <c r="O64" s="423">
        <f t="shared" si="19"/>
        <v>0</v>
      </c>
      <c r="P64" s="423">
        <f t="shared" si="20"/>
        <v>0</v>
      </c>
      <c r="Q64" s="423">
        <f t="shared" si="58"/>
        <v>116560.47999999962</v>
      </c>
      <c r="R64" s="36">
        <f t="shared" si="30"/>
        <v>5</v>
      </c>
      <c r="S64" s="36">
        <f t="shared" si="59"/>
        <v>5</v>
      </c>
      <c r="T64" s="2">
        <f t="shared" si="74"/>
        <v>8443.25</v>
      </c>
      <c r="U64" s="34">
        <f t="shared" si="75"/>
        <v>30288</v>
      </c>
      <c r="V64" s="57">
        <f t="shared" si="76"/>
        <v>47655</v>
      </c>
      <c r="W64" s="3" t="s">
        <v>22</v>
      </c>
      <c r="X64" s="3"/>
      <c r="Y64" s="135">
        <v>3000000</v>
      </c>
      <c r="Z64" s="133">
        <v>2E-3</v>
      </c>
      <c r="AA64" s="133">
        <v>2E-3</v>
      </c>
      <c r="AB64" s="155"/>
      <c r="AC64" s="155"/>
      <c r="AD64" s="133">
        <v>1E-3</v>
      </c>
      <c r="AE64" s="133">
        <v>2E-3</v>
      </c>
      <c r="AF64" s="133">
        <v>0</v>
      </c>
      <c r="AG64" s="133"/>
      <c r="AI64" s="2">
        <f t="shared" si="64"/>
        <v>0</v>
      </c>
      <c r="AJ64" s="34">
        <f t="shared" si="80"/>
        <v>30731</v>
      </c>
      <c r="AK64" s="57">
        <f t="shared" si="66"/>
        <v>50575</v>
      </c>
      <c r="AL64" s="130">
        <f t="shared" si="22"/>
        <v>1</v>
      </c>
      <c r="AM64" s="438">
        <f t="shared" si="31"/>
        <v>56</v>
      </c>
      <c r="AN64" s="439">
        <f t="shared" si="72"/>
        <v>46076</v>
      </c>
      <c r="AO64" s="435">
        <f t="shared" si="60"/>
        <v>30731</v>
      </c>
      <c r="AP64" s="435">
        <f t="shared" si="61"/>
        <v>2463.54</v>
      </c>
      <c r="AQ64" s="435">
        <f t="shared" si="67"/>
        <v>28267.46</v>
      </c>
      <c r="AR64" s="435">
        <f t="shared" si="62"/>
        <v>0</v>
      </c>
      <c r="AS64" s="435">
        <f t="shared" si="49"/>
        <v>0</v>
      </c>
      <c r="AT64" s="435">
        <f t="shared" si="24"/>
        <v>2463.54</v>
      </c>
      <c r="AU64" s="435">
        <f t="shared" si="68"/>
        <v>0</v>
      </c>
      <c r="AV64" s="435">
        <f t="shared" si="69"/>
        <v>0</v>
      </c>
      <c r="AW64" s="435"/>
      <c r="AX64" s="435"/>
      <c r="AY64" s="435"/>
      <c r="AZ64" s="435"/>
      <c r="BA64" s="435"/>
      <c r="BB64" s="435">
        <f t="shared" si="70"/>
        <v>117492.54000000007</v>
      </c>
      <c r="BC64" s="108">
        <f t="shared" si="33"/>
        <v>11</v>
      </c>
      <c r="BD64" s="108">
        <f t="shared" si="77"/>
        <v>11</v>
      </c>
      <c r="BE64" s="22">
        <f t="shared" si="78"/>
        <v>45892</v>
      </c>
      <c r="BF64" s="108">
        <f t="shared" si="79"/>
        <v>30288</v>
      </c>
      <c r="BG64" s="2">
        <f t="shared" si="73"/>
        <v>0</v>
      </c>
    </row>
    <row r="65" spans="1:59" s="16" customFormat="1" ht="14.25" x14ac:dyDescent="0.3">
      <c r="A65" s="178"/>
      <c r="B65" s="178"/>
      <c r="C65" s="182"/>
      <c r="D65" s="182"/>
      <c r="E65" s="178"/>
      <c r="F65" s="178"/>
      <c r="G65" s="426">
        <f t="shared" si="28"/>
        <v>57</v>
      </c>
      <c r="H65" s="427">
        <f t="shared" si="71"/>
        <v>46104</v>
      </c>
      <c r="I65" s="423">
        <f t="shared" si="55"/>
        <v>30288</v>
      </c>
      <c r="J65" s="423">
        <f t="shared" si="56"/>
        <v>1511.13</v>
      </c>
      <c r="K65" s="423">
        <f t="shared" si="57"/>
        <v>28776.87</v>
      </c>
      <c r="L65" s="423">
        <f t="shared" si="63"/>
        <v>0</v>
      </c>
      <c r="M65" s="423">
        <f t="shared" si="29"/>
        <v>0</v>
      </c>
      <c r="N65" s="423">
        <f t="shared" si="18"/>
        <v>1511.13</v>
      </c>
      <c r="O65" s="423">
        <f t="shared" si="19"/>
        <v>0</v>
      </c>
      <c r="P65" s="423">
        <f t="shared" si="20"/>
        <v>0</v>
      </c>
      <c r="Q65" s="423">
        <f t="shared" si="58"/>
        <v>87783.609999999622</v>
      </c>
      <c r="R65" s="36">
        <f t="shared" si="30"/>
        <v>4</v>
      </c>
      <c r="S65" s="36">
        <f t="shared" si="59"/>
        <v>4</v>
      </c>
      <c r="T65" s="2">
        <f t="shared" si="74"/>
        <v>9214.41</v>
      </c>
      <c r="U65" s="34">
        <f t="shared" si="75"/>
        <v>30288</v>
      </c>
      <c r="V65" s="57">
        <f t="shared" si="76"/>
        <v>48020</v>
      </c>
      <c r="W65" s="3"/>
      <c r="X65" s="3"/>
      <c r="Z65" s="15">
        <f>IF($Z$79&gt;1000000,Z64,IF($Z$79&gt;600000,Z63,IF($Z$79&gt;200000,Z62,Z61)))</f>
        <v>2.5000000000000001E-3</v>
      </c>
      <c r="AA65" s="15">
        <f>IF($AA$79&gt;1000000,AA64,IF($AA$79&gt;600000,AA63,IF($AA$79&gt;200000,AA62,AA61)))</f>
        <v>2E-3</v>
      </c>
      <c r="AB65" s="15">
        <f>IF($AB$79&gt;300000,AB63,IF($AB$79&gt;100000,AB62,AB61))</f>
        <v>2.5000000000000001E-3</v>
      </c>
      <c r="AC65" s="15">
        <f>IF($AC$79&gt;300000,AC63,IF($AC$79&gt;100000,AC62,AC61))</f>
        <v>3.0000000000000001E-3</v>
      </c>
      <c r="AD65" s="15">
        <f>IF($AD$79&gt;1000000,AD64,IF($AD$79&gt;600000,AD63,IF($AD$79&gt;200000,AD62,AD61)))</f>
        <v>1E-3</v>
      </c>
      <c r="AE65" s="15">
        <f>IF($AE$79&gt;Y63,AE64,IF($AE$79&gt;Y62,AE63,IF($AE$79&gt;Y61,AE62,AE61)))</f>
        <v>2E-3</v>
      </c>
      <c r="AF65" s="15" t="s">
        <v>126</v>
      </c>
      <c r="AG65" s="15"/>
      <c r="AI65" s="2">
        <f t="shared" si="64"/>
        <v>0</v>
      </c>
      <c r="AJ65" s="34">
        <f t="shared" si="80"/>
        <v>30731</v>
      </c>
      <c r="AK65" s="57">
        <f t="shared" si="66"/>
        <v>50940</v>
      </c>
      <c r="AL65" s="130">
        <f t="shared" si="22"/>
        <v>1</v>
      </c>
      <c r="AM65" s="438">
        <f t="shared" si="31"/>
        <v>57</v>
      </c>
      <c r="AN65" s="439">
        <f t="shared" si="72"/>
        <v>46104</v>
      </c>
      <c r="AO65" s="435">
        <f t="shared" si="60"/>
        <v>30731</v>
      </c>
      <c r="AP65" s="435">
        <f t="shared" si="61"/>
        <v>1793.61</v>
      </c>
      <c r="AQ65" s="435">
        <f t="shared" si="67"/>
        <v>28937.39</v>
      </c>
      <c r="AR65" s="435">
        <f t="shared" si="62"/>
        <v>0</v>
      </c>
      <c r="AS65" s="435">
        <f t="shared" si="49"/>
        <v>0</v>
      </c>
      <c r="AT65" s="435">
        <f t="shared" si="24"/>
        <v>1793.61</v>
      </c>
      <c r="AU65" s="435">
        <f t="shared" si="68"/>
        <v>0</v>
      </c>
      <c r="AV65" s="435">
        <f t="shared" si="69"/>
        <v>0</v>
      </c>
      <c r="AW65" s="435"/>
      <c r="AX65" s="435"/>
      <c r="AY65" s="435"/>
      <c r="AZ65" s="435"/>
      <c r="BA65" s="435"/>
      <c r="BB65" s="435">
        <f t="shared" si="70"/>
        <v>88555.150000000067</v>
      </c>
      <c r="BC65" s="108">
        <f t="shared" si="33"/>
        <v>10</v>
      </c>
      <c r="BD65" s="108">
        <f t="shared" si="77"/>
        <v>10</v>
      </c>
      <c r="BE65" s="22">
        <f t="shared" si="78"/>
        <v>45923</v>
      </c>
      <c r="BF65" s="108">
        <f t="shared" si="79"/>
        <v>30288</v>
      </c>
      <c r="BG65" s="2">
        <f t="shared" si="73"/>
        <v>0</v>
      </c>
    </row>
    <row r="66" spans="1:59" s="16" customFormat="1" ht="14.25" x14ac:dyDescent="0.3">
      <c r="A66" s="178"/>
      <c r="B66" s="178"/>
      <c r="C66" s="178"/>
      <c r="D66" s="182"/>
      <c r="E66" s="178"/>
      <c r="F66" s="178"/>
      <c r="G66" s="426">
        <f t="shared" si="28"/>
        <v>58</v>
      </c>
      <c r="H66" s="427">
        <f t="shared" si="71"/>
        <v>46135</v>
      </c>
      <c r="I66" s="423">
        <f t="shared" si="55"/>
        <v>30288</v>
      </c>
      <c r="J66" s="423">
        <f t="shared" si="56"/>
        <v>1260</v>
      </c>
      <c r="K66" s="423">
        <f t="shared" si="57"/>
        <v>29028</v>
      </c>
      <c r="L66" s="423">
        <f t="shared" si="63"/>
        <v>0</v>
      </c>
      <c r="M66" s="423">
        <f t="shared" si="29"/>
        <v>0</v>
      </c>
      <c r="N66" s="423">
        <f t="shared" si="18"/>
        <v>1260</v>
      </c>
      <c r="O66" s="423">
        <f t="shared" si="19"/>
        <v>0</v>
      </c>
      <c r="P66" s="423">
        <f t="shared" si="20"/>
        <v>0</v>
      </c>
      <c r="Q66" s="423">
        <f t="shared" si="58"/>
        <v>58755.609999999622</v>
      </c>
      <c r="R66" s="36">
        <f t="shared" si="30"/>
        <v>3</v>
      </c>
      <c r="S66" s="36">
        <f t="shared" si="59"/>
        <v>3</v>
      </c>
      <c r="T66" s="2">
        <f t="shared" si="74"/>
        <v>8798.7099999999991</v>
      </c>
      <c r="U66" s="34">
        <f t="shared" si="75"/>
        <v>30288</v>
      </c>
      <c r="V66" s="57">
        <f t="shared" si="76"/>
        <v>48385</v>
      </c>
      <c r="W66" s="2"/>
      <c r="X66" s="2"/>
      <c r="AI66" s="2">
        <f t="shared" si="64"/>
        <v>0</v>
      </c>
      <c r="AJ66" s="34">
        <f t="shared" si="80"/>
        <v>30731</v>
      </c>
      <c r="AK66" s="57">
        <f t="shared" si="66"/>
        <v>51305</v>
      </c>
      <c r="AL66" s="130">
        <f t="shared" si="22"/>
        <v>1</v>
      </c>
      <c r="AM66" s="438">
        <f t="shared" si="31"/>
        <v>58</v>
      </c>
      <c r="AN66" s="439">
        <f t="shared" si="72"/>
        <v>46135</v>
      </c>
      <c r="AO66" s="435">
        <f t="shared" si="60"/>
        <v>30731</v>
      </c>
      <c r="AP66" s="435">
        <f t="shared" si="61"/>
        <v>1496.7</v>
      </c>
      <c r="AQ66" s="435">
        <f t="shared" si="67"/>
        <v>29234.3</v>
      </c>
      <c r="AR66" s="435">
        <f t="shared" si="62"/>
        <v>0</v>
      </c>
      <c r="AS66" s="435">
        <f t="shared" si="49"/>
        <v>0</v>
      </c>
      <c r="AT66" s="435">
        <f t="shared" si="24"/>
        <v>1496.7</v>
      </c>
      <c r="AU66" s="435">
        <f t="shared" si="68"/>
        <v>0</v>
      </c>
      <c r="AV66" s="435">
        <f t="shared" si="69"/>
        <v>0</v>
      </c>
      <c r="AW66" s="435"/>
      <c r="AX66" s="435"/>
      <c r="AY66" s="435"/>
      <c r="AZ66" s="435"/>
      <c r="BA66" s="435"/>
      <c r="BB66" s="435">
        <f t="shared" si="70"/>
        <v>59320.850000000064</v>
      </c>
      <c r="BC66" s="108">
        <f t="shared" si="33"/>
        <v>9</v>
      </c>
      <c r="BD66" s="108">
        <f t="shared" si="77"/>
        <v>9</v>
      </c>
      <c r="BE66" s="22">
        <f t="shared" si="78"/>
        <v>45953</v>
      </c>
      <c r="BF66" s="108">
        <f t="shared" si="79"/>
        <v>30288</v>
      </c>
      <c r="BG66" s="2">
        <f t="shared" si="73"/>
        <v>0</v>
      </c>
    </row>
    <row r="67" spans="1:59" s="16" customFormat="1" ht="14.25" x14ac:dyDescent="0.3">
      <c r="A67" s="178"/>
      <c r="B67" s="178"/>
      <c r="C67" s="178"/>
      <c r="D67" s="178"/>
      <c r="E67" s="178"/>
      <c r="F67" s="178"/>
      <c r="G67" s="426">
        <f t="shared" si="28"/>
        <v>59</v>
      </c>
      <c r="H67" s="427">
        <f t="shared" si="71"/>
        <v>46165</v>
      </c>
      <c r="I67" s="423">
        <f t="shared" si="55"/>
        <v>30288</v>
      </c>
      <c r="J67" s="423">
        <f t="shared" si="56"/>
        <v>816.14</v>
      </c>
      <c r="K67" s="423">
        <f t="shared" si="57"/>
        <v>29471.86</v>
      </c>
      <c r="L67" s="423">
        <f t="shared" si="63"/>
        <v>0</v>
      </c>
      <c r="M67" s="423">
        <f t="shared" si="29"/>
        <v>0</v>
      </c>
      <c r="N67" s="423">
        <f t="shared" si="18"/>
        <v>816.14</v>
      </c>
      <c r="O67" s="423">
        <f t="shared" si="19"/>
        <v>0</v>
      </c>
      <c r="P67" s="423">
        <f t="shared" si="20"/>
        <v>0</v>
      </c>
      <c r="Q67" s="423">
        <f t="shared" si="58"/>
        <v>29283.749999999622</v>
      </c>
      <c r="R67" s="36">
        <f t="shared" si="30"/>
        <v>2</v>
      </c>
      <c r="S67" s="36">
        <f t="shared" si="59"/>
        <v>2</v>
      </c>
      <c r="T67" s="2">
        <f t="shared" si="74"/>
        <v>8963.6200000000008</v>
      </c>
      <c r="U67" s="34">
        <f t="shared" si="75"/>
        <v>30288</v>
      </c>
      <c r="V67" s="57">
        <f t="shared" si="76"/>
        <v>48750</v>
      </c>
      <c r="AI67" s="2">
        <f t="shared" si="64"/>
        <v>0</v>
      </c>
      <c r="AJ67" s="34">
        <f t="shared" si="80"/>
        <v>30731</v>
      </c>
      <c r="AK67" s="57">
        <f t="shared" si="66"/>
        <v>51670</v>
      </c>
      <c r="AL67" s="130">
        <f t="shared" si="22"/>
        <v>1</v>
      </c>
      <c r="AM67" s="438">
        <f t="shared" si="31"/>
        <v>59</v>
      </c>
      <c r="AN67" s="439">
        <f t="shared" si="72"/>
        <v>46165</v>
      </c>
      <c r="AO67" s="435">
        <f t="shared" si="60"/>
        <v>30731</v>
      </c>
      <c r="AP67" s="435">
        <f t="shared" si="61"/>
        <v>970.26</v>
      </c>
      <c r="AQ67" s="435">
        <f t="shared" si="67"/>
        <v>29760.74</v>
      </c>
      <c r="AR67" s="435">
        <f t="shared" si="62"/>
        <v>0</v>
      </c>
      <c r="AS67" s="435">
        <f t="shared" si="49"/>
        <v>0</v>
      </c>
      <c r="AT67" s="435">
        <f t="shared" si="24"/>
        <v>970.26</v>
      </c>
      <c r="AU67" s="435">
        <f t="shared" si="68"/>
        <v>0</v>
      </c>
      <c r="AV67" s="435">
        <f t="shared" si="69"/>
        <v>0</v>
      </c>
      <c r="AW67" s="435"/>
      <c r="AX67" s="435"/>
      <c r="AY67" s="435"/>
      <c r="AZ67" s="435"/>
      <c r="BA67" s="435"/>
      <c r="BB67" s="435">
        <f t="shared" si="70"/>
        <v>29560.110000000062</v>
      </c>
      <c r="BC67" s="108">
        <f t="shared" si="33"/>
        <v>8</v>
      </c>
      <c r="BD67" s="108">
        <f t="shared" si="77"/>
        <v>8</v>
      </c>
      <c r="BE67" s="22">
        <f t="shared" si="78"/>
        <v>45984</v>
      </c>
      <c r="BF67" s="108">
        <f t="shared" si="79"/>
        <v>30288</v>
      </c>
      <c r="BG67" s="2">
        <f t="shared" si="73"/>
        <v>0</v>
      </c>
    </row>
    <row r="68" spans="1:59" s="16" customFormat="1" ht="14.25" x14ac:dyDescent="0.3">
      <c r="A68" s="178"/>
      <c r="B68" s="178"/>
      <c r="C68" s="178"/>
      <c r="D68" s="178"/>
      <c r="E68" s="178"/>
      <c r="F68" s="178"/>
      <c r="G68" s="426">
        <f t="shared" si="28"/>
        <v>60</v>
      </c>
      <c r="H68" s="427">
        <f t="shared" si="71"/>
        <v>46196</v>
      </c>
      <c r="I68" s="423">
        <f t="shared" si="55"/>
        <v>29704.069999999621</v>
      </c>
      <c r="J68" s="423">
        <f t="shared" si="56"/>
        <v>420.32</v>
      </c>
      <c r="K68" s="423">
        <f t="shared" si="57"/>
        <v>29283.749999999622</v>
      </c>
      <c r="L68" s="423">
        <f t="shared" si="63"/>
        <v>0</v>
      </c>
      <c r="M68" s="423">
        <f t="shared" ref="M68:M76" si="81">O67-L67</f>
        <v>0</v>
      </c>
      <c r="N68" s="423">
        <f t="shared" ref="N68:N76" si="82">J68+O68</f>
        <v>420.32</v>
      </c>
      <c r="O68" s="423">
        <f t="shared" ref="O68:O76" si="83">IF(S68=0,0,0)</f>
        <v>0</v>
      </c>
      <c r="P68" s="423">
        <f t="shared" ref="P68:P76" si="84">IF(S68=0,0,0)</f>
        <v>0</v>
      </c>
      <c r="Q68" s="423">
        <f t="shared" si="58"/>
        <v>0</v>
      </c>
      <c r="R68" s="36">
        <f t="shared" si="30"/>
        <v>1</v>
      </c>
      <c r="S68" s="36">
        <f t="shared" si="59"/>
        <v>1</v>
      </c>
      <c r="T68" s="2">
        <f t="shared" si="74"/>
        <v>8552.5300000000007</v>
      </c>
      <c r="U68" s="34">
        <f t="shared" si="75"/>
        <v>30288</v>
      </c>
      <c r="V68" s="57">
        <f t="shared" si="76"/>
        <v>49115</v>
      </c>
      <c r="X68" s="133" t="s">
        <v>96</v>
      </c>
      <c r="AI68" s="2" t="e">
        <f>IF(AND(#REF!&gt;=$T$22,#REF!&lt;=$T$22+5),0,IF($C$9&gt;$AC$51,ROUND(AF28*$C$14/(DATEVALUE(CONCATENATE("01/01/",YEAR(#REF!)+1))-DATEVALUE(CONCATENATE("01/01/",YEAR(#REF!))))*(#REF!-W35),2),0))</f>
        <v>#REF!</v>
      </c>
      <c r="AJ68" s="34">
        <f t="shared" si="80"/>
        <v>30731</v>
      </c>
      <c r="AK68" s="57">
        <f t="shared" si="66"/>
        <v>52035</v>
      </c>
      <c r="AL68" s="130">
        <f t="shared" si="22"/>
        <v>1</v>
      </c>
      <c r="AM68" s="438">
        <f t="shared" si="31"/>
        <v>60</v>
      </c>
      <c r="AN68" s="439">
        <f t="shared" si="72"/>
        <v>46196</v>
      </c>
      <c r="AO68" s="435">
        <f t="shared" si="60"/>
        <v>30059.720000000063</v>
      </c>
      <c r="AP68" s="435">
        <f t="shared" si="61"/>
        <v>499.61</v>
      </c>
      <c r="AQ68" s="435">
        <f t="shared" si="67"/>
        <v>29560.110000000062</v>
      </c>
      <c r="AR68" s="435">
        <f t="shared" si="62"/>
        <v>0</v>
      </c>
      <c r="AS68" s="435">
        <f t="shared" si="49"/>
        <v>0</v>
      </c>
      <c r="AT68" s="435">
        <f t="shared" si="24"/>
        <v>499.61</v>
      </c>
      <c r="AU68" s="435">
        <f t="shared" si="68"/>
        <v>0</v>
      </c>
      <c r="AV68" s="435">
        <f t="shared" si="69"/>
        <v>0</v>
      </c>
      <c r="AW68" s="435"/>
      <c r="AX68" s="435"/>
      <c r="AY68" s="435"/>
      <c r="AZ68" s="435"/>
      <c r="BA68" s="435"/>
      <c r="BB68" s="435">
        <f t="shared" si="70"/>
        <v>0</v>
      </c>
      <c r="BC68" s="108">
        <f t="shared" si="33"/>
        <v>7</v>
      </c>
      <c r="BD68" s="108">
        <f t="shared" si="77"/>
        <v>7</v>
      </c>
      <c r="BE68" s="22">
        <f t="shared" si="78"/>
        <v>46014</v>
      </c>
      <c r="BF68" s="108">
        <f t="shared" si="79"/>
        <v>30288</v>
      </c>
      <c r="BG68" s="2">
        <f t="shared" si="73"/>
        <v>0</v>
      </c>
    </row>
    <row r="69" spans="1:59" s="16" customFormat="1" ht="14.25" x14ac:dyDescent="0.3">
      <c r="A69" s="2"/>
      <c r="B69" s="2"/>
      <c r="C69" s="2"/>
      <c r="D69" s="2"/>
      <c r="E69" s="2"/>
      <c r="F69" s="178"/>
      <c r="G69" s="426">
        <f t="shared" si="28"/>
        <v>61</v>
      </c>
      <c r="H69" s="427">
        <f t="shared" si="71"/>
        <v>46226</v>
      </c>
      <c r="I69" s="423">
        <f t="shared" si="55"/>
        <v>0</v>
      </c>
      <c r="J69" s="423">
        <f t="shared" si="56"/>
        <v>0</v>
      </c>
      <c r="K69" s="423">
        <f t="shared" si="57"/>
        <v>0</v>
      </c>
      <c r="L69" s="423">
        <f t="shared" si="63"/>
        <v>0</v>
      </c>
      <c r="M69" s="423">
        <f t="shared" si="81"/>
        <v>0</v>
      </c>
      <c r="N69" s="423">
        <f t="shared" si="82"/>
        <v>0</v>
      </c>
      <c r="O69" s="423">
        <f t="shared" si="83"/>
        <v>0</v>
      </c>
      <c r="P69" s="423">
        <f t="shared" si="84"/>
        <v>0</v>
      </c>
      <c r="Q69" s="423">
        <f t="shared" si="58"/>
        <v>0</v>
      </c>
      <c r="R69" s="36">
        <f t="shared" si="30"/>
        <v>0</v>
      </c>
      <c r="S69" s="36">
        <f t="shared" si="59"/>
        <v>0</v>
      </c>
      <c r="T69" s="2">
        <f t="shared" si="74"/>
        <v>8705.7000000000007</v>
      </c>
      <c r="U69" s="34">
        <f t="shared" si="75"/>
        <v>30288</v>
      </c>
      <c r="V69" s="57">
        <f t="shared" si="76"/>
        <v>49480</v>
      </c>
      <c r="X69" s="133" t="s">
        <v>99</v>
      </c>
      <c r="Y69" s="2"/>
      <c r="AA69" s="2"/>
      <c r="AB69" s="2"/>
      <c r="AC69" s="2"/>
      <c r="AD69" s="2"/>
      <c r="AE69" s="2"/>
      <c r="AF69" s="63"/>
      <c r="AG69" s="63"/>
      <c r="AH69" s="63"/>
      <c r="AI69" s="2" t="e">
        <f>IF(AND(V36&gt;=$T$22,V36&lt;=$T$22+5),0,IF($C$9&gt;$AC$51,ROUND(AF29*$C$14/(DATEVALUE(CONCATENATE("01/01/",YEAR(W36)+1))-DATEVALUE(CONCATENATE("01/01/",YEAR(W36))))*(W36-#REF!),2),0))</f>
        <v>#REF!</v>
      </c>
      <c r="AJ69" s="34">
        <f t="shared" si="80"/>
        <v>30731</v>
      </c>
      <c r="AK69" s="57">
        <f t="shared" si="66"/>
        <v>52400</v>
      </c>
      <c r="AL69" s="130">
        <f t="shared" si="22"/>
        <v>0</v>
      </c>
      <c r="AM69" s="438">
        <f t="shared" si="31"/>
        <v>61</v>
      </c>
      <c r="AN69" s="439">
        <f t="shared" si="72"/>
        <v>46226</v>
      </c>
      <c r="AO69" s="435">
        <f t="shared" si="60"/>
        <v>0</v>
      </c>
      <c r="AP69" s="435">
        <f t="shared" si="61"/>
        <v>0</v>
      </c>
      <c r="AQ69" s="435">
        <f t="shared" si="67"/>
        <v>0</v>
      </c>
      <c r="AR69" s="435">
        <f t="shared" si="62"/>
        <v>0</v>
      </c>
      <c r="AS69" s="435">
        <f t="shared" si="49"/>
        <v>0</v>
      </c>
      <c r="AT69" s="435">
        <f t="shared" si="24"/>
        <v>0</v>
      </c>
      <c r="AU69" s="435">
        <f t="shared" si="68"/>
        <v>0</v>
      </c>
      <c r="AV69" s="435">
        <f t="shared" si="69"/>
        <v>0</v>
      </c>
      <c r="AW69" s="435"/>
      <c r="AX69" s="435"/>
      <c r="AY69" s="435"/>
      <c r="AZ69" s="435"/>
      <c r="BA69" s="435"/>
      <c r="BB69" s="435">
        <f t="shared" si="70"/>
        <v>0</v>
      </c>
      <c r="BC69" s="108">
        <f t="shared" si="33"/>
        <v>6</v>
      </c>
      <c r="BD69" s="108">
        <f t="shared" si="77"/>
        <v>6</v>
      </c>
      <c r="BE69" s="22">
        <f t="shared" si="78"/>
        <v>46045</v>
      </c>
      <c r="BF69" s="108">
        <f t="shared" si="79"/>
        <v>30288</v>
      </c>
      <c r="BG69" s="2">
        <f t="shared" si="73"/>
        <v>0</v>
      </c>
    </row>
    <row r="70" spans="1:59" s="16" customFormat="1" ht="14.25" customHeight="1" x14ac:dyDescent="0.3">
      <c r="A70" s="2"/>
      <c r="B70" s="2"/>
      <c r="C70" s="2"/>
      <c r="D70" s="2"/>
      <c r="E70" s="2"/>
      <c r="F70" s="178"/>
      <c r="G70" s="426">
        <f t="shared" si="28"/>
        <v>62</v>
      </c>
      <c r="H70" s="427">
        <f t="shared" si="71"/>
        <v>46257</v>
      </c>
      <c r="I70" s="423">
        <f t="shared" si="55"/>
        <v>0</v>
      </c>
      <c r="J70" s="423">
        <f t="shared" si="56"/>
        <v>0</v>
      </c>
      <c r="K70" s="423">
        <f t="shared" si="57"/>
        <v>0</v>
      </c>
      <c r="L70" s="423">
        <f t="shared" si="63"/>
        <v>0</v>
      </c>
      <c r="M70" s="423">
        <f t="shared" si="81"/>
        <v>0</v>
      </c>
      <c r="N70" s="423">
        <f t="shared" si="82"/>
        <v>0</v>
      </c>
      <c r="O70" s="423">
        <f t="shared" si="83"/>
        <v>0</v>
      </c>
      <c r="P70" s="423">
        <f t="shared" si="84"/>
        <v>0</v>
      </c>
      <c r="Q70" s="423">
        <f t="shared" si="58"/>
        <v>0</v>
      </c>
      <c r="R70" s="36">
        <f t="shared" si="30"/>
        <v>0</v>
      </c>
      <c r="S70" s="36">
        <f t="shared" si="59"/>
        <v>0</v>
      </c>
      <c r="T70" s="2">
        <f t="shared" si="74"/>
        <v>8575.99</v>
      </c>
      <c r="U70" s="34">
        <f t="shared" si="75"/>
        <v>30288</v>
      </c>
      <c r="V70" s="57">
        <f t="shared" si="76"/>
        <v>49845</v>
      </c>
      <c r="X70" s="133" t="s">
        <v>123</v>
      </c>
      <c r="Y70" s="15"/>
      <c r="Z70" s="145" t="s">
        <v>330</v>
      </c>
      <c r="AA70" s="145" t="s">
        <v>111</v>
      </c>
      <c r="AB70" s="145" t="s">
        <v>114</v>
      </c>
      <c r="AC70" s="144" t="s">
        <v>115</v>
      </c>
      <c r="AD70" s="144" t="s">
        <v>118</v>
      </c>
      <c r="AE70" s="144" t="s">
        <v>119</v>
      </c>
      <c r="AF70" s="145" t="s">
        <v>120</v>
      </c>
      <c r="AG70" s="2" t="s">
        <v>35</v>
      </c>
      <c r="AI70" s="2">
        <f>IF(AND(V38&gt;=$T$22,V38&lt;=$T$22+5),0,IF($C$9&gt;$AC$51,ROUND(AF30*$C$14/(DATEVALUE(CONCATENATE("01/01/",YEAR(W38)+1))-DATEVALUE(CONCATENATE("01/01/",YEAR(W38))))*(W38-W36),2),0))</f>
        <v>0</v>
      </c>
      <c r="AJ70" s="34">
        <f t="shared" si="80"/>
        <v>30731</v>
      </c>
      <c r="AK70" s="57">
        <f t="shared" si="66"/>
        <v>52765</v>
      </c>
      <c r="AL70" s="130">
        <f t="shared" si="22"/>
        <v>0</v>
      </c>
      <c r="AM70" s="438">
        <f t="shared" si="31"/>
        <v>62</v>
      </c>
      <c r="AN70" s="439">
        <f t="shared" si="72"/>
        <v>46257</v>
      </c>
      <c r="AO70" s="435">
        <f t="shared" si="60"/>
        <v>0</v>
      </c>
      <c r="AP70" s="435">
        <f t="shared" si="61"/>
        <v>0</v>
      </c>
      <c r="AQ70" s="435">
        <f t="shared" si="67"/>
        <v>0</v>
      </c>
      <c r="AR70" s="435">
        <f t="shared" si="62"/>
        <v>0</v>
      </c>
      <c r="AS70" s="435">
        <f t="shared" si="49"/>
        <v>0</v>
      </c>
      <c r="AT70" s="435">
        <f t="shared" si="24"/>
        <v>0</v>
      </c>
      <c r="AU70" s="435">
        <f t="shared" si="68"/>
        <v>0</v>
      </c>
      <c r="AV70" s="435">
        <f t="shared" si="69"/>
        <v>0</v>
      </c>
      <c r="AW70" s="435"/>
      <c r="AX70" s="435"/>
      <c r="AY70" s="435"/>
      <c r="AZ70" s="435"/>
      <c r="BA70" s="435"/>
      <c r="BB70" s="435">
        <f t="shared" si="70"/>
        <v>0</v>
      </c>
      <c r="BC70" s="108">
        <f t="shared" si="33"/>
        <v>5</v>
      </c>
      <c r="BD70" s="108">
        <f t="shared" si="77"/>
        <v>5</v>
      </c>
      <c r="BE70" s="22">
        <f t="shared" si="78"/>
        <v>46076</v>
      </c>
      <c r="BF70" s="108">
        <f t="shared" si="79"/>
        <v>30288</v>
      </c>
      <c r="BG70" s="2">
        <f t="shared" si="73"/>
        <v>0</v>
      </c>
    </row>
    <row r="71" spans="1:59" s="16" customFormat="1" ht="14.25" x14ac:dyDescent="0.3">
      <c r="A71" s="2"/>
      <c r="B71" s="2"/>
      <c r="C71" s="2"/>
      <c r="D71" s="2"/>
      <c r="E71" s="2"/>
      <c r="F71" s="178"/>
      <c r="G71" s="426">
        <f t="shared" si="28"/>
        <v>63</v>
      </c>
      <c r="H71" s="427">
        <f t="shared" si="71"/>
        <v>46288</v>
      </c>
      <c r="I71" s="423">
        <f t="shared" si="55"/>
        <v>0</v>
      </c>
      <c r="J71" s="423">
        <f t="shared" si="56"/>
        <v>0</v>
      </c>
      <c r="K71" s="423">
        <f t="shared" si="57"/>
        <v>0</v>
      </c>
      <c r="L71" s="423">
        <f t="shared" si="63"/>
        <v>0</v>
      </c>
      <c r="M71" s="423">
        <f t="shared" si="81"/>
        <v>0</v>
      </c>
      <c r="N71" s="423">
        <f t="shared" si="82"/>
        <v>0</v>
      </c>
      <c r="O71" s="423">
        <f t="shared" si="83"/>
        <v>0</v>
      </c>
      <c r="P71" s="423">
        <f t="shared" si="84"/>
        <v>0</v>
      </c>
      <c r="Q71" s="423">
        <f t="shared" si="58"/>
        <v>0</v>
      </c>
      <c r="R71" s="36">
        <f t="shared" si="30"/>
        <v>0</v>
      </c>
      <c r="S71" s="36">
        <f t="shared" si="59"/>
        <v>0</v>
      </c>
      <c r="T71" s="2">
        <f t="shared" si="74"/>
        <v>8172.01</v>
      </c>
      <c r="U71" s="34">
        <f t="shared" si="75"/>
        <v>30288</v>
      </c>
      <c r="V71" s="57">
        <f t="shared" si="76"/>
        <v>50210</v>
      </c>
      <c r="X71" s="133" t="s">
        <v>124</v>
      </c>
      <c r="Y71" s="133" t="s">
        <v>334</v>
      </c>
      <c r="Z71" s="133" t="s">
        <v>98</v>
      </c>
      <c r="AA71" s="134"/>
      <c r="AB71" s="134"/>
      <c r="AC71" s="134"/>
      <c r="AD71" s="134"/>
      <c r="AE71" s="134"/>
      <c r="AF71" s="134"/>
      <c r="AG71" s="134"/>
      <c r="AH71" s="15"/>
      <c r="AI71" s="2">
        <f t="shared" ref="AI71:AI76" si="85">IF(AND(V39&gt;=$T$22,V39&lt;=$T$22+5),0,IF($C$9&gt;$AC$51,ROUND(AF31*$C$14/(DATEVALUE(CONCATENATE("01/01/",YEAR(W39)+1))-DATEVALUE(CONCATENATE("01/01/",YEAR(W39))))*(W39-W38),2),0))</f>
        <v>0</v>
      </c>
      <c r="AJ71" s="34">
        <f t="shared" si="80"/>
        <v>30731</v>
      </c>
      <c r="AK71" s="57">
        <f t="shared" si="66"/>
        <v>53130</v>
      </c>
      <c r="AL71" s="130">
        <f t="shared" si="22"/>
        <v>0</v>
      </c>
      <c r="AM71" s="438">
        <f t="shared" si="31"/>
        <v>63</v>
      </c>
      <c r="AN71" s="439">
        <f t="shared" si="72"/>
        <v>46288</v>
      </c>
      <c r="AO71" s="435">
        <f t="shared" si="60"/>
        <v>0</v>
      </c>
      <c r="AP71" s="435">
        <f t="shared" si="61"/>
        <v>0</v>
      </c>
      <c r="AQ71" s="435">
        <f t="shared" si="67"/>
        <v>0</v>
      </c>
      <c r="AR71" s="435">
        <f t="shared" si="62"/>
        <v>0</v>
      </c>
      <c r="AS71" s="435">
        <f t="shared" si="49"/>
        <v>0</v>
      </c>
      <c r="AT71" s="435">
        <f t="shared" si="24"/>
        <v>0</v>
      </c>
      <c r="AU71" s="435">
        <f t="shared" si="68"/>
        <v>0</v>
      </c>
      <c r="AV71" s="435">
        <f t="shared" si="69"/>
        <v>0</v>
      </c>
      <c r="AW71" s="435"/>
      <c r="AX71" s="435"/>
      <c r="AY71" s="435"/>
      <c r="AZ71" s="435"/>
      <c r="BA71" s="435"/>
      <c r="BB71" s="435">
        <f t="shared" si="70"/>
        <v>0</v>
      </c>
      <c r="BC71" s="108">
        <f t="shared" si="33"/>
        <v>4</v>
      </c>
      <c r="BD71" s="108">
        <f t="shared" si="77"/>
        <v>4</v>
      </c>
      <c r="BE71" s="22">
        <f t="shared" si="78"/>
        <v>46104</v>
      </c>
      <c r="BF71" s="108">
        <f t="shared" si="79"/>
        <v>30288</v>
      </c>
      <c r="BG71" s="2">
        <f t="shared" si="73"/>
        <v>0</v>
      </c>
    </row>
    <row r="72" spans="1:59" s="16" customFormat="1" ht="14.25" x14ac:dyDescent="0.3">
      <c r="A72" s="2"/>
      <c r="B72" s="2"/>
      <c r="C72" s="2"/>
      <c r="D72" s="2"/>
      <c r="E72" s="2"/>
      <c r="F72" s="2"/>
      <c r="G72" s="426">
        <f t="shared" si="28"/>
        <v>64</v>
      </c>
      <c r="H72" s="427">
        <f t="shared" si="71"/>
        <v>46318</v>
      </c>
      <c r="I72" s="423">
        <f t="shared" si="55"/>
        <v>0</v>
      </c>
      <c r="J72" s="423">
        <f t="shared" si="56"/>
        <v>0</v>
      </c>
      <c r="K72" s="423">
        <f t="shared" si="57"/>
        <v>0</v>
      </c>
      <c r="L72" s="423">
        <f t="shared" si="63"/>
        <v>0</v>
      </c>
      <c r="M72" s="423">
        <f t="shared" si="81"/>
        <v>0</v>
      </c>
      <c r="N72" s="423">
        <f t="shared" si="82"/>
        <v>0</v>
      </c>
      <c r="O72" s="423">
        <f t="shared" si="83"/>
        <v>0</v>
      </c>
      <c r="P72" s="423">
        <f t="shared" si="84"/>
        <v>0</v>
      </c>
      <c r="Q72" s="423">
        <f t="shared" si="58"/>
        <v>0</v>
      </c>
      <c r="R72" s="36">
        <f t="shared" si="30"/>
        <v>0</v>
      </c>
      <c r="S72" s="36">
        <f t="shared" si="59"/>
        <v>0</v>
      </c>
      <c r="T72" s="2">
        <f t="shared" si="74"/>
        <v>8307.0400000000009</v>
      </c>
      <c r="U72" s="34">
        <f t="shared" si="75"/>
        <v>30288</v>
      </c>
      <c r="V72" s="57">
        <f t="shared" si="76"/>
        <v>50575</v>
      </c>
      <c r="X72" s="135">
        <v>1000001</v>
      </c>
      <c r="Y72" s="135">
        <v>160000</v>
      </c>
      <c r="Z72" s="134">
        <v>1</v>
      </c>
      <c r="AA72" s="134">
        <v>1.25</v>
      </c>
      <c r="AB72" s="134">
        <v>1.5</v>
      </c>
      <c r="AC72" s="134">
        <v>1.3</v>
      </c>
      <c r="AD72" s="134">
        <v>1</v>
      </c>
      <c r="AE72" s="134">
        <v>2</v>
      </c>
      <c r="AF72" s="134">
        <v>2</v>
      </c>
      <c r="AG72" s="134"/>
      <c r="AH72" s="15"/>
      <c r="AI72" s="2" t="e">
        <f t="shared" si="85"/>
        <v>#VALUE!</v>
      </c>
      <c r="AJ72" s="34">
        <f t="shared" si="80"/>
        <v>30731</v>
      </c>
      <c r="AK72" s="57">
        <f t="shared" si="66"/>
        <v>53495</v>
      </c>
      <c r="AL72" s="130">
        <f t="shared" si="22"/>
        <v>0</v>
      </c>
      <c r="AM72" s="438">
        <f t="shared" si="31"/>
        <v>64</v>
      </c>
      <c r="AN72" s="439">
        <f t="shared" si="72"/>
        <v>46318</v>
      </c>
      <c r="AO72" s="435">
        <f t="shared" si="60"/>
        <v>0</v>
      </c>
      <c r="AP72" s="435">
        <f t="shared" si="61"/>
        <v>0</v>
      </c>
      <c r="AQ72" s="435">
        <f t="shared" si="67"/>
        <v>0</v>
      </c>
      <c r="AR72" s="435">
        <f t="shared" si="62"/>
        <v>0</v>
      </c>
      <c r="AS72" s="435">
        <f t="shared" si="49"/>
        <v>0</v>
      </c>
      <c r="AT72" s="435">
        <f t="shared" si="24"/>
        <v>0</v>
      </c>
      <c r="AU72" s="435">
        <f t="shared" si="68"/>
        <v>0</v>
      </c>
      <c r="AV72" s="435">
        <f t="shared" si="69"/>
        <v>0</v>
      </c>
      <c r="AW72" s="435"/>
      <c r="AX72" s="435"/>
      <c r="AY72" s="435"/>
      <c r="AZ72" s="435"/>
      <c r="BA72" s="435"/>
      <c r="BB72" s="435">
        <f t="shared" si="70"/>
        <v>0</v>
      </c>
      <c r="BC72" s="108">
        <f t="shared" si="33"/>
        <v>3</v>
      </c>
      <c r="BD72" s="108">
        <f t="shared" si="77"/>
        <v>3</v>
      </c>
      <c r="BE72" s="22">
        <f t="shared" si="78"/>
        <v>46135</v>
      </c>
      <c r="BF72" s="108">
        <f t="shared" si="79"/>
        <v>30288</v>
      </c>
      <c r="BG72" s="2">
        <f t="shared" si="73"/>
        <v>0</v>
      </c>
    </row>
    <row r="73" spans="1:59" s="16" customFormat="1" ht="12" x14ac:dyDescent="0.2">
      <c r="A73" s="2"/>
      <c r="B73" s="2"/>
      <c r="C73" s="13"/>
      <c r="D73" s="13"/>
      <c r="E73" s="2"/>
      <c r="F73" s="2"/>
      <c r="G73" s="114">
        <f t="shared" si="28"/>
        <v>65</v>
      </c>
      <c r="H73" s="111">
        <f t="shared" si="71"/>
        <v>46349</v>
      </c>
      <c r="I73" s="24">
        <f>IF(AND(G73&gt;=$T$22,G73&lt;=$T$22+5),$T$23,IF(AND(Q72+L73+J73&gt;I72,I72&lt;&gt;0),$C$24,IF(Q72=0,0,Q72+L73+J73+J74)))</f>
        <v>0</v>
      </c>
      <c r="J73" s="24">
        <f t="shared" ref="J73:J107" si="86">IF(AND(G73&gt;=$T$22,G73&lt;=$T$22+5),0,IF($C$9&gt;$AC$51,ROUND(Q72*$AA$15*((H73-DATE(YEAR(H73),MONTH(H73),1)+1)/(DATE(YEAR(H73)+1,1,1)-DATE(YEAR(H73),1,1))+(EOMONTH(H72,0)-H72)/(DATE(YEAR(H72)+1,1,1)-DATE(YEAR(H72),1,1))),2),0))</f>
        <v>0</v>
      </c>
      <c r="K73" s="24">
        <f t="shared" ref="K73:K104" si="87">IF(S73=0,0,IF(S73=1,Q72,IF(Q72+L73+J73&gt;I72,I73-J73-L73,Q72)))</f>
        <v>0</v>
      </c>
      <c r="L73" s="24">
        <f t="shared" si="63"/>
        <v>0</v>
      </c>
      <c r="M73" s="24">
        <f t="shared" si="81"/>
        <v>0</v>
      </c>
      <c r="N73" s="24">
        <f t="shared" si="82"/>
        <v>0</v>
      </c>
      <c r="O73" s="24">
        <f t="shared" si="83"/>
        <v>0</v>
      </c>
      <c r="P73" s="24">
        <f t="shared" si="84"/>
        <v>0</v>
      </c>
      <c r="Q73" s="24">
        <f t="shared" ref="Q73:Q108" si="88">IF(OR(S73=1,Q72=0),0,Q72-K73)</f>
        <v>0</v>
      </c>
      <c r="R73" s="36">
        <f t="shared" si="30"/>
        <v>0</v>
      </c>
      <c r="S73" s="36">
        <f t="shared" ref="S73:S108" si="89">IF(ISERR(CEILING(FLOOR(NPER($C$12/12,-$AA$55,Q72),0.1),1))=TRUE,0,CEILING(FLOOR(NPER($C$12/12,-$AA$55,Q72),0.1),1))</f>
        <v>0</v>
      </c>
      <c r="T73" s="2">
        <f t="shared" si="74"/>
        <v>7908.01</v>
      </c>
      <c r="U73" s="34">
        <f t="shared" si="75"/>
        <v>30288</v>
      </c>
      <c r="V73" s="57">
        <f t="shared" si="76"/>
        <v>50940</v>
      </c>
      <c r="Y73" s="135">
        <v>400000</v>
      </c>
      <c r="Z73" s="134">
        <v>1.1000000000000001</v>
      </c>
      <c r="AA73" s="134">
        <v>1.35</v>
      </c>
      <c r="AB73" s="134">
        <v>1.5</v>
      </c>
      <c r="AC73" s="134">
        <v>1.3</v>
      </c>
      <c r="AD73" s="134">
        <v>1</v>
      </c>
      <c r="AE73" s="134">
        <v>2</v>
      </c>
      <c r="AF73" s="134">
        <v>2</v>
      </c>
      <c r="AG73" s="134"/>
      <c r="AH73" s="15"/>
      <c r="AI73" s="2" t="e">
        <f t="shared" si="85"/>
        <v>#VALUE!</v>
      </c>
      <c r="AJ73" s="34">
        <f t="shared" si="80"/>
        <v>30731</v>
      </c>
      <c r="AK73" s="57">
        <f t="shared" si="66"/>
        <v>53860</v>
      </c>
      <c r="AL73" s="130">
        <f t="shared" si="22"/>
        <v>0</v>
      </c>
      <c r="AM73" s="109">
        <f t="shared" si="31"/>
        <v>65</v>
      </c>
      <c r="AN73" s="110">
        <f t="shared" si="72"/>
        <v>46349</v>
      </c>
      <c r="AO73" s="105">
        <f>IF(AND(G73&gt;=$T$22,G73&lt;=$T$22+5),$T$23,IF(AND(BB72+AR73+AP73&gt;AO72,AO72&lt;&gt;0),$D$24,IF(BB72=0,0,BB72+AR73+AP73+AP74)))</f>
        <v>0</v>
      </c>
      <c r="AP73" s="105">
        <f t="shared" ref="AP73:AP108" si="90">IF(AND(G73&gt;=$T$22,G73&lt;=$T$22+5),0,IF($C$9&gt;$AC$51,ROUND(BB72*$AB$15*((AN73-DATE(YEAR(AN73),MONTH(AN73),1)+1)/(DATE(YEAR(AN73)+1,1,1)-DATE(YEAR(AN73),1,1))+(EOMONTH(AN72,0)-AN72)/(DATE(YEAR(AN72)+1,1,1)-DATE(YEAR(AN72),1,1))),2),0))</f>
        <v>0</v>
      </c>
      <c r="AQ73" s="105">
        <f t="shared" si="67"/>
        <v>0</v>
      </c>
      <c r="AR73" s="105">
        <f t="shared" ref="AR73:AR104" si="91">IF(AT73&gt;$D$24,$D$24-AP73,IF(BD73=0,0,AV73)+BS121)</f>
        <v>0</v>
      </c>
      <c r="AS73" s="105">
        <f t="shared" si="49"/>
        <v>0</v>
      </c>
      <c r="AT73" s="105">
        <f t="shared" si="24"/>
        <v>0</v>
      </c>
      <c r="AU73" s="105">
        <f t="shared" si="68"/>
        <v>0</v>
      </c>
      <c r="AV73" s="105">
        <f t="shared" si="69"/>
        <v>0</v>
      </c>
      <c r="AW73" s="105"/>
      <c r="AX73" s="105"/>
      <c r="AY73" s="105"/>
      <c r="AZ73" s="105"/>
      <c r="BA73" s="105"/>
      <c r="BB73" s="105">
        <f t="shared" si="70"/>
        <v>0</v>
      </c>
      <c r="BC73" s="108">
        <f t="shared" si="33"/>
        <v>2</v>
      </c>
      <c r="BD73" s="108">
        <f t="shared" si="77"/>
        <v>2</v>
      </c>
      <c r="BE73" s="22">
        <f t="shared" si="78"/>
        <v>46165</v>
      </c>
      <c r="BF73" s="108">
        <f t="shared" si="79"/>
        <v>30288</v>
      </c>
      <c r="BG73" s="2">
        <f t="shared" si="73"/>
        <v>0</v>
      </c>
    </row>
    <row r="74" spans="1:59" s="16" customFormat="1" ht="12" x14ac:dyDescent="0.2">
      <c r="A74" s="2"/>
      <c r="B74" s="2"/>
      <c r="C74" s="2"/>
      <c r="D74" s="13"/>
      <c r="E74" s="2"/>
      <c r="F74" s="2"/>
      <c r="G74" s="114">
        <f t="shared" si="28"/>
        <v>66</v>
      </c>
      <c r="H74" s="111">
        <f t="shared" si="71"/>
        <v>46379</v>
      </c>
      <c r="I74" s="24">
        <f>IF(AND(G74&gt;=$T$22,G74&lt;=$T$22+5),$T$23,IF(AND(Q73+L74+J74&gt;I73,I73&lt;&gt;0),$C$24,IF(Q73=0,0,Q73+L74+J74+J75)))</f>
        <v>0</v>
      </c>
      <c r="J74" s="24">
        <f t="shared" si="86"/>
        <v>0</v>
      </c>
      <c r="K74" s="24">
        <f t="shared" si="87"/>
        <v>0</v>
      </c>
      <c r="L74" s="24">
        <f t="shared" ref="L74:L108" si="92">IF(N74&gt;$C$24,$C$24-J74,IF(S74=0,0,O74))</f>
        <v>0</v>
      </c>
      <c r="M74" s="24">
        <f t="shared" si="81"/>
        <v>0</v>
      </c>
      <c r="N74" s="24">
        <f t="shared" si="82"/>
        <v>0</v>
      </c>
      <c r="O74" s="24">
        <f t="shared" si="83"/>
        <v>0</v>
      </c>
      <c r="P74" s="24">
        <f t="shared" si="84"/>
        <v>0</v>
      </c>
      <c r="Q74" s="24">
        <f t="shared" si="88"/>
        <v>0</v>
      </c>
      <c r="R74" s="36">
        <f t="shared" si="30"/>
        <v>0</v>
      </c>
      <c r="S74" s="36">
        <f t="shared" si="89"/>
        <v>0</v>
      </c>
      <c r="T74" s="2">
        <f t="shared" si="74"/>
        <v>8030.45</v>
      </c>
      <c r="U74" s="34">
        <f t="shared" si="75"/>
        <v>30288</v>
      </c>
      <c r="V74" s="57">
        <f t="shared" si="76"/>
        <v>51305</v>
      </c>
      <c r="Y74" s="135">
        <v>500000</v>
      </c>
      <c r="Z74" s="134">
        <v>1.2</v>
      </c>
      <c r="AA74" s="134">
        <v>1.5</v>
      </c>
      <c r="AB74" s="134">
        <v>1.5</v>
      </c>
      <c r="AC74" s="134">
        <v>1.3</v>
      </c>
      <c r="AD74" s="134">
        <v>1</v>
      </c>
      <c r="AE74" s="134">
        <v>1.5</v>
      </c>
      <c r="AF74" s="134">
        <v>1.5</v>
      </c>
      <c r="AG74" s="134"/>
      <c r="AH74" s="15"/>
      <c r="AI74" s="2" t="e">
        <f t="shared" si="85"/>
        <v>#VALUE!</v>
      </c>
      <c r="AJ74" s="34">
        <f t="shared" si="80"/>
        <v>30731</v>
      </c>
      <c r="AK74" s="57">
        <f t="shared" si="66"/>
        <v>54225</v>
      </c>
      <c r="AL74" s="130">
        <f t="shared" ref="AL74:AL85" si="93">IF(OR(AO74="",AO74=0),0,1)</f>
        <v>0</v>
      </c>
      <c r="AM74" s="109">
        <f t="shared" si="31"/>
        <v>66</v>
      </c>
      <c r="AN74" s="110">
        <f t="shared" si="72"/>
        <v>46379</v>
      </c>
      <c r="AO74" s="105">
        <f>IF(AND(G74&gt;=$T$22,G74&lt;=$T$22+5),$T$23,IF(AND(BB73+AR74+AP74&gt;AO73,AO73&lt;&gt;0),$D$24,IF(BB73=0,0,BB73+AR74+AP74+AP75)))</f>
        <v>0</v>
      </c>
      <c r="AP74" s="105">
        <f t="shared" si="90"/>
        <v>0</v>
      </c>
      <c r="AQ74" s="105">
        <f t="shared" si="67"/>
        <v>0</v>
      </c>
      <c r="AR74" s="105">
        <f t="shared" si="91"/>
        <v>0</v>
      </c>
      <c r="AS74" s="105">
        <f t="shared" si="49"/>
        <v>0</v>
      </c>
      <c r="AT74" s="105">
        <f t="shared" si="24"/>
        <v>0</v>
      </c>
      <c r="AU74" s="105">
        <f t="shared" ref="AU74:AU85" si="94">IF(BD80=0,0,0)</f>
        <v>0</v>
      </c>
      <c r="AV74" s="105">
        <f t="shared" ref="AV74:AV85" si="95">IF(BD80=0,0,0)</f>
        <v>0</v>
      </c>
      <c r="AW74" s="105"/>
      <c r="AX74" s="105"/>
      <c r="AY74" s="105"/>
      <c r="AZ74" s="105"/>
      <c r="BA74" s="105"/>
      <c r="BB74" s="105">
        <f t="shared" si="70"/>
        <v>0</v>
      </c>
      <c r="BC74" s="108">
        <f t="shared" si="33"/>
        <v>1</v>
      </c>
      <c r="BD74" s="108">
        <f t="shared" si="77"/>
        <v>1</v>
      </c>
      <c r="BE74" s="22">
        <f t="shared" si="78"/>
        <v>46196</v>
      </c>
      <c r="BF74" s="108">
        <f t="shared" si="79"/>
        <v>29704.069999999621</v>
      </c>
      <c r="BG74" s="2">
        <f t="shared" si="73"/>
        <v>0</v>
      </c>
    </row>
    <row r="75" spans="1:59" s="16" customFormat="1" ht="12" x14ac:dyDescent="0.2">
      <c r="A75" s="2"/>
      <c r="B75" s="2"/>
      <c r="C75" s="2"/>
      <c r="D75" s="2"/>
      <c r="E75" s="2"/>
      <c r="F75" s="2"/>
      <c r="G75" s="114">
        <f t="shared" ref="G75:G108" si="96">G74+1</f>
        <v>67</v>
      </c>
      <c r="H75" s="111">
        <f t="shared" si="71"/>
        <v>46410</v>
      </c>
      <c r="I75" s="24">
        <f>IF(AND(G75&gt;=$T$22,G75&lt;=$T$22+5),$T$23,IF(AND(Q74+L75+J75&gt;I74,I74&lt;&gt;0),$C$24,IF(Q74=0,0,Q74+L75+J75+J76)))</f>
        <v>0</v>
      </c>
      <c r="J75" s="24">
        <f t="shared" si="86"/>
        <v>0</v>
      </c>
      <c r="K75" s="24">
        <f t="shared" si="87"/>
        <v>0</v>
      </c>
      <c r="L75" s="24">
        <f t="shared" si="92"/>
        <v>0</v>
      </c>
      <c r="M75" s="24">
        <f t="shared" si="81"/>
        <v>0</v>
      </c>
      <c r="N75" s="24">
        <f t="shared" si="82"/>
        <v>0</v>
      </c>
      <c r="O75" s="24">
        <f t="shared" si="83"/>
        <v>0</v>
      </c>
      <c r="P75" s="24">
        <f t="shared" si="84"/>
        <v>0</v>
      </c>
      <c r="Q75" s="24">
        <f t="shared" si="88"/>
        <v>0</v>
      </c>
      <c r="R75" s="36">
        <f t="shared" si="30"/>
        <v>0</v>
      </c>
      <c r="S75" s="36">
        <f t="shared" si="89"/>
        <v>0</v>
      </c>
      <c r="T75" s="2">
        <f t="shared" si="74"/>
        <v>7891.04</v>
      </c>
      <c r="U75" s="34">
        <f t="shared" si="75"/>
        <v>30288</v>
      </c>
      <c r="V75" s="57">
        <f t="shared" si="76"/>
        <v>51670</v>
      </c>
      <c r="Y75" s="135">
        <v>800000</v>
      </c>
      <c r="Z75" s="134">
        <v>1.1000000000000001</v>
      </c>
      <c r="AA75" s="134">
        <v>1.25</v>
      </c>
      <c r="AB75" s="134">
        <v>1.3</v>
      </c>
      <c r="AC75" s="134">
        <v>1.2</v>
      </c>
      <c r="AD75" s="134">
        <v>1</v>
      </c>
      <c r="AE75" s="134">
        <v>1.3</v>
      </c>
      <c r="AF75" s="134">
        <v>1.3</v>
      </c>
      <c r="AG75" s="134"/>
      <c r="AH75" s="2"/>
      <c r="AI75" s="2">
        <f t="shared" si="85"/>
        <v>0</v>
      </c>
      <c r="AJ75" s="34">
        <f t="shared" si="80"/>
        <v>30731</v>
      </c>
      <c r="AK75" s="57">
        <f t="shared" si="66"/>
        <v>54590</v>
      </c>
      <c r="AL75" s="130">
        <f t="shared" si="93"/>
        <v>0</v>
      </c>
      <c r="AM75" s="109">
        <f t="shared" ref="AM75:AM108" si="97">AM74+1</f>
        <v>67</v>
      </c>
      <c r="AN75" s="110">
        <f t="shared" si="72"/>
        <v>46410</v>
      </c>
      <c r="AO75" s="105">
        <f>IF(BC81=1,AR75+AP75+AQ75,IF(BB74+AR75+AP75&gt;AO74,$D$24,IF(BB74=0,0,BB74+AR75+AP75+AP76)))</f>
        <v>0</v>
      </c>
      <c r="AP75" s="105">
        <f t="shared" si="90"/>
        <v>0</v>
      </c>
      <c r="AQ75" s="105">
        <f t="shared" ref="AQ75:AQ108" si="98">IF(BC81=0,0,IF(BC81=1,BB74,IF(BB74+AR75+AP75&gt;AO74,AO75-AP75-AR75,BB74)))</f>
        <v>0</v>
      </c>
      <c r="AR75" s="105">
        <f t="shared" si="91"/>
        <v>0</v>
      </c>
      <c r="AS75" s="105">
        <f t="shared" si="49"/>
        <v>0</v>
      </c>
      <c r="AT75" s="105">
        <f t="shared" si="24"/>
        <v>0</v>
      </c>
      <c r="AU75" s="105">
        <f t="shared" si="94"/>
        <v>0</v>
      </c>
      <c r="AV75" s="105">
        <f t="shared" si="95"/>
        <v>0</v>
      </c>
      <c r="AW75" s="105"/>
      <c r="AX75" s="105"/>
      <c r="AY75" s="105"/>
      <c r="AZ75" s="105"/>
      <c r="BA75" s="105"/>
      <c r="BB75" s="105">
        <f t="shared" ref="BB75:BB108" si="99">IF(OR(BC81=1,BB74=0),0,BB74-AQ75)</f>
        <v>0</v>
      </c>
      <c r="BC75" s="108">
        <f t="shared" si="33"/>
        <v>0</v>
      </c>
      <c r="BD75" s="108">
        <f t="shared" si="77"/>
        <v>0</v>
      </c>
      <c r="BE75" s="22">
        <f t="shared" si="78"/>
        <v>46226</v>
      </c>
      <c r="BF75" s="108">
        <f t="shared" si="79"/>
        <v>0</v>
      </c>
      <c r="BG75" s="2">
        <f t="shared" si="73"/>
        <v>0</v>
      </c>
    </row>
    <row r="76" spans="1:59" s="16" customFormat="1" ht="12" x14ac:dyDescent="0.2">
      <c r="A76" s="2"/>
      <c r="B76" s="2"/>
      <c r="C76" s="2"/>
      <c r="D76" s="2"/>
      <c r="E76" s="2"/>
      <c r="F76" s="2"/>
      <c r="G76" s="114">
        <f t="shared" si="96"/>
        <v>68</v>
      </c>
      <c r="H76" s="111">
        <f t="shared" si="71"/>
        <v>46441</v>
      </c>
      <c r="I76" s="24">
        <f>IF(AND(G76&gt;=$T$22,G76&lt;=$T$22+5),$T$23,IF(AND(Q75+L76+J76&gt;I75,I75&lt;&gt;0),$C$24,IF(Q75=0,0,Q75+L76+J76+J77)))</f>
        <v>0</v>
      </c>
      <c r="J76" s="24">
        <f t="shared" si="86"/>
        <v>0</v>
      </c>
      <c r="K76" s="24">
        <f t="shared" si="87"/>
        <v>0</v>
      </c>
      <c r="L76" s="24">
        <f t="shared" si="92"/>
        <v>0</v>
      </c>
      <c r="M76" s="24">
        <f t="shared" si="81"/>
        <v>0</v>
      </c>
      <c r="N76" s="24">
        <f t="shared" si="82"/>
        <v>0</v>
      </c>
      <c r="O76" s="24">
        <f t="shared" si="83"/>
        <v>0</v>
      </c>
      <c r="P76" s="24">
        <f t="shared" si="84"/>
        <v>0</v>
      </c>
      <c r="Q76" s="24">
        <f t="shared" si="88"/>
        <v>0</v>
      </c>
      <c r="R76" s="36">
        <f t="shared" ref="R76" si="100">IF((R75-1)&lt;0,0,R75-1)</f>
        <v>0</v>
      </c>
      <c r="S76" s="36">
        <f t="shared" si="89"/>
        <v>0</v>
      </c>
      <c r="T76" s="2">
        <f t="shared" si="74"/>
        <v>6999.67</v>
      </c>
      <c r="U76" s="34">
        <f t="shared" si="75"/>
        <v>30288</v>
      </c>
      <c r="V76" s="57">
        <f t="shared" si="76"/>
        <v>52035</v>
      </c>
      <c r="Y76" s="135">
        <v>900000</v>
      </c>
      <c r="Z76" s="134">
        <v>1</v>
      </c>
      <c r="AA76" s="134">
        <v>1.1000000000000001</v>
      </c>
      <c r="AB76" s="134">
        <v>1.3</v>
      </c>
      <c r="AC76" s="134">
        <v>1.2</v>
      </c>
      <c r="AD76" s="134">
        <v>1</v>
      </c>
      <c r="AE76" s="134">
        <v>1</v>
      </c>
      <c r="AF76" s="134">
        <v>1</v>
      </c>
      <c r="AG76" s="134"/>
      <c r="AI76" s="2">
        <f t="shared" si="85"/>
        <v>0</v>
      </c>
      <c r="AJ76" s="34">
        <f t="shared" si="80"/>
        <v>30731</v>
      </c>
      <c r="AK76" s="57">
        <f t="shared" si="66"/>
        <v>54955</v>
      </c>
      <c r="AL76" s="130">
        <f t="shared" si="93"/>
        <v>0</v>
      </c>
      <c r="AM76" s="109">
        <f t="shared" si="97"/>
        <v>68</v>
      </c>
      <c r="AN76" s="110">
        <f t="shared" si="72"/>
        <v>46441</v>
      </c>
      <c r="AO76" s="105">
        <f>IF(BC82=1,AR76+AP76+AQ76,IF(BB75+AR76+AP76&gt;AO75,$D$24,IF(BB75=0,0,BB75+AR76+AP76+AP77)))</f>
        <v>0</v>
      </c>
      <c r="AP76" s="105">
        <f t="shared" si="90"/>
        <v>0</v>
      </c>
      <c r="AQ76" s="105">
        <f t="shared" si="98"/>
        <v>0</v>
      </c>
      <c r="AR76" s="105">
        <f t="shared" si="91"/>
        <v>0</v>
      </c>
      <c r="AS76" s="105">
        <f t="shared" si="49"/>
        <v>0</v>
      </c>
      <c r="AT76" s="105">
        <f t="shared" si="24"/>
        <v>0</v>
      </c>
      <c r="AU76" s="105">
        <f t="shared" si="94"/>
        <v>0</v>
      </c>
      <c r="AV76" s="105">
        <f t="shared" si="95"/>
        <v>0</v>
      </c>
      <c r="AW76" s="105"/>
      <c r="AX76" s="105"/>
      <c r="AY76" s="105"/>
      <c r="AZ76" s="105"/>
      <c r="BA76" s="105"/>
      <c r="BB76" s="105">
        <f t="shared" si="99"/>
        <v>0</v>
      </c>
      <c r="BC76" s="108">
        <f t="shared" si="33"/>
        <v>0</v>
      </c>
      <c r="BD76" s="108">
        <f t="shared" si="77"/>
        <v>0</v>
      </c>
      <c r="BE76" s="22">
        <f t="shared" si="78"/>
        <v>46257</v>
      </c>
      <c r="BF76" s="108">
        <f t="shared" si="79"/>
        <v>0</v>
      </c>
      <c r="BG76" s="2">
        <f t="shared" si="73"/>
        <v>0</v>
      </c>
    </row>
    <row r="77" spans="1:59" s="16" customFormat="1" ht="12" x14ac:dyDescent="0.2">
      <c r="A77" s="2"/>
      <c r="B77" s="2"/>
      <c r="C77" s="2"/>
      <c r="D77" s="2"/>
      <c r="E77" s="2"/>
      <c r="F77" s="2"/>
      <c r="G77" s="114">
        <f t="shared" si="96"/>
        <v>69</v>
      </c>
      <c r="H77" s="111">
        <f t="shared" si="71"/>
        <v>46469</v>
      </c>
      <c r="I77" s="24">
        <f>IF(R77=1,L77+J77+K77,IF(Q76+L77+J77&gt;I76,$C$24,IF(Q76=0,0,Q76+L77+J77+J78)))</f>
        <v>0</v>
      </c>
      <c r="J77" s="24">
        <f t="shared" si="86"/>
        <v>0</v>
      </c>
      <c r="K77" s="24">
        <f t="shared" si="87"/>
        <v>0</v>
      </c>
      <c r="L77" s="24">
        <f t="shared" si="92"/>
        <v>0</v>
      </c>
      <c r="M77" s="24">
        <f t="shared" si="29"/>
        <v>0</v>
      </c>
      <c r="N77" s="24">
        <f t="shared" si="18"/>
        <v>0</v>
      </c>
      <c r="O77" s="24">
        <f t="shared" ref="O77:O108" si="101">IF(S77=0,0,0)</f>
        <v>0</v>
      </c>
      <c r="P77" s="24">
        <f t="shared" ref="P77:P85" si="102">IF(S77=0,0,0)</f>
        <v>0</v>
      </c>
      <c r="Q77" s="24">
        <f t="shared" si="88"/>
        <v>0</v>
      </c>
      <c r="R77" s="36">
        <f t="shared" ref="R77:R108" si="103">IF((R76-1)&lt;0,0,R76-1)</f>
        <v>0</v>
      </c>
      <c r="S77" s="36">
        <f t="shared" si="89"/>
        <v>0</v>
      </c>
      <c r="T77" s="2">
        <f t="shared" si="74"/>
        <v>7595.44</v>
      </c>
      <c r="U77" s="34">
        <f t="shared" si="75"/>
        <v>30288</v>
      </c>
      <c r="V77" s="57">
        <f t="shared" si="76"/>
        <v>52400</v>
      </c>
      <c r="Y77" s="16">
        <v>5000000</v>
      </c>
      <c r="Z77" s="16">
        <v>1</v>
      </c>
      <c r="AA77" s="16">
        <v>1.3</v>
      </c>
      <c r="AB77" s="134">
        <v>1.3</v>
      </c>
      <c r="AC77" s="134">
        <v>1.2</v>
      </c>
      <c r="AD77" s="16">
        <v>1</v>
      </c>
      <c r="AE77" s="16">
        <v>1</v>
      </c>
      <c r="AF77" s="16">
        <v>1</v>
      </c>
      <c r="AI77" s="2">
        <f>IF(AND(V46&gt;=$T$22,V46&lt;=$T$22+5),0,IF($C$9&gt;$AC$51,ROUND(AF37*$C$14/(DATEVALUE(CONCATENATE("01/01/",YEAR(W46)+1))-DATEVALUE(CONCATENATE("01/01/",YEAR(W46))))*(W46-W44),2),0))</f>
        <v>0</v>
      </c>
      <c r="AJ77" s="34">
        <f t="shared" si="80"/>
        <v>30731</v>
      </c>
      <c r="AK77" s="57">
        <f t="shared" si="66"/>
        <v>55320</v>
      </c>
      <c r="AL77" s="130">
        <f t="shared" si="93"/>
        <v>0</v>
      </c>
      <c r="AM77" s="109">
        <f t="shared" si="97"/>
        <v>69</v>
      </c>
      <c r="AN77" s="110">
        <f t="shared" si="72"/>
        <v>46469</v>
      </c>
      <c r="AO77" s="105">
        <f>IF(BC83=1,AR77+AP77+AQ77,IF(BB76+AR77+AP77&gt;AO76,$D$24,IF(BB76=0,0,BB76+AR77+AP77+AP78)))</f>
        <v>0</v>
      </c>
      <c r="AP77" s="105">
        <f t="shared" si="90"/>
        <v>0</v>
      </c>
      <c r="AQ77" s="105">
        <f t="shared" si="98"/>
        <v>0</v>
      </c>
      <c r="AR77" s="105">
        <f t="shared" si="91"/>
        <v>0</v>
      </c>
      <c r="AS77" s="105">
        <f t="shared" si="49"/>
        <v>0</v>
      </c>
      <c r="AT77" s="105">
        <f t="shared" si="24"/>
        <v>0</v>
      </c>
      <c r="AU77" s="105">
        <f t="shared" si="94"/>
        <v>0</v>
      </c>
      <c r="AV77" s="105">
        <f t="shared" si="95"/>
        <v>0</v>
      </c>
      <c r="AW77" s="105"/>
      <c r="AX77" s="105"/>
      <c r="AY77" s="105"/>
      <c r="AZ77" s="105"/>
      <c r="BA77" s="105"/>
      <c r="BB77" s="105">
        <f t="shared" si="99"/>
        <v>0</v>
      </c>
      <c r="BC77" s="108">
        <f t="shared" si="33"/>
        <v>0</v>
      </c>
      <c r="BD77" s="108">
        <f t="shared" si="77"/>
        <v>0</v>
      </c>
      <c r="BE77" s="22">
        <f t="shared" si="78"/>
        <v>46288</v>
      </c>
      <c r="BF77" s="108">
        <f t="shared" si="79"/>
        <v>0</v>
      </c>
      <c r="BG77" s="2">
        <f t="shared" si="73"/>
        <v>0</v>
      </c>
    </row>
    <row r="78" spans="1:59" s="16" customFormat="1" ht="12" x14ac:dyDescent="0.2">
      <c r="A78" s="2"/>
      <c r="B78" s="2"/>
      <c r="C78" s="2"/>
      <c r="D78" s="2"/>
      <c r="E78" s="2"/>
      <c r="F78" s="2"/>
      <c r="G78" s="114">
        <f t="shared" si="96"/>
        <v>70</v>
      </c>
      <c r="H78" s="111">
        <f t="shared" si="71"/>
        <v>46500</v>
      </c>
      <c r="I78" s="24">
        <f>IF(R78=1,L78+J78+K78,IF(Q77+L78+J78&gt;I77,$C$24,IF(Q77=0,0,Q77+L78+J78+#REF!)))</f>
        <v>0</v>
      </c>
      <c r="J78" s="24">
        <f t="shared" si="86"/>
        <v>0</v>
      </c>
      <c r="K78" s="24">
        <f t="shared" si="87"/>
        <v>0</v>
      </c>
      <c r="L78" s="24">
        <f t="shared" si="92"/>
        <v>0</v>
      </c>
      <c r="M78" s="24">
        <f t="shared" si="29"/>
        <v>0</v>
      </c>
      <c r="N78" s="24">
        <f t="shared" si="18"/>
        <v>0</v>
      </c>
      <c r="O78" s="24">
        <f t="shared" si="101"/>
        <v>0</v>
      </c>
      <c r="P78" s="24">
        <f t="shared" si="102"/>
        <v>0</v>
      </c>
      <c r="Q78" s="24">
        <f t="shared" si="88"/>
        <v>0</v>
      </c>
      <c r="R78" s="36">
        <f t="shared" si="103"/>
        <v>0</v>
      </c>
      <c r="S78" s="36">
        <f t="shared" si="89"/>
        <v>0</v>
      </c>
      <c r="T78" s="2">
        <f t="shared" si="74"/>
        <v>7209.48</v>
      </c>
      <c r="U78" s="34">
        <f t="shared" si="75"/>
        <v>30288</v>
      </c>
      <c r="V78" s="57">
        <f t="shared" si="76"/>
        <v>52765</v>
      </c>
      <c r="Z78" s="16" t="s">
        <v>331</v>
      </c>
      <c r="AA78" s="16" t="s">
        <v>112</v>
      </c>
      <c r="AB78" s="16" t="s">
        <v>116</v>
      </c>
      <c r="AC78" s="16" t="s">
        <v>117</v>
      </c>
      <c r="AD78" s="16" t="s">
        <v>122</v>
      </c>
      <c r="AE78" s="16" t="s">
        <v>122</v>
      </c>
      <c r="AF78" s="16" t="s">
        <v>121</v>
      </c>
      <c r="AI78" s="2">
        <f t="shared" ref="AI78:AI109" si="104">IF(AND(V47&gt;=$T$22,V47&lt;=$T$22+5),0,IF($C$9&gt;$AC$51,ROUND(AF38*$C$14/(DATEVALUE(CONCATENATE("01/01/",YEAR(W47)+1))-DATEVALUE(CONCATENATE("01/01/",YEAR(W47))))*(W47-W46),2),0))</f>
        <v>0</v>
      </c>
      <c r="AJ78" s="34">
        <f t="shared" si="80"/>
        <v>30731</v>
      </c>
      <c r="AK78" s="57">
        <f t="shared" si="66"/>
        <v>55685</v>
      </c>
      <c r="AL78" s="130">
        <f t="shared" si="93"/>
        <v>0</v>
      </c>
      <c r="AM78" s="109">
        <f t="shared" si="97"/>
        <v>70</v>
      </c>
      <c r="AN78" s="110">
        <f t="shared" si="72"/>
        <v>46500</v>
      </c>
      <c r="AO78" s="105">
        <f>IF(BC84=1,AR78+AP78+AQ78,IF(BB77+AR78+AP78&gt;AO77,$D$24,IF(BB77=0,0,BB77+AR78+AP78+#REF!)))</f>
        <v>0</v>
      </c>
      <c r="AP78" s="105">
        <f t="shared" si="90"/>
        <v>0</v>
      </c>
      <c r="AQ78" s="105">
        <f t="shared" si="98"/>
        <v>0</v>
      </c>
      <c r="AR78" s="105">
        <f t="shared" si="91"/>
        <v>0</v>
      </c>
      <c r="AS78" s="105">
        <f t="shared" si="49"/>
        <v>0</v>
      </c>
      <c r="AT78" s="105">
        <f t="shared" si="24"/>
        <v>0</v>
      </c>
      <c r="AU78" s="105">
        <f t="shared" si="94"/>
        <v>0</v>
      </c>
      <c r="AV78" s="105">
        <f t="shared" si="95"/>
        <v>0</v>
      </c>
      <c r="AW78" s="105"/>
      <c r="AX78" s="105"/>
      <c r="AY78" s="105"/>
      <c r="AZ78" s="105"/>
      <c r="BA78" s="105"/>
      <c r="BB78" s="105">
        <f t="shared" si="99"/>
        <v>0</v>
      </c>
      <c r="BC78" s="108">
        <f t="shared" si="33"/>
        <v>0</v>
      </c>
      <c r="BD78" s="108">
        <f t="shared" si="77"/>
        <v>0</v>
      </c>
      <c r="BE78" s="22">
        <f t="shared" si="78"/>
        <v>46318</v>
      </c>
      <c r="BF78" s="108">
        <f t="shared" si="79"/>
        <v>0</v>
      </c>
      <c r="BG78" s="2">
        <f t="shared" si="73"/>
        <v>0</v>
      </c>
    </row>
    <row r="79" spans="1:59" s="16" customFormat="1" ht="12" x14ac:dyDescent="0.2">
      <c r="A79" s="2"/>
      <c r="B79" s="2"/>
      <c r="C79" s="2"/>
      <c r="D79" s="2"/>
      <c r="E79" s="2"/>
      <c r="F79" s="2"/>
      <c r="G79" s="114">
        <f t="shared" si="96"/>
        <v>71</v>
      </c>
      <c r="H79" s="111">
        <f t="shared" si="71"/>
        <v>46530</v>
      </c>
      <c r="I79" s="24">
        <f>IF(R79=1,L79+J79+K79,IF(Q78+L79+J79&gt;I78,$C$24,IF(Q78=0,0,Q78+L79+J79+#REF!)))</f>
        <v>0</v>
      </c>
      <c r="J79" s="24">
        <f t="shared" si="86"/>
        <v>0</v>
      </c>
      <c r="K79" s="24">
        <f t="shared" si="87"/>
        <v>0</v>
      </c>
      <c r="L79" s="24">
        <f t="shared" si="92"/>
        <v>0</v>
      </c>
      <c r="M79" s="24">
        <f t="shared" si="29"/>
        <v>0</v>
      </c>
      <c r="N79" s="24">
        <f t="shared" si="18"/>
        <v>0</v>
      </c>
      <c r="O79" s="24">
        <f t="shared" si="101"/>
        <v>0</v>
      </c>
      <c r="P79" s="24">
        <f t="shared" si="102"/>
        <v>0</v>
      </c>
      <c r="Q79" s="24">
        <f t="shared" si="88"/>
        <v>0</v>
      </c>
      <c r="R79" s="36">
        <f t="shared" si="103"/>
        <v>0</v>
      </c>
      <c r="S79" s="36">
        <f t="shared" si="89"/>
        <v>0</v>
      </c>
      <c r="T79" s="2">
        <f t="shared" si="74"/>
        <v>7298.61</v>
      </c>
      <c r="U79" s="34">
        <f t="shared" si="75"/>
        <v>30288</v>
      </c>
      <c r="V79" s="57">
        <f t="shared" si="76"/>
        <v>53130</v>
      </c>
      <c r="Z79" s="143">
        <f>MIN($C$7*IF($C$7&gt;$Y$75,Z76,IF($C$7&gt;$Y$74,Z75,IF($C$7&gt;$Y$73,Z74,IF($C$7&gt;$Y$72,Z73,Z72)))),5000000)</f>
        <v>1000000</v>
      </c>
      <c r="AA79" s="143">
        <f>MIN($C$7*IF($C$7&gt;$Y$76,AA77,IF($C$7&gt;$Y$75,AA76,IF($C$7&gt;$Y$74,AA75,IF($C$7&gt;$Y$73,AA74,IF($C$7&gt;$Y$72,AA73,AA72))))),5000000)</f>
        <v>1300000</v>
      </c>
      <c r="AB79" s="143">
        <f>MIN($C$7*IF($C$7&gt;$Y$75,AB76,IF($C$7&gt;$Y$74,AB75,IF($C$7&gt;$Y$73,AB74,IF($C$7&gt;$Y$72,AB73,AB72)))),5000000)</f>
        <v>1300000</v>
      </c>
      <c r="AC79" s="143">
        <f>MIN($C$7*IF($C$7&gt;$Y$75,AC76,IF($C$7&gt;$Y$74,AC75,IF($C$7&gt;$Y$73,AC74,IF($C$7&gt;$Y$72,AC73,AC72)))),5000000)</f>
        <v>1200000</v>
      </c>
      <c r="AD79" s="143">
        <f>$C$7*IF($C$7&gt;$Y$75,AD76,IF($C$7&gt;$Y$74,AD75,IF($C$7&gt;$Y$73,AD74,IF($C$7&gt;$Y$72,AD73,AD72))))</f>
        <v>1000000</v>
      </c>
      <c r="AE79" s="143">
        <f>$C$7*IF($C$7&gt;$AF$87,AE76,IF($C$7&gt;$AF$86,AE75,IF($C$7&gt;=$AF$85,AE74,IF($C$7&gt;$AF$84,AE73,AE72))))</f>
        <v>1300000</v>
      </c>
      <c r="AF79" s="143"/>
      <c r="AH79" s="16">
        <v>0</v>
      </c>
      <c r="AI79" s="2">
        <f t="shared" si="104"/>
        <v>0</v>
      </c>
      <c r="AJ79" s="34">
        <f t="shared" si="80"/>
        <v>30731</v>
      </c>
      <c r="AK79" s="57">
        <f t="shared" si="66"/>
        <v>56050</v>
      </c>
      <c r="AL79" s="130">
        <f t="shared" si="93"/>
        <v>0</v>
      </c>
      <c r="AM79" s="109">
        <f t="shared" si="97"/>
        <v>71</v>
      </c>
      <c r="AN79" s="110">
        <f t="shared" si="72"/>
        <v>46530</v>
      </c>
      <c r="AO79" s="105">
        <f t="shared" ref="AO79:AO99" si="105">IF(BC85=1,AR79+AP79+AQ79,IF(BB78+AR79+AP79&gt;AO78,$D$24,IF(BB78=0,0,BB78+AR79+AP79+AP110)))</f>
        <v>0</v>
      </c>
      <c r="AP79" s="105">
        <f t="shared" si="90"/>
        <v>0</v>
      </c>
      <c r="AQ79" s="105">
        <f t="shared" si="98"/>
        <v>0</v>
      </c>
      <c r="AR79" s="105">
        <f t="shared" si="91"/>
        <v>0</v>
      </c>
      <c r="AS79" s="105">
        <f t="shared" si="49"/>
        <v>0</v>
      </c>
      <c r="AT79" s="105">
        <f t="shared" si="24"/>
        <v>0</v>
      </c>
      <c r="AU79" s="105">
        <f t="shared" si="94"/>
        <v>0</v>
      </c>
      <c r="AV79" s="105">
        <f t="shared" si="95"/>
        <v>0</v>
      </c>
      <c r="AW79" s="105"/>
      <c r="AX79" s="105"/>
      <c r="AY79" s="105"/>
      <c r="AZ79" s="105"/>
      <c r="BA79" s="105"/>
      <c r="BB79" s="105">
        <f t="shared" si="99"/>
        <v>0</v>
      </c>
      <c r="BC79" s="108">
        <f t="shared" si="33"/>
        <v>0</v>
      </c>
      <c r="BD79" s="108">
        <f t="shared" si="77"/>
        <v>0</v>
      </c>
      <c r="BE79" s="22">
        <f t="shared" si="78"/>
        <v>46349</v>
      </c>
      <c r="BF79" s="108">
        <f t="shared" si="79"/>
        <v>0</v>
      </c>
      <c r="BG79" s="2">
        <f t="shared" si="73"/>
        <v>0</v>
      </c>
    </row>
    <row r="80" spans="1:59" s="16" customFormat="1" ht="12" x14ac:dyDescent="0.2">
      <c r="A80" s="2"/>
      <c r="B80" s="2"/>
      <c r="C80" s="2"/>
      <c r="D80" s="2"/>
      <c r="E80" s="2"/>
      <c r="F80" s="2"/>
      <c r="G80" s="114">
        <f t="shared" si="96"/>
        <v>72</v>
      </c>
      <c r="H80" s="111">
        <f t="shared" si="71"/>
        <v>46561</v>
      </c>
      <c r="I80" s="24">
        <f t="shared" ref="I80:I108" si="106">IF(R80=1,L80+J80+K80,IF(Q79+L80+J80&gt;I79,$C$24,IF(Q79=0,0,Q79+L80+J80+J111)))</f>
        <v>0</v>
      </c>
      <c r="J80" s="24">
        <f t="shared" si="86"/>
        <v>0</v>
      </c>
      <c r="K80" s="24">
        <f t="shared" si="87"/>
        <v>0</v>
      </c>
      <c r="L80" s="24">
        <f t="shared" si="92"/>
        <v>0</v>
      </c>
      <c r="M80" s="24">
        <f t="shared" si="29"/>
        <v>0</v>
      </c>
      <c r="N80" s="24">
        <f t="shared" si="18"/>
        <v>0</v>
      </c>
      <c r="O80" s="24">
        <f t="shared" si="101"/>
        <v>0</v>
      </c>
      <c r="P80" s="24">
        <f t="shared" si="102"/>
        <v>0</v>
      </c>
      <c r="Q80" s="24">
        <f t="shared" si="88"/>
        <v>0</v>
      </c>
      <c r="R80" s="36">
        <f t="shared" si="103"/>
        <v>0</v>
      </c>
      <c r="S80" s="36">
        <f t="shared" si="89"/>
        <v>0</v>
      </c>
      <c r="T80" s="2">
        <f t="shared" si="74"/>
        <v>6918.09</v>
      </c>
      <c r="U80" s="34">
        <f t="shared" si="75"/>
        <v>30288</v>
      </c>
      <c r="V80" s="57">
        <f t="shared" si="76"/>
        <v>53495</v>
      </c>
      <c r="AI80" s="2">
        <f t="shared" si="104"/>
        <v>0</v>
      </c>
      <c r="AJ80" s="34">
        <f t="shared" si="80"/>
        <v>30731</v>
      </c>
      <c r="AK80" s="57">
        <f t="shared" si="66"/>
        <v>56415</v>
      </c>
      <c r="AL80" s="130">
        <f t="shared" si="93"/>
        <v>0</v>
      </c>
      <c r="AM80" s="109">
        <f t="shared" si="97"/>
        <v>72</v>
      </c>
      <c r="AN80" s="110">
        <f t="shared" si="72"/>
        <v>46561</v>
      </c>
      <c r="AO80" s="105">
        <f t="shared" si="105"/>
        <v>0</v>
      </c>
      <c r="AP80" s="105">
        <f t="shared" si="90"/>
        <v>0</v>
      </c>
      <c r="AQ80" s="105">
        <f t="shared" si="98"/>
        <v>0</v>
      </c>
      <c r="AR80" s="105">
        <f t="shared" si="91"/>
        <v>0</v>
      </c>
      <c r="AS80" s="105">
        <f t="shared" si="49"/>
        <v>0</v>
      </c>
      <c r="AT80" s="105">
        <f t="shared" si="24"/>
        <v>0</v>
      </c>
      <c r="AU80" s="105">
        <f t="shared" si="94"/>
        <v>0</v>
      </c>
      <c r="AV80" s="105">
        <f t="shared" si="95"/>
        <v>0</v>
      </c>
      <c r="AW80" s="105"/>
      <c r="AX80" s="105"/>
      <c r="AY80" s="105"/>
      <c r="AZ80" s="105"/>
      <c r="BA80" s="105"/>
      <c r="BB80" s="105">
        <f t="shared" si="99"/>
        <v>0</v>
      </c>
      <c r="BC80" s="108">
        <f t="shared" si="33"/>
        <v>0</v>
      </c>
      <c r="BD80" s="108">
        <f t="shared" si="77"/>
        <v>0</v>
      </c>
      <c r="BE80" s="22">
        <f t="shared" si="78"/>
        <v>46379</v>
      </c>
      <c r="BF80" s="108">
        <f t="shared" si="79"/>
        <v>0</v>
      </c>
      <c r="BG80" s="2">
        <f t="shared" si="73"/>
        <v>0</v>
      </c>
    </row>
    <row r="81" spans="1:59" s="16" customFormat="1" ht="12" x14ac:dyDescent="0.2">
      <c r="A81" s="2"/>
      <c r="B81" s="2"/>
      <c r="C81" s="2"/>
      <c r="D81" s="2"/>
      <c r="E81" s="2"/>
      <c r="F81" s="2"/>
      <c r="G81" s="114">
        <f t="shared" si="96"/>
        <v>73</v>
      </c>
      <c r="H81" s="111">
        <f t="shared" si="71"/>
        <v>46591</v>
      </c>
      <c r="I81" s="24">
        <f t="shared" si="106"/>
        <v>0</v>
      </c>
      <c r="J81" s="24">
        <f t="shared" si="86"/>
        <v>0</v>
      </c>
      <c r="K81" s="24">
        <f t="shared" si="87"/>
        <v>0</v>
      </c>
      <c r="L81" s="24">
        <f t="shared" si="92"/>
        <v>0</v>
      </c>
      <c r="M81" s="24">
        <f t="shared" si="29"/>
        <v>0</v>
      </c>
      <c r="N81" s="24">
        <f t="shared" si="18"/>
        <v>0</v>
      </c>
      <c r="O81" s="24">
        <f t="shared" si="101"/>
        <v>0</v>
      </c>
      <c r="P81" s="24">
        <f t="shared" si="102"/>
        <v>0</v>
      </c>
      <c r="Q81" s="24">
        <f t="shared" si="88"/>
        <v>0</v>
      </c>
      <c r="R81" s="36">
        <f t="shared" si="103"/>
        <v>0</v>
      </c>
      <c r="S81" s="36">
        <f t="shared" si="89"/>
        <v>0</v>
      </c>
      <c r="T81" s="2">
        <f t="shared" si="74"/>
        <v>6993.33</v>
      </c>
      <c r="U81" s="34">
        <f t="shared" si="75"/>
        <v>30288</v>
      </c>
      <c r="V81" s="57">
        <f t="shared" si="76"/>
        <v>53860</v>
      </c>
      <c r="AI81" s="2">
        <f t="shared" si="104"/>
        <v>0</v>
      </c>
      <c r="AJ81" s="34">
        <f t="shared" si="80"/>
        <v>30731</v>
      </c>
      <c r="AK81" s="57">
        <f t="shared" si="66"/>
        <v>56780</v>
      </c>
      <c r="AL81" s="130">
        <f t="shared" si="93"/>
        <v>0</v>
      </c>
      <c r="AM81" s="109">
        <f t="shared" si="97"/>
        <v>73</v>
      </c>
      <c r="AN81" s="110">
        <f t="shared" si="72"/>
        <v>46591</v>
      </c>
      <c r="AO81" s="105">
        <f t="shared" si="105"/>
        <v>0</v>
      </c>
      <c r="AP81" s="105">
        <f t="shared" si="90"/>
        <v>0</v>
      </c>
      <c r="AQ81" s="105">
        <f t="shared" si="98"/>
        <v>0</v>
      </c>
      <c r="AR81" s="105">
        <f t="shared" si="91"/>
        <v>0</v>
      </c>
      <c r="AS81" s="105">
        <f t="shared" si="49"/>
        <v>0</v>
      </c>
      <c r="AT81" s="105">
        <f t="shared" si="24"/>
        <v>0</v>
      </c>
      <c r="AU81" s="105">
        <f t="shared" si="94"/>
        <v>0</v>
      </c>
      <c r="AV81" s="105">
        <f t="shared" si="95"/>
        <v>0</v>
      </c>
      <c r="AW81" s="105"/>
      <c r="AX81" s="105"/>
      <c r="AY81" s="105"/>
      <c r="AZ81" s="105"/>
      <c r="BA81" s="105"/>
      <c r="BB81" s="105">
        <f t="shared" si="99"/>
        <v>0</v>
      </c>
      <c r="BC81" s="108">
        <f t="shared" ref="BC81:BC114" si="107">IF((BC80-1)&lt;0,0,BC80-1)</f>
        <v>0</v>
      </c>
      <c r="BD81" s="108">
        <f t="shared" si="77"/>
        <v>0</v>
      </c>
      <c r="BE81" s="22">
        <f t="shared" si="78"/>
        <v>46410</v>
      </c>
      <c r="BF81" s="108">
        <f t="shared" si="79"/>
        <v>0</v>
      </c>
      <c r="BG81" s="2">
        <f t="shared" si="73"/>
        <v>0</v>
      </c>
    </row>
    <row r="82" spans="1:59" s="16" customFormat="1" ht="12" x14ac:dyDescent="0.2">
      <c r="A82" s="2"/>
      <c r="B82" s="2"/>
      <c r="C82" s="2"/>
      <c r="D82" s="2"/>
      <c r="E82" s="2"/>
      <c r="F82" s="2"/>
      <c r="G82" s="114">
        <f t="shared" si="96"/>
        <v>74</v>
      </c>
      <c r="H82" s="111">
        <f t="shared" si="71"/>
        <v>46622</v>
      </c>
      <c r="I82" s="24">
        <f t="shared" si="106"/>
        <v>0</v>
      </c>
      <c r="J82" s="24">
        <f t="shared" si="86"/>
        <v>0</v>
      </c>
      <c r="K82" s="24">
        <f t="shared" si="87"/>
        <v>0</v>
      </c>
      <c r="L82" s="24">
        <f t="shared" si="92"/>
        <v>0</v>
      </c>
      <c r="M82" s="24">
        <f t="shared" si="29"/>
        <v>0</v>
      </c>
      <c r="N82" s="24">
        <f t="shared" si="18"/>
        <v>0</v>
      </c>
      <c r="O82" s="24">
        <f t="shared" si="101"/>
        <v>0</v>
      </c>
      <c r="P82" s="24">
        <f t="shared" si="102"/>
        <v>0</v>
      </c>
      <c r="Q82" s="24">
        <f t="shared" si="88"/>
        <v>0</v>
      </c>
      <c r="R82" s="36">
        <f t="shared" si="103"/>
        <v>0</v>
      </c>
      <c r="S82" s="36">
        <f t="shared" si="89"/>
        <v>0</v>
      </c>
      <c r="T82" s="2">
        <f t="shared" si="74"/>
        <v>6839.04</v>
      </c>
      <c r="U82" s="34">
        <f t="shared" si="75"/>
        <v>30288</v>
      </c>
      <c r="V82" s="57">
        <f t="shared" si="76"/>
        <v>54225</v>
      </c>
      <c r="AI82" s="2">
        <f t="shared" si="104"/>
        <v>0</v>
      </c>
      <c r="AJ82" s="34">
        <f t="shared" si="80"/>
        <v>30731</v>
      </c>
      <c r="AK82" s="57">
        <f t="shared" si="66"/>
        <v>57145</v>
      </c>
      <c r="AL82" s="130">
        <f t="shared" si="93"/>
        <v>0</v>
      </c>
      <c r="AM82" s="109">
        <f t="shared" si="97"/>
        <v>74</v>
      </c>
      <c r="AN82" s="110">
        <f t="shared" si="72"/>
        <v>46622</v>
      </c>
      <c r="AO82" s="105">
        <f t="shared" si="105"/>
        <v>0</v>
      </c>
      <c r="AP82" s="105">
        <f t="shared" si="90"/>
        <v>0</v>
      </c>
      <c r="AQ82" s="105">
        <f t="shared" si="98"/>
        <v>0</v>
      </c>
      <c r="AR82" s="105">
        <f t="shared" si="91"/>
        <v>0</v>
      </c>
      <c r="AS82" s="105">
        <f t="shared" si="49"/>
        <v>0</v>
      </c>
      <c r="AT82" s="105">
        <f t="shared" si="24"/>
        <v>0</v>
      </c>
      <c r="AU82" s="105">
        <f t="shared" si="94"/>
        <v>0</v>
      </c>
      <c r="AV82" s="105">
        <f t="shared" si="95"/>
        <v>0</v>
      </c>
      <c r="AW82" s="105"/>
      <c r="AX82" s="105"/>
      <c r="AY82" s="105"/>
      <c r="AZ82" s="105"/>
      <c r="BA82" s="105"/>
      <c r="BB82" s="105">
        <f t="shared" si="99"/>
        <v>0</v>
      </c>
      <c r="BC82" s="108">
        <f t="shared" si="107"/>
        <v>0</v>
      </c>
      <c r="BD82" s="108">
        <f t="shared" si="77"/>
        <v>0</v>
      </c>
      <c r="BE82" s="22">
        <f t="shared" si="78"/>
        <v>46441</v>
      </c>
      <c r="BF82" s="108">
        <f t="shared" si="79"/>
        <v>0</v>
      </c>
      <c r="BG82" s="2">
        <f t="shared" si="73"/>
        <v>0</v>
      </c>
    </row>
    <row r="83" spans="1:59" s="16" customFormat="1" ht="12" x14ac:dyDescent="0.2">
      <c r="A83" s="2"/>
      <c r="B83" s="2"/>
      <c r="C83" s="2"/>
      <c r="D83" s="2"/>
      <c r="E83" s="2"/>
      <c r="F83" s="2"/>
      <c r="G83" s="114">
        <f t="shared" si="96"/>
        <v>75</v>
      </c>
      <c r="H83" s="111">
        <f t="shared" si="71"/>
        <v>46653</v>
      </c>
      <c r="I83" s="24">
        <f t="shared" si="106"/>
        <v>0</v>
      </c>
      <c r="J83" s="24">
        <f t="shared" si="86"/>
        <v>0</v>
      </c>
      <c r="K83" s="24">
        <f t="shared" si="87"/>
        <v>0</v>
      </c>
      <c r="L83" s="24">
        <f t="shared" si="92"/>
        <v>0</v>
      </c>
      <c r="M83" s="24">
        <f t="shared" si="29"/>
        <v>0</v>
      </c>
      <c r="N83" s="24">
        <f t="shared" si="18"/>
        <v>0</v>
      </c>
      <c r="O83" s="24">
        <f t="shared" si="101"/>
        <v>0</v>
      </c>
      <c r="P83" s="24">
        <f t="shared" si="102"/>
        <v>0</v>
      </c>
      <c r="Q83" s="24">
        <f t="shared" si="88"/>
        <v>0</v>
      </c>
      <c r="R83" s="36">
        <f t="shared" si="103"/>
        <v>0</v>
      </c>
      <c r="S83" s="36">
        <f t="shared" si="89"/>
        <v>0</v>
      </c>
      <c r="T83" s="2">
        <f t="shared" si="74"/>
        <v>6466.97</v>
      </c>
      <c r="U83" s="34">
        <f t="shared" si="75"/>
        <v>30288</v>
      </c>
      <c r="V83" s="57">
        <f t="shared" si="76"/>
        <v>54590</v>
      </c>
      <c r="AF83" s="133" t="s">
        <v>97</v>
      </c>
      <c r="AI83" s="2">
        <f t="shared" si="104"/>
        <v>0</v>
      </c>
      <c r="AJ83" s="34">
        <f t="shared" si="80"/>
        <v>30731</v>
      </c>
      <c r="AK83" s="57">
        <f t="shared" si="66"/>
        <v>57510</v>
      </c>
      <c r="AL83" s="130">
        <f t="shared" si="93"/>
        <v>0</v>
      </c>
      <c r="AM83" s="109">
        <f t="shared" si="97"/>
        <v>75</v>
      </c>
      <c r="AN83" s="110">
        <f t="shared" si="72"/>
        <v>46653</v>
      </c>
      <c r="AO83" s="105">
        <f t="shared" si="105"/>
        <v>0</v>
      </c>
      <c r="AP83" s="105">
        <f t="shared" si="90"/>
        <v>0</v>
      </c>
      <c r="AQ83" s="105">
        <f t="shared" si="98"/>
        <v>0</v>
      </c>
      <c r="AR83" s="105">
        <f t="shared" si="91"/>
        <v>0</v>
      </c>
      <c r="AS83" s="105">
        <f t="shared" si="49"/>
        <v>0</v>
      </c>
      <c r="AT83" s="105">
        <f t="shared" si="24"/>
        <v>0</v>
      </c>
      <c r="AU83" s="105">
        <f t="shared" si="94"/>
        <v>0</v>
      </c>
      <c r="AV83" s="105">
        <f t="shared" si="95"/>
        <v>0</v>
      </c>
      <c r="AW83" s="105"/>
      <c r="AX83" s="105"/>
      <c r="AY83" s="105"/>
      <c r="AZ83" s="105"/>
      <c r="BA83" s="105"/>
      <c r="BB83" s="105">
        <f t="shared" si="99"/>
        <v>0</v>
      </c>
      <c r="BC83" s="108">
        <f t="shared" si="107"/>
        <v>0</v>
      </c>
      <c r="BD83" s="108">
        <f t="shared" si="77"/>
        <v>0</v>
      </c>
      <c r="BE83" s="22">
        <f t="shared" si="78"/>
        <v>46469</v>
      </c>
      <c r="BF83" s="108">
        <f t="shared" si="79"/>
        <v>0</v>
      </c>
      <c r="BG83" s="2">
        <f t="shared" si="73"/>
        <v>0</v>
      </c>
    </row>
    <row r="84" spans="1:59" s="16" customFormat="1" ht="12" x14ac:dyDescent="0.2">
      <c r="A84" s="2"/>
      <c r="B84" s="2"/>
      <c r="C84" s="2"/>
      <c r="D84" s="2"/>
      <c r="E84" s="2"/>
      <c r="F84" s="2"/>
      <c r="G84" s="114">
        <f t="shared" si="96"/>
        <v>76</v>
      </c>
      <c r="H84" s="111">
        <f t="shared" si="71"/>
        <v>46683</v>
      </c>
      <c r="I84" s="24">
        <f t="shared" si="106"/>
        <v>0</v>
      </c>
      <c r="J84" s="24">
        <f t="shared" si="86"/>
        <v>0</v>
      </c>
      <c r="K84" s="24">
        <f t="shared" si="87"/>
        <v>0</v>
      </c>
      <c r="L84" s="24">
        <f t="shared" si="92"/>
        <v>0</v>
      </c>
      <c r="M84" s="24">
        <f t="shared" si="29"/>
        <v>0</v>
      </c>
      <c r="N84" s="24">
        <f t="shared" si="18"/>
        <v>0</v>
      </c>
      <c r="O84" s="24">
        <f t="shared" si="101"/>
        <v>0</v>
      </c>
      <c r="P84" s="24">
        <f t="shared" si="102"/>
        <v>0</v>
      </c>
      <c r="Q84" s="24">
        <f t="shared" si="88"/>
        <v>0</v>
      </c>
      <c r="R84" s="36">
        <f t="shared" si="103"/>
        <v>0</v>
      </c>
      <c r="S84" s="36">
        <f t="shared" si="89"/>
        <v>0</v>
      </c>
      <c r="T84" s="2">
        <f t="shared" si="74"/>
        <v>6520.69</v>
      </c>
      <c r="U84" s="34">
        <f t="shared" si="75"/>
        <v>30288</v>
      </c>
      <c r="V84" s="57">
        <f t="shared" si="76"/>
        <v>54955</v>
      </c>
      <c r="AF84" s="135">
        <v>0</v>
      </c>
      <c r="AI84" s="2">
        <f t="shared" si="104"/>
        <v>0</v>
      </c>
      <c r="AJ84" s="34">
        <f t="shared" si="80"/>
        <v>30731</v>
      </c>
      <c r="AK84" s="57">
        <f t="shared" si="66"/>
        <v>57875</v>
      </c>
      <c r="AL84" s="130">
        <f t="shared" si="93"/>
        <v>0</v>
      </c>
      <c r="AM84" s="109">
        <f t="shared" si="97"/>
        <v>76</v>
      </c>
      <c r="AN84" s="110">
        <f t="shared" si="72"/>
        <v>46683</v>
      </c>
      <c r="AO84" s="105">
        <f t="shared" si="105"/>
        <v>0</v>
      </c>
      <c r="AP84" s="105">
        <f t="shared" si="90"/>
        <v>0</v>
      </c>
      <c r="AQ84" s="105">
        <f t="shared" si="98"/>
        <v>0</v>
      </c>
      <c r="AR84" s="105">
        <f t="shared" si="91"/>
        <v>0</v>
      </c>
      <c r="AS84" s="105">
        <f t="shared" si="49"/>
        <v>0</v>
      </c>
      <c r="AT84" s="105">
        <f t="shared" si="24"/>
        <v>0</v>
      </c>
      <c r="AU84" s="105">
        <f t="shared" si="94"/>
        <v>0</v>
      </c>
      <c r="AV84" s="105">
        <f t="shared" si="95"/>
        <v>0</v>
      </c>
      <c r="AW84" s="105"/>
      <c r="AX84" s="105"/>
      <c r="AY84" s="105"/>
      <c r="AZ84" s="105"/>
      <c r="BA84" s="105"/>
      <c r="BB84" s="105">
        <f t="shared" si="99"/>
        <v>0</v>
      </c>
      <c r="BC84" s="108">
        <f t="shared" si="107"/>
        <v>0</v>
      </c>
      <c r="BD84" s="108">
        <f t="shared" si="77"/>
        <v>0</v>
      </c>
      <c r="BE84" s="22">
        <f t="shared" si="78"/>
        <v>46500</v>
      </c>
      <c r="BF84" s="108">
        <f t="shared" si="79"/>
        <v>0</v>
      </c>
      <c r="BG84" s="2">
        <f t="shared" si="73"/>
        <v>0</v>
      </c>
    </row>
    <row r="85" spans="1:59" s="16" customFormat="1" ht="12" x14ac:dyDescent="0.2">
      <c r="A85" s="53"/>
      <c r="C85" s="2"/>
      <c r="D85" s="13"/>
      <c r="E85" s="2"/>
      <c r="F85" s="2"/>
      <c r="G85" s="114">
        <f t="shared" si="96"/>
        <v>77</v>
      </c>
      <c r="H85" s="111">
        <f t="shared" ref="H85:H108" si="108">IF((OR(DAY($AA$54)=29,DAY($AA$54)=30,DAY($AA$54)=31)),(EDATE($C$9-3,G85)),(IF((OR(DAY($AA$54)=1,DAY($AA$54)=2,DAY($AA$54)=3)),(EDATE($C$9,G85)+3),EDATE($C$9,G85))))</f>
        <v>46714</v>
      </c>
      <c r="I85" s="24">
        <f t="shared" si="106"/>
        <v>0</v>
      </c>
      <c r="J85" s="24">
        <f t="shared" si="86"/>
        <v>0</v>
      </c>
      <c r="K85" s="24">
        <f t="shared" si="87"/>
        <v>0</v>
      </c>
      <c r="L85" s="24">
        <f t="shared" si="92"/>
        <v>0</v>
      </c>
      <c r="M85" s="24">
        <f t="shared" si="29"/>
        <v>0</v>
      </c>
      <c r="N85" s="24">
        <f t="shared" si="18"/>
        <v>0</v>
      </c>
      <c r="O85" s="24">
        <f t="shared" si="101"/>
        <v>0</v>
      </c>
      <c r="P85" s="24">
        <f t="shared" si="102"/>
        <v>0</v>
      </c>
      <c r="Q85" s="24">
        <f t="shared" si="88"/>
        <v>0</v>
      </c>
      <c r="R85" s="36">
        <f t="shared" si="103"/>
        <v>0</v>
      </c>
      <c r="S85" s="36">
        <f t="shared" si="89"/>
        <v>0</v>
      </c>
      <c r="T85" s="2">
        <f t="shared" si="74"/>
        <v>6154.47</v>
      </c>
      <c r="U85" s="34">
        <f t="shared" si="75"/>
        <v>30288</v>
      </c>
      <c r="V85" s="57">
        <f t="shared" si="76"/>
        <v>55320</v>
      </c>
      <c r="AF85" s="135">
        <v>200000</v>
      </c>
      <c r="AI85" s="2">
        <f t="shared" si="104"/>
        <v>0</v>
      </c>
      <c r="AJ85" s="34">
        <f t="shared" si="80"/>
        <v>30731</v>
      </c>
      <c r="AK85" s="57">
        <f t="shared" si="66"/>
        <v>58240</v>
      </c>
      <c r="AL85" s="130">
        <f t="shared" si="93"/>
        <v>0</v>
      </c>
      <c r="AM85" s="109">
        <f t="shared" si="97"/>
        <v>77</v>
      </c>
      <c r="AN85" s="110">
        <f t="shared" ref="AN85:AN108" si="109">IF((OR(DAY($AA$54)=29,DAY($AA$54)=30,DAY($AA$54)=31)),(EDATE($C$9-3,AM85)),(IF((OR(DAY($AA$54)=1,DAY($AA$54)=2,DAY($AA$54)=3)),(EDATE($C$9,AM85)+3),EDATE($C$9,AM85))))</f>
        <v>46714</v>
      </c>
      <c r="AO85" s="105">
        <f t="shared" si="105"/>
        <v>0</v>
      </c>
      <c r="AP85" s="105">
        <f t="shared" si="90"/>
        <v>0</v>
      </c>
      <c r="AQ85" s="105">
        <f t="shared" si="98"/>
        <v>0</v>
      </c>
      <c r="AR85" s="105">
        <f t="shared" si="91"/>
        <v>0</v>
      </c>
      <c r="AS85" s="105">
        <f t="shared" si="49"/>
        <v>0</v>
      </c>
      <c r="AT85" s="105">
        <f t="shared" si="24"/>
        <v>0</v>
      </c>
      <c r="AU85" s="105">
        <f t="shared" si="94"/>
        <v>0</v>
      </c>
      <c r="AV85" s="105">
        <f t="shared" si="95"/>
        <v>0</v>
      </c>
      <c r="AW85" s="105"/>
      <c r="AX85" s="105"/>
      <c r="AY85" s="105"/>
      <c r="AZ85" s="105"/>
      <c r="BA85" s="105"/>
      <c r="BB85" s="105">
        <f t="shared" si="99"/>
        <v>0</v>
      </c>
      <c r="BC85" s="108">
        <f t="shared" si="107"/>
        <v>0</v>
      </c>
      <c r="BD85" s="108">
        <f t="shared" si="77"/>
        <v>0</v>
      </c>
      <c r="BE85" s="22">
        <f t="shared" si="78"/>
        <v>46530</v>
      </c>
      <c r="BF85" s="108">
        <f t="shared" si="79"/>
        <v>0</v>
      </c>
      <c r="BG85" s="2">
        <f t="shared" si="73"/>
        <v>0</v>
      </c>
    </row>
    <row r="86" spans="1:59" s="16" customFormat="1" ht="12" x14ac:dyDescent="0.2">
      <c r="A86" s="53"/>
      <c r="B86" s="2"/>
      <c r="C86" s="2"/>
      <c r="D86" s="2"/>
      <c r="E86" s="2"/>
      <c r="F86" s="2"/>
      <c r="G86" s="114">
        <f t="shared" si="96"/>
        <v>78</v>
      </c>
      <c r="H86" s="111">
        <f t="shared" si="108"/>
        <v>46744</v>
      </c>
      <c r="I86" s="24">
        <f t="shared" si="106"/>
        <v>0</v>
      </c>
      <c r="J86" s="24">
        <f t="shared" si="86"/>
        <v>0</v>
      </c>
      <c r="K86" s="24">
        <f t="shared" si="87"/>
        <v>0</v>
      </c>
      <c r="L86" s="24">
        <f t="shared" si="92"/>
        <v>0</v>
      </c>
      <c r="M86" s="24">
        <f t="shared" ref="M86:M100" si="110">O85-L85</f>
        <v>0</v>
      </c>
      <c r="N86" s="24">
        <f t="shared" ref="N86:N100" si="111">J86+O86</f>
        <v>0</v>
      </c>
      <c r="O86" s="24">
        <f t="shared" si="101"/>
        <v>0</v>
      </c>
      <c r="P86" s="24">
        <f t="shared" ref="P86:P100" si="112">IF(S86=0,0,0)</f>
        <v>0</v>
      </c>
      <c r="Q86" s="24">
        <f t="shared" si="88"/>
        <v>0</v>
      </c>
      <c r="R86" s="36">
        <f t="shared" si="103"/>
        <v>0</v>
      </c>
      <c r="S86" s="36">
        <f t="shared" si="89"/>
        <v>0</v>
      </c>
      <c r="T86" s="2">
        <f t="shared" si="74"/>
        <v>6176.36</v>
      </c>
      <c r="U86" s="34">
        <f t="shared" si="75"/>
        <v>30288</v>
      </c>
      <c r="V86" s="57">
        <f t="shared" si="76"/>
        <v>55685</v>
      </c>
      <c r="AF86" s="135">
        <v>600000</v>
      </c>
      <c r="AI86" s="2" t="e">
        <f t="shared" si="104"/>
        <v>#VALUE!</v>
      </c>
      <c r="AJ86" s="34">
        <f t="shared" si="80"/>
        <v>30731</v>
      </c>
      <c r="AK86" s="57">
        <f t="shared" si="66"/>
        <v>58605</v>
      </c>
      <c r="AL86" s="130">
        <f t="shared" ref="AL86:AL108" si="113">IF(OR(AO86="",AO86=0),0,1)</f>
        <v>0</v>
      </c>
      <c r="AM86" s="109">
        <f t="shared" si="97"/>
        <v>78</v>
      </c>
      <c r="AN86" s="110">
        <f t="shared" si="109"/>
        <v>46744</v>
      </c>
      <c r="AO86" s="105">
        <f t="shared" si="105"/>
        <v>0</v>
      </c>
      <c r="AP86" s="105">
        <f t="shared" si="90"/>
        <v>0</v>
      </c>
      <c r="AQ86" s="105">
        <f t="shared" si="98"/>
        <v>0</v>
      </c>
      <c r="AR86" s="105">
        <f t="shared" si="91"/>
        <v>0</v>
      </c>
      <c r="AS86" s="105">
        <f t="shared" ref="AS86:AS108" si="114">AU85-AR85</f>
        <v>0</v>
      </c>
      <c r="AT86" s="105">
        <f t="shared" ref="AT86:AT108" si="115">AP86+AU86</f>
        <v>0</v>
      </c>
      <c r="AU86" s="105">
        <f t="shared" ref="AU86:AU108" si="116">IF(BD92=0,0,0)</f>
        <v>0</v>
      </c>
      <c r="AV86" s="105">
        <f t="shared" ref="AV86:AV108" si="117">IF(BD92=0,0,0)</f>
        <v>0</v>
      </c>
      <c r="AW86" s="105"/>
      <c r="AX86" s="105"/>
      <c r="AY86" s="105"/>
      <c r="AZ86" s="105"/>
      <c r="BA86" s="105"/>
      <c r="BB86" s="105">
        <f t="shared" si="99"/>
        <v>0</v>
      </c>
      <c r="BC86" s="108">
        <f t="shared" si="107"/>
        <v>0</v>
      </c>
      <c r="BD86" s="108">
        <f t="shared" si="77"/>
        <v>0</v>
      </c>
      <c r="BE86" s="22">
        <f t="shared" si="78"/>
        <v>46561</v>
      </c>
      <c r="BF86" s="108">
        <f t="shared" si="79"/>
        <v>0</v>
      </c>
      <c r="BG86" s="2">
        <f t="shared" ref="BG86:BG117" si="118">IF(AND(G41&gt;=$T$22,G41&lt;=$T$22+5),0,IF($C$9&gt;$AC$51,ROUND(BB40*IF($D$14="",0,$D$14)/(DATEVALUE(CONCATENATE("01/01/",YEAR(AN41)+1))-DATEVALUE(CONCATENATE("01/01/",YEAR(AN41))))*(AN41-AN40),2),0))</f>
        <v>0</v>
      </c>
    </row>
    <row r="87" spans="1:59" s="16" customFormat="1" ht="12" x14ac:dyDescent="0.2">
      <c r="A87" s="2"/>
      <c r="B87" s="2"/>
      <c r="C87" s="1"/>
      <c r="D87" s="1"/>
      <c r="E87" s="2"/>
      <c r="F87" s="2"/>
      <c r="G87" s="114">
        <f t="shared" si="96"/>
        <v>79</v>
      </c>
      <c r="H87" s="111">
        <f t="shared" si="108"/>
        <v>46775</v>
      </c>
      <c r="I87" s="24">
        <f t="shared" si="106"/>
        <v>0</v>
      </c>
      <c r="J87" s="24">
        <f t="shared" si="86"/>
        <v>0</v>
      </c>
      <c r="K87" s="24">
        <f t="shared" si="87"/>
        <v>0</v>
      </c>
      <c r="L87" s="24">
        <f t="shared" si="92"/>
        <v>0</v>
      </c>
      <c r="M87" s="24">
        <f t="shared" si="110"/>
        <v>0</v>
      </c>
      <c r="N87" s="24">
        <f t="shared" si="111"/>
        <v>0</v>
      </c>
      <c r="O87" s="24">
        <f t="shared" si="101"/>
        <v>0</v>
      </c>
      <c r="P87" s="24">
        <f t="shared" si="112"/>
        <v>0</v>
      </c>
      <c r="Q87" s="24">
        <f t="shared" si="88"/>
        <v>0</v>
      </c>
      <c r="R87" s="36">
        <f t="shared" si="103"/>
        <v>0</v>
      </c>
      <c r="S87" s="36">
        <f t="shared" si="89"/>
        <v>0</v>
      </c>
      <c r="T87" s="2">
        <f t="shared" si="74"/>
        <v>6010.86</v>
      </c>
      <c r="U87" s="34">
        <f t="shared" si="75"/>
        <v>30288</v>
      </c>
      <c r="V87" s="57">
        <f t="shared" si="76"/>
        <v>56050</v>
      </c>
      <c r="AF87" s="135">
        <v>1000000</v>
      </c>
      <c r="AI87" s="2" t="e">
        <f t="shared" si="104"/>
        <v>#VALUE!</v>
      </c>
      <c r="AJ87" s="34">
        <f t="shared" si="80"/>
        <v>30731</v>
      </c>
      <c r="AK87" s="57">
        <f t="shared" si="66"/>
        <v>58970</v>
      </c>
      <c r="AL87" s="130">
        <f t="shared" si="113"/>
        <v>0</v>
      </c>
      <c r="AM87" s="109">
        <f t="shared" si="97"/>
        <v>79</v>
      </c>
      <c r="AN87" s="110">
        <f t="shared" si="109"/>
        <v>46775</v>
      </c>
      <c r="AO87" s="105">
        <f t="shared" si="105"/>
        <v>0</v>
      </c>
      <c r="AP87" s="105">
        <f t="shared" si="90"/>
        <v>0</v>
      </c>
      <c r="AQ87" s="105">
        <f t="shared" si="98"/>
        <v>0</v>
      </c>
      <c r="AR87" s="105">
        <f t="shared" si="91"/>
        <v>0</v>
      </c>
      <c r="AS87" s="105">
        <f t="shared" si="114"/>
        <v>0</v>
      </c>
      <c r="AT87" s="105">
        <f t="shared" si="115"/>
        <v>0</v>
      </c>
      <c r="AU87" s="105">
        <f t="shared" si="116"/>
        <v>0</v>
      </c>
      <c r="AV87" s="105">
        <f t="shared" si="117"/>
        <v>0</v>
      </c>
      <c r="AW87" s="105"/>
      <c r="AX87" s="105"/>
      <c r="AY87" s="105"/>
      <c r="AZ87" s="105"/>
      <c r="BA87" s="105"/>
      <c r="BB87" s="105">
        <f t="shared" si="99"/>
        <v>0</v>
      </c>
      <c r="BC87" s="108">
        <f t="shared" si="107"/>
        <v>0</v>
      </c>
      <c r="BD87" s="108">
        <f t="shared" si="77"/>
        <v>0</v>
      </c>
      <c r="BE87" s="22">
        <f t="shared" si="78"/>
        <v>46591</v>
      </c>
      <c r="BF87" s="108">
        <f t="shared" si="79"/>
        <v>0</v>
      </c>
      <c r="BG87" s="2">
        <f t="shared" si="118"/>
        <v>0</v>
      </c>
    </row>
    <row r="88" spans="1:59" s="16" customFormat="1" ht="12" x14ac:dyDescent="0.2">
      <c r="A88" s="2"/>
      <c r="B88" s="2"/>
      <c r="C88" s="1"/>
      <c r="D88" s="1"/>
      <c r="E88" s="2"/>
      <c r="F88" s="2"/>
      <c r="G88" s="114">
        <f t="shared" si="96"/>
        <v>80</v>
      </c>
      <c r="H88" s="111">
        <f t="shared" si="108"/>
        <v>46806</v>
      </c>
      <c r="I88" s="24">
        <f t="shared" si="106"/>
        <v>0</v>
      </c>
      <c r="J88" s="24">
        <f t="shared" si="86"/>
        <v>0</v>
      </c>
      <c r="K88" s="24">
        <f t="shared" si="87"/>
        <v>0</v>
      </c>
      <c r="L88" s="24">
        <f t="shared" si="92"/>
        <v>0</v>
      </c>
      <c r="M88" s="24">
        <f t="shared" si="110"/>
        <v>0</v>
      </c>
      <c r="N88" s="24">
        <f t="shared" si="111"/>
        <v>0</v>
      </c>
      <c r="O88" s="24">
        <f t="shared" si="101"/>
        <v>0</v>
      </c>
      <c r="P88" s="24">
        <f t="shared" si="112"/>
        <v>0</v>
      </c>
      <c r="Q88" s="24">
        <f t="shared" si="88"/>
        <v>0</v>
      </c>
      <c r="R88" s="36">
        <f t="shared" si="103"/>
        <v>0</v>
      </c>
      <c r="S88" s="36">
        <f t="shared" si="89"/>
        <v>0</v>
      </c>
      <c r="T88" s="2">
        <f t="shared" ref="T88:T119" si="119">IF(AND(G41&gt;=$T$22,G41&lt;=$T$22+5),0,IF($C$9&gt;$AC$51,ROUND(Q40*$C$14/(DATEVALUE(CONCATENATE("01/01/",YEAR(H41)+1))-DATEVALUE(CONCATENATE("01/01/",YEAR(H41))))*(H41-H40),2),0))</f>
        <v>5465.97</v>
      </c>
      <c r="U88" s="34">
        <f t="shared" ref="U88:U119" si="120">J41+K41+L41-P41</f>
        <v>30288</v>
      </c>
      <c r="V88" s="57">
        <f t="shared" si="76"/>
        <v>56415</v>
      </c>
      <c r="AF88" s="135">
        <v>3000000</v>
      </c>
      <c r="AI88" s="2" t="e">
        <f t="shared" si="104"/>
        <v>#VALUE!</v>
      </c>
      <c r="AJ88" s="34">
        <f t="shared" si="80"/>
        <v>30731</v>
      </c>
      <c r="AK88" s="57">
        <f t="shared" si="66"/>
        <v>59335</v>
      </c>
      <c r="AL88" s="130">
        <f t="shared" si="113"/>
        <v>0</v>
      </c>
      <c r="AM88" s="109">
        <f t="shared" si="97"/>
        <v>80</v>
      </c>
      <c r="AN88" s="110">
        <f t="shared" si="109"/>
        <v>46806</v>
      </c>
      <c r="AO88" s="105">
        <f t="shared" si="105"/>
        <v>0</v>
      </c>
      <c r="AP88" s="105">
        <f t="shared" si="90"/>
        <v>0</v>
      </c>
      <c r="AQ88" s="105">
        <f t="shared" si="98"/>
        <v>0</v>
      </c>
      <c r="AR88" s="105">
        <f t="shared" si="91"/>
        <v>0</v>
      </c>
      <c r="AS88" s="105">
        <f t="shared" si="114"/>
        <v>0</v>
      </c>
      <c r="AT88" s="105">
        <f t="shared" si="115"/>
        <v>0</v>
      </c>
      <c r="AU88" s="105">
        <f t="shared" si="116"/>
        <v>0</v>
      </c>
      <c r="AV88" s="105">
        <f t="shared" si="117"/>
        <v>0</v>
      </c>
      <c r="AW88" s="105"/>
      <c r="AX88" s="105"/>
      <c r="AY88" s="105"/>
      <c r="AZ88" s="105"/>
      <c r="BA88" s="105"/>
      <c r="BB88" s="105">
        <f t="shared" si="99"/>
        <v>0</v>
      </c>
      <c r="BC88" s="108">
        <f t="shared" si="107"/>
        <v>0</v>
      </c>
      <c r="BD88" s="108">
        <f t="shared" si="77"/>
        <v>0</v>
      </c>
      <c r="BE88" s="22">
        <f t="shared" si="78"/>
        <v>46622</v>
      </c>
      <c r="BF88" s="108">
        <f t="shared" si="79"/>
        <v>0</v>
      </c>
      <c r="BG88" s="2">
        <f t="shared" si="118"/>
        <v>0</v>
      </c>
    </row>
    <row r="89" spans="1:59" s="16" customFormat="1" ht="12" x14ac:dyDescent="0.2">
      <c r="A89" s="2"/>
      <c r="B89" s="2"/>
      <c r="C89" s="1"/>
      <c r="D89" s="1"/>
      <c r="E89" s="2"/>
      <c r="F89" s="2"/>
      <c r="G89" s="114">
        <f t="shared" si="96"/>
        <v>81</v>
      </c>
      <c r="H89" s="111">
        <f t="shared" si="108"/>
        <v>46835</v>
      </c>
      <c r="I89" s="24">
        <f t="shared" si="106"/>
        <v>0</v>
      </c>
      <c r="J89" s="24">
        <f t="shared" si="86"/>
        <v>0</v>
      </c>
      <c r="K89" s="24">
        <f t="shared" si="87"/>
        <v>0</v>
      </c>
      <c r="L89" s="24">
        <f t="shared" si="92"/>
        <v>0</v>
      </c>
      <c r="M89" s="24">
        <f t="shared" si="110"/>
        <v>0</v>
      </c>
      <c r="N89" s="24">
        <f t="shared" si="111"/>
        <v>0</v>
      </c>
      <c r="O89" s="24">
        <f t="shared" si="101"/>
        <v>0</v>
      </c>
      <c r="P89" s="24">
        <f t="shared" si="112"/>
        <v>0</v>
      </c>
      <c r="Q89" s="24">
        <f t="shared" si="88"/>
        <v>0</v>
      </c>
      <c r="R89" s="36">
        <f t="shared" si="103"/>
        <v>0</v>
      </c>
      <c r="S89" s="36">
        <f t="shared" si="89"/>
        <v>0</v>
      </c>
      <c r="T89" s="2">
        <f t="shared" si="119"/>
        <v>5667.2</v>
      </c>
      <c r="U89" s="34">
        <f t="shared" si="120"/>
        <v>30288</v>
      </c>
      <c r="V89" s="57">
        <f t="shared" si="76"/>
        <v>56780</v>
      </c>
      <c r="AI89" s="2" t="e">
        <f t="shared" si="104"/>
        <v>#VALUE!</v>
      </c>
      <c r="AJ89" s="34">
        <f t="shared" si="80"/>
        <v>30731</v>
      </c>
      <c r="AK89" s="57">
        <f t="shared" si="66"/>
        <v>59700</v>
      </c>
      <c r="AL89" s="130">
        <f t="shared" si="113"/>
        <v>0</v>
      </c>
      <c r="AM89" s="109">
        <f t="shared" si="97"/>
        <v>81</v>
      </c>
      <c r="AN89" s="110">
        <f t="shared" si="109"/>
        <v>46835</v>
      </c>
      <c r="AO89" s="105">
        <f t="shared" si="105"/>
        <v>0</v>
      </c>
      <c r="AP89" s="105">
        <f t="shared" si="90"/>
        <v>0</v>
      </c>
      <c r="AQ89" s="105">
        <f t="shared" si="98"/>
        <v>0</v>
      </c>
      <c r="AR89" s="105">
        <f t="shared" si="91"/>
        <v>0</v>
      </c>
      <c r="AS89" s="105">
        <f t="shared" si="114"/>
        <v>0</v>
      </c>
      <c r="AT89" s="105">
        <f t="shared" si="115"/>
        <v>0</v>
      </c>
      <c r="AU89" s="105">
        <f t="shared" si="116"/>
        <v>0</v>
      </c>
      <c r="AV89" s="105">
        <f t="shared" si="117"/>
        <v>0</v>
      </c>
      <c r="AW89" s="105"/>
      <c r="AX89" s="105"/>
      <c r="AY89" s="105"/>
      <c r="AZ89" s="105"/>
      <c r="BA89" s="105"/>
      <c r="BB89" s="105">
        <f t="shared" si="99"/>
        <v>0</v>
      </c>
      <c r="BC89" s="108">
        <f t="shared" si="107"/>
        <v>0</v>
      </c>
      <c r="BD89" s="108">
        <f t="shared" ref="BD89:BD114" si="121">IF(ISERR(CEILING(FLOOR(NPER($C$12/12,-$AA$55,BB82),0.1),1))=TRUE,0,CEILING(FLOOR(NPER($C$12/12,-$AA$55,BB82),0.1),1))</f>
        <v>0</v>
      </c>
      <c r="BE89" s="22">
        <f t="shared" ref="BE89:BE114" si="122">H83</f>
        <v>46653</v>
      </c>
      <c r="BF89" s="108">
        <f t="shared" ref="BF89:BF114" si="123">I83</f>
        <v>0</v>
      </c>
      <c r="BG89" s="2">
        <f t="shared" si="118"/>
        <v>0</v>
      </c>
    </row>
    <row r="90" spans="1:59" s="16" customFormat="1" ht="12" x14ac:dyDescent="0.2">
      <c r="A90" s="2"/>
      <c r="B90" s="2"/>
      <c r="C90" s="1"/>
      <c r="D90" s="1"/>
      <c r="E90" s="2"/>
      <c r="F90" s="2"/>
      <c r="G90" s="114">
        <f t="shared" si="96"/>
        <v>82</v>
      </c>
      <c r="H90" s="111">
        <f t="shared" si="108"/>
        <v>46866</v>
      </c>
      <c r="I90" s="24">
        <f t="shared" si="106"/>
        <v>0</v>
      </c>
      <c r="J90" s="24">
        <f t="shared" si="86"/>
        <v>0</v>
      </c>
      <c r="K90" s="24">
        <f t="shared" si="87"/>
        <v>0</v>
      </c>
      <c r="L90" s="24">
        <f t="shared" si="92"/>
        <v>0</v>
      </c>
      <c r="M90" s="24">
        <f t="shared" si="110"/>
        <v>0</v>
      </c>
      <c r="N90" s="24">
        <f t="shared" si="111"/>
        <v>0</v>
      </c>
      <c r="O90" s="24">
        <f t="shared" si="101"/>
        <v>0</v>
      </c>
      <c r="P90" s="24">
        <f t="shared" si="112"/>
        <v>0</v>
      </c>
      <c r="Q90" s="24">
        <f t="shared" si="88"/>
        <v>0</v>
      </c>
      <c r="R90" s="36">
        <f t="shared" si="103"/>
        <v>0</v>
      </c>
      <c r="S90" s="36">
        <f t="shared" si="89"/>
        <v>0</v>
      </c>
      <c r="T90" s="2">
        <f t="shared" si="119"/>
        <v>5317.11</v>
      </c>
      <c r="U90" s="34">
        <f t="shared" si="120"/>
        <v>30288</v>
      </c>
      <c r="V90" s="57">
        <f t="shared" si="76"/>
        <v>57145</v>
      </c>
      <c r="AI90" s="2" t="e">
        <f t="shared" si="104"/>
        <v>#VALUE!</v>
      </c>
      <c r="AJ90" s="34">
        <f t="shared" si="80"/>
        <v>30731</v>
      </c>
      <c r="AK90" s="57">
        <f t="shared" si="66"/>
        <v>60065</v>
      </c>
      <c r="AL90" s="130">
        <f t="shared" si="113"/>
        <v>0</v>
      </c>
      <c r="AM90" s="109">
        <f t="shared" si="97"/>
        <v>82</v>
      </c>
      <c r="AN90" s="110">
        <f t="shared" si="109"/>
        <v>46866</v>
      </c>
      <c r="AO90" s="105">
        <f t="shared" si="105"/>
        <v>0</v>
      </c>
      <c r="AP90" s="105">
        <f t="shared" si="90"/>
        <v>0</v>
      </c>
      <c r="AQ90" s="105">
        <f t="shared" si="98"/>
        <v>0</v>
      </c>
      <c r="AR90" s="105">
        <f t="shared" si="91"/>
        <v>0</v>
      </c>
      <c r="AS90" s="105">
        <f t="shared" si="114"/>
        <v>0</v>
      </c>
      <c r="AT90" s="105">
        <f t="shared" si="115"/>
        <v>0</v>
      </c>
      <c r="AU90" s="105">
        <f t="shared" si="116"/>
        <v>0</v>
      </c>
      <c r="AV90" s="105">
        <f t="shared" si="117"/>
        <v>0</v>
      </c>
      <c r="AW90" s="105"/>
      <c r="AX90" s="105"/>
      <c r="AY90" s="105"/>
      <c r="AZ90" s="105"/>
      <c r="BA90" s="105"/>
      <c r="BB90" s="105">
        <f t="shared" si="99"/>
        <v>0</v>
      </c>
      <c r="BC90" s="108">
        <f t="shared" si="107"/>
        <v>0</v>
      </c>
      <c r="BD90" s="108">
        <f t="shared" si="121"/>
        <v>0</v>
      </c>
      <c r="BE90" s="22">
        <f t="shared" si="122"/>
        <v>46683</v>
      </c>
      <c r="BF90" s="108">
        <f t="shared" si="123"/>
        <v>0</v>
      </c>
      <c r="BG90" s="2">
        <f t="shared" si="118"/>
        <v>0</v>
      </c>
    </row>
    <row r="91" spans="1:59" s="16" customFormat="1" ht="12" x14ac:dyDescent="0.2">
      <c r="A91" s="2"/>
      <c r="B91" s="2"/>
      <c r="C91" s="1"/>
      <c r="D91" s="1"/>
      <c r="E91" s="2"/>
      <c r="F91" s="2"/>
      <c r="G91" s="114">
        <f t="shared" si="96"/>
        <v>83</v>
      </c>
      <c r="H91" s="111">
        <f t="shared" si="108"/>
        <v>46896</v>
      </c>
      <c r="I91" s="24">
        <f t="shared" si="106"/>
        <v>0</v>
      </c>
      <c r="J91" s="24">
        <f t="shared" si="86"/>
        <v>0</v>
      </c>
      <c r="K91" s="24">
        <f t="shared" si="87"/>
        <v>0</v>
      </c>
      <c r="L91" s="24">
        <f t="shared" si="92"/>
        <v>0</v>
      </c>
      <c r="M91" s="24">
        <f t="shared" si="110"/>
        <v>0</v>
      </c>
      <c r="N91" s="24">
        <f t="shared" si="111"/>
        <v>0</v>
      </c>
      <c r="O91" s="24">
        <f t="shared" si="101"/>
        <v>0</v>
      </c>
      <c r="P91" s="24">
        <f t="shared" si="112"/>
        <v>0</v>
      </c>
      <c r="Q91" s="24">
        <f t="shared" si="88"/>
        <v>0</v>
      </c>
      <c r="R91" s="36">
        <f t="shared" si="103"/>
        <v>0</v>
      </c>
      <c r="S91" s="36">
        <f t="shared" si="89"/>
        <v>0</v>
      </c>
      <c r="T91" s="2">
        <f t="shared" si="119"/>
        <v>5316.49</v>
      </c>
      <c r="U91" s="34">
        <f t="shared" si="120"/>
        <v>30288</v>
      </c>
      <c r="V91" s="57">
        <f t="shared" si="76"/>
        <v>57510</v>
      </c>
      <c r="AI91" s="2" t="e">
        <f t="shared" si="104"/>
        <v>#VALUE!</v>
      </c>
      <c r="AJ91" s="34">
        <f t="shared" si="80"/>
        <v>30731</v>
      </c>
      <c r="AK91" s="57">
        <f t="shared" si="66"/>
        <v>60430</v>
      </c>
      <c r="AL91" s="130">
        <f t="shared" si="113"/>
        <v>0</v>
      </c>
      <c r="AM91" s="109">
        <f t="shared" si="97"/>
        <v>83</v>
      </c>
      <c r="AN91" s="110">
        <f t="shared" si="109"/>
        <v>46896</v>
      </c>
      <c r="AO91" s="105">
        <f t="shared" si="105"/>
        <v>0</v>
      </c>
      <c r="AP91" s="105">
        <f t="shared" si="90"/>
        <v>0</v>
      </c>
      <c r="AQ91" s="105">
        <f t="shared" si="98"/>
        <v>0</v>
      </c>
      <c r="AR91" s="105">
        <f t="shared" si="91"/>
        <v>0</v>
      </c>
      <c r="AS91" s="105">
        <f t="shared" si="114"/>
        <v>0</v>
      </c>
      <c r="AT91" s="105">
        <f t="shared" si="115"/>
        <v>0</v>
      </c>
      <c r="AU91" s="105">
        <f t="shared" si="116"/>
        <v>0</v>
      </c>
      <c r="AV91" s="105">
        <f t="shared" si="117"/>
        <v>0</v>
      </c>
      <c r="AW91" s="105"/>
      <c r="AX91" s="105"/>
      <c r="AY91" s="105"/>
      <c r="AZ91" s="105"/>
      <c r="BA91" s="105"/>
      <c r="BB91" s="105">
        <f t="shared" si="99"/>
        <v>0</v>
      </c>
      <c r="BC91" s="108">
        <f t="shared" si="107"/>
        <v>0</v>
      </c>
      <c r="BD91" s="108">
        <f t="shared" si="121"/>
        <v>0</v>
      </c>
      <c r="BE91" s="22">
        <f t="shared" si="122"/>
        <v>46714</v>
      </c>
      <c r="BF91" s="108">
        <f t="shared" si="123"/>
        <v>0</v>
      </c>
      <c r="BG91" s="2">
        <f t="shared" si="118"/>
        <v>0</v>
      </c>
    </row>
    <row r="92" spans="1:59" s="16" customFormat="1" ht="12" x14ac:dyDescent="0.2">
      <c r="A92" s="2"/>
      <c r="B92" s="2"/>
      <c r="C92" s="1"/>
      <c r="D92" s="1"/>
      <c r="E92" s="2"/>
      <c r="F92" s="2"/>
      <c r="G92" s="114">
        <f t="shared" si="96"/>
        <v>84</v>
      </c>
      <c r="H92" s="111">
        <f t="shared" si="108"/>
        <v>46927</v>
      </c>
      <c r="I92" s="24">
        <f t="shared" si="106"/>
        <v>0</v>
      </c>
      <c r="J92" s="24">
        <f t="shared" si="86"/>
        <v>0</v>
      </c>
      <c r="K92" s="24">
        <f t="shared" si="87"/>
        <v>0</v>
      </c>
      <c r="L92" s="24">
        <f t="shared" si="92"/>
        <v>0</v>
      </c>
      <c r="M92" s="24">
        <f t="shared" si="110"/>
        <v>0</v>
      </c>
      <c r="N92" s="24">
        <f t="shared" si="111"/>
        <v>0</v>
      </c>
      <c r="O92" s="24">
        <f t="shared" si="101"/>
        <v>0</v>
      </c>
      <c r="P92" s="24">
        <f t="shared" si="112"/>
        <v>0</v>
      </c>
      <c r="Q92" s="24">
        <f t="shared" si="88"/>
        <v>0</v>
      </c>
      <c r="R92" s="36">
        <f t="shared" si="103"/>
        <v>0</v>
      </c>
      <c r="S92" s="36">
        <f t="shared" si="89"/>
        <v>0</v>
      </c>
      <c r="T92" s="2">
        <f t="shared" si="119"/>
        <v>4972.8500000000004</v>
      </c>
      <c r="U92" s="34">
        <f t="shared" si="120"/>
        <v>30288</v>
      </c>
      <c r="V92" s="57">
        <f t="shared" si="76"/>
        <v>57875</v>
      </c>
      <c r="AI92" s="2">
        <f t="shared" si="104"/>
        <v>0</v>
      </c>
      <c r="AJ92" s="34">
        <f t="shared" si="80"/>
        <v>30731</v>
      </c>
      <c r="AK92" s="57">
        <f t="shared" si="66"/>
        <v>60795</v>
      </c>
      <c r="AL92" s="130">
        <f t="shared" si="113"/>
        <v>0</v>
      </c>
      <c r="AM92" s="109">
        <f t="shared" si="97"/>
        <v>84</v>
      </c>
      <c r="AN92" s="110">
        <f t="shared" si="109"/>
        <v>46927</v>
      </c>
      <c r="AO92" s="105">
        <f t="shared" si="105"/>
        <v>0</v>
      </c>
      <c r="AP92" s="105">
        <f t="shared" si="90"/>
        <v>0</v>
      </c>
      <c r="AQ92" s="105">
        <f t="shared" si="98"/>
        <v>0</v>
      </c>
      <c r="AR92" s="105">
        <f t="shared" si="91"/>
        <v>0</v>
      </c>
      <c r="AS92" s="105">
        <f t="shared" si="114"/>
        <v>0</v>
      </c>
      <c r="AT92" s="105">
        <f t="shared" si="115"/>
        <v>0</v>
      </c>
      <c r="AU92" s="105">
        <f t="shared" si="116"/>
        <v>0</v>
      </c>
      <c r="AV92" s="105">
        <f t="shared" si="117"/>
        <v>0</v>
      </c>
      <c r="AW92" s="105"/>
      <c r="AX92" s="105"/>
      <c r="AY92" s="105"/>
      <c r="AZ92" s="105"/>
      <c r="BA92" s="105"/>
      <c r="BB92" s="105">
        <f t="shared" si="99"/>
        <v>0</v>
      </c>
      <c r="BC92" s="108">
        <f t="shared" si="107"/>
        <v>0</v>
      </c>
      <c r="BD92" s="108">
        <f t="shared" si="121"/>
        <v>0</v>
      </c>
      <c r="BE92" s="22">
        <f t="shared" si="122"/>
        <v>46744</v>
      </c>
      <c r="BF92" s="108">
        <f t="shared" si="123"/>
        <v>0</v>
      </c>
      <c r="BG92" s="2">
        <f t="shared" si="118"/>
        <v>0</v>
      </c>
    </row>
    <row r="93" spans="1:59" s="16" customFormat="1" ht="12" hidden="1" x14ac:dyDescent="0.2">
      <c r="A93" s="2"/>
      <c r="B93" s="2"/>
      <c r="C93" s="1"/>
      <c r="D93" s="1"/>
      <c r="E93" s="1"/>
      <c r="F93" s="2"/>
      <c r="G93" s="114">
        <f t="shared" si="96"/>
        <v>85</v>
      </c>
      <c r="H93" s="111">
        <f t="shared" si="108"/>
        <v>46957</v>
      </c>
      <c r="I93" s="24">
        <f t="shared" si="106"/>
        <v>0</v>
      </c>
      <c r="J93" s="24">
        <f t="shared" si="86"/>
        <v>0</v>
      </c>
      <c r="K93" s="24">
        <f t="shared" si="87"/>
        <v>0</v>
      </c>
      <c r="L93" s="24">
        <f t="shared" si="92"/>
        <v>0</v>
      </c>
      <c r="M93" s="24">
        <f t="shared" si="110"/>
        <v>0</v>
      </c>
      <c r="N93" s="24">
        <f t="shared" si="111"/>
        <v>0</v>
      </c>
      <c r="O93" s="24">
        <f t="shared" si="101"/>
        <v>0</v>
      </c>
      <c r="P93" s="24">
        <f t="shared" si="112"/>
        <v>0</v>
      </c>
      <c r="Q93" s="24">
        <f t="shared" si="88"/>
        <v>0</v>
      </c>
      <c r="R93" s="36">
        <f t="shared" si="103"/>
        <v>0</v>
      </c>
      <c r="S93" s="36">
        <f t="shared" si="89"/>
        <v>0</v>
      </c>
      <c r="T93" s="2">
        <f t="shared" si="119"/>
        <v>4955.83</v>
      </c>
      <c r="U93" s="34">
        <f t="shared" si="120"/>
        <v>30288</v>
      </c>
      <c r="V93" s="57">
        <f t="shared" si="76"/>
        <v>58240</v>
      </c>
      <c r="AI93" s="2" t="e">
        <f t="shared" si="104"/>
        <v>#VALUE!</v>
      </c>
      <c r="AJ93" s="34">
        <f t="shared" si="80"/>
        <v>30731</v>
      </c>
      <c r="AK93" s="57">
        <f t="shared" si="66"/>
        <v>61160</v>
      </c>
      <c r="AL93" s="130">
        <f t="shared" si="113"/>
        <v>0</v>
      </c>
      <c r="AM93" s="109">
        <f t="shared" si="97"/>
        <v>85</v>
      </c>
      <c r="AN93" s="110">
        <f t="shared" si="109"/>
        <v>46957</v>
      </c>
      <c r="AO93" s="105">
        <f t="shared" si="105"/>
        <v>0</v>
      </c>
      <c r="AP93" s="105">
        <f t="shared" si="90"/>
        <v>0</v>
      </c>
      <c r="AQ93" s="105">
        <f t="shared" si="98"/>
        <v>0</v>
      </c>
      <c r="AR93" s="105">
        <f t="shared" si="91"/>
        <v>0</v>
      </c>
      <c r="AS93" s="105">
        <f t="shared" si="114"/>
        <v>0</v>
      </c>
      <c r="AT93" s="105">
        <f t="shared" si="115"/>
        <v>0</v>
      </c>
      <c r="AU93" s="105">
        <f t="shared" si="116"/>
        <v>0</v>
      </c>
      <c r="AV93" s="105">
        <f t="shared" si="117"/>
        <v>0</v>
      </c>
      <c r="AW93" s="105"/>
      <c r="AX93" s="105"/>
      <c r="AY93" s="105"/>
      <c r="AZ93" s="105"/>
      <c r="BA93" s="105"/>
      <c r="BB93" s="105">
        <f t="shared" si="99"/>
        <v>0</v>
      </c>
      <c r="BC93" s="108">
        <f t="shared" si="107"/>
        <v>0</v>
      </c>
      <c r="BD93" s="108">
        <f t="shared" si="121"/>
        <v>0</v>
      </c>
      <c r="BE93" s="22">
        <f t="shared" si="122"/>
        <v>46775</v>
      </c>
      <c r="BF93" s="108">
        <f t="shared" si="123"/>
        <v>0</v>
      </c>
      <c r="BG93" s="2">
        <f t="shared" si="118"/>
        <v>0</v>
      </c>
    </row>
    <row r="94" spans="1:59" s="16" customFormat="1" ht="12" hidden="1" x14ac:dyDescent="0.2">
      <c r="A94" s="2"/>
      <c r="B94" s="2"/>
      <c r="C94" s="1"/>
      <c r="D94" s="1"/>
      <c r="E94" s="1"/>
      <c r="F94" s="2"/>
      <c r="G94" s="114">
        <f t="shared" si="96"/>
        <v>86</v>
      </c>
      <c r="H94" s="111">
        <f t="shared" si="108"/>
        <v>46988</v>
      </c>
      <c r="I94" s="24">
        <f t="shared" si="106"/>
        <v>0</v>
      </c>
      <c r="J94" s="24">
        <f t="shared" si="86"/>
        <v>0</v>
      </c>
      <c r="K94" s="24">
        <f t="shared" si="87"/>
        <v>0</v>
      </c>
      <c r="L94" s="24">
        <f t="shared" si="92"/>
        <v>0</v>
      </c>
      <c r="M94" s="24">
        <f t="shared" si="110"/>
        <v>0</v>
      </c>
      <c r="N94" s="24">
        <f t="shared" si="111"/>
        <v>0</v>
      </c>
      <c r="O94" s="24">
        <f t="shared" si="101"/>
        <v>0</v>
      </c>
      <c r="P94" s="24">
        <f t="shared" si="112"/>
        <v>0</v>
      </c>
      <c r="Q94" s="24">
        <f t="shared" si="88"/>
        <v>0</v>
      </c>
      <c r="R94" s="36">
        <f t="shared" si="103"/>
        <v>0</v>
      </c>
      <c r="S94" s="36">
        <f t="shared" si="89"/>
        <v>0</v>
      </c>
      <c r="T94" s="2">
        <f t="shared" si="119"/>
        <v>4772.79</v>
      </c>
      <c r="U94" s="34">
        <f t="shared" si="120"/>
        <v>30288</v>
      </c>
      <c r="V94" s="57">
        <f t="shared" si="76"/>
        <v>58605</v>
      </c>
      <c r="W94" s="60">
        <v>43858</v>
      </c>
      <c r="AI94" s="2" t="e">
        <f t="shared" si="104"/>
        <v>#VALUE!</v>
      </c>
      <c r="AJ94" s="34">
        <f t="shared" si="80"/>
        <v>30731</v>
      </c>
      <c r="AK94" s="57">
        <f t="shared" si="66"/>
        <v>61525</v>
      </c>
      <c r="AL94" s="130">
        <f t="shared" si="113"/>
        <v>0</v>
      </c>
      <c r="AM94" s="109">
        <f t="shared" si="97"/>
        <v>86</v>
      </c>
      <c r="AN94" s="110">
        <f t="shared" si="109"/>
        <v>46988</v>
      </c>
      <c r="AO94" s="105">
        <f t="shared" si="105"/>
        <v>0</v>
      </c>
      <c r="AP94" s="105">
        <f t="shared" si="90"/>
        <v>0</v>
      </c>
      <c r="AQ94" s="105">
        <f t="shared" si="98"/>
        <v>0</v>
      </c>
      <c r="AR94" s="105">
        <f t="shared" si="91"/>
        <v>0</v>
      </c>
      <c r="AS94" s="105">
        <f t="shared" si="114"/>
        <v>0</v>
      </c>
      <c r="AT94" s="105">
        <f t="shared" si="115"/>
        <v>0</v>
      </c>
      <c r="AU94" s="105">
        <f t="shared" si="116"/>
        <v>0</v>
      </c>
      <c r="AV94" s="105">
        <f t="shared" si="117"/>
        <v>0</v>
      </c>
      <c r="AW94" s="105"/>
      <c r="AX94" s="105"/>
      <c r="AY94" s="105"/>
      <c r="AZ94" s="105"/>
      <c r="BA94" s="105"/>
      <c r="BB94" s="105">
        <f t="shared" si="99"/>
        <v>0</v>
      </c>
      <c r="BC94" s="108">
        <f t="shared" si="107"/>
        <v>0</v>
      </c>
      <c r="BD94" s="108">
        <f t="shared" si="121"/>
        <v>0</v>
      </c>
      <c r="BE94" s="22">
        <f t="shared" si="122"/>
        <v>46806</v>
      </c>
      <c r="BF94" s="108">
        <f t="shared" si="123"/>
        <v>0</v>
      </c>
      <c r="BG94" s="2">
        <f t="shared" si="118"/>
        <v>0</v>
      </c>
    </row>
    <row r="95" spans="1:59" s="16" customFormat="1" ht="12" hidden="1" x14ac:dyDescent="0.2">
      <c r="A95" s="2"/>
      <c r="B95" s="2"/>
      <c r="C95" s="1"/>
      <c r="D95" s="1"/>
      <c r="E95" s="1"/>
      <c r="F95" s="2"/>
      <c r="G95" s="114">
        <f t="shared" si="96"/>
        <v>87</v>
      </c>
      <c r="H95" s="111">
        <f t="shared" si="108"/>
        <v>47019</v>
      </c>
      <c r="I95" s="24">
        <f t="shared" si="106"/>
        <v>0</v>
      </c>
      <c r="J95" s="24">
        <f t="shared" si="86"/>
        <v>0</v>
      </c>
      <c r="K95" s="24">
        <f t="shared" si="87"/>
        <v>0</v>
      </c>
      <c r="L95" s="24">
        <f t="shared" si="92"/>
        <v>0</v>
      </c>
      <c r="M95" s="24">
        <f t="shared" si="110"/>
        <v>0</v>
      </c>
      <c r="N95" s="24">
        <f t="shared" si="111"/>
        <v>0</v>
      </c>
      <c r="O95" s="24">
        <f t="shared" si="101"/>
        <v>0</v>
      </c>
      <c r="P95" s="24">
        <f t="shared" si="112"/>
        <v>0</v>
      </c>
      <c r="Q95" s="24">
        <f t="shared" si="88"/>
        <v>0</v>
      </c>
      <c r="R95" s="36">
        <f t="shared" si="103"/>
        <v>0</v>
      </c>
      <c r="S95" s="36">
        <f t="shared" si="89"/>
        <v>0</v>
      </c>
      <c r="T95" s="2">
        <f t="shared" si="119"/>
        <v>4439.17</v>
      </c>
      <c r="U95" s="34">
        <f t="shared" si="120"/>
        <v>30288</v>
      </c>
      <c r="V95" s="57">
        <f t="shared" si="76"/>
        <v>58970</v>
      </c>
      <c r="AI95" s="2" t="e">
        <f t="shared" si="104"/>
        <v>#VALUE!</v>
      </c>
      <c r="AJ95" s="34">
        <f t="shared" si="80"/>
        <v>30731</v>
      </c>
      <c r="AK95" s="57">
        <f t="shared" si="66"/>
        <v>61890</v>
      </c>
      <c r="AL95" s="130">
        <f t="shared" si="113"/>
        <v>0</v>
      </c>
      <c r="AM95" s="109">
        <f t="shared" si="97"/>
        <v>87</v>
      </c>
      <c r="AN95" s="110">
        <f t="shared" si="109"/>
        <v>47019</v>
      </c>
      <c r="AO95" s="105">
        <f t="shared" si="105"/>
        <v>0</v>
      </c>
      <c r="AP95" s="105">
        <f t="shared" si="90"/>
        <v>0</v>
      </c>
      <c r="AQ95" s="105">
        <f t="shared" si="98"/>
        <v>0</v>
      </c>
      <c r="AR95" s="105">
        <f t="shared" si="91"/>
        <v>0</v>
      </c>
      <c r="AS95" s="105">
        <f t="shared" si="114"/>
        <v>0</v>
      </c>
      <c r="AT95" s="105">
        <f t="shared" si="115"/>
        <v>0</v>
      </c>
      <c r="AU95" s="105">
        <f t="shared" si="116"/>
        <v>0</v>
      </c>
      <c r="AV95" s="105">
        <f t="shared" si="117"/>
        <v>0</v>
      </c>
      <c r="AW95" s="105"/>
      <c r="AX95" s="105"/>
      <c r="AY95" s="105"/>
      <c r="AZ95" s="105"/>
      <c r="BA95" s="105"/>
      <c r="BB95" s="105">
        <f t="shared" si="99"/>
        <v>0</v>
      </c>
      <c r="BC95" s="108">
        <f t="shared" si="107"/>
        <v>0</v>
      </c>
      <c r="BD95" s="108">
        <f t="shared" si="121"/>
        <v>0</v>
      </c>
      <c r="BE95" s="22">
        <f t="shared" si="122"/>
        <v>46835</v>
      </c>
      <c r="BF95" s="108">
        <f t="shared" si="123"/>
        <v>0</v>
      </c>
      <c r="BG95" s="2">
        <f t="shared" si="118"/>
        <v>0</v>
      </c>
    </row>
    <row r="96" spans="1:59" s="16" customFormat="1" ht="12" hidden="1" x14ac:dyDescent="0.2">
      <c r="A96" s="2"/>
      <c r="B96" s="2"/>
      <c r="C96" s="1"/>
      <c r="D96" s="1"/>
      <c r="E96" s="1"/>
      <c r="F96" s="1"/>
      <c r="G96" s="114">
        <f t="shared" si="96"/>
        <v>88</v>
      </c>
      <c r="H96" s="111">
        <f t="shared" si="108"/>
        <v>47049</v>
      </c>
      <c r="I96" s="24">
        <f t="shared" si="106"/>
        <v>0</v>
      </c>
      <c r="J96" s="24">
        <f t="shared" si="86"/>
        <v>0</v>
      </c>
      <c r="K96" s="24">
        <f t="shared" si="87"/>
        <v>0</v>
      </c>
      <c r="L96" s="24">
        <f t="shared" si="92"/>
        <v>0</v>
      </c>
      <c r="M96" s="24">
        <f t="shared" si="110"/>
        <v>0</v>
      </c>
      <c r="N96" s="24">
        <f t="shared" si="111"/>
        <v>0</v>
      </c>
      <c r="O96" s="24">
        <f t="shared" si="101"/>
        <v>0</v>
      </c>
      <c r="P96" s="24">
        <f t="shared" si="112"/>
        <v>0</v>
      </c>
      <c r="Q96" s="24">
        <f t="shared" si="88"/>
        <v>0</v>
      </c>
      <c r="R96" s="36">
        <f t="shared" si="103"/>
        <v>0</v>
      </c>
      <c r="S96" s="36">
        <f t="shared" si="89"/>
        <v>0</v>
      </c>
      <c r="T96" s="2">
        <f t="shared" si="119"/>
        <v>4396.71</v>
      </c>
      <c r="U96" s="34">
        <f t="shared" si="120"/>
        <v>30288</v>
      </c>
      <c r="V96" s="57">
        <f t="shared" si="76"/>
        <v>59335</v>
      </c>
      <c r="AI96" s="2" t="e">
        <f t="shared" si="104"/>
        <v>#VALUE!</v>
      </c>
      <c r="AJ96" s="34">
        <f t="shared" si="80"/>
        <v>30731</v>
      </c>
      <c r="AK96" s="57">
        <f t="shared" si="66"/>
        <v>62255</v>
      </c>
      <c r="AL96" s="130">
        <f t="shared" si="113"/>
        <v>0</v>
      </c>
      <c r="AM96" s="109">
        <f t="shared" si="97"/>
        <v>88</v>
      </c>
      <c r="AN96" s="110">
        <f t="shared" si="109"/>
        <v>47049</v>
      </c>
      <c r="AO96" s="105">
        <f t="shared" si="105"/>
        <v>0</v>
      </c>
      <c r="AP96" s="105">
        <f t="shared" si="90"/>
        <v>0</v>
      </c>
      <c r="AQ96" s="105">
        <f t="shared" si="98"/>
        <v>0</v>
      </c>
      <c r="AR96" s="105">
        <f t="shared" si="91"/>
        <v>0</v>
      </c>
      <c r="AS96" s="105">
        <f t="shared" si="114"/>
        <v>0</v>
      </c>
      <c r="AT96" s="105">
        <f t="shared" si="115"/>
        <v>0</v>
      </c>
      <c r="AU96" s="105">
        <f t="shared" si="116"/>
        <v>0</v>
      </c>
      <c r="AV96" s="105">
        <f t="shared" si="117"/>
        <v>0</v>
      </c>
      <c r="AW96" s="105"/>
      <c r="AX96" s="105"/>
      <c r="AY96" s="105"/>
      <c r="AZ96" s="105"/>
      <c r="BA96" s="105"/>
      <c r="BB96" s="105">
        <f t="shared" si="99"/>
        <v>0</v>
      </c>
      <c r="BC96" s="108">
        <f t="shared" si="107"/>
        <v>0</v>
      </c>
      <c r="BD96" s="108">
        <f t="shared" si="121"/>
        <v>0</v>
      </c>
      <c r="BE96" s="22">
        <f t="shared" si="122"/>
        <v>46866</v>
      </c>
      <c r="BF96" s="108">
        <f t="shared" si="123"/>
        <v>0</v>
      </c>
      <c r="BG96" s="2">
        <f t="shared" si="118"/>
        <v>0</v>
      </c>
    </row>
    <row r="97" spans="1:1212" s="16" customFormat="1" ht="12" hidden="1" x14ac:dyDescent="0.2">
      <c r="A97" s="2"/>
      <c r="B97" s="2"/>
      <c r="C97" s="1"/>
      <c r="D97" s="1"/>
      <c r="E97" s="1"/>
      <c r="F97" s="1"/>
      <c r="G97" s="114">
        <f t="shared" si="96"/>
        <v>89</v>
      </c>
      <c r="H97" s="111">
        <f t="shared" si="108"/>
        <v>47080</v>
      </c>
      <c r="I97" s="24">
        <f t="shared" si="106"/>
        <v>0</v>
      </c>
      <c r="J97" s="24">
        <f t="shared" si="86"/>
        <v>0</v>
      </c>
      <c r="K97" s="24">
        <f t="shared" si="87"/>
        <v>0</v>
      </c>
      <c r="L97" s="24">
        <f t="shared" si="92"/>
        <v>0</v>
      </c>
      <c r="M97" s="24">
        <f t="shared" si="110"/>
        <v>0</v>
      </c>
      <c r="N97" s="24">
        <f t="shared" si="111"/>
        <v>0</v>
      </c>
      <c r="O97" s="24">
        <f t="shared" si="101"/>
        <v>0</v>
      </c>
      <c r="P97" s="24">
        <f t="shared" si="112"/>
        <v>0</v>
      </c>
      <c r="Q97" s="24">
        <f t="shared" si="88"/>
        <v>0</v>
      </c>
      <c r="R97" s="36">
        <f t="shared" si="103"/>
        <v>0</v>
      </c>
      <c r="S97" s="36">
        <f t="shared" si="89"/>
        <v>0</v>
      </c>
      <c r="T97" s="2">
        <f t="shared" si="119"/>
        <v>4070.01</v>
      </c>
      <c r="U97" s="34">
        <f t="shared" si="120"/>
        <v>30288</v>
      </c>
      <c r="V97" s="57">
        <f t="shared" si="76"/>
        <v>59700</v>
      </c>
      <c r="AI97" s="2">
        <f t="shared" si="104"/>
        <v>0</v>
      </c>
      <c r="AJ97" s="34">
        <f t="shared" si="80"/>
        <v>30731</v>
      </c>
      <c r="AK97" s="57">
        <f t="shared" si="66"/>
        <v>62620</v>
      </c>
      <c r="AL97" s="130">
        <f t="shared" si="113"/>
        <v>0</v>
      </c>
      <c r="AM97" s="109">
        <f t="shared" si="97"/>
        <v>89</v>
      </c>
      <c r="AN97" s="110">
        <f t="shared" si="109"/>
        <v>47080</v>
      </c>
      <c r="AO97" s="105">
        <f t="shared" si="105"/>
        <v>0</v>
      </c>
      <c r="AP97" s="105">
        <f t="shared" si="90"/>
        <v>0</v>
      </c>
      <c r="AQ97" s="105">
        <f t="shared" si="98"/>
        <v>0</v>
      </c>
      <c r="AR97" s="105">
        <f t="shared" si="91"/>
        <v>0</v>
      </c>
      <c r="AS97" s="105">
        <f t="shared" si="114"/>
        <v>0</v>
      </c>
      <c r="AT97" s="105">
        <f t="shared" si="115"/>
        <v>0</v>
      </c>
      <c r="AU97" s="105">
        <f t="shared" si="116"/>
        <v>0</v>
      </c>
      <c r="AV97" s="105">
        <f t="shared" si="117"/>
        <v>0</v>
      </c>
      <c r="AW97" s="105"/>
      <c r="AX97" s="105"/>
      <c r="AY97" s="105"/>
      <c r="AZ97" s="105"/>
      <c r="BA97" s="105"/>
      <c r="BB97" s="105">
        <f t="shared" si="99"/>
        <v>0</v>
      </c>
      <c r="BC97" s="108">
        <f t="shared" si="107"/>
        <v>0</v>
      </c>
      <c r="BD97" s="108">
        <f t="shared" si="121"/>
        <v>0</v>
      </c>
      <c r="BE97" s="22">
        <f t="shared" si="122"/>
        <v>46896</v>
      </c>
      <c r="BF97" s="108">
        <f t="shared" si="123"/>
        <v>0</v>
      </c>
      <c r="BG97" s="2">
        <f t="shared" si="118"/>
        <v>0</v>
      </c>
    </row>
    <row r="98" spans="1:1212" s="16" customFormat="1" ht="12" hidden="1" x14ac:dyDescent="0.2">
      <c r="A98" s="2"/>
      <c r="B98" s="2"/>
      <c r="C98" s="1"/>
      <c r="D98" s="1"/>
      <c r="E98" s="1"/>
      <c r="F98" s="1"/>
      <c r="G98" s="114">
        <f t="shared" si="96"/>
        <v>90</v>
      </c>
      <c r="H98" s="111">
        <f t="shared" si="108"/>
        <v>47110</v>
      </c>
      <c r="I98" s="24">
        <f t="shared" si="106"/>
        <v>0</v>
      </c>
      <c r="J98" s="24">
        <f t="shared" si="86"/>
        <v>0</v>
      </c>
      <c r="K98" s="24">
        <f t="shared" si="87"/>
        <v>0</v>
      </c>
      <c r="L98" s="24">
        <f t="shared" si="92"/>
        <v>0</v>
      </c>
      <c r="M98" s="24">
        <f t="shared" si="110"/>
        <v>0</v>
      </c>
      <c r="N98" s="24">
        <f t="shared" si="111"/>
        <v>0</v>
      </c>
      <c r="O98" s="24">
        <f t="shared" si="101"/>
        <v>0</v>
      </c>
      <c r="P98" s="24">
        <f t="shared" si="112"/>
        <v>0</v>
      </c>
      <c r="Q98" s="24">
        <f t="shared" si="88"/>
        <v>0</v>
      </c>
      <c r="R98" s="36">
        <f t="shared" si="103"/>
        <v>0</v>
      </c>
      <c r="S98" s="36">
        <f t="shared" si="89"/>
        <v>0</v>
      </c>
      <c r="T98" s="2">
        <f t="shared" si="119"/>
        <v>4020.95</v>
      </c>
      <c r="U98" s="34">
        <f t="shared" si="120"/>
        <v>30288</v>
      </c>
      <c r="V98" s="57">
        <f t="shared" si="76"/>
        <v>60065</v>
      </c>
      <c r="AI98" s="2">
        <f t="shared" si="104"/>
        <v>0</v>
      </c>
      <c r="AJ98" s="34">
        <f t="shared" si="80"/>
        <v>30731</v>
      </c>
      <c r="AK98" s="57">
        <f t="shared" si="66"/>
        <v>62985</v>
      </c>
      <c r="AL98" s="130">
        <f t="shared" si="113"/>
        <v>0</v>
      </c>
      <c r="AM98" s="109">
        <f t="shared" si="97"/>
        <v>90</v>
      </c>
      <c r="AN98" s="110">
        <f t="shared" si="109"/>
        <v>47110</v>
      </c>
      <c r="AO98" s="105">
        <f t="shared" si="105"/>
        <v>0</v>
      </c>
      <c r="AP98" s="105">
        <f t="shared" si="90"/>
        <v>0</v>
      </c>
      <c r="AQ98" s="105">
        <f t="shared" si="98"/>
        <v>0</v>
      </c>
      <c r="AR98" s="105">
        <f t="shared" si="91"/>
        <v>0</v>
      </c>
      <c r="AS98" s="105">
        <f t="shared" si="114"/>
        <v>0</v>
      </c>
      <c r="AT98" s="105">
        <f t="shared" si="115"/>
        <v>0</v>
      </c>
      <c r="AU98" s="105">
        <f t="shared" si="116"/>
        <v>0</v>
      </c>
      <c r="AV98" s="105">
        <f t="shared" si="117"/>
        <v>0</v>
      </c>
      <c r="AW98" s="105"/>
      <c r="AX98" s="105"/>
      <c r="AY98" s="105"/>
      <c r="AZ98" s="105"/>
      <c r="BA98" s="105"/>
      <c r="BB98" s="105">
        <f t="shared" si="99"/>
        <v>0</v>
      </c>
      <c r="BC98" s="108">
        <f t="shared" si="107"/>
        <v>0</v>
      </c>
      <c r="BD98" s="108">
        <f t="shared" si="121"/>
        <v>0</v>
      </c>
      <c r="BE98" s="22">
        <f t="shared" si="122"/>
        <v>46927</v>
      </c>
      <c r="BF98" s="108">
        <f t="shared" si="123"/>
        <v>0</v>
      </c>
      <c r="BG98" s="2">
        <f t="shared" si="118"/>
        <v>0</v>
      </c>
    </row>
    <row r="99" spans="1:1212" s="16" customFormat="1" ht="12" hidden="1" x14ac:dyDescent="0.2">
      <c r="A99" s="2"/>
      <c r="B99" s="2"/>
      <c r="C99" s="1"/>
      <c r="D99" s="1"/>
      <c r="E99" s="1"/>
      <c r="F99" s="1"/>
      <c r="G99" s="114">
        <f t="shared" si="96"/>
        <v>91</v>
      </c>
      <c r="H99" s="111">
        <f t="shared" si="108"/>
        <v>47141</v>
      </c>
      <c r="I99" s="24">
        <f t="shared" si="106"/>
        <v>0</v>
      </c>
      <c r="J99" s="24">
        <f t="shared" si="86"/>
        <v>0</v>
      </c>
      <c r="K99" s="24">
        <f t="shared" si="87"/>
        <v>0</v>
      </c>
      <c r="L99" s="24">
        <f t="shared" si="92"/>
        <v>0</v>
      </c>
      <c r="M99" s="24">
        <f t="shared" si="110"/>
        <v>0</v>
      </c>
      <c r="N99" s="24">
        <f t="shared" si="111"/>
        <v>0</v>
      </c>
      <c r="O99" s="24">
        <f t="shared" si="101"/>
        <v>0</v>
      </c>
      <c r="P99" s="24">
        <f t="shared" si="112"/>
        <v>0</v>
      </c>
      <c r="Q99" s="24">
        <f t="shared" si="88"/>
        <v>0</v>
      </c>
      <c r="R99" s="36">
        <f t="shared" si="103"/>
        <v>0</v>
      </c>
      <c r="S99" s="36">
        <f t="shared" si="89"/>
        <v>0</v>
      </c>
      <c r="T99" s="2">
        <f t="shared" si="119"/>
        <v>3823.95</v>
      </c>
      <c r="U99" s="34">
        <f t="shared" si="120"/>
        <v>30288</v>
      </c>
      <c r="V99" s="57">
        <f t="shared" si="76"/>
        <v>60430</v>
      </c>
      <c r="AI99" s="2" t="e">
        <f t="shared" si="104"/>
        <v>#VALUE!</v>
      </c>
      <c r="AJ99" s="34">
        <f t="shared" si="80"/>
        <v>30731</v>
      </c>
      <c r="AK99" s="57">
        <f t="shared" si="66"/>
        <v>63350</v>
      </c>
      <c r="AL99" s="130">
        <f t="shared" si="113"/>
        <v>0</v>
      </c>
      <c r="AM99" s="109">
        <f t="shared" si="97"/>
        <v>91</v>
      </c>
      <c r="AN99" s="110">
        <f t="shared" si="109"/>
        <v>47141</v>
      </c>
      <c r="AO99" s="105">
        <f t="shared" si="105"/>
        <v>0</v>
      </c>
      <c r="AP99" s="105">
        <f t="shared" si="90"/>
        <v>0</v>
      </c>
      <c r="AQ99" s="105">
        <f t="shared" si="98"/>
        <v>0</v>
      </c>
      <c r="AR99" s="105">
        <f t="shared" si="91"/>
        <v>0</v>
      </c>
      <c r="AS99" s="105">
        <f t="shared" si="114"/>
        <v>0</v>
      </c>
      <c r="AT99" s="105">
        <f t="shared" si="115"/>
        <v>0</v>
      </c>
      <c r="AU99" s="105">
        <f t="shared" si="116"/>
        <v>0</v>
      </c>
      <c r="AV99" s="105">
        <f t="shared" si="117"/>
        <v>0</v>
      </c>
      <c r="AW99" s="105"/>
      <c r="AX99" s="105"/>
      <c r="AY99" s="105"/>
      <c r="AZ99" s="105"/>
      <c r="BA99" s="105"/>
      <c r="BB99" s="105">
        <f t="shared" si="99"/>
        <v>0</v>
      </c>
      <c r="BC99" s="108">
        <f t="shared" si="107"/>
        <v>0</v>
      </c>
      <c r="BD99" s="108">
        <f t="shared" si="121"/>
        <v>0</v>
      </c>
      <c r="BE99" s="22">
        <f t="shared" si="122"/>
        <v>46957</v>
      </c>
      <c r="BF99" s="108">
        <f t="shared" si="123"/>
        <v>0</v>
      </c>
      <c r="BG99" s="2">
        <f t="shared" si="118"/>
        <v>0</v>
      </c>
    </row>
    <row r="100" spans="1:1212" s="16" customFormat="1" ht="12" hidden="1" x14ac:dyDescent="0.2">
      <c r="A100" s="2"/>
      <c r="B100" s="2"/>
      <c r="C100" s="1"/>
      <c r="D100" s="1"/>
      <c r="E100" s="1"/>
      <c r="F100" s="1"/>
      <c r="G100" s="114">
        <f t="shared" si="96"/>
        <v>92</v>
      </c>
      <c r="H100" s="111">
        <f t="shared" si="108"/>
        <v>47172</v>
      </c>
      <c r="I100" s="24">
        <f t="shared" si="106"/>
        <v>0</v>
      </c>
      <c r="J100" s="24">
        <f t="shared" si="86"/>
        <v>0</v>
      </c>
      <c r="K100" s="24">
        <f t="shared" si="87"/>
        <v>0</v>
      </c>
      <c r="L100" s="24">
        <f t="shared" si="92"/>
        <v>0</v>
      </c>
      <c r="M100" s="24">
        <f t="shared" si="110"/>
        <v>0</v>
      </c>
      <c r="N100" s="24">
        <f t="shared" si="111"/>
        <v>0</v>
      </c>
      <c r="O100" s="24">
        <f t="shared" si="101"/>
        <v>0</v>
      </c>
      <c r="P100" s="24">
        <f t="shared" si="112"/>
        <v>0</v>
      </c>
      <c r="Q100" s="24">
        <f t="shared" si="88"/>
        <v>0</v>
      </c>
      <c r="R100" s="36">
        <f t="shared" si="103"/>
        <v>0</v>
      </c>
      <c r="S100" s="36">
        <f t="shared" si="89"/>
        <v>0</v>
      </c>
      <c r="T100" s="2">
        <f t="shared" si="119"/>
        <v>3273.44</v>
      </c>
      <c r="U100" s="34">
        <f t="shared" si="120"/>
        <v>30288</v>
      </c>
      <c r="V100" s="57">
        <f t="shared" si="76"/>
        <v>60795</v>
      </c>
      <c r="AI100" s="2">
        <f t="shared" si="104"/>
        <v>0</v>
      </c>
      <c r="AJ100" s="34">
        <f t="shared" si="80"/>
        <v>30731</v>
      </c>
      <c r="AK100" s="57">
        <f t="shared" si="66"/>
        <v>63715</v>
      </c>
      <c r="AL100" s="130">
        <f t="shared" si="113"/>
        <v>0</v>
      </c>
      <c r="AM100" s="109">
        <f t="shared" si="97"/>
        <v>92</v>
      </c>
      <c r="AN100" s="110">
        <f t="shared" si="109"/>
        <v>47172</v>
      </c>
      <c r="AO100" s="105">
        <f>IF(BC106=1,AR100+AP100+AQ100,IF(BB99+AR100+AP100&gt;AO99,$D$24,IF(BB99=0,0,BB99+AR100+AP100+AP109)))</f>
        <v>0</v>
      </c>
      <c r="AP100" s="105">
        <f t="shared" si="90"/>
        <v>0</v>
      </c>
      <c r="AQ100" s="105">
        <f t="shared" si="98"/>
        <v>0</v>
      </c>
      <c r="AR100" s="105">
        <f t="shared" si="91"/>
        <v>0</v>
      </c>
      <c r="AS100" s="105">
        <f t="shared" si="114"/>
        <v>0</v>
      </c>
      <c r="AT100" s="105">
        <f t="shared" si="115"/>
        <v>0</v>
      </c>
      <c r="AU100" s="105">
        <f t="shared" si="116"/>
        <v>0</v>
      </c>
      <c r="AV100" s="105">
        <f t="shared" si="117"/>
        <v>0</v>
      </c>
      <c r="AW100" s="105"/>
      <c r="AX100" s="105"/>
      <c r="AY100" s="105"/>
      <c r="AZ100" s="105"/>
      <c r="BA100" s="105"/>
      <c r="BB100" s="105">
        <f t="shared" si="99"/>
        <v>0</v>
      </c>
      <c r="BC100" s="108">
        <f t="shared" si="107"/>
        <v>0</v>
      </c>
      <c r="BD100" s="108">
        <f t="shared" si="121"/>
        <v>0</v>
      </c>
      <c r="BE100" s="22">
        <f t="shared" si="122"/>
        <v>46988</v>
      </c>
      <c r="BF100" s="108">
        <f t="shared" si="123"/>
        <v>0</v>
      </c>
      <c r="BG100" s="2">
        <f t="shared" si="118"/>
        <v>0</v>
      </c>
    </row>
    <row r="101" spans="1:1212" s="16" customFormat="1" ht="12" hidden="1" x14ac:dyDescent="0.2">
      <c r="A101" s="2"/>
      <c r="B101" s="2"/>
      <c r="C101" s="1"/>
      <c r="D101" s="1"/>
      <c r="E101" s="1"/>
      <c r="F101" s="1"/>
      <c r="G101" s="114">
        <f t="shared" si="96"/>
        <v>93</v>
      </c>
      <c r="H101" s="111">
        <f t="shared" si="108"/>
        <v>47200</v>
      </c>
      <c r="I101" s="24">
        <f t="shared" si="106"/>
        <v>0</v>
      </c>
      <c r="J101" s="24">
        <f t="shared" si="86"/>
        <v>0</v>
      </c>
      <c r="K101" s="24">
        <f t="shared" si="87"/>
        <v>0</v>
      </c>
      <c r="L101" s="24">
        <f t="shared" si="92"/>
        <v>0</v>
      </c>
      <c r="M101" s="24">
        <f t="shared" ref="M101:M108" si="124">O100-L100</f>
        <v>0</v>
      </c>
      <c r="N101" s="24">
        <f t="shared" ref="N101:N108" si="125">J101+O101</f>
        <v>0</v>
      </c>
      <c r="O101" s="24">
        <f t="shared" si="101"/>
        <v>0</v>
      </c>
      <c r="P101" s="24">
        <f t="shared" ref="P101:P108" si="126">IF(S101=0,0,0)</f>
        <v>0</v>
      </c>
      <c r="Q101" s="24">
        <f t="shared" si="88"/>
        <v>0</v>
      </c>
      <c r="R101" s="36">
        <f t="shared" si="103"/>
        <v>0</v>
      </c>
      <c r="S101" s="36">
        <f t="shared" si="89"/>
        <v>0</v>
      </c>
      <c r="T101" s="2">
        <f t="shared" si="119"/>
        <v>3416.49</v>
      </c>
      <c r="U101" s="34">
        <f t="shared" si="120"/>
        <v>30288</v>
      </c>
      <c r="V101" s="57">
        <f t="shared" si="76"/>
        <v>61160</v>
      </c>
      <c r="AI101" s="2">
        <f t="shared" si="104"/>
        <v>0</v>
      </c>
      <c r="AJ101" s="34">
        <f t="shared" si="80"/>
        <v>30731</v>
      </c>
      <c r="AK101" s="57">
        <f t="shared" si="66"/>
        <v>64080</v>
      </c>
      <c r="AL101" s="130">
        <f t="shared" si="113"/>
        <v>0</v>
      </c>
      <c r="AM101" s="109">
        <f t="shared" si="97"/>
        <v>93</v>
      </c>
      <c r="AN101" s="110">
        <f t="shared" si="109"/>
        <v>47200</v>
      </c>
      <c r="AO101" s="105">
        <f t="shared" ref="AO101:AO108" si="127">IF(BC107=1,AR101+AP101+AQ101,IF(BB100+AR101+AP101&gt;AO100,$D$24,IF(BB100=0,0,BB100+AR101+AP101+AP132)))</f>
        <v>0</v>
      </c>
      <c r="AP101" s="105">
        <f t="shared" si="90"/>
        <v>0</v>
      </c>
      <c r="AQ101" s="105">
        <f t="shared" si="98"/>
        <v>0</v>
      </c>
      <c r="AR101" s="105">
        <f t="shared" si="91"/>
        <v>0</v>
      </c>
      <c r="AS101" s="105">
        <f t="shared" si="114"/>
        <v>0</v>
      </c>
      <c r="AT101" s="105">
        <f t="shared" si="115"/>
        <v>0</v>
      </c>
      <c r="AU101" s="105">
        <f t="shared" si="116"/>
        <v>0</v>
      </c>
      <c r="AV101" s="105">
        <f t="shared" si="117"/>
        <v>0</v>
      </c>
      <c r="AW101" s="105"/>
      <c r="AX101" s="105"/>
      <c r="AY101" s="105"/>
      <c r="AZ101" s="105"/>
      <c r="BA101" s="105"/>
      <c r="BB101" s="105">
        <f t="shared" si="99"/>
        <v>0</v>
      </c>
      <c r="BC101" s="108">
        <f t="shared" si="107"/>
        <v>0</v>
      </c>
      <c r="BD101" s="108">
        <f t="shared" si="121"/>
        <v>0</v>
      </c>
      <c r="BE101" s="22">
        <f t="shared" si="122"/>
        <v>47019</v>
      </c>
      <c r="BF101" s="108">
        <f t="shared" si="123"/>
        <v>0</v>
      </c>
      <c r="BG101" s="2">
        <f t="shared" si="118"/>
        <v>0</v>
      </c>
    </row>
    <row r="102" spans="1:1212" s="16" customFormat="1" ht="12" hidden="1" x14ac:dyDescent="0.2">
      <c r="A102" s="2"/>
      <c r="B102" s="2"/>
      <c r="C102" s="1"/>
      <c r="D102" s="1"/>
      <c r="E102" s="1"/>
      <c r="F102" s="1"/>
      <c r="G102" s="114">
        <f t="shared" si="96"/>
        <v>94</v>
      </c>
      <c r="H102" s="111">
        <f t="shared" si="108"/>
        <v>47231</v>
      </c>
      <c r="I102" s="24">
        <f t="shared" si="106"/>
        <v>0</v>
      </c>
      <c r="J102" s="24">
        <f t="shared" si="86"/>
        <v>0</v>
      </c>
      <c r="K102" s="24">
        <f t="shared" si="87"/>
        <v>0</v>
      </c>
      <c r="L102" s="24">
        <f t="shared" si="92"/>
        <v>0</v>
      </c>
      <c r="M102" s="24">
        <f t="shared" si="124"/>
        <v>0</v>
      </c>
      <c r="N102" s="24">
        <f t="shared" si="125"/>
        <v>0</v>
      </c>
      <c r="O102" s="24">
        <f t="shared" si="101"/>
        <v>0</v>
      </c>
      <c r="P102" s="24">
        <f t="shared" si="126"/>
        <v>0</v>
      </c>
      <c r="Q102" s="24">
        <f t="shared" si="88"/>
        <v>0</v>
      </c>
      <c r="R102" s="36">
        <f t="shared" si="103"/>
        <v>0</v>
      </c>
      <c r="S102" s="36">
        <f t="shared" si="89"/>
        <v>0</v>
      </c>
      <c r="T102" s="2">
        <f t="shared" si="119"/>
        <v>3107.28</v>
      </c>
      <c r="U102" s="34">
        <f t="shared" si="120"/>
        <v>30288</v>
      </c>
      <c r="V102" s="57">
        <f t="shared" si="76"/>
        <v>61525</v>
      </c>
      <c r="AI102" s="2">
        <f t="shared" si="104"/>
        <v>0</v>
      </c>
      <c r="AJ102" s="34">
        <f t="shared" si="80"/>
        <v>30731</v>
      </c>
      <c r="AK102" s="57">
        <f t="shared" si="66"/>
        <v>64445</v>
      </c>
      <c r="AL102" s="130">
        <f t="shared" si="113"/>
        <v>0</v>
      </c>
      <c r="AM102" s="109">
        <f t="shared" si="97"/>
        <v>94</v>
      </c>
      <c r="AN102" s="110">
        <f t="shared" si="109"/>
        <v>47231</v>
      </c>
      <c r="AO102" s="105">
        <f t="shared" si="127"/>
        <v>0</v>
      </c>
      <c r="AP102" s="105">
        <f t="shared" si="90"/>
        <v>0</v>
      </c>
      <c r="AQ102" s="105">
        <f t="shared" si="98"/>
        <v>0</v>
      </c>
      <c r="AR102" s="105">
        <f t="shared" si="91"/>
        <v>0</v>
      </c>
      <c r="AS102" s="105">
        <f t="shared" si="114"/>
        <v>0</v>
      </c>
      <c r="AT102" s="105">
        <f t="shared" si="115"/>
        <v>0</v>
      </c>
      <c r="AU102" s="105">
        <f t="shared" si="116"/>
        <v>0</v>
      </c>
      <c r="AV102" s="105">
        <f t="shared" si="117"/>
        <v>0</v>
      </c>
      <c r="AW102" s="105"/>
      <c r="AX102" s="105"/>
      <c r="AY102" s="105"/>
      <c r="AZ102" s="105"/>
      <c r="BA102" s="105"/>
      <c r="BB102" s="105">
        <f t="shared" si="99"/>
        <v>0</v>
      </c>
      <c r="BC102" s="108">
        <f t="shared" si="107"/>
        <v>0</v>
      </c>
      <c r="BD102" s="108">
        <f t="shared" si="121"/>
        <v>0</v>
      </c>
      <c r="BE102" s="22">
        <f t="shared" si="122"/>
        <v>47049</v>
      </c>
      <c r="BF102" s="108">
        <f t="shared" si="123"/>
        <v>0</v>
      </c>
      <c r="BG102" s="2">
        <f t="shared" si="118"/>
        <v>0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</row>
    <row r="103" spans="1:1212" ht="12" hidden="1" x14ac:dyDescent="0.2">
      <c r="G103" s="114">
        <f t="shared" si="96"/>
        <v>95</v>
      </c>
      <c r="H103" s="111">
        <f t="shared" si="108"/>
        <v>47261</v>
      </c>
      <c r="I103" s="24">
        <f t="shared" si="106"/>
        <v>0</v>
      </c>
      <c r="J103" s="24">
        <f t="shared" si="86"/>
        <v>0</v>
      </c>
      <c r="K103" s="24">
        <f t="shared" si="87"/>
        <v>0</v>
      </c>
      <c r="L103" s="24">
        <f t="shared" si="92"/>
        <v>0</v>
      </c>
      <c r="M103" s="24">
        <f t="shared" si="124"/>
        <v>0</v>
      </c>
      <c r="N103" s="24">
        <f t="shared" si="125"/>
        <v>0</v>
      </c>
      <c r="O103" s="24">
        <f t="shared" si="101"/>
        <v>0</v>
      </c>
      <c r="P103" s="24">
        <f t="shared" si="126"/>
        <v>0</v>
      </c>
      <c r="Q103" s="24">
        <f t="shared" si="88"/>
        <v>0</v>
      </c>
      <c r="R103" s="36">
        <f t="shared" si="103"/>
        <v>0</v>
      </c>
      <c r="S103" s="36">
        <f t="shared" si="89"/>
        <v>0</v>
      </c>
      <c r="T103" s="2">
        <f t="shared" si="119"/>
        <v>3000.79</v>
      </c>
      <c r="U103" s="34">
        <f t="shared" si="120"/>
        <v>30288</v>
      </c>
      <c r="V103" s="57">
        <f t="shared" si="76"/>
        <v>61890</v>
      </c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2">
        <f t="shared" si="104"/>
        <v>0</v>
      </c>
      <c r="AJ103" s="34">
        <f t="shared" si="80"/>
        <v>30731</v>
      </c>
      <c r="AK103" s="57">
        <f t="shared" si="66"/>
        <v>64810</v>
      </c>
      <c r="AL103" s="130">
        <f t="shared" si="113"/>
        <v>0</v>
      </c>
      <c r="AM103" s="109">
        <f t="shared" si="97"/>
        <v>95</v>
      </c>
      <c r="AN103" s="110">
        <f t="shared" si="109"/>
        <v>47261</v>
      </c>
      <c r="AO103" s="105">
        <f t="shared" si="127"/>
        <v>0</v>
      </c>
      <c r="AP103" s="105">
        <f t="shared" si="90"/>
        <v>0</v>
      </c>
      <c r="AQ103" s="105">
        <f t="shared" si="98"/>
        <v>0</v>
      </c>
      <c r="AR103" s="105">
        <f t="shared" si="91"/>
        <v>0</v>
      </c>
      <c r="AS103" s="105">
        <f t="shared" si="114"/>
        <v>0</v>
      </c>
      <c r="AT103" s="105">
        <f t="shared" si="115"/>
        <v>0</v>
      </c>
      <c r="AU103" s="105">
        <f t="shared" si="116"/>
        <v>0</v>
      </c>
      <c r="AV103" s="105">
        <f t="shared" si="117"/>
        <v>0</v>
      </c>
      <c r="AW103" s="105"/>
      <c r="AX103" s="105"/>
      <c r="AY103" s="105"/>
      <c r="AZ103" s="105"/>
      <c r="BA103" s="105"/>
      <c r="BB103" s="105">
        <f t="shared" si="99"/>
        <v>0</v>
      </c>
      <c r="BC103" s="108">
        <f t="shared" si="107"/>
        <v>0</v>
      </c>
      <c r="BD103" s="108">
        <f t="shared" si="121"/>
        <v>0</v>
      </c>
      <c r="BE103" s="22">
        <f t="shared" si="122"/>
        <v>47080</v>
      </c>
      <c r="BF103" s="108">
        <f t="shared" si="123"/>
        <v>0</v>
      </c>
      <c r="BG103" s="2">
        <f t="shared" si="118"/>
        <v>0</v>
      </c>
    </row>
    <row r="104" spans="1:1212" ht="12" hidden="1" x14ac:dyDescent="0.2">
      <c r="G104" s="114">
        <f t="shared" si="96"/>
        <v>96</v>
      </c>
      <c r="H104" s="111">
        <f t="shared" si="108"/>
        <v>47292</v>
      </c>
      <c r="I104" s="24">
        <f t="shared" si="106"/>
        <v>0</v>
      </c>
      <c r="J104" s="24">
        <f t="shared" si="86"/>
        <v>0</v>
      </c>
      <c r="K104" s="24">
        <f t="shared" si="87"/>
        <v>0</v>
      </c>
      <c r="L104" s="24">
        <f t="shared" si="92"/>
        <v>0</v>
      </c>
      <c r="M104" s="24">
        <f t="shared" si="124"/>
        <v>0</v>
      </c>
      <c r="N104" s="24">
        <f t="shared" si="125"/>
        <v>0</v>
      </c>
      <c r="O104" s="24">
        <f t="shared" si="101"/>
        <v>0</v>
      </c>
      <c r="P104" s="24">
        <f t="shared" si="126"/>
        <v>0</v>
      </c>
      <c r="Q104" s="24">
        <f t="shared" si="88"/>
        <v>0</v>
      </c>
      <c r="R104" s="36">
        <f t="shared" si="103"/>
        <v>0</v>
      </c>
      <c r="S104" s="36">
        <f t="shared" si="89"/>
        <v>0</v>
      </c>
      <c r="T104" s="2">
        <f t="shared" si="119"/>
        <v>2699.22</v>
      </c>
      <c r="U104" s="34">
        <f t="shared" si="120"/>
        <v>30288</v>
      </c>
      <c r="V104" s="57">
        <f t="shared" si="76"/>
        <v>62255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104"/>
        <v>0</v>
      </c>
      <c r="AJ104" s="34">
        <f t="shared" si="80"/>
        <v>30731</v>
      </c>
      <c r="AK104" s="57">
        <f t="shared" si="66"/>
        <v>65175</v>
      </c>
      <c r="AL104" s="130">
        <f t="shared" si="113"/>
        <v>0</v>
      </c>
      <c r="AM104" s="109">
        <f t="shared" si="97"/>
        <v>96</v>
      </c>
      <c r="AN104" s="110">
        <f t="shared" si="109"/>
        <v>47292</v>
      </c>
      <c r="AO104" s="105">
        <f t="shared" si="127"/>
        <v>0</v>
      </c>
      <c r="AP104" s="105">
        <f t="shared" si="90"/>
        <v>0</v>
      </c>
      <c r="AQ104" s="105">
        <f t="shared" si="98"/>
        <v>0</v>
      </c>
      <c r="AR104" s="105">
        <f t="shared" si="91"/>
        <v>0</v>
      </c>
      <c r="AS104" s="105">
        <f t="shared" si="114"/>
        <v>0</v>
      </c>
      <c r="AT104" s="105">
        <f t="shared" si="115"/>
        <v>0</v>
      </c>
      <c r="AU104" s="105">
        <f t="shared" si="116"/>
        <v>0</v>
      </c>
      <c r="AV104" s="105">
        <f t="shared" si="117"/>
        <v>0</v>
      </c>
      <c r="AW104" s="105"/>
      <c r="AX104" s="105"/>
      <c r="AY104" s="105"/>
      <c r="AZ104" s="105"/>
      <c r="BA104" s="105"/>
      <c r="BB104" s="105">
        <f t="shared" si="99"/>
        <v>0</v>
      </c>
      <c r="BC104" s="108">
        <f t="shared" si="107"/>
        <v>0</v>
      </c>
      <c r="BD104" s="108">
        <f t="shared" si="121"/>
        <v>0</v>
      </c>
      <c r="BE104" s="22">
        <f t="shared" si="122"/>
        <v>47110</v>
      </c>
      <c r="BF104" s="108">
        <f t="shared" si="123"/>
        <v>0</v>
      </c>
      <c r="BG104" s="2">
        <f t="shared" si="118"/>
        <v>0</v>
      </c>
    </row>
    <row r="105" spans="1:1212" ht="12" hidden="1" x14ac:dyDescent="0.2">
      <c r="G105" s="114">
        <f t="shared" si="96"/>
        <v>97</v>
      </c>
      <c r="H105" s="111">
        <f t="shared" si="108"/>
        <v>47322</v>
      </c>
      <c r="I105" s="24">
        <f t="shared" si="106"/>
        <v>0</v>
      </c>
      <c r="J105" s="24">
        <f t="shared" si="86"/>
        <v>0</v>
      </c>
      <c r="K105" s="24">
        <f t="shared" ref="K105:K108" si="128">IF(S105=0,0,IF(S105=1,Q104,IF(Q104+L105+J105&gt;I104,I105-J105-L105,Q104)))</f>
        <v>0</v>
      </c>
      <c r="L105" s="24">
        <f t="shared" si="92"/>
        <v>0</v>
      </c>
      <c r="M105" s="24">
        <f t="shared" si="124"/>
        <v>0</v>
      </c>
      <c r="N105" s="24">
        <f t="shared" si="125"/>
        <v>0</v>
      </c>
      <c r="O105" s="24">
        <f t="shared" si="101"/>
        <v>0</v>
      </c>
      <c r="P105" s="24">
        <f t="shared" si="126"/>
        <v>0</v>
      </c>
      <c r="Q105" s="24">
        <f t="shared" si="88"/>
        <v>0</v>
      </c>
      <c r="R105" s="36">
        <f t="shared" si="103"/>
        <v>0</v>
      </c>
      <c r="S105" s="36">
        <f t="shared" si="89"/>
        <v>0</v>
      </c>
      <c r="T105" s="2">
        <f t="shared" si="119"/>
        <v>2573.27</v>
      </c>
      <c r="U105" s="34">
        <f t="shared" si="120"/>
        <v>30288</v>
      </c>
      <c r="V105" s="57">
        <f t="shared" si="76"/>
        <v>62620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 t="e">
        <f t="shared" si="104"/>
        <v>#VALUE!</v>
      </c>
      <c r="AJ105" s="34">
        <f t="shared" si="80"/>
        <v>30731</v>
      </c>
      <c r="AK105" s="57">
        <f t="shared" si="66"/>
        <v>65540</v>
      </c>
      <c r="AL105" s="130">
        <f t="shared" si="113"/>
        <v>0</v>
      </c>
      <c r="AM105" s="109">
        <f t="shared" si="97"/>
        <v>97</v>
      </c>
      <c r="AN105" s="110">
        <f t="shared" si="109"/>
        <v>47322</v>
      </c>
      <c r="AO105" s="105">
        <f t="shared" si="127"/>
        <v>0</v>
      </c>
      <c r="AP105" s="105">
        <f t="shared" si="90"/>
        <v>0</v>
      </c>
      <c r="AQ105" s="105">
        <f t="shared" si="98"/>
        <v>0</v>
      </c>
      <c r="AR105" s="105">
        <f t="shared" ref="AR105:AR109" si="129">IF(AT105&gt;$D$24,$D$24-AP105,IF(BD105=0,0,AV105)+BS153)</f>
        <v>0</v>
      </c>
      <c r="AS105" s="105">
        <f t="shared" si="114"/>
        <v>0</v>
      </c>
      <c r="AT105" s="105">
        <f t="shared" si="115"/>
        <v>0</v>
      </c>
      <c r="AU105" s="105">
        <f t="shared" si="116"/>
        <v>0</v>
      </c>
      <c r="AV105" s="105">
        <f t="shared" si="117"/>
        <v>0</v>
      </c>
      <c r="AW105" s="105"/>
      <c r="AX105" s="105"/>
      <c r="AY105" s="105"/>
      <c r="AZ105" s="105"/>
      <c r="BA105" s="105"/>
      <c r="BB105" s="105">
        <f t="shared" si="99"/>
        <v>0</v>
      </c>
      <c r="BC105" s="108">
        <f t="shared" si="107"/>
        <v>0</v>
      </c>
      <c r="BD105" s="108">
        <f t="shared" si="121"/>
        <v>0</v>
      </c>
      <c r="BE105" s="22">
        <f t="shared" si="122"/>
        <v>47141</v>
      </c>
      <c r="BF105" s="108">
        <f t="shared" si="123"/>
        <v>0</v>
      </c>
      <c r="BG105" s="2">
        <f t="shared" si="118"/>
        <v>0</v>
      </c>
    </row>
    <row r="106" spans="1:1212" ht="12" hidden="1" x14ac:dyDescent="0.2">
      <c r="G106" s="114">
        <f t="shared" si="96"/>
        <v>98</v>
      </c>
      <c r="H106" s="111">
        <f t="shared" si="108"/>
        <v>47353</v>
      </c>
      <c r="I106" s="24">
        <f t="shared" si="106"/>
        <v>0</v>
      </c>
      <c r="J106" s="24">
        <f t="shared" si="86"/>
        <v>0</v>
      </c>
      <c r="K106" s="24">
        <f t="shared" si="128"/>
        <v>0</v>
      </c>
      <c r="L106" s="24">
        <f t="shared" si="92"/>
        <v>0</v>
      </c>
      <c r="M106" s="24">
        <f t="shared" si="124"/>
        <v>0</v>
      </c>
      <c r="N106" s="24">
        <f t="shared" si="125"/>
        <v>0</v>
      </c>
      <c r="O106" s="24">
        <f t="shared" si="101"/>
        <v>0</v>
      </c>
      <c r="P106" s="24">
        <f t="shared" si="126"/>
        <v>0</v>
      </c>
      <c r="Q106" s="24">
        <f t="shared" si="88"/>
        <v>0</v>
      </c>
      <c r="R106" s="36">
        <f t="shared" si="103"/>
        <v>0</v>
      </c>
      <c r="S106" s="36">
        <f t="shared" si="89"/>
        <v>0</v>
      </c>
      <c r="T106" s="2">
        <f t="shared" si="119"/>
        <v>2355.5300000000002</v>
      </c>
      <c r="U106" s="34">
        <f t="shared" si="120"/>
        <v>30288</v>
      </c>
      <c r="V106" s="57">
        <f t="shared" si="76"/>
        <v>62985</v>
      </c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104"/>
        <v>0</v>
      </c>
      <c r="AJ106" s="34">
        <f t="shared" si="80"/>
        <v>30731</v>
      </c>
      <c r="AK106" s="57">
        <f t="shared" si="66"/>
        <v>65905</v>
      </c>
      <c r="AL106" s="130">
        <f t="shared" si="113"/>
        <v>0</v>
      </c>
      <c r="AM106" s="109">
        <f t="shared" si="97"/>
        <v>98</v>
      </c>
      <c r="AN106" s="110">
        <f t="shared" si="109"/>
        <v>47353</v>
      </c>
      <c r="AO106" s="105">
        <f t="shared" si="127"/>
        <v>0</v>
      </c>
      <c r="AP106" s="105">
        <f t="shared" si="90"/>
        <v>0</v>
      </c>
      <c r="AQ106" s="105">
        <f t="shared" si="98"/>
        <v>0</v>
      </c>
      <c r="AR106" s="105">
        <f t="shared" si="129"/>
        <v>0</v>
      </c>
      <c r="AS106" s="105">
        <f t="shared" si="114"/>
        <v>0</v>
      </c>
      <c r="AT106" s="105">
        <f t="shared" si="115"/>
        <v>0</v>
      </c>
      <c r="AU106" s="105">
        <f t="shared" si="116"/>
        <v>0</v>
      </c>
      <c r="AV106" s="105">
        <f t="shared" si="117"/>
        <v>0</v>
      </c>
      <c r="AW106" s="105"/>
      <c r="AX106" s="105"/>
      <c r="AY106" s="105"/>
      <c r="AZ106" s="105"/>
      <c r="BA106" s="105"/>
      <c r="BB106" s="105">
        <f t="shared" si="99"/>
        <v>0</v>
      </c>
      <c r="BC106" s="108">
        <f t="shared" si="107"/>
        <v>0</v>
      </c>
      <c r="BD106" s="108">
        <f t="shared" si="121"/>
        <v>0</v>
      </c>
      <c r="BE106" s="22">
        <f t="shared" si="122"/>
        <v>47172</v>
      </c>
      <c r="BF106" s="108">
        <f t="shared" si="123"/>
        <v>0</v>
      </c>
      <c r="BG106" s="2">
        <f t="shared" si="118"/>
        <v>0</v>
      </c>
    </row>
    <row r="107" spans="1:1212" ht="12" hidden="1" x14ac:dyDescent="0.2">
      <c r="G107" s="114">
        <f t="shared" si="96"/>
        <v>99</v>
      </c>
      <c r="H107" s="111">
        <f t="shared" si="108"/>
        <v>47384</v>
      </c>
      <c r="I107" s="24">
        <f t="shared" si="106"/>
        <v>0</v>
      </c>
      <c r="J107" s="24">
        <f t="shared" si="86"/>
        <v>0</v>
      </c>
      <c r="K107" s="24">
        <f t="shared" si="128"/>
        <v>0</v>
      </c>
      <c r="L107" s="24">
        <f t="shared" si="92"/>
        <v>0</v>
      </c>
      <c r="M107" s="24">
        <f t="shared" si="124"/>
        <v>0</v>
      </c>
      <c r="N107" s="24">
        <f t="shared" si="125"/>
        <v>0</v>
      </c>
      <c r="O107" s="24">
        <f t="shared" si="101"/>
        <v>0</v>
      </c>
      <c r="P107" s="24">
        <f t="shared" si="126"/>
        <v>0</v>
      </c>
      <c r="Q107" s="24">
        <f t="shared" si="88"/>
        <v>0</v>
      </c>
      <c r="R107" s="36">
        <f t="shared" si="103"/>
        <v>0</v>
      </c>
      <c r="S107" s="36">
        <f t="shared" si="89"/>
        <v>0</v>
      </c>
      <c r="T107" s="2">
        <f t="shared" si="119"/>
        <v>2065.8200000000002</v>
      </c>
      <c r="U107" s="34">
        <f t="shared" si="120"/>
        <v>30288</v>
      </c>
      <c r="V107" s="57">
        <f t="shared" si="76"/>
        <v>63350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104"/>
        <v>0</v>
      </c>
      <c r="AJ107" s="34">
        <f t="shared" si="80"/>
        <v>30059.720000000063</v>
      </c>
      <c r="AK107" s="57">
        <f t="shared" si="66"/>
        <v>66270</v>
      </c>
      <c r="AL107" s="130">
        <f t="shared" si="113"/>
        <v>0</v>
      </c>
      <c r="AM107" s="109">
        <f t="shared" si="97"/>
        <v>99</v>
      </c>
      <c r="AN107" s="110">
        <f t="shared" si="109"/>
        <v>47384</v>
      </c>
      <c r="AO107" s="105">
        <f t="shared" si="127"/>
        <v>0</v>
      </c>
      <c r="AP107" s="105">
        <f t="shared" si="90"/>
        <v>0</v>
      </c>
      <c r="AQ107" s="105">
        <f t="shared" si="98"/>
        <v>0</v>
      </c>
      <c r="AR107" s="105">
        <f t="shared" si="129"/>
        <v>0</v>
      </c>
      <c r="AS107" s="105">
        <f t="shared" si="114"/>
        <v>0</v>
      </c>
      <c r="AT107" s="105">
        <f t="shared" si="115"/>
        <v>0</v>
      </c>
      <c r="AU107" s="105">
        <f t="shared" si="116"/>
        <v>0</v>
      </c>
      <c r="AV107" s="105">
        <f t="shared" si="117"/>
        <v>0</v>
      </c>
      <c r="AW107" s="105"/>
      <c r="AX107" s="105"/>
      <c r="AY107" s="105"/>
      <c r="AZ107" s="105"/>
      <c r="BA107" s="105"/>
      <c r="BB107" s="105">
        <f t="shared" si="99"/>
        <v>0</v>
      </c>
      <c r="BC107" s="108">
        <f t="shared" si="107"/>
        <v>0</v>
      </c>
      <c r="BD107" s="108">
        <f t="shared" si="121"/>
        <v>0</v>
      </c>
      <c r="BE107" s="22">
        <f t="shared" si="122"/>
        <v>47200</v>
      </c>
      <c r="BF107" s="108">
        <f t="shared" si="123"/>
        <v>0</v>
      </c>
      <c r="BG107" s="2">
        <f t="shared" si="118"/>
        <v>0</v>
      </c>
    </row>
    <row r="108" spans="1:1212" ht="12" hidden="1" x14ac:dyDescent="0.2">
      <c r="G108" s="114">
        <f t="shared" si="96"/>
        <v>100</v>
      </c>
      <c r="H108" s="111">
        <f t="shared" si="108"/>
        <v>47414</v>
      </c>
      <c r="I108" s="24">
        <f t="shared" si="106"/>
        <v>0</v>
      </c>
      <c r="J108" s="24">
        <f>IF($C$9&gt;$AC$51,ROUND(Q107*$C$12*((H108-DATE(YEAR(H108),MONTH(H108),1)+1)/(DATE(YEAR(H108)+1,1,1)-DATE(YEAR(H108),1,1))+(EOMONTH(H107,0)-H107)/(DATE(YEAR(H107)+1,1,1)-DATE(YEAR(H107),1,1))),2),ROUND(Q106*IF($C$11="Базовый",$C$12,VLOOKUP($C$12,$T$11:$X$25,IF($C$11="Активный",2,IF($C$11="Зарплатный",3,IF($C$11="Пенсионный",4,IF($C$11="Зарплатный пенсионер",5,0)))),FALSE))/(DATEVALUE(CONCATENATE("01/01/",YEAR(H107)+1))-DATEVALUE(CONCATENATE("01/01/",YEAR(H107))))*(H107-H106),2))</f>
        <v>0</v>
      </c>
      <c r="K108" s="24">
        <f t="shared" si="128"/>
        <v>0</v>
      </c>
      <c r="L108" s="24">
        <f t="shared" si="92"/>
        <v>0</v>
      </c>
      <c r="M108" s="24">
        <f t="shared" si="124"/>
        <v>0</v>
      </c>
      <c r="N108" s="24">
        <f t="shared" si="125"/>
        <v>0</v>
      </c>
      <c r="O108" s="24">
        <f t="shared" si="101"/>
        <v>0</v>
      </c>
      <c r="P108" s="24">
        <f t="shared" si="126"/>
        <v>0</v>
      </c>
      <c r="Q108" s="24">
        <f t="shared" si="88"/>
        <v>0</v>
      </c>
      <c r="R108" s="36">
        <f t="shared" si="103"/>
        <v>0</v>
      </c>
      <c r="S108" s="36">
        <f t="shared" si="89"/>
        <v>0</v>
      </c>
      <c r="T108" s="2">
        <f t="shared" si="119"/>
        <v>1909.66</v>
      </c>
      <c r="U108" s="34">
        <f t="shared" si="120"/>
        <v>30288</v>
      </c>
      <c r="V108" s="57">
        <f t="shared" si="76"/>
        <v>63715</v>
      </c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104"/>
        <v>0</v>
      </c>
      <c r="AJ108" s="34">
        <f t="shared" si="80"/>
        <v>0</v>
      </c>
      <c r="AK108" s="57">
        <f t="shared" si="66"/>
        <v>66635</v>
      </c>
      <c r="AL108" s="130">
        <f t="shared" si="113"/>
        <v>0</v>
      </c>
      <c r="AM108" s="109">
        <f t="shared" si="97"/>
        <v>100</v>
      </c>
      <c r="AN108" s="110">
        <f t="shared" si="109"/>
        <v>47414</v>
      </c>
      <c r="AO108" s="105">
        <f t="shared" si="127"/>
        <v>0</v>
      </c>
      <c r="AP108" s="105">
        <f t="shared" si="90"/>
        <v>0</v>
      </c>
      <c r="AQ108" s="105">
        <f t="shared" si="98"/>
        <v>0</v>
      </c>
      <c r="AR108" s="105">
        <f t="shared" si="129"/>
        <v>0</v>
      </c>
      <c r="AS108" s="105">
        <f t="shared" si="114"/>
        <v>0</v>
      </c>
      <c r="AT108" s="105">
        <f t="shared" si="115"/>
        <v>0</v>
      </c>
      <c r="AU108" s="105">
        <f t="shared" si="116"/>
        <v>0</v>
      </c>
      <c r="AV108" s="105">
        <f t="shared" si="117"/>
        <v>0</v>
      </c>
      <c r="AW108" s="105"/>
      <c r="AX108" s="105"/>
      <c r="AY108" s="105"/>
      <c r="AZ108" s="105"/>
      <c r="BA108" s="105"/>
      <c r="BB108" s="105">
        <f t="shared" si="99"/>
        <v>0</v>
      </c>
      <c r="BC108" s="108">
        <f t="shared" si="107"/>
        <v>0</v>
      </c>
      <c r="BD108" s="108">
        <f t="shared" si="121"/>
        <v>0</v>
      </c>
      <c r="BE108" s="22">
        <f t="shared" si="122"/>
        <v>47231</v>
      </c>
      <c r="BF108" s="108">
        <f t="shared" si="123"/>
        <v>0</v>
      </c>
      <c r="BG108" s="2">
        <f t="shared" si="118"/>
        <v>0</v>
      </c>
    </row>
    <row r="109" spans="1:1212" ht="12" x14ac:dyDescent="0.2">
      <c r="G109" s="28"/>
      <c r="H109" s="29" t="s">
        <v>7</v>
      </c>
      <c r="I109" s="30">
        <f>(SUM(I9:I108)-IF(CODE(C11)=209,AF51,0))</f>
        <v>1816696.0699999996</v>
      </c>
      <c r="J109" s="30">
        <f>(SUM(J9:J108)-IF(CODE(D11)=209,AG51,0))</f>
        <v>595796.06999999995</v>
      </c>
      <c r="K109" s="30">
        <f>SUM(K9:K108)</f>
        <v>1220899.9999999998</v>
      </c>
      <c r="L109" s="31">
        <f>SUM(L9:L108)</f>
        <v>0</v>
      </c>
      <c r="M109" s="31"/>
      <c r="N109" s="31"/>
      <c r="O109" s="31"/>
      <c r="P109" s="31"/>
      <c r="Q109" s="31"/>
      <c r="R109" s="31"/>
      <c r="S109" s="51"/>
      <c r="T109" s="2">
        <f t="shared" si="119"/>
        <v>1628.13</v>
      </c>
      <c r="U109" s="34">
        <f t="shared" si="120"/>
        <v>30288</v>
      </c>
      <c r="V109" s="57">
        <f t="shared" si="76"/>
        <v>64080</v>
      </c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104"/>
        <v>0</v>
      </c>
      <c r="AJ109" s="34">
        <f t="shared" si="80"/>
        <v>0</v>
      </c>
      <c r="AK109" s="57">
        <f t="shared" si="66"/>
        <v>67000</v>
      </c>
      <c r="AL109" s="130"/>
      <c r="AM109" s="28"/>
      <c r="AN109" s="29" t="s">
        <v>7</v>
      </c>
      <c r="AO109" s="30">
        <f>(SUM(AO9:AO108)-IF(CODE(C11)=209,BS57,0))</f>
        <v>1843188.72</v>
      </c>
      <c r="AP109" s="30">
        <f>(SUM(AP9:AP108)-IF(CODE(D11)=209,BT57,0))</f>
        <v>681288.71999999974</v>
      </c>
      <c r="AQ109" s="30">
        <f>SUM(AQ9:AQ108)</f>
        <v>1161900.0000000002</v>
      </c>
      <c r="AR109" s="105">
        <f t="shared" si="129"/>
        <v>0</v>
      </c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108">
        <f t="shared" si="107"/>
        <v>0</v>
      </c>
      <c r="BD109" s="108">
        <f t="shared" si="121"/>
        <v>0</v>
      </c>
      <c r="BE109" s="22">
        <f t="shared" si="122"/>
        <v>47261</v>
      </c>
      <c r="BF109" s="108">
        <f t="shared" si="123"/>
        <v>0</v>
      </c>
      <c r="BG109" s="2">
        <f t="shared" si="118"/>
        <v>0</v>
      </c>
    </row>
    <row r="110" spans="1:1212" x14ac:dyDescent="0.2">
      <c r="T110" s="2">
        <f t="shared" si="119"/>
        <v>1451.1</v>
      </c>
      <c r="U110" s="34">
        <f t="shared" si="120"/>
        <v>30288</v>
      </c>
      <c r="V110" s="57">
        <f t="shared" si="76"/>
        <v>64445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 t="e">
        <f t="shared" ref="AI110:AI141" si="130">IF(AND(V79&gt;=$T$22,V79&lt;=$T$22+5),0,IF($C$9&gt;$AC$51,ROUND(AF70*$C$14/(DATEVALUE(CONCATENATE("01/01/",YEAR(W79)+1))-DATEVALUE(CONCATENATE("01/01/",YEAR(W79))))*(W79-W78),2),0))</f>
        <v>#VALUE!</v>
      </c>
      <c r="AJ110" s="34">
        <f t="shared" si="80"/>
        <v>0</v>
      </c>
      <c r="AK110" s="57">
        <f t="shared" si="66"/>
        <v>67365</v>
      </c>
      <c r="AL110" s="130"/>
      <c r="BC110" s="108">
        <f t="shared" si="107"/>
        <v>0</v>
      </c>
      <c r="BD110" s="108">
        <f t="shared" si="121"/>
        <v>0</v>
      </c>
      <c r="BE110" s="22">
        <f t="shared" si="122"/>
        <v>47292</v>
      </c>
      <c r="BF110" s="108">
        <f t="shared" si="123"/>
        <v>0</v>
      </c>
      <c r="BG110" s="2">
        <f t="shared" si="118"/>
        <v>0</v>
      </c>
    </row>
    <row r="111" spans="1:1212" x14ac:dyDescent="0.2">
      <c r="T111" s="2">
        <f t="shared" si="119"/>
        <v>1217.26</v>
      </c>
      <c r="U111" s="34">
        <f t="shared" si="120"/>
        <v>30288</v>
      </c>
      <c r="V111" s="57">
        <f t="shared" si="76"/>
        <v>64810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130"/>
        <v>0</v>
      </c>
      <c r="AJ111" s="34">
        <f t="shared" si="80"/>
        <v>0</v>
      </c>
      <c r="AK111" s="57">
        <f t="shared" si="66"/>
        <v>67730</v>
      </c>
      <c r="AL111" s="130"/>
      <c r="BC111" s="108">
        <f t="shared" si="107"/>
        <v>0</v>
      </c>
      <c r="BD111" s="108">
        <f t="shared" si="121"/>
        <v>0</v>
      </c>
      <c r="BE111" s="22">
        <f t="shared" si="122"/>
        <v>47322</v>
      </c>
      <c r="BF111" s="108">
        <f t="shared" si="123"/>
        <v>0</v>
      </c>
      <c r="BG111" s="2">
        <f t="shared" si="118"/>
        <v>0</v>
      </c>
    </row>
    <row r="112" spans="1:1212" x14ac:dyDescent="0.2">
      <c r="T112" s="2">
        <f t="shared" si="119"/>
        <v>885.22</v>
      </c>
      <c r="U112" s="34">
        <f t="shared" si="120"/>
        <v>30288</v>
      </c>
      <c r="V112" s="57">
        <f t="shared" si="76"/>
        <v>65175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130"/>
        <v>0</v>
      </c>
      <c r="AJ112" s="34">
        <f t="shared" si="80"/>
        <v>0</v>
      </c>
      <c r="AK112" s="57">
        <f t="shared" si="66"/>
        <v>68095</v>
      </c>
      <c r="AL112" s="130"/>
      <c r="BC112" s="108">
        <f t="shared" si="107"/>
        <v>0</v>
      </c>
      <c r="BD112" s="108">
        <f t="shared" si="121"/>
        <v>0</v>
      </c>
      <c r="BE112" s="22">
        <f t="shared" si="122"/>
        <v>47353</v>
      </c>
      <c r="BF112" s="108">
        <f t="shared" si="123"/>
        <v>0</v>
      </c>
      <c r="BG112" s="2">
        <f t="shared" si="118"/>
        <v>0</v>
      </c>
    </row>
    <row r="113" spans="20:59" x14ac:dyDescent="0.2">
      <c r="T113" s="2">
        <f t="shared" si="119"/>
        <v>738.1</v>
      </c>
      <c r="U113" s="34">
        <f t="shared" si="120"/>
        <v>30288</v>
      </c>
      <c r="V113" s="57">
        <f t="shared" si="76"/>
        <v>65540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130"/>
        <v>0</v>
      </c>
      <c r="AJ113" s="34">
        <f t="shared" ref="AJ113:AJ147" si="131">AO74</f>
        <v>0</v>
      </c>
      <c r="AK113" s="57">
        <f t="shared" ref="AK113:AK147" si="132">AK112+365</f>
        <v>68460</v>
      </c>
      <c r="AL113" s="130"/>
      <c r="BC113" s="108">
        <f t="shared" si="107"/>
        <v>0</v>
      </c>
      <c r="BD113" s="108">
        <f t="shared" si="121"/>
        <v>0</v>
      </c>
      <c r="BE113" s="22">
        <f t="shared" si="122"/>
        <v>47384</v>
      </c>
      <c r="BF113" s="108">
        <f t="shared" si="123"/>
        <v>0</v>
      </c>
      <c r="BG113" s="2">
        <f t="shared" si="118"/>
        <v>0</v>
      </c>
    </row>
    <row r="114" spans="20:59" x14ac:dyDescent="0.2">
      <c r="T114" s="2">
        <f t="shared" si="119"/>
        <v>478.09</v>
      </c>
      <c r="U114" s="34">
        <f t="shared" si="120"/>
        <v>30288</v>
      </c>
      <c r="V114" s="57">
        <f t="shared" si="76"/>
        <v>65905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130"/>
        <v>0</v>
      </c>
      <c r="AJ114" s="34">
        <f t="shared" si="131"/>
        <v>0</v>
      </c>
      <c r="AK114" s="57">
        <f t="shared" si="132"/>
        <v>68825</v>
      </c>
      <c r="AL114" s="130"/>
      <c r="BC114" s="108">
        <f t="shared" si="107"/>
        <v>0</v>
      </c>
      <c r="BD114" s="108">
        <f t="shared" si="121"/>
        <v>0</v>
      </c>
      <c r="BE114" s="22">
        <f t="shared" si="122"/>
        <v>47414</v>
      </c>
      <c r="BF114" s="108">
        <f t="shared" si="123"/>
        <v>0</v>
      </c>
      <c r="BG114" s="2">
        <f t="shared" si="118"/>
        <v>0</v>
      </c>
    </row>
    <row r="115" spans="20:59" x14ac:dyDescent="0.2">
      <c r="T115" s="2">
        <f t="shared" si="119"/>
        <v>246.22</v>
      </c>
      <c r="U115" s="34">
        <f t="shared" si="120"/>
        <v>29704.069999999621</v>
      </c>
      <c r="V115" s="57">
        <f t="shared" si="76"/>
        <v>66270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130"/>
        <v>0</v>
      </c>
      <c r="AJ115" s="34">
        <f t="shared" si="131"/>
        <v>0</v>
      </c>
      <c r="AK115" s="57">
        <f t="shared" si="132"/>
        <v>69190</v>
      </c>
      <c r="AL115" s="130"/>
      <c r="BC115" s="31"/>
      <c r="BD115" s="51"/>
      <c r="BE115" s="29" t="s">
        <v>67</v>
      </c>
      <c r="BF115" s="152">
        <f>XIRR(BF7:BF114,BE7:BE114)</f>
        <v>0.2609114110469819</v>
      </c>
      <c r="BG115" s="2">
        <f t="shared" si="118"/>
        <v>0</v>
      </c>
    </row>
    <row r="116" spans="20:59" x14ac:dyDescent="0.2">
      <c r="T116" s="2">
        <f t="shared" si="119"/>
        <v>0</v>
      </c>
      <c r="U116" s="34">
        <f t="shared" si="120"/>
        <v>0</v>
      </c>
      <c r="V116" s="57">
        <f t="shared" si="76"/>
        <v>66635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130"/>
        <v>0</v>
      </c>
      <c r="AJ116" s="34">
        <f t="shared" si="131"/>
        <v>0</v>
      </c>
      <c r="AK116" s="57">
        <f t="shared" si="132"/>
        <v>69555</v>
      </c>
      <c r="AL116" s="130"/>
      <c r="BG116" s="2">
        <f t="shared" si="118"/>
        <v>0</v>
      </c>
    </row>
    <row r="117" spans="20:59" x14ac:dyDescent="0.2">
      <c r="T117" s="2">
        <f t="shared" si="119"/>
        <v>0</v>
      </c>
      <c r="U117" s="34">
        <f t="shared" si="120"/>
        <v>0</v>
      </c>
      <c r="V117" s="57">
        <f t="shared" si="76"/>
        <v>67000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130"/>
        <v>0</v>
      </c>
      <c r="AJ117" s="34">
        <f t="shared" si="131"/>
        <v>0</v>
      </c>
      <c r="AK117" s="57">
        <f t="shared" si="132"/>
        <v>69920</v>
      </c>
      <c r="AL117" s="130"/>
      <c r="BG117" s="2">
        <f t="shared" si="118"/>
        <v>0</v>
      </c>
    </row>
    <row r="118" spans="20:59" x14ac:dyDescent="0.2">
      <c r="T118" s="2">
        <f t="shared" si="119"/>
        <v>0</v>
      </c>
      <c r="U118" s="34">
        <f t="shared" si="120"/>
        <v>0</v>
      </c>
      <c r="V118" s="57">
        <f t="shared" si="76"/>
        <v>67365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 t="e">
        <f t="shared" si="130"/>
        <v>#VALUE!</v>
      </c>
      <c r="AJ118" s="34">
        <f t="shared" si="131"/>
        <v>0</v>
      </c>
      <c r="AK118" s="57">
        <f>AK87+365</f>
        <v>59335</v>
      </c>
      <c r="AL118" s="130"/>
      <c r="BG118" s="2">
        <f t="shared" ref="BG118:BG149" si="133">IF(AND(G73&gt;=$T$22,G73&lt;=$T$22+5),0,IF($C$9&gt;$AC$51,ROUND(BB72*IF($D$14="",0,$D$14)/(DATEVALUE(CONCATENATE("01/01/",YEAR(AN73)+1))-DATEVALUE(CONCATENATE("01/01/",YEAR(AN73))))*(AN73-AN72),2),0))</f>
        <v>0</v>
      </c>
    </row>
    <row r="119" spans="20:59" x14ac:dyDescent="0.2">
      <c r="T119" s="2">
        <f t="shared" si="119"/>
        <v>0</v>
      </c>
      <c r="U119" s="34">
        <f t="shared" si="120"/>
        <v>0</v>
      </c>
      <c r="V119" s="57">
        <f t="shared" si="76"/>
        <v>67730</v>
      </c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130"/>
        <v>0</v>
      </c>
      <c r="AJ119" s="34">
        <f t="shared" si="131"/>
        <v>0</v>
      </c>
      <c r="AK119" s="57">
        <f t="shared" si="132"/>
        <v>59700</v>
      </c>
      <c r="AL119" s="130"/>
      <c r="BG119" s="2">
        <f t="shared" si="133"/>
        <v>0</v>
      </c>
    </row>
    <row r="120" spans="20:59" x14ac:dyDescent="0.2">
      <c r="T120" s="2">
        <f t="shared" ref="T120:T151" si="134">IF(AND(G73&gt;=$T$22,G73&lt;=$T$22+5),0,IF($C$9&gt;$AC$51,ROUND(Q72*$C$14/(DATEVALUE(CONCATENATE("01/01/",YEAR(H73)+1))-DATEVALUE(CONCATENATE("01/01/",YEAR(H73))))*(H73-H72),2),0))</f>
        <v>0</v>
      </c>
      <c r="U120" s="34">
        <f t="shared" ref="U120:U151" si="135">J73+K73+L73-P73</f>
        <v>0</v>
      </c>
      <c r="V120" s="57">
        <f t="shared" si="76"/>
        <v>68095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130"/>
        <v>0</v>
      </c>
      <c r="AJ120" s="34">
        <f t="shared" si="131"/>
        <v>0</v>
      </c>
      <c r="AK120" s="57">
        <f t="shared" si="132"/>
        <v>60065</v>
      </c>
      <c r="AL120" s="130"/>
      <c r="BG120" s="2">
        <f t="shared" si="133"/>
        <v>0</v>
      </c>
    </row>
    <row r="121" spans="20:59" x14ac:dyDescent="0.2">
      <c r="T121" s="2">
        <f t="shared" si="134"/>
        <v>0</v>
      </c>
      <c r="U121" s="34">
        <f t="shared" si="135"/>
        <v>0</v>
      </c>
      <c r="V121" s="57">
        <f t="shared" ref="V121:V155" si="136">V120+365</f>
        <v>68460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130"/>
        <v>0</v>
      </c>
      <c r="AJ121" s="34">
        <f t="shared" si="131"/>
        <v>0</v>
      </c>
      <c r="AK121" s="57">
        <f t="shared" si="132"/>
        <v>60430</v>
      </c>
      <c r="AL121" s="130"/>
      <c r="BG121" s="2">
        <f t="shared" si="133"/>
        <v>0</v>
      </c>
    </row>
    <row r="122" spans="20:59" x14ac:dyDescent="0.2">
      <c r="T122" s="2">
        <f t="shared" si="134"/>
        <v>0</v>
      </c>
      <c r="U122" s="34">
        <f t="shared" si="135"/>
        <v>0</v>
      </c>
      <c r="V122" s="57">
        <f t="shared" si="136"/>
        <v>68825</v>
      </c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130"/>
        <v>0</v>
      </c>
      <c r="AJ122" s="34">
        <f t="shared" si="131"/>
        <v>0</v>
      </c>
      <c r="AK122" s="57">
        <f t="shared" si="132"/>
        <v>60795</v>
      </c>
      <c r="AL122" s="130"/>
      <c r="BG122" s="2">
        <f t="shared" si="133"/>
        <v>0</v>
      </c>
    </row>
    <row r="123" spans="20:59" x14ac:dyDescent="0.2">
      <c r="T123" s="2">
        <f t="shared" si="134"/>
        <v>0</v>
      </c>
      <c r="U123" s="34">
        <f t="shared" si="135"/>
        <v>0</v>
      </c>
      <c r="V123" s="57">
        <f t="shared" si="136"/>
        <v>69190</v>
      </c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 t="e">
        <f t="shared" si="130"/>
        <v>#VALUE!</v>
      </c>
      <c r="AJ123" s="34">
        <f t="shared" si="131"/>
        <v>0</v>
      </c>
      <c r="AK123" s="57">
        <f t="shared" si="132"/>
        <v>61160</v>
      </c>
      <c r="AL123" s="130"/>
      <c r="BG123" s="2">
        <f t="shared" si="133"/>
        <v>0</v>
      </c>
    </row>
    <row r="124" spans="20:59" x14ac:dyDescent="0.2">
      <c r="T124" s="2">
        <f t="shared" si="134"/>
        <v>0</v>
      </c>
      <c r="U124" s="34">
        <f t="shared" si="135"/>
        <v>0</v>
      </c>
      <c r="V124" s="57">
        <f t="shared" si="136"/>
        <v>69555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130"/>
        <v>0</v>
      </c>
      <c r="AJ124" s="34">
        <f t="shared" si="131"/>
        <v>0</v>
      </c>
      <c r="AK124" s="57">
        <f t="shared" si="132"/>
        <v>61525</v>
      </c>
      <c r="AL124" s="130"/>
      <c r="BG124" s="2">
        <f t="shared" si="133"/>
        <v>0</v>
      </c>
    </row>
    <row r="125" spans="20:59" x14ac:dyDescent="0.2">
      <c r="T125" s="2">
        <f t="shared" si="134"/>
        <v>0</v>
      </c>
      <c r="U125" s="34">
        <f t="shared" si="135"/>
        <v>0</v>
      </c>
      <c r="V125" s="57">
        <f t="shared" si="136"/>
        <v>69920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130"/>
        <v>2372645.9</v>
      </c>
      <c r="AJ125" s="34">
        <f t="shared" si="131"/>
        <v>0</v>
      </c>
      <c r="AK125" s="57">
        <f t="shared" si="132"/>
        <v>61890</v>
      </c>
      <c r="AL125" s="130"/>
      <c r="BG125" s="2">
        <f t="shared" si="133"/>
        <v>0</v>
      </c>
    </row>
    <row r="126" spans="20:59" x14ac:dyDescent="0.2">
      <c r="T126" s="2">
        <f t="shared" si="134"/>
        <v>0</v>
      </c>
      <c r="U126" s="34">
        <f t="shared" si="135"/>
        <v>0</v>
      </c>
      <c r="V126" s="57">
        <f>V95+365</f>
        <v>59335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130"/>
        <v>-7117937.7000000002</v>
      </c>
      <c r="AJ126" s="34">
        <f t="shared" si="131"/>
        <v>0</v>
      </c>
      <c r="AK126" s="57">
        <f t="shared" si="132"/>
        <v>62255</v>
      </c>
      <c r="AL126" s="130"/>
      <c r="BG126" s="2">
        <f t="shared" si="133"/>
        <v>0</v>
      </c>
    </row>
    <row r="127" spans="20:59" x14ac:dyDescent="0.2">
      <c r="T127" s="2">
        <f t="shared" si="134"/>
        <v>0</v>
      </c>
      <c r="U127" s="34">
        <f t="shared" si="135"/>
        <v>0</v>
      </c>
      <c r="V127" s="57">
        <f t="shared" si="136"/>
        <v>59700</v>
      </c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130"/>
        <v>0</v>
      </c>
      <c r="AJ127" s="34">
        <f t="shared" si="131"/>
        <v>0</v>
      </c>
      <c r="AK127" s="57">
        <f t="shared" si="132"/>
        <v>62620</v>
      </c>
      <c r="BG127" s="2">
        <f t="shared" si="133"/>
        <v>0</v>
      </c>
    </row>
    <row r="128" spans="20:59" x14ac:dyDescent="0.2">
      <c r="T128" s="2">
        <f t="shared" si="134"/>
        <v>0</v>
      </c>
      <c r="U128" s="34">
        <f t="shared" si="135"/>
        <v>0</v>
      </c>
      <c r="V128" s="57">
        <f t="shared" si="136"/>
        <v>60065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60"/>
      <c r="AI128" s="2">
        <f t="shared" si="130"/>
        <v>0</v>
      </c>
      <c r="AJ128" s="34">
        <f t="shared" si="131"/>
        <v>0</v>
      </c>
      <c r="AK128" s="57">
        <f t="shared" si="132"/>
        <v>62985</v>
      </c>
      <c r="BG128" s="2">
        <f t="shared" si="133"/>
        <v>0</v>
      </c>
    </row>
    <row r="129" spans="20:59" x14ac:dyDescent="0.2">
      <c r="T129" s="2">
        <f t="shared" si="134"/>
        <v>0</v>
      </c>
      <c r="U129" s="34">
        <f t="shared" si="135"/>
        <v>0</v>
      </c>
      <c r="V129" s="57">
        <f t="shared" si="136"/>
        <v>60430</v>
      </c>
      <c r="W129" s="16"/>
      <c r="X129" s="16"/>
      <c r="Y129" s="16"/>
      <c r="Z129" s="16"/>
      <c r="AA129" s="16"/>
      <c r="AB129" s="33"/>
      <c r="AC129" s="33"/>
      <c r="AD129" s="33"/>
      <c r="AE129" s="33"/>
      <c r="AF129" s="16"/>
      <c r="AI129" s="2">
        <f t="shared" si="130"/>
        <v>0</v>
      </c>
      <c r="AJ129" s="34">
        <f t="shared" si="131"/>
        <v>0</v>
      </c>
      <c r="AK129" s="57">
        <f t="shared" si="132"/>
        <v>63350</v>
      </c>
      <c r="BG129" s="2">
        <f t="shared" si="133"/>
        <v>0</v>
      </c>
    </row>
    <row r="130" spans="20:59" x14ac:dyDescent="0.2">
      <c r="T130" s="2">
        <f t="shared" si="134"/>
        <v>0</v>
      </c>
      <c r="U130" s="34">
        <f t="shared" si="135"/>
        <v>0</v>
      </c>
      <c r="V130" s="57">
        <f t="shared" si="136"/>
        <v>60795</v>
      </c>
      <c r="W130" s="16"/>
      <c r="X130" s="16"/>
      <c r="AI130" s="2">
        <f t="shared" si="130"/>
        <v>0</v>
      </c>
      <c r="AJ130" s="34">
        <f t="shared" si="131"/>
        <v>0</v>
      </c>
      <c r="AK130" s="57">
        <f t="shared" si="132"/>
        <v>63715</v>
      </c>
      <c r="BG130" s="2">
        <f t="shared" si="133"/>
        <v>0</v>
      </c>
    </row>
    <row r="131" spans="20:59" x14ac:dyDescent="0.2">
      <c r="T131" s="2">
        <f t="shared" si="134"/>
        <v>0</v>
      </c>
      <c r="U131" s="34">
        <f t="shared" si="135"/>
        <v>0</v>
      </c>
      <c r="V131" s="57">
        <f t="shared" si="136"/>
        <v>61160</v>
      </c>
      <c r="W131" s="16"/>
      <c r="X131" s="16"/>
      <c r="AI131" s="2">
        <f t="shared" si="130"/>
        <v>0</v>
      </c>
      <c r="AJ131" s="34">
        <f t="shared" si="131"/>
        <v>0</v>
      </c>
      <c r="AK131" s="57">
        <f t="shared" si="132"/>
        <v>64080</v>
      </c>
      <c r="BG131" s="2">
        <f t="shared" si="133"/>
        <v>0</v>
      </c>
    </row>
    <row r="132" spans="20:59" x14ac:dyDescent="0.2">
      <c r="T132" s="2">
        <f t="shared" si="134"/>
        <v>0</v>
      </c>
      <c r="U132" s="34">
        <f t="shared" si="135"/>
        <v>0</v>
      </c>
      <c r="V132" s="57">
        <f t="shared" si="136"/>
        <v>61525</v>
      </c>
      <c r="W132" s="16"/>
      <c r="X132" s="16"/>
      <c r="AI132" s="2">
        <f t="shared" si="130"/>
        <v>0</v>
      </c>
      <c r="AJ132" s="34">
        <f t="shared" si="131"/>
        <v>0</v>
      </c>
      <c r="AK132" s="57">
        <f t="shared" si="132"/>
        <v>64445</v>
      </c>
      <c r="BG132" s="2">
        <f t="shared" si="133"/>
        <v>0</v>
      </c>
    </row>
    <row r="133" spans="20:59" x14ac:dyDescent="0.2">
      <c r="T133" s="2">
        <f t="shared" si="134"/>
        <v>0</v>
      </c>
      <c r="U133" s="34">
        <f t="shared" si="135"/>
        <v>0</v>
      </c>
      <c r="V133" s="57">
        <f t="shared" si="136"/>
        <v>61890</v>
      </c>
      <c r="W133" s="16"/>
      <c r="X133" s="16"/>
      <c r="AI133" s="2">
        <f t="shared" si="130"/>
        <v>0</v>
      </c>
      <c r="AJ133" s="34">
        <f t="shared" si="131"/>
        <v>0</v>
      </c>
      <c r="AK133" s="57">
        <f t="shared" si="132"/>
        <v>64810</v>
      </c>
      <c r="BG133" s="2">
        <f t="shared" si="133"/>
        <v>0</v>
      </c>
    </row>
    <row r="134" spans="20:59" x14ac:dyDescent="0.2">
      <c r="T134" s="2">
        <f t="shared" si="134"/>
        <v>0</v>
      </c>
      <c r="U134" s="34">
        <f t="shared" si="135"/>
        <v>0</v>
      </c>
      <c r="V134" s="57">
        <f t="shared" si="136"/>
        <v>62255</v>
      </c>
      <c r="W134" s="16"/>
      <c r="X134" s="16"/>
      <c r="AI134" s="2">
        <f t="shared" si="130"/>
        <v>0</v>
      </c>
      <c r="AJ134" s="34">
        <f t="shared" si="131"/>
        <v>0</v>
      </c>
      <c r="AK134" s="57">
        <f t="shared" si="132"/>
        <v>65175</v>
      </c>
      <c r="BG134" s="2">
        <f t="shared" si="133"/>
        <v>0</v>
      </c>
    </row>
    <row r="135" spans="20:59" x14ac:dyDescent="0.2">
      <c r="T135" s="2">
        <f t="shared" si="134"/>
        <v>0</v>
      </c>
      <c r="U135" s="34">
        <f t="shared" si="135"/>
        <v>0</v>
      </c>
      <c r="V135" s="57">
        <f t="shared" si="136"/>
        <v>62620</v>
      </c>
      <c r="W135" s="16"/>
      <c r="X135" s="16"/>
      <c r="AI135" s="2">
        <f t="shared" si="130"/>
        <v>0</v>
      </c>
      <c r="AJ135" s="34">
        <f t="shared" si="131"/>
        <v>0</v>
      </c>
      <c r="AK135" s="57">
        <f t="shared" si="132"/>
        <v>65540</v>
      </c>
      <c r="BG135" s="2">
        <f t="shared" si="133"/>
        <v>0</v>
      </c>
    </row>
    <row r="136" spans="20:59" x14ac:dyDescent="0.2">
      <c r="T136" s="2">
        <f t="shared" si="134"/>
        <v>0</v>
      </c>
      <c r="U136" s="34">
        <f t="shared" si="135"/>
        <v>0</v>
      </c>
      <c r="V136" s="57">
        <f t="shared" si="136"/>
        <v>62985</v>
      </c>
      <c r="W136" s="16"/>
      <c r="X136" s="16"/>
      <c r="AI136" s="2">
        <f t="shared" si="130"/>
        <v>0</v>
      </c>
      <c r="AJ136" s="34">
        <f t="shared" si="131"/>
        <v>0</v>
      </c>
      <c r="AK136" s="57">
        <f t="shared" si="132"/>
        <v>65905</v>
      </c>
      <c r="BG136" s="2">
        <f t="shared" si="133"/>
        <v>0</v>
      </c>
    </row>
    <row r="137" spans="20:59" x14ac:dyDescent="0.2">
      <c r="T137" s="2">
        <f t="shared" si="134"/>
        <v>0</v>
      </c>
      <c r="U137" s="34">
        <f t="shared" si="135"/>
        <v>0</v>
      </c>
      <c r="V137" s="57">
        <f t="shared" si="136"/>
        <v>63350</v>
      </c>
      <c r="AI137" s="2">
        <f t="shared" si="130"/>
        <v>0</v>
      </c>
      <c r="AJ137" s="34">
        <f t="shared" si="131"/>
        <v>0</v>
      </c>
      <c r="AK137" s="57">
        <f t="shared" si="132"/>
        <v>66270</v>
      </c>
      <c r="BG137" s="2">
        <f t="shared" si="133"/>
        <v>0</v>
      </c>
    </row>
    <row r="138" spans="20:59" x14ac:dyDescent="0.2">
      <c r="T138" s="2">
        <f t="shared" si="134"/>
        <v>0</v>
      </c>
      <c r="U138" s="34">
        <f t="shared" si="135"/>
        <v>0</v>
      </c>
      <c r="V138" s="57">
        <f t="shared" si="136"/>
        <v>63715</v>
      </c>
      <c r="AI138" s="2">
        <f t="shared" si="130"/>
        <v>0</v>
      </c>
      <c r="AJ138" s="34">
        <f t="shared" si="131"/>
        <v>0</v>
      </c>
      <c r="AK138" s="57">
        <f t="shared" si="132"/>
        <v>66635</v>
      </c>
      <c r="BG138" s="2">
        <f t="shared" si="133"/>
        <v>0</v>
      </c>
    </row>
    <row r="139" spans="20:59" x14ac:dyDescent="0.2">
      <c r="T139" s="2">
        <f t="shared" si="134"/>
        <v>0</v>
      </c>
      <c r="U139" s="34">
        <f t="shared" si="135"/>
        <v>0</v>
      </c>
      <c r="V139" s="57">
        <f t="shared" si="136"/>
        <v>64080</v>
      </c>
      <c r="AI139" s="2">
        <f t="shared" si="130"/>
        <v>0</v>
      </c>
      <c r="AJ139" s="34">
        <f t="shared" si="131"/>
        <v>0</v>
      </c>
      <c r="AK139" s="57">
        <f t="shared" si="132"/>
        <v>67000</v>
      </c>
      <c r="BG139" s="2">
        <f t="shared" si="133"/>
        <v>0</v>
      </c>
    </row>
    <row r="140" spans="20:59" x14ac:dyDescent="0.2">
      <c r="T140" s="2">
        <f t="shared" si="134"/>
        <v>0</v>
      </c>
      <c r="U140" s="34">
        <f t="shared" si="135"/>
        <v>0</v>
      </c>
      <c r="V140" s="57">
        <f t="shared" si="136"/>
        <v>64445</v>
      </c>
      <c r="AI140" s="2">
        <f t="shared" si="130"/>
        <v>0</v>
      </c>
      <c r="AJ140" s="34">
        <f t="shared" si="131"/>
        <v>0</v>
      </c>
      <c r="AK140" s="57">
        <f t="shared" si="132"/>
        <v>67365</v>
      </c>
      <c r="BG140" s="2">
        <f t="shared" si="133"/>
        <v>0</v>
      </c>
    </row>
    <row r="141" spans="20:59" x14ac:dyDescent="0.2">
      <c r="T141" s="2">
        <f t="shared" si="134"/>
        <v>0</v>
      </c>
      <c r="U141" s="34">
        <f t="shared" si="135"/>
        <v>0</v>
      </c>
      <c r="V141" s="57">
        <f t="shared" si="136"/>
        <v>64810</v>
      </c>
      <c r="AI141" s="2">
        <f t="shared" si="130"/>
        <v>0</v>
      </c>
      <c r="AJ141" s="34">
        <f t="shared" si="131"/>
        <v>0</v>
      </c>
      <c r="AK141" s="57">
        <f t="shared" si="132"/>
        <v>67730</v>
      </c>
      <c r="BG141" s="2">
        <f t="shared" si="133"/>
        <v>0</v>
      </c>
    </row>
    <row r="142" spans="20:59" x14ac:dyDescent="0.2">
      <c r="T142" s="2">
        <f t="shared" si="134"/>
        <v>0</v>
      </c>
      <c r="U142" s="34">
        <f t="shared" si="135"/>
        <v>0</v>
      </c>
      <c r="V142" s="57">
        <f t="shared" si="136"/>
        <v>65175</v>
      </c>
      <c r="AI142" s="2">
        <f t="shared" ref="AI142:AI147" si="137">IF(AND(V111&gt;=$T$22,V111&lt;=$T$22+5),0,IF($C$9&gt;$AC$51,ROUND(AF102*$C$14/(DATEVALUE(CONCATENATE("01/01/",YEAR(W111)+1))-DATEVALUE(CONCATENATE("01/01/",YEAR(W111))))*(W111-W110),2),0))</f>
        <v>0</v>
      </c>
      <c r="AJ142" s="34">
        <f t="shared" si="131"/>
        <v>0</v>
      </c>
      <c r="AK142" s="57">
        <f t="shared" si="132"/>
        <v>68095</v>
      </c>
      <c r="BG142" s="2">
        <f t="shared" si="133"/>
        <v>0</v>
      </c>
    </row>
    <row r="143" spans="20:59" x14ac:dyDescent="0.2">
      <c r="T143" s="2">
        <f t="shared" si="134"/>
        <v>0</v>
      </c>
      <c r="U143" s="34">
        <f t="shared" si="135"/>
        <v>0</v>
      </c>
      <c r="V143" s="57">
        <f t="shared" si="136"/>
        <v>65540</v>
      </c>
      <c r="AI143" s="2">
        <f t="shared" si="137"/>
        <v>0</v>
      </c>
      <c r="AJ143" s="34">
        <f t="shared" si="131"/>
        <v>0</v>
      </c>
      <c r="AK143" s="57">
        <f t="shared" si="132"/>
        <v>68460</v>
      </c>
      <c r="BG143" s="2">
        <f t="shared" si="133"/>
        <v>0</v>
      </c>
    </row>
    <row r="144" spans="20:59" x14ac:dyDescent="0.2">
      <c r="T144" s="2">
        <f t="shared" si="134"/>
        <v>0</v>
      </c>
      <c r="U144" s="34">
        <f t="shared" si="135"/>
        <v>0</v>
      </c>
      <c r="V144" s="57">
        <f t="shared" si="136"/>
        <v>65905</v>
      </c>
      <c r="AI144" s="2">
        <f t="shared" si="137"/>
        <v>0</v>
      </c>
      <c r="AJ144" s="34">
        <f t="shared" si="131"/>
        <v>0</v>
      </c>
      <c r="AK144" s="57">
        <f t="shared" si="132"/>
        <v>68825</v>
      </c>
      <c r="BG144" s="2">
        <f t="shared" si="133"/>
        <v>0</v>
      </c>
    </row>
    <row r="145" spans="20:59" x14ac:dyDescent="0.2">
      <c r="T145" s="2">
        <f t="shared" si="134"/>
        <v>0</v>
      </c>
      <c r="U145" s="34">
        <f t="shared" si="135"/>
        <v>0</v>
      </c>
      <c r="V145" s="57">
        <f t="shared" si="136"/>
        <v>66270</v>
      </c>
      <c r="AI145" s="2">
        <f t="shared" si="137"/>
        <v>0</v>
      </c>
      <c r="AJ145" s="34">
        <f t="shared" si="131"/>
        <v>0</v>
      </c>
      <c r="AK145" s="57">
        <f t="shared" si="132"/>
        <v>69190</v>
      </c>
      <c r="BG145" s="2">
        <f t="shared" si="133"/>
        <v>0</v>
      </c>
    </row>
    <row r="146" spans="20:59" x14ac:dyDescent="0.2">
      <c r="T146" s="2">
        <f t="shared" si="134"/>
        <v>0</v>
      </c>
      <c r="U146" s="34">
        <f t="shared" si="135"/>
        <v>0</v>
      </c>
      <c r="V146" s="57">
        <f t="shared" si="136"/>
        <v>66635</v>
      </c>
      <c r="AI146" s="2">
        <f t="shared" si="137"/>
        <v>0</v>
      </c>
      <c r="AJ146" s="34">
        <f t="shared" si="131"/>
        <v>0</v>
      </c>
      <c r="AK146" s="57">
        <f t="shared" si="132"/>
        <v>69555</v>
      </c>
      <c r="BG146" s="2">
        <f t="shared" si="133"/>
        <v>0</v>
      </c>
    </row>
    <row r="147" spans="20:59" x14ac:dyDescent="0.2">
      <c r="T147" s="2">
        <f t="shared" si="134"/>
        <v>0</v>
      </c>
      <c r="U147" s="34">
        <f t="shared" si="135"/>
        <v>0</v>
      </c>
      <c r="V147" s="57">
        <f t="shared" si="136"/>
        <v>67000</v>
      </c>
      <c r="AI147" s="2">
        <f t="shared" si="137"/>
        <v>0</v>
      </c>
      <c r="AJ147" s="34">
        <f t="shared" si="131"/>
        <v>0</v>
      </c>
      <c r="AK147" s="57">
        <f t="shared" si="132"/>
        <v>69920</v>
      </c>
      <c r="BG147" s="2">
        <f t="shared" si="133"/>
        <v>0</v>
      </c>
    </row>
    <row r="148" spans="20:59" x14ac:dyDescent="0.2">
      <c r="T148" s="2">
        <f t="shared" si="134"/>
        <v>0</v>
      </c>
      <c r="U148" s="34">
        <f t="shared" si="135"/>
        <v>0</v>
      </c>
      <c r="V148" s="57">
        <f t="shared" si="136"/>
        <v>67365</v>
      </c>
      <c r="AI148" s="35" t="e">
        <f>SUM(AI48:AI147)</f>
        <v>#REF!</v>
      </c>
      <c r="AJ148" s="35">
        <f>SUM(AJ48:AJ147)</f>
        <v>1843188.72</v>
      </c>
      <c r="AK148" s="154">
        <f>XIRR(AJ46:AJ147,AK46:AK147)*12</f>
        <v>0.19908910989761358</v>
      </c>
      <c r="BG148" s="2">
        <f t="shared" si="133"/>
        <v>0</v>
      </c>
    </row>
    <row r="149" spans="20:59" x14ac:dyDescent="0.2">
      <c r="T149" s="2">
        <f t="shared" si="134"/>
        <v>0</v>
      </c>
      <c r="U149" s="34">
        <f t="shared" si="135"/>
        <v>0</v>
      </c>
      <c r="V149" s="57">
        <f t="shared" si="136"/>
        <v>67730</v>
      </c>
      <c r="BG149" s="2">
        <f t="shared" si="133"/>
        <v>0</v>
      </c>
    </row>
    <row r="150" spans="20:59" x14ac:dyDescent="0.2">
      <c r="T150" s="2">
        <f t="shared" si="134"/>
        <v>0</v>
      </c>
      <c r="U150" s="34">
        <f t="shared" si="135"/>
        <v>0</v>
      </c>
      <c r="V150" s="57">
        <f t="shared" si="136"/>
        <v>68095</v>
      </c>
      <c r="BG150" s="2">
        <f t="shared" ref="BG150:BG153" si="138">IF(AND(G105&gt;=$T$22,G105&lt;=$T$22+5),0,IF($C$9&gt;$AC$51,ROUND(BB104*IF($D$14="",0,$D$14)/(DATEVALUE(CONCATENATE("01/01/",YEAR(AN105)+1))-DATEVALUE(CONCATENATE("01/01/",YEAR(AN105))))*(AN105-AN104),2),0))</f>
        <v>0</v>
      </c>
    </row>
    <row r="151" spans="20:59" x14ac:dyDescent="0.2">
      <c r="T151" s="2">
        <f t="shared" si="134"/>
        <v>0</v>
      </c>
      <c r="U151" s="34">
        <f t="shared" si="135"/>
        <v>0</v>
      </c>
      <c r="V151" s="57">
        <f t="shared" si="136"/>
        <v>68460</v>
      </c>
      <c r="BG151" s="2">
        <f t="shared" si="138"/>
        <v>0</v>
      </c>
    </row>
    <row r="152" spans="20:59" x14ac:dyDescent="0.2">
      <c r="T152" s="2">
        <f t="shared" ref="T152:T155" si="139">IF(AND(G105&gt;=$T$22,G105&lt;=$T$22+5),0,IF($C$9&gt;$AC$51,ROUND(Q104*$C$14/(DATEVALUE(CONCATENATE("01/01/",YEAR(H105)+1))-DATEVALUE(CONCATENATE("01/01/",YEAR(H105))))*(H105-H104),2),0))</f>
        <v>0</v>
      </c>
      <c r="U152" s="34">
        <f t="shared" ref="U152:U155" si="140">J105+K105+L105-P105</f>
        <v>0</v>
      </c>
      <c r="V152" s="57">
        <f t="shared" si="136"/>
        <v>68825</v>
      </c>
      <c r="BG152" s="2">
        <f t="shared" si="138"/>
        <v>0</v>
      </c>
    </row>
    <row r="153" spans="20:59" x14ac:dyDescent="0.2">
      <c r="T153" s="2">
        <f t="shared" si="139"/>
        <v>0</v>
      </c>
      <c r="U153" s="34">
        <f t="shared" si="140"/>
        <v>0</v>
      </c>
      <c r="V153" s="57">
        <f t="shared" si="136"/>
        <v>69190</v>
      </c>
      <c r="BG153" s="2">
        <f t="shared" si="138"/>
        <v>0</v>
      </c>
    </row>
    <row r="154" spans="20:59" x14ac:dyDescent="0.2">
      <c r="T154" s="2">
        <f t="shared" si="139"/>
        <v>0</v>
      </c>
      <c r="U154" s="34">
        <f t="shared" si="140"/>
        <v>0</v>
      </c>
      <c r="V154" s="57">
        <f t="shared" si="136"/>
        <v>69555</v>
      </c>
      <c r="BG154" s="35">
        <f>SUM(BG54:BG153)</f>
        <v>0</v>
      </c>
    </row>
    <row r="155" spans="20:59" x14ac:dyDescent="0.2">
      <c r="T155" s="2">
        <f t="shared" si="139"/>
        <v>0</v>
      </c>
      <c r="U155" s="34">
        <f t="shared" si="140"/>
        <v>0</v>
      </c>
      <c r="V155" s="57">
        <f t="shared" si="136"/>
        <v>69920</v>
      </c>
    </row>
    <row r="156" spans="20:59" x14ac:dyDescent="0.2">
      <c r="T156" s="35">
        <f>SUM(T56:T155)</f>
        <v>349015.12999999995</v>
      </c>
      <c r="U156" s="35">
        <f>SUM(U56:U155)</f>
        <v>1816696.0699999996</v>
      </c>
      <c r="V156" s="154">
        <f>XIRR(U54:U155,V54:V155)*12</f>
        <v>0.16907383203506471</v>
      </c>
    </row>
    <row r="157" spans="20:59" x14ac:dyDescent="0.2">
      <c r="U157" s="34"/>
      <c r="V157" s="57"/>
    </row>
    <row r="158" spans="20:59" x14ac:dyDescent="0.2">
      <c r="U158" s="34"/>
      <c r="V158" s="57"/>
    </row>
    <row r="159" spans="20:59" x14ac:dyDescent="0.2">
      <c r="U159" s="34"/>
      <c r="V159" s="57"/>
    </row>
    <row r="160" spans="20:59" x14ac:dyDescent="0.2">
      <c r="U160" s="34"/>
      <c r="V160" s="57"/>
    </row>
  </sheetData>
  <sheetProtection sheet="1" selectLockedCells="1"/>
  <dataConsolidate/>
  <mergeCells count="68">
    <mergeCell ref="AM3:AX4"/>
    <mergeCell ref="AY3:BC4"/>
    <mergeCell ref="AM6:AM7"/>
    <mergeCell ref="AN6:AN7"/>
    <mergeCell ref="AO6:AO7"/>
    <mergeCell ref="AP6:AP7"/>
    <mergeCell ref="AQ6:AQ7"/>
    <mergeCell ref="BB6:BB7"/>
    <mergeCell ref="O6:O7"/>
    <mergeCell ref="P6:P7"/>
    <mergeCell ref="G6:G7"/>
    <mergeCell ref="H6:H7"/>
    <mergeCell ref="I6:I7"/>
    <mergeCell ref="J6:J7"/>
    <mergeCell ref="K6:K7"/>
    <mergeCell ref="BI3:BO3"/>
    <mergeCell ref="BI6:BO6"/>
    <mergeCell ref="BJ10:BJ11"/>
    <mergeCell ref="BI10:BI11"/>
    <mergeCell ref="BO7:BO8"/>
    <mergeCell ref="BI7:BI8"/>
    <mergeCell ref="BJ7:BJ8"/>
    <mergeCell ref="BM7:BM8"/>
    <mergeCell ref="BN7:BN8"/>
    <mergeCell ref="D43:D49"/>
    <mergeCell ref="C6:D6"/>
    <mergeCell ref="C10:D10"/>
    <mergeCell ref="A9:B9"/>
    <mergeCell ref="C9:D9"/>
    <mergeCell ref="A10:B10"/>
    <mergeCell ref="A41:B41"/>
    <mergeCell ref="A37:E37"/>
    <mergeCell ref="A36:B36"/>
    <mergeCell ref="A38:A39"/>
    <mergeCell ref="A40:B40"/>
    <mergeCell ref="A35:B35"/>
    <mergeCell ref="A33:B33"/>
    <mergeCell ref="A27:B27"/>
    <mergeCell ref="A11:B11"/>
    <mergeCell ref="BJ13:BJ14"/>
    <mergeCell ref="A21:E21"/>
    <mergeCell ref="A12:B12"/>
    <mergeCell ref="A23:B23"/>
    <mergeCell ref="BI33:BI35"/>
    <mergeCell ref="A30:B30"/>
    <mergeCell ref="A34:B34"/>
    <mergeCell ref="A31:B31"/>
    <mergeCell ref="A28:B28"/>
    <mergeCell ref="A29:B29"/>
    <mergeCell ref="A32:B32"/>
    <mergeCell ref="BI13:BI14"/>
    <mergeCell ref="A26:B26"/>
    <mergeCell ref="A1:E2"/>
    <mergeCell ref="A25:B25"/>
    <mergeCell ref="A5:E5"/>
    <mergeCell ref="G3:R4"/>
    <mergeCell ref="A7:B7"/>
    <mergeCell ref="C7:D7"/>
    <mergeCell ref="A13:A18"/>
    <mergeCell ref="A8:B8"/>
    <mergeCell ref="A24:B24"/>
    <mergeCell ref="A3:E3"/>
    <mergeCell ref="A19:A20"/>
    <mergeCell ref="A6:B6"/>
    <mergeCell ref="Q6:Q7"/>
    <mergeCell ref="L6:L7"/>
    <mergeCell ref="M6:M7"/>
    <mergeCell ref="N6:N7"/>
  </mergeCells>
  <dataValidations count="5">
    <dataValidation type="list" allowBlank="1" showInputMessage="1" showErrorMessage="1" sqref="C11:D11">
      <formula1>$T$3:$X$3</formula1>
    </dataValidation>
    <dataValidation type="list" allowBlank="1" showInputMessage="1" showErrorMessage="1" sqref="C19:D19">
      <formula1>$V$40:$W$40</formula1>
    </dataValidation>
    <dataValidation type="list" allowBlank="1" showInputMessage="1" showErrorMessage="1" sqref="C13:D13">
      <formula1>$Z$30:$AA$30</formula1>
    </dataValidation>
    <dataValidation type="list" allowBlank="1" showInputMessage="1" showErrorMessage="1" sqref="C8:D8">
      <formula1>$Z$59:$AG$59</formula1>
    </dataValidation>
    <dataValidation type="list" allowBlank="1" showInputMessage="1" showErrorMessage="1" sqref="C12:D12">
      <formula1>IF($C$11=$T$3,$T$5:$T$21,IF($C$11=$U$3,$U$5:$U$21,IF($C$11=$V$3,$V$5:$V$21,IF($C$11=$W$3,$W$5:$W$21,IF($C$11=$X$3,$X$5:$X$21)))))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8" orientation="portrait" r:id="rId1"/>
  <colBreaks count="1" manualBreakCount="1">
    <brk id="5" max="108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V154"/>
  <sheetViews>
    <sheetView showGridLines="0" tabSelected="1" view="pageBreakPreview" zoomScale="80" zoomScaleNormal="90" zoomScaleSheetLayoutView="80" workbookViewId="0">
      <selection activeCell="A20" sqref="A20:E2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4" style="2" customWidth="1"/>
    <col min="20" max="20" width="10.57031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1" width="14.42578125" style="2" hidden="1" customWidth="1"/>
    <col min="42" max="42" width="2.28515625" style="2" hidden="1" customWidth="1"/>
    <col min="43" max="43" width="7.7109375" style="2" customWidth="1"/>
    <col min="44" max="44" width="12.28515625" style="2" customWidth="1"/>
    <col min="45" max="45" width="11.140625" style="2" customWidth="1"/>
    <col min="46" max="46" width="14.42578125" style="2" hidden="1" customWidth="1"/>
    <col min="47" max="47" width="14.42578125" style="2" customWidth="1"/>
    <col min="48" max="48" width="12.855468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11.42578125" style="2" hidden="1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0.5703125" style="2" hidden="1" customWidth="1"/>
    <col min="80" max="85" width="8.7109375" style="2" customWidth="1"/>
    <col min="86" max="16384" width="8.7109375" style="2"/>
  </cols>
  <sheetData>
    <row r="1" spans="1:79" ht="12.75" customHeight="1" x14ac:dyDescent="0.3">
      <c r="A1" s="757" t="s">
        <v>470</v>
      </c>
      <c r="B1" s="758"/>
      <c r="C1" s="758"/>
      <c r="D1" s="758"/>
      <c r="E1" s="759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23"/>
      <c r="B2" s="824"/>
      <c r="C2" s="824"/>
      <c r="D2" s="824"/>
      <c r="E2" s="825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770" t="s">
        <v>196</v>
      </c>
      <c r="B3" s="771"/>
      <c r="C3" s="771"/>
      <c r="D3" s="771"/>
      <c r="E3" s="772"/>
      <c r="F3" s="310"/>
      <c r="G3" s="826" t="str">
        <f>CONCATENATE("ГРАФИК ПЛАТЕЖЕЙ - ТАРИФ ОПТИМИСТИЧНЫЙ",IF(C16="Да"," + ГАРАНТИРОВАННАЯ СТАВКА",""))</f>
        <v>ГРАФИК ПЛАТЕЖЕЙ - ТАРИФ ОПТИМИСТИЧНЫЙ + ГАРАНТИРОВАННАЯ СТАВКА</v>
      </c>
      <c r="H3" s="826"/>
      <c r="I3" s="826"/>
      <c r="J3" s="826"/>
      <c r="K3" s="826"/>
      <c r="L3" s="826"/>
      <c r="M3" s="826"/>
      <c r="N3" s="826"/>
      <c r="O3" s="826"/>
      <c r="P3" s="826"/>
      <c r="Q3" s="826"/>
      <c r="R3" s="826"/>
      <c r="S3" s="826"/>
      <c r="T3" s="826"/>
      <c r="U3" s="826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1101" t="s">
        <v>471</v>
      </c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1101"/>
      <c r="BD3" s="1101"/>
      <c r="BE3" s="1101"/>
      <c r="BF3" s="1101"/>
      <c r="BG3" s="1101"/>
      <c r="BH3" s="1101"/>
      <c r="BI3" s="1101"/>
      <c r="BJ3" s="102"/>
      <c r="BK3" s="102"/>
      <c r="BL3" s="102"/>
      <c r="BO3" s="794" t="s">
        <v>94</v>
      </c>
      <c r="BP3" s="794"/>
      <c r="BQ3" s="794"/>
      <c r="BR3" s="794"/>
      <c r="BS3" s="794"/>
      <c r="BT3" s="794"/>
      <c r="BU3" s="794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26"/>
      <c r="H4" s="826"/>
      <c r="I4" s="826"/>
      <c r="J4" s="826"/>
      <c r="K4" s="826"/>
      <c r="L4" s="826"/>
      <c r="M4" s="826"/>
      <c r="N4" s="826"/>
      <c r="O4" s="826"/>
      <c r="P4" s="826"/>
      <c r="Q4" s="826"/>
      <c r="R4" s="826"/>
      <c r="S4" s="826"/>
      <c r="T4" s="826"/>
      <c r="U4" s="826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1101"/>
      <c r="AR4" s="1101"/>
      <c r="AS4" s="1101"/>
      <c r="AT4" s="1101"/>
      <c r="AU4" s="1101"/>
      <c r="AV4" s="1101"/>
      <c r="AW4" s="1101"/>
      <c r="AX4" s="1101"/>
      <c r="AY4" s="1101"/>
      <c r="AZ4" s="1101"/>
      <c r="BA4" s="1101"/>
      <c r="BB4" s="1101"/>
      <c r="BC4" s="1101"/>
      <c r="BD4" s="1101"/>
      <c r="BE4" s="1101"/>
      <c r="BF4" s="1101"/>
      <c r="BG4" s="1101"/>
      <c r="BH4" s="1101"/>
      <c r="BI4" s="1101"/>
      <c r="BJ4" s="102"/>
      <c r="BK4" s="102"/>
      <c r="BL4" s="102"/>
      <c r="BM4" s="57"/>
    </row>
    <row r="5" spans="1:79" ht="13.5" hidden="1" customHeight="1" x14ac:dyDescent="0.2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117"/>
      <c r="BL5" s="102"/>
      <c r="BM5" s="57"/>
    </row>
    <row r="6" spans="1:79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238"/>
      <c r="K6" s="776" t="s">
        <v>194</v>
      </c>
      <c r="L6" s="776" t="s">
        <v>191</v>
      </c>
      <c r="M6" s="776" t="s">
        <v>192</v>
      </c>
      <c r="N6" s="238"/>
      <c r="O6" s="238"/>
      <c r="P6" s="238"/>
      <c r="Q6" s="238"/>
      <c r="R6" s="238"/>
      <c r="S6" s="776" t="s">
        <v>193</v>
      </c>
      <c r="T6" s="776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22" t="s">
        <v>148</v>
      </c>
      <c r="AR6" s="822" t="s">
        <v>187</v>
      </c>
      <c r="AS6" s="822" t="s">
        <v>188</v>
      </c>
      <c r="AT6" s="543"/>
      <c r="AU6" s="822" t="s">
        <v>194</v>
      </c>
      <c r="AV6" s="822" t="s">
        <v>191</v>
      </c>
      <c r="AW6" s="822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22" t="s">
        <v>193</v>
      </c>
      <c r="BI6" s="103"/>
      <c r="BJ6" s="102"/>
      <c r="BK6" s="117"/>
      <c r="BL6" s="102"/>
      <c r="BM6" s="57"/>
      <c r="BO6" s="795" t="s">
        <v>95</v>
      </c>
      <c r="BP6" s="795"/>
      <c r="BQ6" s="795"/>
      <c r="BR6" s="795"/>
      <c r="BS6" s="795"/>
      <c r="BT6" s="795"/>
      <c r="BU6" s="795"/>
    </row>
    <row r="7" spans="1:79" ht="28.5" customHeight="1" x14ac:dyDescent="0.5">
      <c r="A7" s="766" t="s">
        <v>200</v>
      </c>
      <c r="B7" s="766"/>
      <c r="C7" s="767">
        <v>500000</v>
      </c>
      <c r="D7" s="767"/>
      <c r="E7" s="510"/>
      <c r="F7" s="231"/>
      <c r="G7" s="776"/>
      <c r="H7" s="776"/>
      <c r="I7" s="776"/>
      <c r="J7" s="570" t="s">
        <v>189</v>
      </c>
      <c r="K7" s="776"/>
      <c r="L7" s="776"/>
      <c r="M7" s="776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776"/>
      <c r="T7" s="776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84</v>
      </c>
      <c r="AQ7" s="822"/>
      <c r="AR7" s="822"/>
      <c r="AS7" s="822"/>
      <c r="AT7" s="544" t="s">
        <v>156</v>
      </c>
      <c r="AU7" s="822"/>
      <c r="AV7" s="822"/>
      <c r="AW7" s="822"/>
      <c r="AX7" s="527" t="s">
        <v>36</v>
      </c>
      <c r="AY7" s="527" t="s">
        <v>39</v>
      </c>
      <c r="AZ7" s="527" t="s">
        <v>38</v>
      </c>
      <c r="BA7" s="527" t="s">
        <v>158</v>
      </c>
      <c r="BB7" s="527" t="s">
        <v>40</v>
      </c>
      <c r="BC7" s="527"/>
      <c r="BD7" s="527"/>
      <c r="BE7" s="527"/>
      <c r="BF7" s="527"/>
      <c r="BG7" s="527"/>
      <c r="BH7" s="822"/>
      <c r="BI7" s="163" t="s">
        <v>32</v>
      </c>
      <c r="BJ7" s="104" t="s">
        <v>31</v>
      </c>
      <c r="BK7" s="153">
        <f>BK8</f>
        <v>45315</v>
      </c>
      <c r="BL7" s="108">
        <f>K8</f>
        <v>-531999</v>
      </c>
      <c r="BM7" s="61"/>
      <c r="BO7" s="784" t="s">
        <v>84</v>
      </c>
      <c r="BP7" s="777" t="s">
        <v>85</v>
      </c>
      <c r="BQ7" s="127" t="s">
        <v>86</v>
      </c>
      <c r="BR7" s="124" t="s">
        <v>88</v>
      </c>
      <c r="BS7" s="798" t="s">
        <v>9</v>
      </c>
      <c r="BT7" s="800" t="s">
        <v>89</v>
      </c>
      <c r="BU7" s="796">
        <v>1</v>
      </c>
      <c r="BZ7" s="2" t="s">
        <v>461</v>
      </c>
    </row>
    <row r="8" spans="1:79" ht="18" customHeight="1" thickBot="1" x14ac:dyDescent="0.55000000000000004">
      <c r="A8" s="766" t="s">
        <v>276</v>
      </c>
      <c r="B8" s="766"/>
      <c r="C8" s="502" t="s">
        <v>29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-531999</v>
      </c>
      <c r="L8" s="242"/>
      <c r="M8" s="243"/>
      <c r="N8" s="243"/>
      <c r="O8" s="243"/>
      <c r="P8" s="243"/>
      <c r="Q8" s="243"/>
      <c r="R8" s="243"/>
      <c r="S8" s="239">
        <f>C23</f>
        <v>531999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-506999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506999</v>
      </c>
      <c r="BI8" s="106"/>
      <c r="BJ8" s="108"/>
      <c r="BK8" s="22">
        <f>H8</f>
        <v>45315</v>
      </c>
      <c r="BL8" s="104">
        <f>$C$25</f>
        <v>0</v>
      </c>
      <c r="BO8" s="785"/>
      <c r="BP8" s="778"/>
      <c r="BQ8" s="125" t="s">
        <v>87</v>
      </c>
      <c r="BR8" s="126" t="s">
        <v>88</v>
      </c>
      <c r="BS8" s="799"/>
      <c r="BT8" s="801"/>
      <c r="BU8" s="797"/>
      <c r="BZ8" s="653" t="s">
        <v>482</v>
      </c>
      <c r="CA8" s="1092" t="s">
        <v>492</v>
      </c>
    </row>
    <row r="9" spans="1:79" ht="16.899999999999999" customHeight="1" thickBot="1" x14ac:dyDescent="0.25">
      <c r="A9" s="766" t="s">
        <v>199</v>
      </c>
      <c r="B9" s="766"/>
      <c r="C9" s="788">
        <v>45315</v>
      </c>
      <c r="D9" s="788"/>
      <c r="E9" s="510"/>
      <c r="F9" s="231"/>
      <c r="G9" s="244">
        <f>1</f>
        <v>1</v>
      </c>
      <c r="H9" s="245">
        <f>IF((OR(DAY($AE$54)=29,DAY($AE$54)=30,DAY($AE$54)=31)),(EDATE($C$9-3,G9)),EDATE($C$9,G9))</f>
        <v>45346</v>
      </c>
      <c r="I9" s="246">
        <f>IF(AND($X$11=1,G9&gt;=$X$11,),0%,$C$13)</f>
        <v>0.29899999999999999</v>
      </c>
      <c r="J9" s="242">
        <f t="shared" ref="J9:J73" si="0">K9+Q9</f>
        <v>14612</v>
      </c>
      <c r="K9" s="242">
        <f>C24</f>
        <v>14612</v>
      </c>
      <c r="L9" s="242">
        <f>S8*($C$13/(DATE(YEAR(H8)+1,1,1)-DATE(YEAR(H8),1,1))*(H9-H8))</f>
        <v>13472.947352459014</v>
      </c>
      <c r="M9" s="242">
        <f>K9-L9</f>
        <v>1139.0526475409861</v>
      </c>
      <c r="N9" s="242">
        <f>IF(P9-Q9&gt;$C$24,$C$24-L9,IF(V9=0,0,R9)+$AJ$51)</f>
        <v>0</v>
      </c>
      <c r="O9" s="242">
        <v>0</v>
      </c>
      <c r="P9" s="242">
        <f>L9+Q9</f>
        <v>13472.947352459014</v>
      </c>
      <c r="Q9" s="242">
        <f t="shared" ref="Q9:Q14" si="1">IF(V9=0,0,0)</f>
        <v>0</v>
      </c>
      <c r="R9" s="242">
        <f>IF(V9=0,0,0)</f>
        <v>0</v>
      </c>
      <c r="S9" s="242">
        <f>S8-M9-T9</f>
        <v>530859.94735245896</v>
      </c>
      <c r="T9" s="467"/>
      <c r="U9" s="198">
        <f>C10</f>
        <v>84</v>
      </c>
      <c r="V9" s="36">
        <f>U9</f>
        <v>84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>IF((OR(DAY($AE$54)=29,DAY($AE$54)=30,DAY($AE$54)=31)),(EDATE($C$9-3,AQ9)),EDATE($C$9,AQ9))</f>
        <v>45346</v>
      </c>
      <c r="AS9" s="555">
        <f>$D$13</f>
        <v>0.29899999999999999</v>
      </c>
      <c r="AT9" s="546">
        <f>AU9+BA9</f>
        <v>14501</v>
      </c>
      <c r="AU9" s="546">
        <f>'КЭШ, Реф (БВ_ОПТИ_Базовый)'!D29</f>
        <v>14501</v>
      </c>
      <c r="AV9" s="546">
        <f>BH8*($D$13/365*(AR9-AR8))</f>
        <v>12874.996523287669</v>
      </c>
      <c r="AW9" s="546">
        <f>IF(BJ9=0,0,IF(BJ9=1,BH8,IF(BH8+AX9+AV9&gt;AU8,AU9-AV9-AX9,BH8)))</f>
        <v>1626.0034767123307</v>
      </c>
      <c r="AX9" s="546">
        <f>IF(AZ9-BA9&gt;$D$24,$D$24-AV9,IF(BJ9=0,0,BB9)+BY57)</f>
        <v>0</v>
      </c>
      <c r="AY9" s="546"/>
      <c r="AZ9" s="546">
        <f>AV9+BA9</f>
        <v>12874.996523287669</v>
      </c>
      <c r="BA9" s="546">
        <f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505372.99652328767</v>
      </c>
      <c r="BI9" s="108">
        <f>C10</f>
        <v>84</v>
      </c>
      <c r="BJ9" s="108">
        <f>BI9</f>
        <v>84</v>
      </c>
      <c r="BK9" s="22">
        <f>H9</f>
        <v>45346</v>
      </c>
      <c r="BL9" s="108">
        <f t="shared" ref="BL9:BL72" si="2">K9</f>
        <v>14612</v>
      </c>
      <c r="BN9" s="682"/>
      <c r="BZ9" s="655"/>
      <c r="CA9" s="1092" t="s">
        <v>487</v>
      </c>
    </row>
    <row r="10" spans="1:79" ht="18" customHeight="1" x14ac:dyDescent="0.2">
      <c r="A10" s="763" t="s">
        <v>198</v>
      </c>
      <c r="B10" s="763"/>
      <c r="C10" s="787">
        <v>84</v>
      </c>
      <c r="D10" s="787"/>
      <c r="E10" s="510"/>
      <c r="F10" s="231"/>
      <c r="G10" s="244">
        <f>G9+1</f>
        <v>2</v>
      </c>
      <c r="H10" s="245">
        <f>IF((OR(DAY($AE$54)=29,DAY($AE$54)=30,DAY($AE$54)=31)),(EDATE($C$9-3,G10)),EDATE($C$9,G10))</f>
        <v>45375</v>
      </c>
      <c r="I10" s="246">
        <f>IF(AND($X$11=1,G10&gt;=$X$11,),0%,$C$13)</f>
        <v>0.29899999999999999</v>
      </c>
      <c r="J10" s="242">
        <f t="shared" si="0"/>
        <v>14612</v>
      </c>
      <c r="K10" s="242">
        <f>IF(G10&gt;$C$10,0,IF((S9+L10)&lt;K9,(S9+L10),IF(T9=0,K9,MIN(K9,ROUNDUP(S9*$C$13/12/((1-(1+$C$13/12)^(0-($C$10-G10)))),0)))))</f>
        <v>14612</v>
      </c>
      <c r="L10" s="242">
        <f t="shared" ref="L10:L73" si="3">S9*($C$13/(DATE(YEAR(H9)+1,1,1)-DATE(YEAR(H9),1,1))*(H10-H9))</f>
        <v>12576.739353806479</v>
      </c>
      <c r="M10" s="242">
        <f>IF(S9=0,0,IF(S9+L10&gt;K9,K10-L10,S9))</f>
        <v>2035.2606461935211</v>
      </c>
      <c r="N10" s="242">
        <f>IF(P10-Q10&gt;$C$24,$C$24-L10,IF(V10=0,0,R10)+$AJ$51)</f>
        <v>0</v>
      </c>
      <c r="O10" s="242">
        <v>0</v>
      </c>
      <c r="P10" s="242">
        <f>L10+Q10</f>
        <v>12576.739353806479</v>
      </c>
      <c r="Q10" s="242">
        <f t="shared" si="1"/>
        <v>0</v>
      </c>
      <c r="R10" s="242">
        <f t="shared" ref="R10:R73" si="4">IF(V10=0,0,0)</f>
        <v>0</v>
      </c>
      <c r="S10" s="242">
        <f t="shared" ref="S10:S73" si="5">S9-M10-T10</f>
        <v>528824.68670626543</v>
      </c>
      <c r="T10" s="467"/>
      <c r="U10" s="198">
        <f>IF((U9-1)&lt;0,0,U9-1)</f>
        <v>83</v>
      </c>
      <c r="V10" s="36">
        <f t="shared" ref="V10:V73" si="6">U10</f>
        <v>83</v>
      </c>
      <c r="W10" s="36">
        <f t="shared" ref="W10:W73" si="7">IF(G10=$C$10,T10,0)</f>
        <v>0</v>
      </c>
      <c r="X10" s="54">
        <f>ROUND(S8*0%,-2)</f>
        <v>0</v>
      </c>
      <c r="Y10" s="54">
        <f>ROUND(S8*0.5%,0)</f>
        <v>2660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8">IF(OR(AU10="",AU10=0),0,1)</f>
        <v>1</v>
      </c>
      <c r="AQ10" s="553">
        <f>AQ9+1</f>
        <v>2</v>
      </c>
      <c r="AR10" s="554">
        <f>IF((OR(DAY($AE$54)=29,DAY($AE$54)=30,DAY($AE$54)=31)),(EDATE($C$9-3,AQ10)),EDATE($C$9,AQ10))</f>
        <v>45375</v>
      </c>
      <c r="AS10" s="555">
        <f>$D$13</f>
        <v>0.29899999999999999</v>
      </c>
      <c r="AT10" s="546">
        <f t="shared" ref="AT10:AT73" si="9">AU10+BA10</f>
        <v>14501</v>
      </c>
      <c r="AU10" s="546">
        <f>IF(AQ10&gt;$C$10,0,IF(BD9=0,AU9,ROUNDUP(BC9*$C$11/12/((1-(1+$C$11/12)^(0-($C$10-AQ10)))),0)))</f>
        <v>14501</v>
      </c>
      <c r="AV10" s="546">
        <f>BH9*($D$13/365*(AR10-AR9))</f>
        <v>12005.723980420349</v>
      </c>
      <c r="AW10" s="546">
        <f t="shared" ref="AW10:AW73" si="10">IF(BJ10=0,0,IF(BJ10=1,BH9,IF(BH9+AX10+AV10&gt;AU9,AU10-AV10-AX10,BH9)))</f>
        <v>2495.2760195796509</v>
      </c>
      <c r="AX10" s="546">
        <f>IF(AZ10-BA10&gt;$D$24,$D$24-AV10,IF(BJ10=0,0,BB10)+BY58)</f>
        <v>0</v>
      </c>
      <c r="AY10" s="546">
        <v>0</v>
      </c>
      <c r="AZ10" s="546">
        <f t="shared" ref="AZ10:AZ85" si="11">AV10+BA10</f>
        <v>12005.723980420349</v>
      </c>
      <c r="BA10" s="546">
        <f>IF($D$16="Нет",0,IF($D$17="Серебряный",1800,IF($D$17="Золотой",2500,IF($D$17="Платиновый",3500,""))))</f>
        <v>0</v>
      </c>
      <c r="BB10" s="546">
        <f t="shared" ref="BB10:BB18" si="12">IF(BJ10=0,0,0)</f>
        <v>0</v>
      </c>
      <c r="BC10" s="546"/>
      <c r="BD10" s="546"/>
      <c r="BE10" s="546"/>
      <c r="BF10" s="546"/>
      <c r="BG10" s="546"/>
      <c r="BH10" s="546">
        <f t="shared" ref="BH10:BH73" si="13">IF(OR(BJ10=1,BH9=0),0,BH9-AW10)</f>
        <v>502877.720503708</v>
      </c>
      <c r="BI10" s="108">
        <f>IF((BI9-1)&lt;0,0,BI9-1)</f>
        <v>83</v>
      </c>
      <c r="BJ10" s="108">
        <f>BI10</f>
        <v>83</v>
      </c>
      <c r="BK10" s="22">
        <f>H10</f>
        <v>45375</v>
      </c>
      <c r="BL10" s="108">
        <f t="shared" si="2"/>
        <v>14612</v>
      </c>
      <c r="BN10" s="682"/>
      <c r="BO10" s="784" t="s">
        <v>90</v>
      </c>
      <c r="BP10" s="777" t="s">
        <v>85</v>
      </c>
      <c r="BQ10" s="129" t="s">
        <v>84</v>
      </c>
      <c r="BZ10" s="656"/>
      <c r="CA10" s="2" t="s">
        <v>29</v>
      </c>
    </row>
    <row r="11" spans="1:79" ht="18" customHeight="1" thickBot="1" x14ac:dyDescent="0.25">
      <c r="A11" s="805" t="s">
        <v>172</v>
      </c>
      <c r="B11" s="805"/>
      <c r="C11" s="577">
        <v>0.29899999999999999</v>
      </c>
      <c r="D11" s="578">
        <f>C11</f>
        <v>0.29899999999999999</v>
      </c>
      <c r="E11" s="514"/>
      <c r="F11" s="232"/>
      <c r="G11" s="244">
        <f>G10+1</f>
        <v>3</v>
      </c>
      <c r="H11" s="245">
        <f>IF((OR(DAY($AE$54)=29,DAY($AE$54)=30,DAY($AE$54)=31)),(EDATE($C$9-3,G11)),EDATE($C$9,G11))</f>
        <v>45406</v>
      </c>
      <c r="I11" s="246">
        <f>IF(AND($X$11=1,G11&gt;=$X$11,),0%,$C$13)</f>
        <v>0.29899999999999999</v>
      </c>
      <c r="J11" s="242">
        <f t="shared" si="0"/>
        <v>14612</v>
      </c>
      <c r="K11" s="242">
        <f>IF(G11&gt;$C$10,0,IF((S10+L11)&lt;K10,(S10+L11),IF(T10=0,K10,MIN(K10,ROUNDUP(S10*$C$13/12/((1-(1+$C$13/12)^(0-($C$10-G11)))),0)))))</f>
        <v>14612</v>
      </c>
      <c r="L11" s="242">
        <f t="shared" si="3"/>
        <v>13392.557434645831</v>
      </c>
      <c r="M11" s="242">
        <f t="shared" ref="M11:M74" si="14">IF(S10=0,0,IF(S10+L11&gt;K10,K11-L11,S10))</f>
        <v>1219.4425653541693</v>
      </c>
      <c r="N11" s="242">
        <f>IF(P11-Q11&gt;$C$24,$C$24-L11,IF(V11=0,0,R11)+$AJ$51)</f>
        <v>0</v>
      </c>
      <c r="O11" s="242">
        <v>0</v>
      </c>
      <c r="P11" s="242">
        <f t="shared" ref="P11:P85" si="15">L11+Q11</f>
        <v>13392.557434645831</v>
      </c>
      <c r="Q11" s="242">
        <f t="shared" si="1"/>
        <v>0</v>
      </c>
      <c r="R11" s="242">
        <f t="shared" si="4"/>
        <v>0</v>
      </c>
      <c r="S11" s="242">
        <f t="shared" si="5"/>
        <v>527605.24414091127</v>
      </c>
      <c r="T11" s="467"/>
      <c r="U11" s="198">
        <f>IF((U10-1)&lt;0,0,U10-1)</f>
        <v>82</v>
      </c>
      <c r="V11" s="36">
        <f t="shared" si="6"/>
        <v>82</v>
      </c>
      <c r="W11" s="36">
        <f t="shared" si="7"/>
        <v>0</v>
      </c>
      <c r="X11" s="130">
        <f>IF($C$8="Нет",0,1)</f>
        <v>0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8"/>
        <v>1</v>
      </c>
      <c r="AQ11" s="553">
        <f>AQ10+1</f>
        <v>3</v>
      </c>
      <c r="AR11" s="554">
        <f>IF((OR(DAY($AE$54)=29,DAY($AE$54)=30,DAY($AE$54)=31)),(EDATE($C$9-3,AQ11)),EDATE($C$9,AQ11))</f>
        <v>45406</v>
      </c>
      <c r="AS11" s="555">
        <f>$D$13</f>
        <v>0.29899999999999999</v>
      </c>
      <c r="AT11" s="546">
        <f t="shared" si="9"/>
        <v>14501</v>
      </c>
      <c r="AU11" s="546">
        <f t="shared" ref="AU11:AU74" si="16">IF(AQ11&gt;$C$10,0,IF(BD10=0,AU10,ROUNDUP(BC10*$C$11/12/((1-(1+$C$11/12)^(0-($C$10-AQ11)))),0)))</f>
        <v>14501</v>
      </c>
      <c r="AV11" s="546">
        <f>BH10*($D$13/365*(AR11-AR10))</f>
        <v>12770.338606435258</v>
      </c>
      <c r="AW11" s="546">
        <f>IF(BJ11=0,0,IF(BJ11=1,BH10,IF(BH10+AX11+AV11&gt;AU10,AU11-AV11-AX11,BH10)))</f>
        <v>1730.661393564742</v>
      </c>
      <c r="AX11" s="546">
        <f>IF(AZ11-BA11&gt;$D$24,$D$24-AV11,IF(BJ11=0,0,BB11)+BY59)</f>
        <v>0</v>
      </c>
      <c r="AY11" s="546">
        <v>0</v>
      </c>
      <c r="AZ11" s="546">
        <f t="shared" si="11"/>
        <v>12770.338606435258</v>
      </c>
      <c r="BA11" s="546">
        <f>IF($D$16="Нет",0,IF($D$17="Серебряный",1800,IF($D$17="Золотой",2500,IF($D$17="Платиновый",3500,""))))</f>
        <v>0</v>
      </c>
      <c r="BB11" s="546">
        <f t="shared" si="12"/>
        <v>0</v>
      </c>
      <c r="BC11" s="546"/>
      <c r="BD11" s="546"/>
      <c r="BE11" s="546"/>
      <c r="BF11" s="546"/>
      <c r="BG11" s="546"/>
      <c r="BH11" s="546">
        <f>IF(OR(BJ11=1,BH10=0),0,BH10-AW11)</f>
        <v>501147.05911014328</v>
      </c>
      <c r="BI11" s="108">
        <f>IF((BI10-1)&lt;0,0,BI10-1)</f>
        <v>82</v>
      </c>
      <c r="BJ11" s="108">
        <f t="shared" ref="BJ11:BJ74" si="17">BI11</f>
        <v>82</v>
      </c>
      <c r="BK11" s="22">
        <f t="shared" ref="BK11:BK74" si="18">H11</f>
        <v>45406</v>
      </c>
      <c r="BL11" s="108">
        <f t="shared" si="2"/>
        <v>14612</v>
      </c>
      <c r="BN11" s="682"/>
      <c r="BO11" s="785"/>
      <c r="BP11" s="778"/>
      <c r="BQ11" s="128" t="s">
        <v>91</v>
      </c>
      <c r="BZ11" s="653" t="s">
        <v>463</v>
      </c>
      <c r="CA11" s="658">
        <v>0.29899999999999999</v>
      </c>
    </row>
    <row r="12" spans="1:79" ht="18" customHeight="1" thickBot="1" x14ac:dyDescent="0.25">
      <c r="A12" s="811" t="s">
        <v>468</v>
      </c>
      <c r="B12" s="1102"/>
      <c r="C12" s="663" t="s">
        <v>33</v>
      </c>
      <c r="D12" s="664" t="str">
        <f>C12</f>
        <v>Базовый</v>
      </c>
      <c r="E12" s="665"/>
      <c r="F12" s="232"/>
      <c r="G12" s="244">
        <f t="shared" ref="G12:G75" si="19">G11+1</f>
        <v>4</v>
      </c>
      <c r="H12" s="245">
        <f>IF((OR(DAY($AE$54)=29,DAY($AE$54)=30,DAY($AE$54)=31)),(EDATE($C$9-3,G12)),EDATE($C$9,G12))</f>
        <v>45436</v>
      </c>
      <c r="I12" s="246">
        <f>IF(AND($X$11=1,G12&gt;=$X$11,),0%,$C$13)</f>
        <v>0.29899999999999999</v>
      </c>
      <c r="J12" s="242">
        <f t="shared" si="0"/>
        <v>14612</v>
      </c>
      <c r="K12" s="242">
        <f>IF(G12&gt;$C$10,0,IF((S11+L12)&lt;K11,(S11+L12),IF(T11=0,K11,MIN(K11,ROUNDUP(S11*$C$13/12/((1-(1+$C$13/12)^(0-($C$10-G12)))),0)))))</f>
        <v>14612</v>
      </c>
      <c r="L12" s="242">
        <f t="shared" si="3"/>
        <v>12930.65311460102</v>
      </c>
      <c r="M12" s="242">
        <f t="shared" si="14"/>
        <v>1681.3468853989798</v>
      </c>
      <c r="N12" s="242">
        <f>IF(P12-Q12&gt;$C$24,$C$24-L12,IF(V12=0,0,R12)+$AJ$51)</f>
        <v>0</v>
      </c>
      <c r="O12" s="242">
        <v>0</v>
      </c>
      <c r="P12" s="242">
        <f t="shared" si="15"/>
        <v>12930.65311460102</v>
      </c>
      <c r="Q12" s="242">
        <f t="shared" si="1"/>
        <v>0</v>
      </c>
      <c r="R12" s="242">
        <f t="shared" si="4"/>
        <v>0</v>
      </c>
      <c r="S12" s="242">
        <f t="shared" si="5"/>
        <v>525923.8972555123</v>
      </c>
      <c r="T12" s="467"/>
      <c r="U12" s="198">
        <f t="shared" ref="U12:U75" si="20">IF((U11-1)&lt;0,0,U11-1)</f>
        <v>81</v>
      </c>
      <c r="V12" s="36">
        <f t="shared" si="6"/>
        <v>81</v>
      </c>
      <c r="W12" s="36">
        <f t="shared" si="7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8"/>
        <v>1</v>
      </c>
      <c r="AQ12" s="553">
        <f t="shared" ref="AQ12:AQ75" si="21">AQ11+1</f>
        <v>4</v>
      </c>
      <c r="AR12" s="554">
        <f>IF((OR(DAY($AE$54)=29,DAY($AE$54)=30,DAY($AE$54)=31)),(EDATE($C$9-3,AQ12)),EDATE($C$9,AQ12))</f>
        <v>45436</v>
      </c>
      <c r="AS12" s="555">
        <f>$D$13</f>
        <v>0.29899999999999999</v>
      </c>
      <c r="AT12" s="546">
        <f t="shared" si="9"/>
        <v>14501</v>
      </c>
      <c r="AU12" s="546">
        <f t="shared" si="16"/>
        <v>14501</v>
      </c>
      <c r="AV12" s="546">
        <f>BH11*($D$13/365*(AR12-AR11))</f>
        <v>12315.860603336945</v>
      </c>
      <c r="AW12" s="546">
        <f t="shared" si="10"/>
        <v>2185.1393966630549</v>
      </c>
      <c r="AX12" s="546">
        <f>IF(AZ12-BA12&gt;$D$24,$D$24-AV12,IF(BJ12=0,0,BB12)+BY60)</f>
        <v>0</v>
      </c>
      <c r="AY12" s="546">
        <v>0</v>
      </c>
      <c r="AZ12" s="546">
        <f t="shared" si="11"/>
        <v>12315.860603336945</v>
      </c>
      <c r="BA12" s="546">
        <f>IF($D$16="Нет",0,IF($D$17="Серебряный",1800,IF($D$17="Золотой",2500,IF($D$17="Платиновый",3500,""))))</f>
        <v>0</v>
      </c>
      <c r="BB12" s="546">
        <f t="shared" si="12"/>
        <v>0</v>
      </c>
      <c r="BC12" s="546"/>
      <c r="BD12" s="546"/>
      <c r="BE12" s="546"/>
      <c r="BF12" s="546"/>
      <c r="BG12" s="546"/>
      <c r="BH12" s="546">
        <f t="shared" si="13"/>
        <v>498961.91971348022</v>
      </c>
      <c r="BI12" s="108">
        <f t="shared" ref="BI12:BI75" si="22">IF((BI11-1)&lt;0,0,BI11-1)</f>
        <v>81</v>
      </c>
      <c r="BJ12" s="108">
        <f t="shared" si="17"/>
        <v>81</v>
      </c>
      <c r="BK12" s="22">
        <f t="shared" si="18"/>
        <v>45436</v>
      </c>
      <c r="BL12" s="108">
        <f t="shared" si="2"/>
        <v>14612</v>
      </c>
      <c r="BN12" s="682"/>
      <c r="BZ12" s="655"/>
      <c r="CA12" s="659">
        <v>0.26900000000000002</v>
      </c>
    </row>
    <row r="13" spans="1:79" ht="18" customHeight="1" x14ac:dyDescent="0.2">
      <c r="A13" s="805" t="s">
        <v>171</v>
      </c>
      <c r="B13" s="806"/>
      <c r="C13" s="567">
        <f>'КЭШ, Реф (БВ_ОПТИ_Льготный)'!C19</f>
        <v>0.29899999999999999</v>
      </c>
      <c r="D13" s="578">
        <f>IF(D8="нет",D11,'КЭШ, Реф (БВ_ОПТИ_Базовый)'!D19)</f>
        <v>0.29899999999999999</v>
      </c>
      <c r="E13" s="514"/>
      <c r="F13" s="232"/>
      <c r="G13" s="244">
        <f t="shared" si="19"/>
        <v>5</v>
      </c>
      <c r="H13" s="245">
        <f>IF((OR(DAY($AE$54)=29,DAY($AE$54)=30,DAY($AE$54)=31)),(EDATE($C$9-3,G13)),EDATE($C$9,G13))</f>
        <v>45467</v>
      </c>
      <c r="I13" s="246">
        <f>IF(AND($X$11=1,G13&gt;=$X$11,),0%,$C$13)</f>
        <v>0.29899999999999999</v>
      </c>
      <c r="J13" s="242">
        <f t="shared" si="0"/>
        <v>14612</v>
      </c>
      <c r="K13" s="242">
        <f>IF(G13&gt;$C$10,0,IF((S12+L13)&lt;K12,(S12+L13),IF(T12=0,K12,MIN(K12,ROUNDUP(S12*$C$13/12/((1-(1+$C$13/12)^(0-($C$10-G13)))),0)))))</f>
        <v>14612</v>
      </c>
      <c r="L13" s="242">
        <f t="shared" si="3"/>
        <v>13319.094545522796</v>
      </c>
      <c r="M13" s="242">
        <f t="shared" si="14"/>
        <v>1292.9054544772043</v>
      </c>
      <c r="N13" s="242">
        <f>IF(P13-Q13&gt;$C$24,$C$24-L13,IF(V13=0,0,R13)+$AJ$51)</f>
        <v>0</v>
      </c>
      <c r="O13" s="242">
        <v>0</v>
      </c>
      <c r="P13" s="242">
        <f t="shared" si="15"/>
        <v>13319.094545522796</v>
      </c>
      <c r="Q13" s="242">
        <f t="shared" si="1"/>
        <v>0</v>
      </c>
      <c r="R13" s="242">
        <f t="shared" si="4"/>
        <v>0</v>
      </c>
      <c r="S13" s="242">
        <f t="shared" si="5"/>
        <v>524630.99180103512</v>
      </c>
      <c r="T13" s="467"/>
      <c r="U13" s="198">
        <f>IF((U12-1)&lt;0,0,U12-1)</f>
        <v>80</v>
      </c>
      <c r="V13" s="36">
        <f>U13</f>
        <v>80</v>
      </c>
      <c r="W13" s="36">
        <f t="shared" si="7"/>
        <v>0</v>
      </c>
      <c r="X13" s="15"/>
      <c r="Y13" s="15"/>
      <c r="Z13" s="15"/>
      <c r="AA13" s="15"/>
      <c r="AB13" s="15"/>
      <c r="AC13" s="15"/>
      <c r="AD13" s="15"/>
      <c r="AE13" s="62">
        <f>INDEX(AE4:AE12,MATCH(C11,$X$4:$X$7,0))</f>
        <v>0</v>
      </c>
      <c r="AF13" s="62">
        <f>INDEX(AF4:AF12,MATCH(D13,$X$4:$X$7,0))</f>
        <v>0</v>
      </c>
      <c r="AG13" s="15"/>
      <c r="AH13" s="15"/>
      <c r="AI13" s="15"/>
      <c r="AJ13" s="15"/>
      <c r="AK13" s="15"/>
      <c r="AL13" s="15"/>
      <c r="AM13" s="15"/>
      <c r="AP13" s="130">
        <f t="shared" si="8"/>
        <v>1</v>
      </c>
      <c r="AQ13" s="553">
        <f>AQ12+1</f>
        <v>5</v>
      </c>
      <c r="AR13" s="554">
        <f>IF((OR(DAY($AE$54)=29,DAY($AE$54)=30,DAY($AE$54)=31)),(EDATE($C$9-3,AQ13)),EDATE($C$9,AQ13))</f>
        <v>45467</v>
      </c>
      <c r="AS13" s="555">
        <f>$D$13</f>
        <v>0.29899999999999999</v>
      </c>
      <c r="AT13" s="546">
        <f t="shared" si="9"/>
        <v>14501</v>
      </c>
      <c r="AU13" s="546">
        <f t="shared" si="16"/>
        <v>14501</v>
      </c>
      <c r="AV13" s="546">
        <f>BH12*($D$13/365*(AR13-AR12))</f>
        <v>12670.898722806158</v>
      </c>
      <c r="AW13" s="546">
        <f t="shared" si="10"/>
        <v>1830.1012771938422</v>
      </c>
      <c r="AX13" s="546">
        <f>IF(AZ13-BA13&gt;$D$24,$D$24-AV13,IF(BJ13=0,0,BB13)+BY61)</f>
        <v>0</v>
      </c>
      <c r="AY13" s="546">
        <v>0</v>
      </c>
      <c r="AZ13" s="546">
        <f t="shared" si="11"/>
        <v>12670.898722806158</v>
      </c>
      <c r="BA13" s="546">
        <f>IF($D$16="Нет",0,IF($D$17="Серебряный",1800,IF($D$17="Золотой",2500,IF($D$17="Платиновый",3500,""))))</f>
        <v>0</v>
      </c>
      <c r="BB13" s="546">
        <f t="shared" si="12"/>
        <v>0</v>
      </c>
      <c r="BC13" s="546"/>
      <c r="BD13" s="546"/>
      <c r="BE13" s="546"/>
      <c r="BF13" s="546"/>
      <c r="BG13" s="546"/>
      <c r="BH13" s="546">
        <f t="shared" si="13"/>
        <v>497131.81843628635</v>
      </c>
      <c r="BI13" s="108">
        <f t="shared" si="22"/>
        <v>80</v>
      </c>
      <c r="BJ13" s="108">
        <f t="shared" si="17"/>
        <v>80</v>
      </c>
      <c r="BK13" s="22">
        <f t="shared" si="18"/>
        <v>45467</v>
      </c>
      <c r="BL13" s="108">
        <f t="shared" si="2"/>
        <v>14612</v>
      </c>
      <c r="BN13" s="118"/>
      <c r="BO13" s="784" t="s">
        <v>92</v>
      </c>
      <c r="BP13" s="777" t="s">
        <v>85</v>
      </c>
      <c r="BQ13" s="129" t="s">
        <v>90</v>
      </c>
      <c r="BZ13" s="655"/>
      <c r="CA13" s="659">
        <v>0.25900000000000001</v>
      </c>
    </row>
    <row r="14" spans="1:79" ht="19.5" customHeight="1" thickBot="1" x14ac:dyDescent="0.25">
      <c r="A14" s="819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19"/>
        <v>6</v>
      </c>
      <c r="H14" s="245">
        <f>IF((OR(DAY($AE$54)=29,DAY($AE$54)=30,DAY($AE$54)=31)),(EDATE($C$9-3,G14)),EDATE($C$9,G14))</f>
        <v>45497</v>
      </c>
      <c r="I14" s="246">
        <f>IF(AND($X$11=1,G14&gt;=$X$11,),0%,$C$13)</f>
        <v>0.29899999999999999</v>
      </c>
      <c r="J14" s="242">
        <f t="shared" si="0"/>
        <v>14612</v>
      </c>
      <c r="K14" s="242">
        <f>IF(G14&gt;$C$10,0,IF((S13+L14)&lt;K13,(S13+L14),IF(T13=0,K13,MIN(K13,ROUNDUP(S13*$C$13/12/((1-(1+$C$13/12)^(0-($C$10-G14)))),0)))))</f>
        <v>14612</v>
      </c>
      <c r="L14" s="242">
        <f t="shared" si="3"/>
        <v>12857.759553156515</v>
      </c>
      <c r="M14" s="242">
        <f t="shared" si="14"/>
        <v>1754.2404468434852</v>
      </c>
      <c r="N14" s="242">
        <f>IF(P14-Q14&gt;$C$24,$C$24-L14,IF(V14=0,0,R14)+$AJ$51)</f>
        <v>0</v>
      </c>
      <c r="O14" s="242">
        <v>0</v>
      </c>
      <c r="P14" s="242">
        <f t="shared" si="15"/>
        <v>12857.759553156515</v>
      </c>
      <c r="Q14" s="242">
        <f t="shared" si="1"/>
        <v>0</v>
      </c>
      <c r="R14" s="242">
        <f t="shared" si="4"/>
        <v>0</v>
      </c>
      <c r="S14" s="242">
        <f t="shared" si="5"/>
        <v>522876.75135419163</v>
      </c>
      <c r="T14" s="242"/>
      <c r="U14" s="198">
        <f>IF((U13-1)&lt;0,0,U13-1)</f>
        <v>79</v>
      </c>
      <c r="V14" s="36">
        <f t="shared" si="6"/>
        <v>79</v>
      </c>
      <c r="W14" s="36">
        <f t="shared" si="7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0.29899999999999999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8"/>
        <v>1</v>
      </c>
      <c r="AQ14" s="553">
        <f>AQ13+1</f>
        <v>6</v>
      </c>
      <c r="AR14" s="554">
        <f>IF((OR(DAY($AE$54)=29,DAY($AE$54)=30,DAY($AE$54)=31)),(EDATE($C$9-3,AQ14)),EDATE($C$9,AQ14))</f>
        <v>45497</v>
      </c>
      <c r="AS14" s="555">
        <f>$D$13</f>
        <v>0.29899999999999999</v>
      </c>
      <c r="AT14" s="546">
        <f t="shared" si="9"/>
        <v>14501</v>
      </c>
      <c r="AU14" s="546">
        <f t="shared" si="16"/>
        <v>14501</v>
      </c>
      <c r="AV14" s="546">
        <f>BH13*($D$13/365*(AR14-AR13))</f>
        <v>12217.184688694488</v>
      </c>
      <c r="AW14" s="546">
        <f t="shared" si="10"/>
        <v>2283.8153113055123</v>
      </c>
      <c r="AX14" s="546">
        <f>IF(AZ14-BA14&gt;$D$24,$D$24-AV14,IF(BJ14=0,0,BB14)+BY62)</f>
        <v>0</v>
      </c>
      <c r="AY14" s="546">
        <v>0</v>
      </c>
      <c r="AZ14" s="546">
        <f t="shared" si="11"/>
        <v>12217.184688694488</v>
      </c>
      <c r="BA14" s="546">
        <f>IF($D$16="Нет",0,IF($D$17="Серебряный",1800,IF($D$17="Золотой",2500,IF($D$17="Платиновый",3500,""))))</f>
        <v>0</v>
      </c>
      <c r="BB14" s="546">
        <f t="shared" si="12"/>
        <v>0</v>
      </c>
      <c r="BC14" s="546"/>
      <c r="BD14" s="546"/>
      <c r="BE14" s="546"/>
      <c r="BF14" s="546"/>
      <c r="BG14" s="546"/>
      <c r="BH14" s="546">
        <f t="shared" si="13"/>
        <v>494848.00312498084</v>
      </c>
      <c r="BI14" s="108">
        <f t="shared" si="22"/>
        <v>79</v>
      </c>
      <c r="BJ14" s="108">
        <f t="shared" si="17"/>
        <v>79</v>
      </c>
      <c r="BK14" s="22">
        <f t="shared" si="18"/>
        <v>45497</v>
      </c>
      <c r="BL14" s="108">
        <f t="shared" si="2"/>
        <v>14612</v>
      </c>
      <c r="BN14" s="118"/>
      <c r="BO14" s="785"/>
      <c r="BP14" s="778"/>
      <c r="BQ14" s="128" t="s">
        <v>93</v>
      </c>
      <c r="BZ14" s="656"/>
      <c r="CA14" s="660">
        <v>0.23899999999999999</v>
      </c>
    </row>
    <row r="15" spans="1:79" ht="20.25" customHeight="1" x14ac:dyDescent="0.2">
      <c r="A15" s="820"/>
      <c r="B15" s="418" t="s">
        <v>182</v>
      </c>
      <c r="C15" s="505">
        <f>IF(C14="нет","",AK109)</f>
        <v>6999</v>
      </c>
      <c r="D15" s="216">
        <f>IF(D14="нет","",AK109)</f>
        <v>6999</v>
      </c>
      <c r="E15" s="510"/>
      <c r="F15" s="231"/>
      <c r="G15" s="244">
        <f t="shared" si="19"/>
        <v>7</v>
      </c>
      <c r="H15" s="245">
        <f>IF((OR(DAY($AE$54)=29,DAY($AE$54)=30,DAY($AE$54)=31)),(EDATE($C$9-3,G15)),EDATE($C$9,G15))</f>
        <v>45528</v>
      </c>
      <c r="I15" s="246">
        <f>IF(AND($X$11=1,G15&gt;=$X$11,),0%,$C$13)</f>
        <v>0.29899999999999999</v>
      </c>
      <c r="J15" s="242">
        <f t="shared" si="0"/>
        <v>14612</v>
      </c>
      <c r="K15" s="242">
        <f>IF(G15&gt;$C$10,0,IF((S14+L15)&lt;K14,(S14+L15),IF(T14=0,K14,MIN(K14,ROUNDUP(S14*$C$13/12/((1-(1+$C$13/12)^(0-($C$10-G15)))),0)))))</f>
        <v>14612</v>
      </c>
      <c r="L15" s="242">
        <f t="shared" si="3"/>
        <v>13241.925159295086</v>
      </c>
      <c r="M15" s="242">
        <f t="shared" si="14"/>
        <v>1370.0748407049141</v>
      </c>
      <c r="N15" s="242">
        <f>IF(P15-Q15&gt;$C$24,$C$24-L15,IF(V15=0,0,R15)+$AJ$51)</f>
        <v>0</v>
      </c>
      <c r="O15" s="242">
        <v>0</v>
      </c>
      <c r="P15" s="242">
        <f t="shared" si="15"/>
        <v>13241.925159295086</v>
      </c>
      <c r="Q15" s="242">
        <f t="shared" ref="Q15:Q78" si="23">IF(V15=0,0,0)</f>
        <v>0</v>
      </c>
      <c r="R15" s="242">
        <f t="shared" si="4"/>
        <v>0</v>
      </c>
      <c r="S15" s="242">
        <f t="shared" si="5"/>
        <v>521506.67651348672</v>
      </c>
      <c r="T15" s="467"/>
      <c r="U15" s="198">
        <f t="shared" si="20"/>
        <v>78</v>
      </c>
      <c r="V15" s="36">
        <f t="shared" si="6"/>
        <v>78</v>
      </c>
      <c r="W15" s="36">
        <f t="shared" si="7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8"/>
        <v>1</v>
      </c>
      <c r="AQ15" s="553">
        <f t="shared" si="21"/>
        <v>7</v>
      </c>
      <c r="AR15" s="554">
        <f>IF((OR(DAY($AE$54)=29,DAY($AE$54)=30,DAY($AE$54)=31)),(EDATE($C$9-3,AQ15)),EDATE($C$9,AQ15))</f>
        <v>45528</v>
      </c>
      <c r="AS15" s="555">
        <f>IF($D$16="Да",$AN$37,$D$13)</f>
        <v>0.29899999999999999</v>
      </c>
      <c r="AT15" s="546">
        <f t="shared" si="9"/>
        <v>14501</v>
      </c>
      <c r="AU15" s="546">
        <f t="shared" si="16"/>
        <v>14501</v>
      </c>
      <c r="AV15" s="546">
        <f>BH14*($D$13/365*(AR15-AR14))</f>
        <v>12566.427783466977</v>
      </c>
      <c r="AW15" s="546">
        <f t="shared" si="10"/>
        <v>1934.5722165330226</v>
      </c>
      <c r="AX15" s="546">
        <f>IF(AZ15-BA15&gt;$D$24,$D$24-AV15,IF(BJ15=0,0,BB15)+BY63)</f>
        <v>0</v>
      </c>
      <c r="AY15" s="546">
        <v>0</v>
      </c>
      <c r="AZ15" s="546">
        <f t="shared" si="11"/>
        <v>12566.427783466977</v>
      </c>
      <c r="BA15" s="546">
        <f>IF($D$16="Нет",0,IF($D$17="Серебряный",1800,IF($D$17="Золотой",2500,IF($D$17="Платиновый",3500,""))))</f>
        <v>0</v>
      </c>
      <c r="BB15" s="546">
        <f t="shared" si="12"/>
        <v>0</v>
      </c>
      <c r="BC15" s="546"/>
      <c r="BD15" s="546"/>
      <c r="BE15" s="546"/>
      <c r="BF15" s="546"/>
      <c r="BG15" s="546"/>
      <c r="BH15" s="546">
        <f t="shared" si="13"/>
        <v>492913.43090844783</v>
      </c>
      <c r="BI15" s="108">
        <f t="shared" si="22"/>
        <v>78</v>
      </c>
      <c r="BJ15" s="108">
        <f t="shared" si="17"/>
        <v>78</v>
      </c>
      <c r="BK15" s="22">
        <f t="shared" si="18"/>
        <v>45528</v>
      </c>
      <c r="BL15" s="108">
        <f t="shared" si="2"/>
        <v>14612</v>
      </c>
      <c r="BN15" s="118"/>
      <c r="CA15" s="660">
        <v>0.22900000000000001</v>
      </c>
    </row>
    <row r="16" spans="1:79" ht="19.149999999999999" customHeight="1" x14ac:dyDescent="0.2">
      <c r="A16" s="821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19"/>
        <v>8</v>
      </c>
      <c r="H16" s="245">
        <f>IF((OR(DAY($AE$54)=29,DAY($AE$54)=30,DAY($AE$54)=31)),(EDATE($C$9-3,G16)),EDATE($C$9,G16))</f>
        <v>45559</v>
      </c>
      <c r="I16" s="246">
        <f>IF(AND($X$11=1,G16&gt;=$X$11,),0%,$C$13)</f>
        <v>0.29899999999999999</v>
      </c>
      <c r="J16" s="242">
        <f t="shared" si="0"/>
        <v>14612</v>
      </c>
      <c r="K16" s="242">
        <f>IF(G16&gt;$C$10,0,IF((S15+L16)&lt;K15,(S15+L16),IF(T15=0,K15,MIN(K15,ROUNDUP(S15*$C$13/12/((1-(1+$C$13/12)^(0-($C$10-G16)))),0)))))</f>
        <v>14612</v>
      </c>
      <c r="L16" s="242">
        <f t="shared" si="3"/>
        <v>13207.22782678554</v>
      </c>
      <c r="M16" s="242">
        <f t="shared" si="14"/>
        <v>1404.7721732144601</v>
      </c>
      <c r="N16" s="242">
        <f>IF(P16-Q16&gt;$C$24,$C$24-L16,IF(V16=0,0,R16)+$AJ$51)</f>
        <v>0</v>
      </c>
      <c r="O16" s="242">
        <v>0</v>
      </c>
      <c r="P16" s="242">
        <f t="shared" si="15"/>
        <v>13207.22782678554</v>
      </c>
      <c r="Q16" s="242">
        <f t="shared" si="23"/>
        <v>0</v>
      </c>
      <c r="R16" s="242">
        <f t="shared" si="4"/>
        <v>0</v>
      </c>
      <c r="S16" s="242">
        <f t="shared" si="5"/>
        <v>520101.90434027225</v>
      </c>
      <c r="T16" s="467"/>
      <c r="U16" s="198">
        <f t="shared" si="20"/>
        <v>77</v>
      </c>
      <c r="V16" s="36">
        <f t="shared" si="6"/>
        <v>77</v>
      </c>
      <c r="W16" s="36">
        <f t="shared" si="7"/>
        <v>0</v>
      </c>
      <c r="X16" s="569">
        <f>IF($C$11=X4,X15,IF($C$11=X5,X15,IF($C$11=X6,X14,IF($C$11=X7,X14,IF($C$11=X8,X14,IF($C$11=X9,X14,))))))</f>
        <v>0.19900000000000001</v>
      </c>
      <c r="Y16" s="569">
        <f t="shared" ref="Y16:AB16" si="24">IF($C$11=Y4,Y15,IF($C$11=Y5,Y15,IF($C$11=Y6,Y14,IF($C$11=Y7,Y14,IF($C$11=Y8,Y14,IF($C$11=Y9,Y14,))))))</f>
        <v>0.19900000000000001</v>
      </c>
      <c r="Z16" s="569">
        <f t="shared" si="24"/>
        <v>0.19900000000000001</v>
      </c>
      <c r="AA16" s="569">
        <f t="shared" si="24"/>
        <v>0.19900000000000001</v>
      </c>
      <c r="AB16" s="569">
        <f t="shared" si="24"/>
        <v>0.19900000000000001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8"/>
        <v>1</v>
      </c>
      <c r="AQ16" s="553">
        <f t="shared" si="21"/>
        <v>8</v>
      </c>
      <c r="AR16" s="554">
        <f>IF((OR(DAY($AE$54)=29,DAY($AE$54)=30,DAY($AE$54)=31)),(EDATE($C$9-3,AQ16)),EDATE($C$9,AQ16))</f>
        <v>45559</v>
      </c>
      <c r="AS16" s="555">
        <f>IF($D$16="Да",$AN$37,$D$13)</f>
        <v>0.29899999999999999</v>
      </c>
      <c r="AT16" s="546">
        <f t="shared" si="9"/>
        <v>14501</v>
      </c>
      <c r="AU16" s="546">
        <f t="shared" si="16"/>
        <v>14501</v>
      </c>
      <c r="AV16" s="546">
        <f>BH15*($D$13/365*(AR16-AR15))</f>
        <v>12517.300249562746</v>
      </c>
      <c r="AW16" s="546">
        <f t="shared" si="10"/>
        <v>1983.6997504372539</v>
      </c>
      <c r="AX16" s="546">
        <f>IF(AZ16-BA16&gt;$D$24,$D$24-AV16,IF(BJ16=0,0,BB16)+BY64)</f>
        <v>0</v>
      </c>
      <c r="AY16" s="546">
        <v>0</v>
      </c>
      <c r="AZ16" s="546">
        <f t="shared" si="11"/>
        <v>12517.300249562746</v>
      </c>
      <c r="BA16" s="546">
        <f>IF($D$16="Нет",0,IF($D$17="Серебряный",1800,IF($D$17="Золотой",2500,IF($D$17="Платиновый",3500,""))))</f>
        <v>0</v>
      </c>
      <c r="BB16" s="546">
        <f t="shared" si="12"/>
        <v>0</v>
      </c>
      <c r="BC16" s="546"/>
      <c r="BD16" s="546"/>
      <c r="BE16" s="546"/>
      <c r="BF16" s="546"/>
      <c r="BG16" s="546"/>
      <c r="BH16" s="546">
        <f t="shared" si="13"/>
        <v>490929.7311580106</v>
      </c>
      <c r="BI16" s="108">
        <f t="shared" si="22"/>
        <v>77</v>
      </c>
      <c r="BJ16" s="108">
        <f t="shared" si="17"/>
        <v>77</v>
      </c>
      <c r="BK16" s="22">
        <f t="shared" si="18"/>
        <v>45559</v>
      </c>
      <c r="BL16" s="108">
        <f t="shared" si="2"/>
        <v>14612</v>
      </c>
      <c r="BN16" s="118"/>
    </row>
    <row r="17" spans="1:394" ht="19.899999999999999" customHeight="1" x14ac:dyDescent="0.2">
      <c r="A17" s="821"/>
      <c r="B17" s="186" t="s">
        <v>352</v>
      </c>
      <c r="C17" s="567">
        <f>'КЭШ, Реф (БВ_ОПТИ_Льготный)'!C24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19"/>
        <v>9</v>
      </c>
      <c r="H17" s="245">
        <f>IF((OR(DAY($AE$54)=29,DAY($AE$54)=30,DAY($AE$54)=31)),(EDATE($C$9-3,G17)),EDATE($C$9,G17))</f>
        <v>45589</v>
      </c>
      <c r="I17" s="246">
        <f>IF(AND($X$11=1,G17&gt;=$X$11,),0%,$C$13)</f>
        <v>0.29899999999999999</v>
      </c>
      <c r="J17" s="242">
        <f t="shared" si="0"/>
        <v>14612</v>
      </c>
      <c r="K17" s="242">
        <f>IF(G17&gt;$C$10,0,IF((S16+L17)&lt;K16,(S16+L17),IF(T16=0,K16,MIN(K16,ROUNDUP(S16*$C$13/12/((1-(1+$C$13/12)^(0-($C$10-G17)))),0)))))</f>
        <v>14612</v>
      </c>
      <c r="L17" s="242">
        <f t="shared" si="3"/>
        <v>12746.759786700113</v>
      </c>
      <c r="M17" s="242">
        <f t="shared" si="14"/>
        <v>1865.2402132998868</v>
      </c>
      <c r="N17" s="242">
        <f>IF(P17-Q17&gt;$C$24,$C$24-L17,IF(V17=0,0,R17)+$AJ$51)</f>
        <v>0</v>
      </c>
      <c r="O17" s="242">
        <v>0</v>
      </c>
      <c r="P17" s="242">
        <f t="shared" si="15"/>
        <v>12746.759786700113</v>
      </c>
      <c r="Q17" s="242">
        <f t="shared" si="23"/>
        <v>0</v>
      </c>
      <c r="R17" s="242">
        <f t="shared" si="4"/>
        <v>0</v>
      </c>
      <c r="S17" s="242">
        <f t="shared" si="5"/>
        <v>518236.66412697238</v>
      </c>
      <c r="T17" s="467"/>
      <c r="U17" s="198">
        <f t="shared" si="20"/>
        <v>76</v>
      </c>
      <c r="V17" s="36">
        <f t="shared" si="6"/>
        <v>76</v>
      </c>
      <c r="W17" s="36">
        <f t="shared" si="7"/>
        <v>0</v>
      </c>
      <c r="X17" s="484">
        <f>IF($C$11=X4,X18,IF($C$11=X5,X18,IF($C$11=X6,X19,IF($C$11=X7,X20,IF($C$11=X8,X21,IF($C$11=X9,X22,))))))</f>
        <v>0.1</v>
      </c>
      <c r="Y17" s="484">
        <f>IF($C$11=Y4,Y18,IF($C$11=Y5,Y18,IF($C$11=Y6,Y19,IF($C$11=Y7,Y20,IF($C$11=Y8,Y21,IF($C$11=Y9,Y22,))))))</f>
        <v>0.1</v>
      </c>
      <c r="Z17" s="484">
        <f>IF($C$11=Z4,Z18,IF($C$11=Z5,Z18,IF($C$11=Z6,Z19,IF($C$11=Z7,Z20,IF($C$11=Z8,Z21,IF($C$11=Z9,Z22,))))))</f>
        <v>0.1</v>
      </c>
      <c r="AA17" s="484">
        <f>IF($C$11=AA4,AA18,IF($C$11=AA5,AA18,IF($C$11=AA6,AA19,IF($C$11=AA7,AA20,IF($C$11=AA8,AA21,IF($C$11=AA9,AA22,))))))</f>
        <v>0.1</v>
      </c>
      <c r="AB17" s="484">
        <f>IF($C$11=AB4,AB18,IF($C$11=AB5,AB18,IF($C$11=AB6,AB19,IF($C$11=AB7,AB20,IF($C$11=AB8,AB21,IF($C$11=AB9,AB22,))))))</f>
        <v>0.1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8"/>
        <v>1</v>
      </c>
      <c r="AQ17" s="553">
        <f t="shared" si="21"/>
        <v>9</v>
      </c>
      <c r="AR17" s="554">
        <f>IF((OR(DAY($AE$54)=29,DAY($AE$54)=30,DAY($AE$54)=31)),(EDATE($C$9-3,AQ17)),EDATE($C$9,AQ17))</f>
        <v>45589</v>
      </c>
      <c r="AS17" s="555">
        <f>IF($D$16="Да",$AN$37,$D$13)</f>
        <v>0.29899999999999999</v>
      </c>
      <c r="AT17" s="546">
        <f t="shared" si="9"/>
        <v>14501</v>
      </c>
      <c r="AU17" s="546">
        <f t="shared" si="16"/>
        <v>14501</v>
      </c>
      <c r="AV17" s="546">
        <f>BH16*($D$13/365*(AR17-AR16))</f>
        <v>12064.766269828369</v>
      </c>
      <c r="AW17" s="546">
        <f t="shared" si="10"/>
        <v>2436.2337301716307</v>
      </c>
      <c r="AX17" s="546">
        <f>IF(AZ17-BA17&gt;$D$24,$D$24-AV17,IF(BJ17=0,0,BB17)+BY65)</f>
        <v>0</v>
      </c>
      <c r="AY17" s="546">
        <v>0</v>
      </c>
      <c r="AZ17" s="546">
        <f t="shared" si="11"/>
        <v>12064.766269828369</v>
      </c>
      <c r="BA17" s="546">
        <f>IF($D$16="Нет",0,IF($D$17="Серебряный",1800,IF($D$17="Золотой",2500,IF($D$17="Платиновый",3500,""))))</f>
        <v>0</v>
      </c>
      <c r="BB17" s="546">
        <f t="shared" si="12"/>
        <v>0</v>
      </c>
      <c r="BC17" s="546"/>
      <c r="BD17" s="546"/>
      <c r="BE17" s="546"/>
      <c r="BF17" s="546"/>
      <c r="BG17" s="546"/>
      <c r="BH17" s="546">
        <f t="shared" si="13"/>
        <v>488493.49742783897</v>
      </c>
      <c r="BI17" s="108">
        <f t="shared" si="22"/>
        <v>76</v>
      </c>
      <c r="BJ17" s="108">
        <f t="shared" si="17"/>
        <v>76</v>
      </c>
      <c r="BK17" s="22">
        <f t="shared" si="18"/>
        <v>45589</v>
      </c>
      <c r="BL17" s="108">
        <f t="shared" si="2"/>
        <v>14612</v>
      </c>
      <c r="BN17" s="118"/>
    </row>
    <row r="18" spans="1:394" ht="19.899999999999999" customHeight="1" x14ac:dyDescent="0.2">
      <c r="A18" s="821"/>
      <c r="B18" s="186" t="s">
        <v>353</v>
      </c>
      <c r="C18" s="508">
        <f>'КЭШ, Реф (БВ_ОПТИ_Льготный)'!C25</f>
        <v>25000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19"/>
        <v>10</v>
      </c>
      <c r="H18" s="245">
        <f>IF((OR(DAY($AE$54)=29,DAY($AE$54)=30,DAY($AE$54)=31)),(EDATE($C$9-3,G18)),EDATE($C$9,G18))</f>
        <v>45620</v>
      </c>
      <c r="I18" s="246">
        <f>IF(AND($X$11=1,G18&gt;=$X$11,),0%,$C$13)</f>
        <v>0.29899999999999999</v>
      </c>
      <c r="J18" s="242">
        <f t="shared" si="0"/>
        <v>14612</v>
      </c>
      <c r="K18" s="242">
        <f>IF(G18&gt;$C$10,0,IF((S17+L18)&lt;K17,(S17+L18),IF(T17=0,K17,MIN(K17,ROUNDUP(S17*$C$13/12/((1-(1+$C$13/12)^(0-($C$10-G18)))),0)))))</f>
        <v>14612</v>
      </c>
      <c r="L18" s="242">
        <f t="shared" si="3"/>
        <v>13124.414316374061</v>
      </c>
      <c r="M18" s="242">
        <f t="shared" si="14"/>
        <v>1487.5856836259391</v>
      </c>
      <c r="N18" s="242">
        <f>IF(P18-Q18&gt;$C$24,$C$24-L18,IF(V18=0,0,R18)+$AJ$51)</f>
        <v>0</v>
      </c>
      <c r="O18" s="242">
        <v>0</v>
      </c>
      <c r="P18" s="242">
        <f t="shared" si="15"/>
        <v>13124.414316374061</v>
      </c>
      <c r="Q18" s="242">
        <f t="shared" si="23"/>
        <v>0</v>
      </c>
      <c r="R18" s="242">
        <f t="shared" si="4"/>
        <v>0</v>
      </c>
      <c r="S18" s="242">
        <f t="shared" si="5"/>
        <v>516749.07844334643</v>
      </c>
      <c r="T18" s="467"/>
      <c r="U18" s="198">
        <f t="shared" si="20"/>
        <v>75</v>
      </c>
      <c r="V18" s="36">
        <f t="shared" si="6"/>
        <v>75</v>
      </c>
      <c r="W18" s="36">
        <f t="shared" si="7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8"/>
        <v>1</v>
      </c>
      <c r="AQ18" s="553">
        <f t="shared" si="21"/>
        <v>10</v>
      </c>
      <c r="AR18" s="554">
        <f>IF((OR(DAY($AE$54)=29,DAY($AE$54)=30,DAY($AE$54)=31)),(EDATE($C$9-3,AQ18)),EDATE($C$9,AQ18))</f>
        <v>45620</v>
      </c>
      <c r="AS18" s="555">
        <f>IF($D$16="Да",$AN$37,$D$13)</f>
        <v>0.29899999999999999</v>
      </c>
      <c r="AT18" s="546">
        <f t="shared" si="9"/>
        <v>14501</v>
      </c>
      <c r="AU18" s="546">
        <f t="shared" si="16"/>
        <v>14501</v>
      </c>
      <c r="AV18" s="546">
        <f>BH17*($D$13/365*(AR18-AR17))</f>
        <v>12405.058157968873</v>
      </c>
      <c r="AW18" s="546">
        <f t="shared" si="10"/>
        <v>2095.9418420311267</v>
      </c>
      <c r="AX18" s="546">
        <f>IF(AZ18-BA18&gt;$D$24,$D$24-AV18,IF(BJ18=0,0,BB18)+BY66)</f>
        <v>0</v>
      </c>
      <c r="AY18" s="546">
        <v>0</v>
      </c>
      <c r="AZ18" s="546">
        <f t="shared" si="11"/>
        <v>12405.058157968873</v>
      </c>
      <c r="BA18" s="546">
        <f>IF($D$16="Нет",0,IF($D$17="Серебряный",1800,IF($D$17="Золотой",2500,IF($D$17="Платиновый",3500,""))))</f>
        <v>0</v>
      </c>
      <c r="BB18" s="546">
        <f t="shared" si="12"/>
        <v>0</v>
      </c>
      <c r="BC18" s="546"/>
      <c r="BD18" s="546"/>
      <c r="BE18" s="546"/>
      <c r="BF18" s="546"/>
      <c r="BG18" s="546"/>
      <c r="BH18" s="546">
        <f t="shared" si="13"/>
        <v>486397.55558580783</v>
      </c>
      <c r="BI18" s="108">
        <f t="shared" si="22"/>
        <v>75</v>
      </c>
      <c r="BJ18" s="108">
        <f t="shared" si="17"/>
        <v>75</v>
      </c>
      <c r="BK18" s="22">
        <f t="shared" si="18"/>
        <v>45620</v>
      </c>
      <c r="BL18" s="108">
        <f t="shared" si="2"/>
        <v>14612</v>
      </c>
      <c r="BN18" s="118"/>
    </row>
    <row r="19" spans="1:394" ht="18.75" customHeight="1" x14ac:dyDescent="0.2">
      <c r="A19" s="740"/>
      <c r="B19" s="186" t="s">
        <v>464</v>
      </c>
      <c r="C19" s="567">
        <f>'КЭШ, Реф (БВ_ОПТИ_Льготный)'!C23</f>
        <v>0.189</v>
      </c>
      <c r="D19" s="450"/>
      <c r="E19" s="514"/>
      <c r="F19" s="233"/>
      <c r="G19" s="244">
        <f>G18+1</f>
        <v>11</v>
      </c>
      <c r="H19" s="245">
        <f>IF((OR(DAY($AE$54)=29,DAY($AE$54)=30,DAY($AE$54)=31)),(EDATE($C$9-3,G19)),EDATE($C$9,G19))</f>
        <v>45650</v>
      </c>
      <c r="I19" s="246">
        <f>IF(AND($X$11=1,G19&gt;=$X$11,),0%,$C$13)</f>
        <v>0.29899999999999999</v>
      </c>
      <c r="J19" s="242">
        <f t="shared" si="0"/>
        <v>14612</v>
      </c>
      <c r="K19" s="242">
        <f>IF(G19&gt;$C$10,0,IF((S18+L19)&lt;K18,(S18+L19),IF(T18=0,K18,MIN(K18,ROUNDUP(S18*$C$13/12/((1-(1+$C$13/12)^(0-($C$10-G19)))),0)))))</f>
        <v>14612</v>
      </c>
      <c r="L19" s="242">
        <f t="shared" si="3"/>
        <v>12664.588070045947</v>
      </c>
      <c r="M19" s="242">
        <f>IF(S18=0,0,IF(S18+L19&gt;K18,K19-L19,S18))</f>
        <v>1947.4119299540525</v>
      </c>
      <c r="N19" s="242">
        <f>IF(P19-Q19&gt;$C$24,$C$24-L19,IF(V19=0,0,R19)+$AJ$51)</f>
        <v>0</v>
      </c>
      <c r="O19" s="242">
        <v>0</v>
      </c>
      <c r="P19" s="242">
        <f t="shared" si="15"/>
        <v>12664.588070045947</v>
      </c>
      <c r="Q19" s="242">
        <f t="shared" si="23"/>
        <v>0</v>
      </c>
      <c r="R19" s="242">
        <f t="shared" si="4"/>
        <v>0</v>
      </c>
      <c r="S19" s="242">
        <f>S18-M19-T19</f>
        <v>514801.66651339235</v>
      </c>
      <c r="T19" s="467"/>
      <c r="U19" s="198">
        <f>IF((U18-1)&lt;0,0,U18-1)</f>
        <v>74</v>
      </c>
      <c r="V19" s="36">
        <f t="shared" si="6"/>
        <v>74</v>
      </c>
      <c r="W19" s="36">
        <f t="shared" si="7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8"/>
        <v>1</v>
      </c>
      <c r="AQ19" s="553">
        <f>AQ18+1</f>
        <v>11</v>
      </c>
      <c r="AR19" s="554">
        <f>IF((OR(DAY($AE$54)=29,DAY($AE$54)=30,DAY($AE$54)=31)),(EDATE($C$9-3,AQ19)),EDATE($C$9,AQ19))</f>
        <v>45650</v>
      </c>
      <c r="AS19" s="555">
        <f>IF($D$16="Да",$AN$37,$D$13)</f>
        <v>0.29899999999999999</v>
      </c>
      <c r="AT19" s="546">
        <f t="shared" si="9"/>
        <v>14501</v>
      </c>
      <c r="AU19" s="546">
        <f>IF(AQ19&gt;$C$10,0,IF(BD18=0,AU18,ROUNDUP(BC18*$C$11/12/((1-(1+$C$11/12)^(0-($C$10-AQ19)))),0)))</f>
        <v>14501</v>
      </c>
      <c r="AV19" s="546">
        <f>BH18*($D$13/365*(AR19-AR18))</f>
        <v>11953.386503026564</v>
      </c>
      <c r="AW19" s="546">
        <f>IF(BJ19=0,0,IF(BJ19=1,BH18,IF(BH18+AX19+AV19&gt;AU18,AU19-AV19-AX19,BH18)))</f>
        <v>2547.6134969734358</v>
      </c>
      <c r="AX19" s="546">
        <f>IF(AZ19-BA19&gt;$D$24,$D$24-AV19,IF(BJ19=0,0,BB19)+BY67)</f>
        <v>0</v>
      </c>
      <c r="AY19" s="546">
        <v>0</v>
      </c>
      <c r="AZ19" s="546">
        <f t="shared" si="11"/>
        <v>11953.386503026564</v>
      </c>
      <c r="BA19" s="546">
        <f>IF($D$16="Нет",0,IF($D$17="Серебряный",1800,IF($D$17="Золотой",2500,IF($D$17="Платиновый",3500,""))))</f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>IF(OR(BJ19=1,BH18=0),0,BH18-AW19)</f>
        <v>483849.94208883442</v>
      </c>
      <c r="BI19" s="108">
        <f>IF((BI18-1)&lt;0,0,BI18-1)</f>
        <v>74</v>
      </c>
      <c r="BJ19" s="108">
        <f t="shared" si="17"/>
        <v>74</v>
      </c>
      <c r="BK19" s="22">
        <f t="shared" si="18"/>
        <v>45650</v>
      </c>
      <c r="BL19" s="108">
        <f t="shared" si="2"/>
        <v>14612</v>
      </c>
      <c r="BN19" s="118"/>
    </row>
    <row r="20" spans="1:394" ht="16.899999999999999" customHeight="1" thickBot="1" x14ac:dyDescent="0.25">
      <c r="A20" s="807"/>
      <c r="B20" s="807"/>
      <c r="C20" s="807"/>
      <c r="D20" s="807"/>
      <c r="E20" s="807"/>
      <c r="F20" s="224"/>
      <c r="G20" s="248">
        <f t="shared" si="19"/>
        <v>12</v>
      </c>
      <c r="H20" s="679">
        <f>IF((OR(DAY($AE$54)=29,DAY($AE$54)=30,DAY($AE$54)=31)),(EDATE($C$9-3,G20)),EDATE($C$9,G20))</f>
        <v>45681</v>
      </c>
      <c r="I20" s="250">
        <f>IF(AND($X$11=1,G20&gt;=$X$11,),0%,$C$13)</f>
        <v>0.29899999999999999</v>
      </c>
      <c r="J20" s="252">
        <f t="shared" si="0"/>
        <v>14612</v>
      </c>
      <c r="K20" s="252">
        <f>IF(G20&gt;$C$10,0,IF((S19+L20)&lt;K19,(S19+L20),IF(T19=0,K19,MIN(K19,ROUNDUP(S19*$C$13/12/((1-(1+$C$13/12)^(0-($C$10-G20)))),0)))))</f>
        <v>14612</v>
      </c>
      <c r="L20" s="242">
        <f t="shared" si="3"/>
        <v>13037.422532548178</v>
      </c>
      <c r="M20" s="252">
        <f t="shared" si="14"/>
        <v>1574.5774674518216</v>
      </c>
      <c r="N20" s="252">
        <f>IF(P20-Q20&gt;$C$24,$C$24-L20,IF(V20=0,0,R20)+$AJ$51)</f>
        <v>0</v>
      </c>
      <c r="O20" s="252">
        <v>0</v>
      </c>
      <c r="P20" s="252">
        <f t="shared" si="15"/>
        <v>13037.422532548178</v>
      </c>
      <c r="Q20" s="252">
        <f t="shared" si="23"/>
        <v>0</v>
      </c>
      <c r="R20" s="252">
        <f t="shared" si="4"/>
        <v>0</v>
      </c>
      <c r="S20" s="252">
        <f t="shared" si="5"/>
        <v>513227.08904594055</v>
      </c>
      <c r="T20" s="468"/>
      <c r="U20" s="198">
        <f>IF((U19-1)&lt;0,0,U19-1)</f>
        <v>73</v>
      </c>
      <c r="V20" s="36">
        <f t="shared" si="6"/>
        <v>73</v>
      </c>
      <c r="W20" s="36">
        <f t="shared" si="7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8"/>
        <v>1</v>
      </c>
      <c r="AQ20" s="556">
        <f>AQ19+1</f>
        <v>12</v>
      </c>
      <c r="AR20" s="680">
        <f>IF((OR(DAY($AE$54)=29,DAY($AE$54)=30,DAY($AE$54)=31)),(EDATE($C$9-3,AQ20)),EDATE($C$9,AQ20))</f>
        <v>45681</v>
      </c>
      <c r="AS20" s="557">
        <f>IF($D$16="Да",$AN$37,$D$13)</f>
        <v>0.29899999999999999</v>
      </c>
      <c r="AT20" s="547">
        <f t="shared" si="9"/>
        <v>14501</v>
      </c>
      <c r="AU20" s="547">
        <f t="shared" si="16"/>
        <v>14501</v>
      </c>
      <c r="AV20" s="547">
        <f>BH19*($D$13/365*(AR20-AR19))</f>
        <v>12287.137296497001</v>
      </c>
      <c r="AW20" s="547">
        <f t="shared" si="10"/>
        <v>2213.8627035029986</v>
      </c>
      <c r="AX20" s="547">
        <f>IF(AZ20-BA20&gt;$D$24,$D$24-AV20,IF(BJ20=0,0,BB20)+BY68)</f>
        <v>0</v>
      </c>
      <c r="AY20" s="547">
        <v>0</v>
      </c>
      <c r="AZ20" s="547">
        <f t="shared" si="11"/>
        <v>12287.137296497001</v>
      </c>
      <c r="BA20" s="547">
        <f>IF($D$16="Нет",0,IF($D$17="Серебряный",1800,IF($D$17="Золотой",2500,IF($D$17="Платиновый",3500,""))))</f>
        <v>0</v>
      </c>
      <c r="BB20" s="547">
        <f t="shared" ref="BB20:BB83" si="25">IF(BJ26=0,0,0)</f>
        <v>0</v>
      </c>
      <c r="BC20" s="547"/>
      <c r="BD20" s="547"/>
      <c r="BE20" s="547"/>
      <c r="BF20" s="547"/>
      <c r="BG20" s="547"/>
      <c r="BH20" s="547">
        <f t="shared" si="13"/>
        <v>481636.07938533142</v>
      </c>
      <c r="BI20" s="108">
        <f t="shared" si="22"/>
        <v>73</v>
      </c>
      <c r="BJ20" s="108">
        <f t="shared" si="17"/>
        <v>73</v>
      </c>
      <c r="BK20" s="22">
        <f t="shared" si="18"/>
        <v>45681</v>
      </c>
      <c r="BL20" s="108">
        <f t="shared" si="2"/>
        <v>14612</v>
      </c>
      <c r="BN20" s="118"/>
    </row>
    <row r="21" spans="1:394" ht="12.75" customHeight="1" x14ac:dyDescent="0.2">
      <c r="A21" s="817" t="s">
        <v>469</v>
      </c>
      <c r="B21" s="817"/>
      <c r="C21" s="818" t="str">
        <f>IF(AND(C8=CA8,C10&gt;47),"Ошибка: при указанном сроке нужна страховка ОПТИ_ПакетБВ+ГС_48",IF(AND(C8=CA9,C10&lt;48),"Ошибка: при указанном сроке нужна страховка ОПТИ_ПакетБВ+ГС_36",IF(AND(C8&lt;&gt;"нет",C16="Нет"),"Ошибка: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Только ГС</v>
      </c>
      <c r="D21" s="818"/>
      <c r="E21" s="818"/>
      <c r="F21" s="224"/>
      <c r="G21" s="244">
        <f t="shared" si="19"/>
        <v>13</v>
      </c>
      <c r="H21" s="245">
        <f>IF((OR(DAY($AE$54)=29,DAY($AE$54)=30,DAY($AE$54)=31)),(EDATE($C$9-3,G21)),EDATE($C$9,G21))</f>
        <v>45712</v>
      </c>
      <c r="I21" s="246">
        <f>IF(AND($X$11=1,G21&gt;=$X$11,),0%,$C$13)</f>
        <v>0.29899999999999999</v>
      </c>
      <c r="J21" s="242">
        <f>K21+Q21</f>
        <v>14612</v>
      </c>
      <c r="K21" s="242">
        <f>IF(G21&gt;$C$10,0,IF((S20+L21)&lt;K20,(S20+L21),IF(T20=0,K20,MIN(K20,ROUNDUP(S20*$C$13/12/((1-(1+$C$13/12)^(0-($C$10-G21)))),0)))))</f>
        <v>14612</v>
      </c>
      <c r="L21" s="242">
        <f t="shared" si="3"/>
        <v>13033.155858539239</v>
      </c>
      <c r="M21" s="242">
        <f t="shared" si="14"/>
        <v>1578.8441414607605</v>
      </c>
      <c r="N21" s="242">
        <f>IF(P21-Q21&gt;$C$24,$C$24-L21,IF(V21=0,0,R21)+$AJ$51)</f>
        <v>0</v>
      </c>
      <c r="O21" s="242">
        <v>0</v>
      </c>
      <c r="P21" s="242">
        <f t="shared" si="15"/>
        <v>13033.155858539239</v>
      </c>
      <c r="Q21" s="242">
        <f t="shared" si="23"/>
        <v>0</v>
      </c>
      <c r="R21" s="242">
        <f t="shared" si="4"/>
        <v>0</v>
      </c>
      <c r="S21" s="242">
        <f t="shared" si="5"/>
        <v>511648.24490447977</v>
      </c>
      <c r="T21" s="467"/>
      <c r="U21" s="198">
        <f>IF((U20-1)&lt;0,0,U20-1)</f>
        <v>72</v>
      </c>
      <c r="V21" s="36">
        <f t="shared" si="6"/>
        <v>72</v>
      </c>
      <c r="W21" s="36">
        <f t="shared" si="7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8"/>
        <v>1</v>
      </c>
      <c r="AQ21" s="553">
        <f>AQ20+1</f>
        <v>13</v>
      </c>
      <c r="AR21" s="554">
        <f>IF((OR(DAY($AE$54)=29,DAY($AE$54)=30,DAY($AE$54)=31)),(EDATE($C$9-3,AQ21)),EDATE($C$9,AQ21))</f>
        <v>45712</v>
      </c>
      <c r="AS21" s="555">
        <f>IF($D$16="Да",$AN$37,$D$13)</f>
        <v>0.29899999999999999</v>
      </c>
      <c r="AT21" s="546">
        <f t="shared" si="9"/>
        <v>14501</v>
      </c>
      <c r="AU21" s="546">
        <f t="shared" si="16"/>
        <v>14501</v>
      </c>
      <c r="AV21" s="546">
        <f>BH20*($D$13/365*(AR21-AR20))</f>
        <v>12230.917314582566</v>
      </c>
      <c r="AW21" s="546">
        <f t="shared" si="10"/>
        <v>2270.0826854174338</v>
      </c>
      <c r="AX21" s="546">
        <f>IF(AZ21-BA21&gt;$D$24,$D$24-AV21,IF(BJ21=0,0,BB21)+BY69)</f>
        <v>0</v>
      </c>
      <c r="AY21" s="546">
        <v>0</v>
      </c>
      <c r="AZ21" s="546">
        <f t="shared" si="11"/>
        <v>12230.917314582566</v>
      </c>
      <c r="BA21" s="546">
        <f t="shared" ref="BA21:BA84" si="26">IF(BJ27=0,0,0)</f>
        <v>0</v>
      </c>
      <c r="BB21" s="546">
        <f t="shared" si="25"/>
        <v>0</v>
      </c>
      <c r="BC21" s="546"/>
      <c r="BD21" s="546"/>
      <c r="BE21" s="546"/>
      <c r="BF21" s="546"/>
      <c r="BG21" s="546"/>
      <c r="BH21" s="546">
        <f t="shared" si="13"/>
        <v>479365.99669991399</v>
      </c>
      <c r="BI21" s="108">
        <f t="shared" si="22"/>
        <v>72</v>
      </c>
      <c r="BJ21" s="108">
        <f t="shared" si="17"/>
        <v>72</v>
      </c>
      <c r="BK21" s="22">
        <f t="shared" si="18"/>
        <v>45712</v>
      </c>
      <c r="BL21" s="108">
        <f t="shared" si="2"/>
        <v>14612</v>
      </c>
      <c r="BN21" s="118"/>
    </row>
    <row r="22" spans="1:394" ht="34.15" customHeight="1" x14ac:dyDescent="0.2">
      <c r="A22" s="808" t="s">
        <v>350</v>
      </c>
      <c r="B22" s="808"/>
      <c r="C22" s="809"/>
      <c r="D22" s="496"/>
      <c r="E22" s="496"/>
      <c r="F22" s="225"/>
      <c r="G22" s="244">
        <f t="shared" si="19"/>
        <v>14</v>
      </c>
      <c r="H22" s="245">
        <f>IF((OR(DAY($AE$54)=29,DAY($AE$54)=30,DAY($AE$54)=31)),(EDATE($C$9-3,G22)),EDATE($C$9,G22))</f>
        <v>45740</v>
      </c>
      <c r="I22" s="246">
        <f>IF(AND($X$11=1,G22&gt;=$X$11,),0%,$C$13)</f>
        <v>0.29899999999999999</v>
      </c>
      <c r="J22" s="242">
        <f t="shared" si="0"/>
        <v>14612</v>
      </c>
      <c r="K22" s="242">
        <f>IF(G22&gt;$C$10,0,IF((S21+L22)&lt;K21,(S21+L22),IF(T21=0,K21,MIN(K21,ROUNDUP(S21*$C$13/12/((1-(1+$C$13/12)^(0-($C$10-G22)))),0)))))</f>
        <v>14612</v>
      </c>
      <c r="L22" s="242">
        <f t="shared" si="3"/>
        <v>11735.668784493984</v>
      </c>
      <c r="M22" s="242">
        <f t="shared" si="14"/>
        <v>2876.3312155060157</v>
      </c>
      <c r="N22" s="242">
        <f>IF(P22-Q22&gt;$C$24,$C$24-L22,IF(V22=0,0,R22)+$AJ$51)</f>
        <v>0</v>
      </c>
      <c r="O22" s="242">
        <v>0</v>
      </c>
      <c r="P22" s="242">
        <f t="shared" si="15"/>
        <v>11735.668784493984</v>
      </c>
      <c r="Q22" s="242">
        <f t="shared" si="23"/>
        <v>0</v>
      </c>
      <c r="R22" s="242">
        <f t="shared" si="4"/>
        <v>0</v>
      </c>
      <c r="S22" s="242">
        <f t="shared" si="5"/>
        <v>508771.91368897376</v>
      </c>
      <c r="T22" s="467"/>
      <c r="U22" s="198">
        <f t="shared" si="20"/>
        <v>71</v>
      </c>
      <c r="V22" s="36">
        <f t="shared" si="6"/>
        <v>71</v>
      </c>
      <c r="W22" s="36">
        <f t="shared" si="7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8"/>
        <v>1</v>
      </c>
      <c r="AQ22" s="553">
        <f t="shared" si="21"/>
        <v>14</v>
      </c>
      <c r="AR22" s="554">
        <f>IF((OR(DAY($AE$54)=29,DAY($AE$54)=30,DAY($AE$54)=31)),(EDATE($C$9-3,AQ22)),EDATE($C$9,AQ22))</f>
        <v>45740</v>
      </c>
      <c r="AS22" s="555">
        <f>IF($D$16="Да",$AN$37,$D$13)</f>
        <v>0.29899999999999999</v>
      </c>
      <c r="AT22" s="546">
        <f t="shared" si="9"/>
        <v>14501</v>
      </c>
      <c r="AU22" s="546">
        <f t="shared" si="16"/>
        <v>14501</v>
      </c>
      <c r="AV22" s="546">
        <f>BH21*($D$13/365*(AR22-AR21))</f>
        <v>10995.211299648437</v>
      </c>
      <c r="AW22" s="546">
        <f t="shared" si="10"/>
        <v>3505.7887003515625</v>
      </c>
      <c r="AX22" s="546">
        <f>IF(AZ22-BA22&gt;$D$24,$D$24-AV22,IF(BJ22=0,0,BB22)+BY70)</f>
        <v>0</v>
      </c>
      <c r="AY22" s="546">
        <v>0</v>
      </c>
      <c r="AZ22" s="546">
        <f t="shared" si="11"/>
        <v>10995.211299648437</v>
      </c>
      <c r="BA22" s="546">
        <f t="shared" si="26"/>
        <v>0</v>
      </c>
      <c r="BB22" s="546">
        <f t="shared" si="25"/>
        <v>0</v>
      </c>
      <c r="BC22" s="546"/>
      <c r="BD22" s="546"/>
      <c r="BE22" s="546"/>
      <c r="BF22" s="546"/>
      <c r="BG22" s="546"/>
      <c r="BH22" s="546">
        <f t="shared" si="13"/>
        <v>475860.20799956244</v>
      </c>
      <c r="BI22" s="108">
        <f t="shared" si="22"/>
        <v>71</v>
      </c>
      <c r="BJ22" s="108">
        <f t="shared" si="17"/>
        <v>71</v>
      </c>
      <c r="BK22" s="22">
        <f t="shared" si="18"/>
        <v>45740</v>
      </c>
      <c r="BL22" s="108">
        <f t="shared" si="2"/>
        <v>14612</v>
      </c>
      <c r="BN22" s="118"/>
    </row>
    <row r="23" spans="1:394" ht="19.149999999999999" customHeight="1" x14ac:dyDescent="0.2">
      <c r="A23" s="810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810"/>
      <c r="C23" s="358">
        <f>'КЭШ, Реф (БВ_ОПТИ_Льготный)'!C28</f>
        <v>531999</v>
      </c>
      <c r="D23" s="355">
        <f>$C$7+(IF($D$8="Нет",0,IF($D$25&lt;&gt;"",$D$25,0))+IF(D14="Нет",0,IF(D14="Да",D15,0)))</f>
        <v>506999</v>
      </c>
      <c r="E23" s="224">
        <f>C23-D23</f>
        <v>25000</v>
      </c>
      <c r="F23" s="226"/>
      <c r="G23" s="244">
        <f t="shared" si="19"/>
        <v>15</v>
      </c>
      <c r="H23" s="245">
        <f>IF((OR(DAY($AE$54)=29,DAY($AE$54)=30,DAY($AE$54)=31)),(EDATE($C$9-3,G23)),EDATE($C$9,G23))</f>
        <v>45771</v>
      </c>
      <c r="I23" s="246">
        <f>IF(AND($X$11=1,G23&gt;=$X$11,),0%,$C$13)</f>
        <v>0.29899999999999999</v>
      </c>
      <c r="J23" s="242">
        <f t="shared" si="0"/>
        <v>14612</v>
      </c>
      <c r="K23" s="242">
        <f>IF(G23&gt;$C$10,0,IF((S22+L23)&lt;K22,(S22+L23),IF(T22=0,K22,MIN(K22,ROUNDUP(S22*$C$13/12/((1-(1+$C$13/12)^(0-($C$10-G23)))),0)))))</f>
        <v>14612</v>
      </c>
      <c r="L23" s="242">
        <f t="shared" si="3"/>
        <v>12920.018816392048</v>
      </c>
      <c r="M23" s="242">
        <f t="shared" si="14"/>
        <v>1691.9811836079516</v>
      </c>
      <c r="N23" s="242">
        <f>IF(P23-Q23&gt;$C$24,$C$24-L23,IF(V23=0,0,R23)+$AJ$51)</f>
        <v>0</v>
      </c>
      <c r="O23" s="242">
        <v>0</v>
      </c>
      <c r="P23" s="242">
        <f t="shared" si="15"/>
        <v>12920.018816392048</v>
      </c>
      <c r="Q23" s="242">
        <f t="shared" si="23"/>
        <v>0</v>
      </c>
      <c r="R23" s="242">
        <f t="shared" si="4"/>
        <v>0</v>
      </c>
      <c r="S23" s="242">
        <f t="shared" si="5"/>
        <v>507079.93250536581</v>
      </c>
      <c r="T23" s="467"/>
      <c r="U23" s="198">
        <f t="shared" si="20"/>
        <v>70</v>
      </c>
      <c r="V23" s="36">
        <f t="shared" si="6"/>
        <v>70</v>
      </c>
      <c r="W23" s="36">
        <f t="shared" si="7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8"/>
        <v>1</v>
      </c>
      <c r="AQ23" s="553">
        <f t="shared" si="21"/>
        <v>15</v>
      </c>
      <c r="AR23" s="554">
        <f>IF((OR(DAY($AE$54)=29,DAY($AE$54)=30,DAY($AE$54)=31)),(EDATE($C$9-3,AQ23)),EDATE($C$9,AQ23))</f>
        <v>45771</v>
      </c>
      <c r="AS23" s="555">
        <f>IF($D$16="Да",$AN$37,$D$13)</f>
        <v>0.29899999999999999</v>
      </c>
      <c r="AT23" s="546">
        <f t="shared" si="9"/>
        <v>14501</v>
      </c>
      <c r="AU23" s="546">
        <f t="shared" si="16"/>
        <v>14501</v>
      </c>
      <c r="AV23" s="546">
        <f>BH22*($D$13/365*(AR23-AR22))</f>
        <v>12084.241829994367</v>
      </c>
      <c r="AW23" s="546">
        <f t="shared" si="10"/>
        <v>2416.7581700056326</v>
      </c>
      <c r="AX23" s="546">
        <f>IF(AZ23-BA23&gt;$D$24,$D$24-AV23,IF(BJ23=0,0,BB23)+BY71)</f>
        <v>0</v>
      </c>
      <c r="AY23" s="546">
        <v>0</v>
      </c>
      <c r="AZ23" s="546">
        <f t="shared" si="11"/>
        <v>12084.241829994367</v>
      </c>
      <c r="BA23" s="546">
        <f t="shared" si="26"/>
        <v>0</v>
      </c>
      <c r="BB23" s="546">
        <f t="shared" si="25"/>
        <v>0</v>
      </c>
      <c r="BC23" s="546"/>
      <c r="BD23" s="546"/>
      <c r="BE23" s="546"/>
      <c r="BF23" s="546"/>
      <c r="BG23" s="546"/>
      <c r="BH23" s="546">
        <f t="shared" si="13"/>
        <v>473443.4498295568</v>
      </c>
      <c r="BI23" s="108">
        <f t="shared" si="22"/>
        <v>70</v>
      </c>
      <c r="BJ23" s="108">
        <f t="shared" si="17"/>
        <v>70</v>
      </c>
      <c r="BK23" s="22">
        <f t="shared" si="18"/>
        <v>45771</v>
      </c>
      <c r="BL23" s="108">
        <f t="shared" si="2"/>
        <v>14612</v>
      </c>
      <c r="BN23" s="118"/>
    </row>
    <row r="24" spans="1:394" ht="18" customHeight="1" x14ac:dyDescent="0.2">
      <c r="A24" s="769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769"/>
      <c r="C24" s="358">
        <f>'КЭШ, Реф (БВ_ОПТИ_Льготный)'!C29</f>
        <v>14612</v>
      </c>
      <c r="D24" s="355">
        <f>AU9</f>
        <v>14501</v>
      </c>
      <c r="E24" s="224">
        <f>C24-D24</f>
        <v>111</v>
      </c>
      <c r="F24" s="226"/>
      <c r="G24" s="244">
        <f t="shared" si="19"/>
        <v>16</v>
      </c>
      <c r="H24" s="245">
        <f>IF((OR(DAY($AE$54)=29,DAY($AE$54)=30,DAY($AE$54)=31)),(EDATE($C$9-3,G24)),EDATE($C$9,G24))</f>
        <v>45801</v>
      </c>
      <c r="I24" s="246">
        <f>IF(AND($X$11=1,G24&gt;=$X$11,),0%,$C$13)</f>
        <v>0.29899999999999999</v>
      </c>
      <c r="J24" s="242">
        <f t="shared" si="0"/>
        <v>14612</v>
      </c>
      <c r="K24" s="242">
        <f>IF(G24&gt;$C$10,0,IF((S23+L24)&lt;K23,(S23+L24),IF(T23=0,K23,MIN(K23,ROUNDUP(S23*$C$13/12/((1-(1+$C$13/12)^(0-($C$10-G24)))),0)))))</f>
        <v>14612</v>
      </c>
      <c r="L24" s="242">
        <f t="shared" si="3"/>
        <v>12461.662998830496</v>
      </c>
      <c r="M24" s="242">
        <f t="shared" si="14"/>
        <v>2150.3370011695042</v>
      </c>
      <c r="N24" s="242">
        <f>IF(P24-Q24&gt;$C$24,$C$24-L24,IF(V24=0,0,R24)+$AJ$51)</f>
        <v>0</v>
      </c>
      <c r="O24" s="242">
        <v>0</v>
      </c>
      <c r="P24" s="242">
        <f t="shared" si="15"/>
        <v>12461.662998830496</v>
      </c>
      <c r="Q24" s="242">
        <f t="shared" si="23"/>
        <v>0</v>
      </c>
      <c r="R24" s="242">
        <f t="shared" si="4"/>
        <v>0</v>
      </c>
      <c r="S24" s="242">
        <f t="shared" si="5"/>
        <v>504929.5955041963</v>
      </c>
      <c r="T24" s="467"/>
      <c r="U24" s="198">
        <f t="shared" si="20"/>
        <v>69</v>
      </c>
      <c r="V24" s="36">
        <f t="shared" si="6"/>
        <v>69</v>
      </c>
      <c r="W24" s="36">
        <f t="shared" si="7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8"/>
        <v>1</v>
      </c>
      <c r="AQ24" s="553">
        <f t="shared" si="21"/>
        <v>16</v>
      </c>
      <c r="AR24" s="554">
        <f>IF((OR(DAY($AE$54)=29,DAY($AE$54)=30,DAY($AE$54)=31)),(EDATE($C$9-3,AQ24)),EDATE($C$9,AQ24))</f>
        <v>45801</v>
      </c>
      <c r="AS24" s="555">
        <f>IF($D$16="Да",$AN$37,$D$13)</f>
        <v>0.29899999999999999</v>
      </c>
      <c r="AT24" s="546">
        <f t="shared" si="9"/>
        <v>14501</v>
      </c>
      <c r="AU24" s="546">
        <f t="shared" si="16"/>
        <v>14501</v>
      </c>
      <c r="AV24" s="546">
        <f>BH23*($D$13/365*(AR24-AR23))</f>
        <v>11635.034917729106</v>
      </c>
      <c r="AW24" s="546">
        <f t="shared" si="10"/>
        <v>2865.9650822708936</v>
      </c>
      <c r="AX24" s="546">
        <f>IF(AZ24-BA24&gt;$D$24,$D$24-AV24,IF(BJ24=0,0,BB24)+BY72)</f>
        <v>0</v>
      </c>
      <c r="AY24" s="546">
        <v>0</v>
      </c>
      <c r="AZ24" s="546">
        <f t="shared" si="11"/>
        <v>11635.034917729106</v>
      </c>
      <c r="BA24" s="546">
        <f t="shared" si="26"/>
        <v>0</v>
      </c>
      <c r="BB24" s="546">
        <f t="shared" si="25"/>
        <v>0</v>
      </c>
      <c r="BC24" s="546"/>
      <c r="BD24" s="546"/>
      <c r="BE24" s="546"/>
      <c r="BF24" s="546"/>
      <c r="BG24" s="546"/>
      <c r="BH24" s="546">
        <f t="shared" si="13"/>
        <v>470577.4847472859</v>
      </c>
      <c r="BI24" s="108">
        <f t="shared" si="22"/>
        <v>69</v>
      </c>
      <c r="BJ24" s="108">
        <f t="shared" si="17"/>
        <v>69</v>
      </c>
      <c r="BK24" s="22">
        <f t="shared" si="18"/>
        <v>45801</v>
      </c>
      <c r="BL24" s="108">
        <f t="shared" si="2"/>
        <v>14612</v>
      </c>
      <c r="BN24" s="118"/>
    </row>
    <row r="25" spans="1:394" ht="18" customHeight="1" x14ac:dyDescent="0.2">
      <c r="A25" s="763" t="s">
        <v>285</v>
      </c>
      <c r="B25" s="763"/>
      <c r="C25" s="331">
        <f>'КЭШ, Реф (БВ_ОПТИ_Льготный)'!C32</f>
        <v>0</v>
      </c>
      <c r="D25" s="357">
        <v>0</v>
      </c>
      <c r="E25" s="226">
        <f>C25-D25</f>
        <v>0</v>
      </c>
      <c r="F25" s="226"/>
      <c r="G25" s="244">
        <f t="shared" si="19"/>
        <v>17</v>
      </c>
      <c r="H25" s="245">
        <f>IF((OR(DAY($AE$54)=29,DAY($AE$54)=30,DAY($AE$54)=31)),(EDATE($C$9-3,G25)),EDATE($C$9,G25))</f>
        <v>45832</v>
      </c>
      <c r="I25" s="246">
        <f>IF(AND($X$11=1,G25&gt;=$X$11,),0%,$C$13)</f>
        <v>0.29899999999999999</v>
      </c>
      <c r="J25" s="242">
        <f t="shared" si="0"/>
        <v>14612</v>
      </c>
      <c r="K25" s="242">
        <f>IF(G25&gt;$C$10,0,IF((S24+L25)&lt;K24,(S24+L25),IF(T24=0,K24,MIN(K24,ROUNDUP(S24*$C$13/12/((1-(1+$C$13/12)^(0-($C$10-G25)))),0)))))</f>
        <v>14612</v>
      </c>
      <c r="L25" s="242">
        <f t="shared" si="3"/>
        <v>12822.444988296973</v>
      </c>
      <c r="M25" s="242">
        <f t="shared" si="14"/>
        <v>1789.555011703027</v>
      </c>
      <c r="N25" s="242">
        <f>IF(P25-Q25&gt;$C$24,$C$24-L25,IF(V25=0,0,R25)+$AJ$51)</f>
        <v>0</v>
      </c>
      <c r="O25" s="242">
        <v>0</v>
      </c>
      <c r="P25" s="242">
        <f t="shared" si="15"/>
        <v>12822.444988296973</v>
      </c>
      <c r="Q25" s="242">
        <f t="shared" si="23"/>
        <v>0</v>
      </c>
      <c r="R25" s="242">
        <f t="shared" si="4"/>
        <v>0</v>
      </c>
      <c r="S25" s="242">
        <f t="shared" si="5"/>
        <v>503140.04049249325</v>
      </c>
      <c r="T25" s="467"/>
      <c r="U25" s="198">
        <f t="shared" si="20"/>
        <v>68</v>
      </c>
      <c r="V25" s="36">
        <f t="shared" si="6"/>
        <v>68</v>
      </c>
      <c r="W25" s="36">
        <f t="shared" si="7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8"/>
        <v>1</v>
      </c>
      <c r="AQ25" s="558">
        <f t="shared" si="21"/>
        <v>17</v>
      </c>
      <c r="AR25" s="554">
        <f>IF((OR(DAY($AE$54)=29,DAY($AE$54)=30,DAY($AE$54)=31)),(EDATE($C$9-3,AQ25)),EDATE($C$9,AQ25))</f>
        <v>45832</v>
      </c>
      <c r="AS25" s="555">
        <f>IF($D$16="Да",$AN$37,$D$13)</f>
        <v>0.29899999999999999</v>
      </c>
      <c r="AT25" s="546">
        <f t="shared" si="9"/>
        <v>14501</v>
      </c>
      <c r="AU25" s="546">
        <f t="shared" si="16"/>
        <v>14501</v>
      </c>
      <c r="AV25" s="546">
        <f>BH24*($D$13/365*(AR25-AR24))</f>
        <v>11950.089605815323</v>
      </c>
      <c r="AW25" s="546">
        <f t="shared" si="10"/>
        <v>2550.910394184677</v>
      </c>
      <c r="AX25" s="546">
        <f>IF(AZ25-BA25&gt;$D$24,$D$24-AV25,IF(BJ25=0,0,BB25)+BY73)</f>
        <v>0</v>
      </c>
      <c r="AY25" s="546">
        <v>0</v>
      </c>
      <c r="AZ25" s="546">
        <f t="shared" si="11"/>
        <v>11950.089605815323</v>
      </c>
      <c r="BA25" s="546">
        <f t="shared" si="26"/>
        <v>0</v>
      </c>
      <c r="BB25" s="546">
        <f t="shared" si="25"/>
        <v>0</v>
      </c>
      <c r="BC25" s="546"/>
      <c r="BD25" s="546"/>
      <c r="BE25" s="546"/>
      <c r="BF25" s="546"/>
      <c r="BG25" s="546"/>
      <c r="BH25" s="546">
        <f t="shared" si="13"/>
        <v>468026.5743531012</v>
      </c>
      <c r="BI25" s="108">
        <f t="shared" si="22"/>
        <v>68</v>
      </c>
      <c r="BJ25" s="108">
        <f t="shared" si="17"/>
        <v>68</v>
      </c>
      <c r="BK25" s="22">
        <f t="shared" si="18"/>
        <v>45832</v>
      </c>
      <c r="BL25" s="108">
        <f t="shared" si="2"/>
        <v>14612</v>
      </c>
      <c r="BN25" s="118"/>
    </row>
    <row r="26" spans="1:394" ht="18" customHeight="1" x14ac:dyDescent="0.2">
      <c r="A26" s="763" t="s">
        <v>100</v>
      </c>
      <c r="B26" s="804"/>
      <c r="C26" s="482">
        <f>'КЭШ, Реф (БВ_ОПТИ_Льготный)'!C31</f>
        <v>1.1900000000000001E-2</v>
      </c>
      <c r="D26" s="666">
        <v>0</v>
      </c>
      <c r="E26" s="225"/>
      <c r="F26" s="192"/>
      <c r="G26" s="244">
        <f t="shared" si="19"/>
        <v>18</v>
      </c>
      <c r="H26" s="245">
        <f>IF((OR(DAY($AE$54)=29,DAY($AE$54)=30,DAY($AE$54)=31)),(EDATE($C$9-3,G26)),EDATE($C$9,G26))</f>
        <v>45862</v>
      </c>
      <c r="I26" s="246">
        <f>IF(AND($X$11=1,G26&gt;=$X$11,),0%,$C$13)</f>
        <v>0.29899999999999999</v>
      </c>
      <c r="J26" s="242">
        <f t="shared" si="0"/>
        <v>14612</v>
      </c>
      <c r="K26" s="242">
        <f>IF(G26&gt;$C$10,0,IF((S25+L26)&lt;K25,(S25+L26),IF(T25=0,K25,MIN(K25,ROUNDUP(S25*$C$13/12/((1-(1+$C$13/12)^(0-($C$10-G26)))),0)))))</f>
        <v>14612</v>
      </c>
      <c r="L26" s="242">
        <f t="shared" si="3"/>
        <v>12364.838803336066</v>
      </c>
      <c r="M26" s="242">
        <f t="shared" si="14"/>
        <v>2247.1611966639339</v>
      </c>
      <c r="N26" s="242">
        <f>IF(P26-Q26&gt;$C$24,$C$24-L26,IF(V26=0,0,R26)+$AJ$51)</f>
        <v>0</v>
      </c>
      <c r="O26" s="242">
        <v>0</v>
      </c>
      <c r="P26" s="242">
        <f t="shared" si="15"/>
        <v>12364.838803336066</v>
      </c>
      <c r="Q26" s="242">
        <f t="shared" si="23"/>
        <v>0</v>
      </c>
      <c r="R26" s="242">
        <f t="shared" si="4"/>
        <v>0</v>
      </c>
      <c r="S26" s="242">
        <f t="shared" si="5"/>
        <v>500892.87929582933</v>
      </c>
      <c r="T26" s="467"/>
      <c r="U26" s="198">
        <f t="shared" si="20"/>
        <v>67</v>
      </c>
      <c r="V26" s="36">
        <f t="shared" si="6"/>
        <v>67</v>
      </c>
      <c r="W26" s="36">
        <f t="shared" si="7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8"/>
        <v>1</v>
      </c>
      <c r="AQ26" s="553">
        <f t="shared" si="21"/>
        <v>18</v>
      </c>
      <c r="AR26" s="554">
        <f>IF((OR(DAY($AE$54)=29,DAY($AE$54)=30,DAY($AE$54)=31)),(EDATE($C$9-3,AQ26)),EDATE($C$9,AQ26))</f>
        <v>45862</v>
      </c>
      <c r="AS26" s="555">
        <f>IF($D$16="Да",$AN$37,$D$13)</f>
        <v>0.29899999999999999</v>
      </c>
      <c r="AT26" s="546">
        <f t="shared" si="9"/>
        <v>14501</v>
      </c>
      <c r="AU26" s="546">
        <f t="shared" si="16"/>
        <v>14501</v>
      </c>
      <c r="AV26" s="546">
        <f>BH25*($D$13/365*(AR26-AR25))</f>
        <v>11501.91334780087</v>
      </c>
      <c r="AW26" s="546">
        <f t="shared" si="10"/>
        <v>2999.0866521991302</v>
      </c>
      <c r="AX26" s="546">
        <f>IF(AZ26-BA26&gt;$D$24,$D$24-AV26,IF(BJ26=0,0,BB26)+BY74)</f>
        <v>0</v>
      </c>
      <c r="AY26" s="546">
        <v>0</v>
      </c>
      <c r="AZ26" s="546">
        <f t="shared" si="11"/>
        <v>11501.91334780087</v>
      </c>
      <c r="BA26" s="546">
        <f t="shared" si="26"/>
        <v>0</v>
      </c>
      <c r="BB26" s="546">
        <f t="shared" si="25"/>
        <v>0</v>
      </c>
      <c r="BC26" s="546"/>
      <c r="BD26" s="546"/>
      <c r="BE26" s="546"/>
      <c r="BF26" s="546"/>
      <c r="BG26" s="546"/>
      <c r="BH26" s="546">
        <f t="shared" si="13"/>
        <v>465027.48770090204</v>
      </c>
      <c r="BI26" s="108">
        <f t="shared" si="22"/>
        <v>67</v>
      </c>
      <c r="BJ26" s="108">
        <f t="shared" si="17"/>
        <v>67</v>
      </c>
      <c r="BK26" s="22">
        <f t="shared" si="18"/>
        <v>45862</v>
      </c>
      <c r="BL26" s="108">
        <f t="shared" si="2"/>
        <v>14612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805" t="s">
        <v>465</v>
      </c>
      <c r="B27" s="763"/>
      <c r="C27" s="661">
        <f>'КЭШ, Реф (БВ_ОПТИ_Льготный)'!C30</f>
        <v>12</v>
      </c>
      <c r="D27" s="667">
        <v>0</v>
      </c>
      <c r="E27" s="226">
        <f t="shared" ref="E27:E29" si="27">C27-D27</f>
        <v>12</v>
      </c>
      <c r="F27" s="192"/>
      <c r="G27" s="244">
        <f t="shared" si="19"/>
        <v>19</v>
      </c>
      <c r="H27" s="245">
        <f>IF((OR(DAY($AE$54)=29,DAY($AE$54)=30,DAY($AE$54)=31)),(EDATE($C$9-3,G27)),EDATE($C$9,G27))</f>
        <v>45893</v>
      </c>
      <c r="I27" s="246">
        <f>IF(AND($X$11=1,G27&gt;=$X$11,),0%,$C$13)</f>
        <v>0.29899999999999999</v>
      </c>
      <c r="J27" s="242">
        <f t="shared" si="0"/>
        <v>14612</v>
      </c>
      <c r="K27" s="242">
        <f>IF(G27&gt;$C$10,0,IF((S26+L27)&lt;K26,(S26+L27),IF(T26=0,K26,MIN(K26,ROUNDUP(S26*$C$13/12/((1-(1+$C$13/12)^(0-($C$10-G27)))),0)))))</f>
        <v>14612</v>
      </c>
      <c r="L27" s="242">
        <f t="shared" si="3"/>
        <v>12719.934515597375</v>
      </c>
      <c r="M27" s="242">
        <f t="shared" si="14"/>
        <v>1892.0654844026249</v>
      </c>
      <c r="N27" s="242">
        <f>IF(P27-Q27&gt;$C$24,$C$24-L27,IF(V27=0,0,R27)+$AJ$51)</f>
        <v>0</v>
      </c>
      <c r="O27" s="242">
        <v>0</v>
      </c>
      <c r="P27" s="242">
        <f t="shared" si="15"/>
        <v>12719.934515597375</v>
      </c>
      <c r="Q27" s="242">
        <f t="shared" si="23"/>
        <v>0</v>
      </c>
      <c r="R27" s="242">
        <f t="shared" si="4"/>
        <v>0</v>
      </c>
      <c r="S27" s="242">
        <f t="shared" si="5"/>
        <v>499000.81381142669</v>
      </c>
      <c r="T27" s="467"/>
      <c r="U27" s="198">
        <f t="shared" si="20"/>
        <v>66</v>
      </c>
      <c r="V27" s="36">
        <f t="shared" si="6"/>
        <v>66</v>
      </c>
      <c r="W27" s="36">
        <f t="shared" si="7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8"/>
        <v>1</v>
      </c>
      <c r="AQ27" s="553">
        <f t="shared" si="21"/>
        <v>19</v>
      </c>
      <c r="AR27" s="554">
        <f>IF((OR(DAY($AE$54)=29,DAY($AE$54)=30,DAY($AE$54)=31)),(EDATE($C$9-3,AQ27)),EDATE($C$9,AQ27))</f>
        <v>45893</v>
      </c>
      <c r="AS27" s="555">
        <f>IF($D$16="Да",$AN$37,$D$13)</f>
        <v>0.29899999999999999</v>
      </c>
      <c r="AT27" s="546">
        <f t="shared" si="9"/>
        <v>14501</v>
      </c>
      <c r="AU27" s="546">
        <f t="shared" si="16"/>
        <v>14501</v>
      </c>
      <c r="AV27" s="546">
        <f>BH26*($D$13/365*(AR27-AR26))</f>
        <v>11809.150091779893</v>
      </c>
      <c r="AW27" s="546">
        <f t="shared" si="10"/>
        <v>2691.849908220107</v>
      </c>
      <c r="AX27" s="546">
        <f>IF(AZ27-BA27&gt;$D$24,$D$24-AV27,IF(BJ27=0,0,BB27)+BY75)</f>
        <v>0</v>
      </c>
      <c r="AY27" s="546">
        <v>0</v>
      </c>
      <c r="AZ27" s="546">
        <f t="shared" si="11"/>
        <v>11809.150091779893</v>
      </c>
      <c r="BA27" s="546">
        <f t="shared" si="26"/>
        <v>0</v>
      </c>
      <c r="BB27" s="546">
        <f t="shared" si="25"/>
        <v>0</v>
      </c>
      <c r="BC27" s="546"/>
      <c r="BD27" s="546"/>
      <c r="BE27" s="546"/>
      <c r="BF27" s="546"/>
      <c r="BG27" s="546"/>
      <c r="BH27" s="546">
        <f t="shared" si="13"/>
        <v>462335.63779268193</v>
      </c>
      <c r="BI27" s="108">
        <f t="shared" si="22"/>
        <v>66</v>
      </c>
      <c r="BJ27" s="108">
        <f t="shared" si="17"/>
        <v>66</v>
      </c>
      <c r="BK27" s="22">
        <f t="shared" si="18"/>
        <v>45893</v>
      </c>
      <c r="BL27" s="108">
        <f t="shared" si="2"/>
        <v>14612</v>
      </c>
      <c r="BN27" s="118"/>
    </row>
    <row r="28" spans="1:394" ht="22.5" customHeight="1" x14ac:dyDescent="0.2">
      <c r="A28" s="763" t="s">
        <v>75</v>
      </c>
      <c r="B28" s="763"/>
      <c r="C28" s="194">
        <f>L109</f>
        <v>849420.64727763925</v>
      </c>
      <c r="D28" s="209">
        <f>AV109</f>
        <v>701540.05235761125</v>
      </c>
      <c r="E28" s="274">
        <f t="shared" si="27"/>
        <v>147880.594920028</v>
      </c>
      <c r="F28" s="190"/>
      <c r="G28" s="244">
        <f t="shared" si="19"/>
        <v>20</v>
      </c>
      <c r="H28" s="245">
        <f>IF((OR(DAY($AE$54)=29,DAY($AE$54)=30,DAY($AE$54)=31)),(EDATE($C$9-3,G28)),EDATE($C$9,G28))</f>
        <v>45924</v>
      </c>
      <c r="I28" s="246">
        <f>IF(AND($X$11=1,G28&gt;=$X$11,),0%,$C$13)</f>
        <v>0.29899999999999999</v>
      </c>
      <c r="J28" s="242">
        <f t="shared" si="0"/>
        <v>14612</v>
      </c>
      <c r="K28" s="242">
        <f>IF(G28&gt;$C$10,0,IF((S27+L28)&lt;K27,(S27+L28),IF(T27=0,K27,MIN(K27,ROUNDUP(S27*$C$13/12/((1-(1+$C$13/12)^(0-($C$10-G28)))),0)))))</f>
        <v>14612</v>
      </c>
      <c r="L28" s="242">
        <f t="shared" si="3"/>
        <v>12671.886419775654</v>
      </c>
      <c r="M28" s="242">
        <f t="shared" si="14"/>
        <v>1940.1135802243462</v>
      </c>
      <c r="N28" s="242">
        <f>IF(P28-Q28&gt;$C$24,$C$24-L28,IF(V28=0,0,R28)+$AJ$51)</f>
        <v>0</v>
      </c>
      <c r="O28" s="242">
        <v>0</v>
      </c>
      <c r="P28" s="242">
        <f t="shared" si="15"/>
        <v>12671.886419775654</v>
      </c>
      <c r="Q28" s="242">
        <f t="shared" si="23"/>
        <v>0</v>
      </c>
      <c r="R28" s="242">
        <f t="shared" si="4"/>
        <v>0</v>
      </c>
      <c r="S28" s="242">
        <f t="shared" si="5"/>
        <v>497060.70023120235</v>
      </c>
      <c r="T28" s="467"/>
      <c r="U28" s="198">
        <f t="shared" si="20"/>
        <v>65</v>
      </c>
      <c r="V28" s="36">
        <f t="shared" si="6"/>
        <v>65</v>
      </c>
      <c r="W28" s="36">
        <f t="shared" si="7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8"/>
        <v>1</v>
      </c>
      <c r="AQ28" s="553">
        <f t="shared" si="21"/>
        <v>20</v>
      </c>
      <c r="AR28" s="554">
        <f>IF((OR(DAY($AE$54)=29,DAY($AE$54)=30,DAY($AE$54)=31)),(EDATE($C$9-3,AQ28)),EDATE($C$9,AQ28))</f>
        <v>45924</v>
      </c>
      <c r="AS28" s="555">
        <f>IF($D$16="Да",$AN$37,$D$13)</f>
        <v>0.29899999999999999</v>
      </c>
      <c r="AT28" s="546">
        <f t="shared" si="9"/>
        <v>14501</v>
      </c>
      <c r="AU28" s="546">
        <f t="shared" si="16"/>
        <v>14501</v>
      </c>
      <c r="AV28" s="546">
        <f>BH27*($D$13/365*(AR28-AR27))</f>
        <v>11740.791853973613</v>
      </c>
      <c r="AW28" s="546">
        <f t="shared" si="10"/>
        <v>2760.2081460263871</v>
      </c>
      <c r="AX28" s="546">
        <f>IF(AZ28-BA28&gt;$D$24,$D$24-AV28,IF(BJ28=0,0,BB28)+BY76)</f>
        <v>0</v>
      </c>
      <c r="AY28" s="546">
        <v>0</v>
      </c>
      <c r="AZ28" s="546">
        <f t="shared" si="11"/>
        <v>11740.791853973613</v>
      </c>
      <c r="BA28" s="546">
        <f t="shared" si="26"/>
        <v>0</v>
      </c>
      <c r="BB28" s="546">
        <f t="shared" si="25"/>
        <v>0</v>
      </c>
      <c r="BC28" s="546"/>
      <c r="BD28" s="546"/>
      <c r="BE28" s="546"/>
      <c r="BF28" s="546"/>
      <c r="BG28" s="546"/>
      <c r="BH28" s="546">
        <f t="shared" si="13"/>
        <v>459575.42964665557</v>
      </c>
      <c r="BI28" s="108">
        <f t="shared" si="22"/>
        <v>65</v>
      </c>
      <c r="BJ28" s="108">
        <f t="shared" si="17"/>
        <v>65</v>
      </c>
      <c r="BK28" s="22">
        <f t="shared" si="18"/>
        <v>45924</v>
      </c>
      <c r="BL28" s="108">
        <f t="shared" si="2"/>
        <v>14612</v>
      </c>
    </row>
    <row r="29" spans="1:394" ht="19.5" customHeight="1" x14ac:dyDescent="0.2">
      <c r="A29" s="816" t="s">
        <v>466</v>
      </c>
      <c r="B29" s="763"/>
      <c r="C29" s="662">
        <f>'КЭШ, Реф (БВ_ОПТИ_Льготный)'!C26</f>
        <v>312548.52575250831</v>
      </c>
      <c r="D29" s="209">
        <f>IF(D18="",0,D18*12)</f>
        <v>0</v>
      </c>
      <c r="E29" s="274">
        <f t="shared" si="27"/>
        <v>312548.52575250831</v>
      </c>
      <c r="F29" s="234"/>
      <c r="G29" s="244">
        <f t="shared" si="19"/>
        <v>21</v>
      </c>
      <c r="H29" s="245">
        <f>IF((OR(DAY($AE$54)=29,DAY($AE$54)=30,DAY($AE$54)=31)),(EDATE($C$9-3,G29)),EDATE($C$9,G29))</f>
        <v>45954</v>
      </c>
      <c r="I29" s="246">
        <f>IF(AND($X$11=1,G29&gt;=$X$11,),0%,$C$13)</f>
        <v>0.29899999999999999</v>
      </c>
      <c r="J29" s="242">
        <f t="shared" si="0"/>
        <v>14612</v>
      </c>
      <c r="K29" s="242">
        <f>IF(G29&gt;$C$10,0,IF((S28+L29)&lt;K28,(S28+L29),IF(T28=0,K28,MIN(K28,ROUNDUP(S28*$C$13/12/((1-(1+$C$13/12)^(0-($C$10-G29)))),0)))))</f>
        <v>14612</v>
      </c>
      <c r="L29" s="242">
        <f t="shared" si="3"/>
        <v>12215.436934448999</v>
      </c>
      <c r="M29" s="242">
        <f t="shared" si="14"/>
        <v>2396.5630655510013</v>
      </c>
      <c r="N29" s="242">
        <f>IF(P29-Q29&gt;$C$24,$C$24-L29,IF(V29=0,0,R29)+$AJ$51)</f>
        <v>0</v>
      </c>
      <c r="O29" s="242">
        <v>0</v>
      </c>
      <c r="P29" s="242">
        <f t="shared" si="15"/>
        <v>12215.436934448999</v>
      </c>
      <c r="Q29" s="242">
        <f t="shared" si="23"/>
        <v>0</v>
      </c>
      <c r="R29" s="242">
        <f t="shared" si="4"/>
        <v>0</v>
      </c>
      <c r="S29" s="242">
        <f t="shared" si="5"/>
        <v>494664.13716565137</v>
      </c>
      <c r="T29" s="467"/>
      <c r="U29" s="198">
        <f t="shared" si="20"/>
        <v>64</v>
      </c>
      <c r="V29" s="36">
        <f t="shared" si="6"/>
        <v>64</v>
      </c>
      <c r="W29" s="36">
        <f t="shared" si="7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8"/>
        <v>1</v>
      </c>
      <c r="AQ29" s="553">
        <f t="shared" si="21"/>
        <v>21</v>
      </c>
      <c r="AR29" s="554">
        <f>IF((OR(DAY($AE$54)=29,DAY($AE$54)=30,DAY($AE$54)=31)),(EDATE($C$9-3,AQ29)),EDATE($C$9,AQ29))</f>
        <v>45954</v>
      </c>
      <c r="AS29" s="555">
        <f>IF($D$16="Да",$AN$37,$D$13)</f>
        <v>0.29899999999999999</v>
      </c>
      <c r="AT29" s="546">
        <f t="shared" si="9"/>
        <v>14501</v>
      </c>
      <c r="AU29" s="546">
        <f t="shared" si="16"/>
        <v>14501</v>
      </c>
      <c r="AV29" s="546">
        <f>BH28*($D$13/365*(AR29-AR28))</f>
        <v>11294.223572412329</v>
      </c>
      <c r="AW29" s="546">
        <f t="shared" si="10"/>
        <v>3206.7764275876707</v>
      </c>
      <c r="AX29" s="546">
        <f>IF(AZ29-BA29&gt;$D$24,$D$24-AV29,IF(BJ29=0,0,BB29)+BY77)</f>
        <v>0</v>
      </c>
      <c r="AY29" s="546">
        <v>0</v>
      </c>
      <c r="AZ29" s="546">
        <f t="shared" si="11"/>
        <v>11294.223572412329</v>
      </c>
      <c r="BA29" s="546">
        <f t="shared" si="26"/>
        <v>0</v>
      </c>
      <c r="BB29" s="546">
        <f t="shared" si="25"/>
        <v>0</v>
      </c>
      <c r="BC29" s="546"/>
      <c r="BD29" s="546"/>
      <c r="BE29" s="546"/>
      <c r="BF29" s="546"/>
      <c r="BG29" s="546"/>
      <c r="BH29" s="546">
        <f t="shared" si="13"/>
        <v>456368.6532190679</v>
      </c>
      <c r="BI29" s="108">
        <f t="shared" si="22"/>
        <v>64</v>
      </c>
      <c r="BJ29" s="108">
        <f t="shared" si="17"/>
        <v>64</v>
      </c>
      <c r="BK29" s="22">
        <f t="shared" si="18"/>
        <v>45954</v>
      </c>
      <c r="BL29" s="108">
        <f t="shared" si="2"/>
        <v>14612</v>
      </c>
    </row>
    <row r="30" spans="1:394" ht="35.25" customHeight="1" x14ac:dyDescent="0.2">
      <c r="A30" s="816" t="s">
        <v>467</v>
      </c>
      <c r="B30" s="763"/>
      <c r="C30" s="662">
        <f>'КЭШ, Реф (БВ_ОПТИ_Льготный)'!C27</f>
        <v>158393.80575250837</v>
      </c>
      <c r="D30" s="209">
        <f>D29</f>
        <v>0</v>
      </c>
      <c r="E30" s="1097" t="s">
        <v>358</v>
      </c>
      <c r="F30" s="235"/>
      <c r="G30" s="244">
        <f>G29+1</f>
        <v>22</v>
      </c>
      <c r="H30" s="245">
        <f>IF((OR(DAY($AE$54)=29,DAY($AE$54)=30,DAY($AE$54)=31)),(EDATE($C$9-3,G30)),EDATE($C$9,G30))</f>
        <v>45985</v>
      </c>
      <c r="I30" s="246">
        <f>IF(AND($X$11=1,G30&gt;=$X$11,),0%,$C$13)</f>
        <v>0.29899999999999999</v>
      </c>
      <c r="J30" s="242">
        <f t="shared" si="0"/>
        <v>14612</v>
      </c>
      <c r="K30" s="242">
        <f>IF(G30&gt;$C$10,0,IF((S29+L30)&lt;K29,(S29+L30),IF(T29=0,K29,MIN(K29,ROUNDUP(S29*$C$13/12/((1-(1+$C$13/12)^(0-($C$10-G30)))),0)))))</f>
        <v>14612</v>
      </c>
      <c r="L30" s="242">
        <f t="shared" si="3"/>
        <v>12561.758595584719</v>
      </c>
      <c r="M30" s="242">
        <f t="shared" si="14"/>
        <v>2050.2414044152811</v>
      </c>
      <c r="N30" s="242">
        <f>IF(P30-Q30&gt;$C$24,$C$24-L30,IF(V30=0,0,R30)+$AJ$51)</f>
        <v>0</v>
      </c>
      <c r="O30" s="242">
        <v>0</v>
      </c>
      <c r="P30" s="242">
        <f t="shared" si="15"/>
        <v>12561.758595584719</v>
      </c>
      <c r="Q30" s="242">
        <f t="shared" si="23"/>
        <v>0</v>
      </c>
      <c r="R30" s="242">
        <f t="shared" si="4"/>
        <v>0</v>
      </c>
      <c r="S30" s="242">
        <f t="shared" si="5"/>
        <v>492613.89576123608</v>
      </c>
      <c r="T30" s="467"/>
      <c r="U30" s="198">
        <f>IF((U29-1)&lt;0,0,U29-1)</f>
        <v>63</v>
      </c>
      <c r="V30" s="36">
        <f t="shared" si="6"/>
        <v>63</v>
      </c>
      <c r="W30" s="36">
        <f t="shared" si="7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8"/>
        <v>1</v>
      </c>
      <c r="AQ30" s="553">
        <f>AQ29+1</f>
        <v>22</v>
      </c>
      <c r="AR30" s="554">
        <f>IF((OR(DAY($AE$54)=29,DAY($AE$54)=30,DAY($AE$54)=31)),(EDATE($C$9-3,AQ30)),EDATE($C$9,AQ30))</f>
        <v>45985</v>
      </c>
      <c r="AS30" s="555">
        <f>IF($D$16="Да",$AN$37,$D$13)</f>
        <v>0.29899999999999999</v>
      </c>
      <c r="AT30" s="546">
        <f t="shared" si="9"/>
        <v>14501</v>
      </c>
      <c r="AU30" s="546">
        <f t="shared" si="16"/>
        <v>14501</v>
      </c>
      <c r="AV30" s="546">
        <f>BH29*($D$13/365*(AR30-AR29))</f>
        <v>11589.263141609699</v>
      </c>
      <c r="AW30" s="546">
        <f>IF(BJ30=0,0,IF(BJ30=1,BH29,IF(BH29+AX30+AV30&gt;AU29,AU30-AV30-AX30,BH29)))</f>
        <v>2911.7368583903008</v>
      </c>
      <c r="AX30" s="546">
        <f>IF(AZ30-BA30&gt;$D$24,$D$24-AV30,IF(BJ30=0,0,BB30)+BY78)</f>
        <v>0</v>
      </c>
      <c r="AY30" s="546">
        <v>0</v>
      </c>
      <c r="AZ30" s="546">
        <f t="shared" si="11"/>
        <v>11589.263141609699</v>
      </c>
      <c r="BA30" s="546">
        <f t="shared" si="26"/>
        <v>0</v>
      </c>
      <c r="BB30" s="546">
        <f t="shared" si="25"/>
        <v>0</v>
      </c>
      <c r="BC30" s="546"/>
      <c r="BD30" s="546"/>
      <c r="BE30" s="546"/>
      <c r="BF30" s="546"/>
      <c r="BG30" s="546"/>
      <c r="BH30" s="546">
        <f>IF(OR(BJ30=1,BH29=0),0,BH29-AW30)</f>
        <v>453456.91636067757</v>
      </c>
      <c r="BI30" s="108">
        <f>IF((BI29-1)&lt;0,0,BI29-1)</f>
        <v>63</v>
      </c>
      <c r="BJ30" s="108">
        <f t="shared" si="17"/>
        <v>63</v>
      </c>
      <c r="BK30" s="22">
        <f t="shared" si="18"/>
        <v>45985</v>
      </c>
      <c r="BL30" s="108">
        <f t="shared" si="2"/>
        <v>14612</v>
      </c>
      <c r="BZ30" s="116"/>
      <c r="CA30" s="116"/>
    </row>
    <row r="31" spans="1:394" ht="42" customHeight="1" x14ac:dyDescent="0.2">
      <c r="A31" s="1095" t="s">
        <v>357</v>
      </c>
      <c r="B31" s="1095"/>
      <c r="C31" s="518">
        <f>C28-C30</f>
        <v>691026.84152513091</v>
      </c>
      <c r="D31" s="212">
        <f>D28+D29</f>
        <v>701540.05235761125</v>
      </c>
      <c r="E31" s="1098">
        <f>D31-C31</f>
        <v>10513.210832480341</v>
      </c>
      <c r="F31" s="236"/>
      <c r="G31" s="244">
        <f t="shared" si="19"/>
        <v>23</v>
      </c>
      <c r="H31" s="245">
        <f>IF((OR(DAY($AE$54)=29,DAY($AE$54)=30,DAY($AE$54)=31)),(EDATE($C$9-3,G31)),EDATE($C$9,G31))</f>
        <v>46015</v>
      </c>
      <c r="I31" s="246">
        <f>IF(AND($X$11=1,G31&gt;=$X$11,),0%,$C$13)</f>
        <v>0.29899999999999999</v>
      </c>
      <c r="J31" s="242">
        <f t="shared" si="0"/>
        <v>14612</v>
      </c>
      <c r="K31" s="242">
        <f>IF(G31&gt;$C$10,0,IF((S30+L31)&lt;K30,(S30+L31),IF(T30=0,K30,MIN(K30,ROUNDUP(S30*$C$13/12/((1-(1+$C$13/12)^(0-($C$10-G31)))),0)))))</f>
        <v>14612</v>
      </c>
      <c r="L31" s="242">
        <f t="shared" si="3"/>
        <v>12106.155191721335</v>
      </c>
      <c r="M31" s="242">
        <f t="shared" si="14"/>
        <v>2505.8448082786654</v>
      </c>
      <c r="N31" s="242">
        <f>IF(P31-Q31&gt;$C$24,$C$24-L31,IF(V31=0,0,R31)+$AJ$51)</f>
        <v>0</v>
      </c>
      <c r="O31" s="242">
        <v>0</v>
      </c>
      <c r="P31" s="242">
        <f t="shared" si="15"/>
        <v>12106.155191721335</v>
      </c>
      <c r="Q31" s="242">
        <f t="shared" si="23"/>
        <v>0</v>
      </c>
      <c r="R31" s="242">
        <f t="shared" si="4"/>
        <v>0</v>
      </c>
      <c r="S31" s="242">
        <f t="shared" si="5"/>
        <v>490108.05095295742</v>
      </c>
      <c r="T31" s="467"/>
      <c r="U31" s="198">
        <f t="shared" si="20"/>
        <v>62</v>
      </c>
      <c r="V31" s="36">
        <f t="shared" si="6"/>
        <v>62</v>
      </c>
      <c r="W31" s="36">
        <f t="shared" si="7"/>
        <v>0</v>
      </c>
      <c r="X31" s="16"/>
      <c r="Y31" s="16"/>
      <c r="Z31" s="57"/>
      <c r="AD31" s="15">
        <f>IF(C12=X3,X17,IF(C12=Z3,Z17,IF(C12=AA3,AA17,IF(C12=AB3,AB17,IF(C12=Y3,Y17,)))))</f>
        <v>0.1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8"/>
        <v>1</v>
      </c>
      <c r="AQ31" s="553">
        <f t="shared" si="21"/>
        <v>23</v>
      </c>
      <c r="AR31" s="554">
        <f>IF((OR(DAY($AE$54)=29,DAY($AE$54)=30,DAY($AE$54)=31)),(EDATE($C$9-3,AQ31)),EDATE($C$9,AQ31))</f>
        <v>46015</v>
      </c>
      <c r="AS31" s="555">
        <f>IF($D$16="Да",$AN$37,$D$13)</f>
        <v>0.29899999999999999</v>
      </c>
      <c r="AT31" s="546">
        <f t="shared" si="9"/>
        <v>14501</v>
      </c>
      <c r="AU31" s="546">
        <f t="shared" si="16"/>
        <v>14501</v>
      </c>
      <c r="AV31" s="546">
        <f>BH30*($D$13/365*(AR31-AR30))</f>
        <v>11143.859013028157</v>
      </c>
      <c r="AW31" s="546">
        <f t="shared" si="10"/>
        <v>3357.1409869718427</v>
      </c>
      <c r="AX31" s="546">
        <f>IF(AZ31-BA31&gt;$D$24,$D$24-AV31,IF(BJ31=0,0,BB31)+BY79)</f>
        <v>0</v>
      </c>
      <c r="AY31" s="546">
        <v>0</v>
      </c>
      <c r="AZ31" s="546">
        <f t="shared" si="11"/>
        <v>11143.859013028157</v>
      </c>
      <c r="BA31" s="546">
        <f t="shared" si="26"/>
        <v>0</v>
      </c>
      <c r="BB31" s="546">
        <f t="shared" si="25"/>
        <v>0</v>
      </c>
      <c r="BC31" s="546"/>
      <c r="BD31" s="546"/>
      <c r="BE31" s="546"/>
      <c r="BF31" s="546"/>
      <c r="BG31" s="546"/>
      <c r="BH31" s="546">
        <f t="shared" si="13"/>
        <v>450099.77537370572</v>
      </c>
      <c r="BI31" s="108">
        <f t="shared" si="22"/>
        <v>62</v>
      </c>
      <c r="BJ31" s="108">
        <f t="shared" si="17"/>
        <v>62</v>
      </c>
      <c r="BK31" s="22">
        <f t="shared" si="18"/>
        <v>46015</v>
      </c>
      <c r="BL31" s="108">
        <f t="shared" si="2"/>
        <v>14612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812" t="s">
        <v>175</v>
      </c>
      <c r="B32" s="813"/>
      <c r="C32" s="813"/>
      <c r="D32" s="813"/>
      <c r="E32" s="814"/>
      <c r="F32" s="191"/>
      <c r="G32" s="248">
        <f t="shared" si="19"/>
        <v>24</v>
      </c>
      <c r="H32" s="679">
        <f>IF((OR(DAY($AE$54)=29,DAY($AE$54)=30,DAY($AE$54)=31)),(EDATE($C$9-3,G32)),EDATE($C$9,G32))</f>
        <v>46046</v>
      </c>
      <c r="I32" s="250">
        <f>IF(AND($X$11=1,G32&gt;=$X$11,),0%,$C$13)</f>
        <v>0.29899999999999999</v>
      </c>
      <c r="J32" s="252">
        <f t="shared" si="0"/>
        <v>14612</v>
      </c>
      <c r="K32" s="252">
        <f>IF(G32&gt;$C$10,0,IF((S31+L32)&lt;K31,(S31+L32),IF(T31=0,K31,MIN(K31,ROUNDUP(S31*$C$13/12/((1-(1+$C$13/12)^(0-($C$10-G32)))),0)))))</f>
        <v>14612</v>
      </c>
      <c r="L32" s="242">
        <f t="shared" si="3"/>
        <v>12446.058970638253</v>
      </c>
      <c r="M32" s="252">
        <f t="shared" si="14"/>
        <v>2165.9410293617475</v>
      </c>
      <c r="N32" s="252">
        <f>IF(P32-Q32&gt;$C$24,$C$24-L32,IF(V32=0,0,R32)+$AJ$51)</f>
        <v>0</v>
      </c>
      <c r="O32" s="252">
        <v>0</v>
      </c>
      <c r="P32" s="252">
        <f t="shared" si="15"/>
        <v>12446.058970638253</v>
      </c>
      <c r="Q32" s="252">
        <f t="shared" si="23"/>
        <v>0</v>
      </c>
      <c r="R32" s="252">
        <f t="shared" si="4"/>
        <v>0</v>
      </c>
      <c r="S32" s="252">
        <f t="shared" si="5"/>
        <v>487942.10992359568</v>
      </c>
      <c r="T32" s="468"/>
      <c r="U32" s="198">
        <f t="shared" si="20"/>
        <v>61</v>
      </c>
      <c r="V32" s="36">
        <f t="shared" si="6"/>
        <v>61</v>
      </c>
      <c r="W32" s="36">
        <f t="shared" si="7"/>
        <v>0</v>
      </c>
      <c r="X32" s="16"/>
      <c r="Y32" s="16"/>
      <c r="Z32" s="57"/>
      <c r="AD32" s="15">
        <f>IF(C12=X3,X17,IF(C12=Z3,Z17,IF(C12=AA3,AA17,IF(C12=AB3,AB17,IF(C12=Y3,Y17,)))))</f>
        <v>0.1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8"/>
        <v>1</v>
      </c>
      <c r="AQ32" s="556">
        <f t="shared" si="21"/>
        <v>24</v>
      </c>
      <c r="AR32" s="680">
        <f>IF((OR(DAY($AE$54)=29,DAY($AE$54)=30,DAY($AE$54)=31)),(EDATE($C$9-3,AQ32)),EDATE($C$9,AQ32))</f>
        <v>46046</v>
      </c>
      <c r="AS32" s="557">
        <f>IF($D$16="Да",$AN$37,$D$13)</f>
        <v>0.29899999999999999</v>
      </c>
      <c r="AT32" s="547">
        <f t="shared" si="9"/>
        <v>14501</v>
      </c>
      <c r="AU32" s="547">
        <f t="shared" si="16"/>
        <v>14501</v>
      </c>
      <c r="AV32" s="547">
        <f>BH31*($D$13/365*(AR32-AR31))</f>
        <v>11430.06799435309</v>
      </c>
      <c r="AW32" s="547">
        <f t="shared" si="10"/>
        <v>3070.9320056469096</v>
      </c>
      <c r="AX32" s="547">
        <f>IF(AZ32-BA32&gt;$D$24,$D$24-AV32,IF(BJ32=0,0,BB32)+BY80)</f>
        <v>0</v>
      </c>
      <c r="AY32" s="547">
        <v>0</v>
      </c>
      <c r="AZ32" s="547">
        <f t="shared" si="11"/>
        <v>11430.06799435309</v>
      </c>
      <c r="BA32" s="547">
        <f t="shared" si="26"/>
        <v>0</v>
      </c>
      <c r="BB32" s="547">
        <f t="shared" si="25"/>
        <v>0</v>
      </c>
      <c r="BC32" s="547"/>
      <c r="BD32" s="547"/>
      <c r="BE32" s="547"/>
      <c r="BF32" s="547"/>
      <c r="BG32" s="547"/>
      <c r="BH32" s="547">
        <f t="shared" si="13"/>
        <v>447028.84336805879</v>
      </c>
      <c r="BI32" s="108">
        <f t="shared" si="22"/>
        <v>61</v>
      </c>
      <c r="BJ32" s="108">
        <f t="shared" si="17"/>
        <v>61</v>
      </c>
      <c r="BK32" s="22">
        <f t="shared" si="18"/>
        <v>46046</v>
      </c>
      <c r="BL32" s="108">
        <f t="shared" si="2"/>
        <v>14612</v>
      </c>
    </row>
    <row r="33" spans="1:1218" ht="14.25" x14ac:dyDescent="0.2">
      <c r="A33" s="792" t="s">
        <v>186</v>
      </c>
      <c r="B33" s="213" t="s">
        <v>180</v>
      </c>
      <c r="C33" s="191">
        <f>C31/($C$10/12)</f>
        <v>98718.120217875839</v>
      </c>
      <c r="D33" s="191">
        <f>D31/($C$10/12)</f>
        <v>100220.00747965874</v>
      </c>
      <c r="E33" s="191">
        <f>D33-C33</f>
        <v>1501.8872617829038</v>
      </c>
      <c r="F33" s="191"/>
      <c r="G33" s="244">
        <f t="shared" si="19"/>
        <v>25</v>
      </c>
      <c r="H33" s="245">
        <f>IF((OR(DAY($AE$54)=29,DAY($AE$54)=30,DAY($AE$54)=31)),(EDATE($C$9-3,G33)),EDATE($C$9,G33))</f>
        <v>46077</v>
      </c>
      <c r="I33" s="246">
        <f>IF(AND($X$11=1,G33&gt;=$X$11,),0%,$C$13)</f>
        <v>0.29899999999999999</v>
      </c>
      <c r="J33" s="242">
        <f t="shared" si="0"/>
        <v>14612</v>
      </c>
      <c r="K33" s="242">
        <f>IF(G33&gt;$C$10,0,IF((S32+L33)&lt;K32,(S32+L33),IF(T32=0,K32,MIN(K32,ROUNDUP(S32*$C$13/12/((1-(1+$C$13/12)^(0-($C$10-G33)))),0)))))</f>
        <v>14612</v>
      </c>
      <c r="L33" s="242">
        <f t="shared" si="3"/>
        <v>12391.055936662488</v>
      </c>
      <c r="M33" s="242">
        <f t="shared" si="14"/>
        <v>2220.9440633375125</v>
      </c>
      <c r="N33" s="242">
        <f>IF(P33-Q33&gt;$C$24,$C$24-L33,IF(V33=0,0,R33)+$AJ$51)</f>
        <v>0</v>
      </c>
      <c r="O33" s="242">
        <v>0</v>
      </c>
      <c r="P33" s="242">
        <f t="shared" si="15"/>
        <v>12391.055936662488</v>
      </c>
      <c r="Q33" s="242">
        <f t="shared" si="23"/>
        <v>0</v>
      </c>
      <c r="R33" s="242">
        <f t="shared" si="4"/>
        <v>0</v>
      </c>
      <c r="S33" s="242">
        <f t="shared" si="5"/>
        <v>485721.16586025816</v>
      </c>
      <c r="T33" s="467"/>
      <c r="U33" s="198">
        <f t="shared" si="20"/>
        <v>60</v>
      </c>
      <c r="V33" s="36">
        <f t="shared" si="6"/>
        <v>60</v>
      </c>
      <c r="W33" s="36">
        <f t="shared" si="7"/>
        <v>0</v>
      </c>
      <c r="X33" s="16"/>
      <c r="Y33" s="16"/>
      <c r="Z33" s="57"/>
      <c r="AF33" s="15"/>
      <c r="AG33" s="173">
        <f>$C$24-AH33</f>
        <v>492</v>
      </c>
      <c r="AH33" s="2">
        <f>ROUNDUP(((S20)*AH37/12*(1+AH37/12)^(U21)/((1+AH37/12)^(U21)-1)+S20/10000*IF(U21&lt;11,20,IF(U21&lt;34,0.7,IF(U21&lt;58,0.3,0.1)))*IF(AH37&lt;0.3,AH37/0.2,AH37/0.1))/AH47,0)*AH47</f>
        <v>14120</v>
      </c>
      <c r="AI33" s="16">
        <v>6000000</v>
      </c>
      <c r="AN33" s="16"/>
      <c r="AO33" s="16"/>
      <c r="AP33" s="130">
        <f t="shared" si="8"/>
        <v>1</v>
      </c>
      <c r="AQ33" s="553">
        <f t="shared" si="21"/>
        <v>25</v>
      </c>
      <c r="AR33" s="554">
        <f>IF((OR(DAY($AE$54)=29,DAY($AE$54)=30,DAY($AE$54)=31)),(EDATE($C$9-3,AQ33)),EDATE($C$9,AQ33))</f>
        <v>46077</v>
      </c>
      <c r="AS33" s="555">
        <f>IF($D$16="Да",$AN$38,$D$13)</f>
        <v>0.29899999999999999</v>
      </c>
      <c r="AT33" s="546">
        <f t="shared" si="9"/>
        <v>14501</v>
      </c>
      <c r="AU33" s="546">
        <f t="shared" si="16"/>
        <v>14501</v>
      </c>
      <c r="AV33" s="546">
        <f>BH32*($D$13/365*(AR33-AR32))</f>
        <v>11352.083148434347</v>
      </c>
      <c r="AW33" s="546">
        <f t="shared" si="10"/>
        <v>3148.9168515656529</v>
      </c>
      <c r="AX33" s="546">
        <f>IF(AZ33-BA33&gt;$D$24,$D$24-AV33,IF(BJ33=0,0,BB33)+BY81)</f>
        <v>0</v>
      </c>
      <c r="AY33" s="546">
        <v>0</v>
      </c>
      <c r="AZ33" s="546">
        <f t="shared" si="11"/>
        <v>11352.083148434347</v>
      </c>
      <c r="BA33" s="546">
        <f t="shared" si="26"/>
        <v>0</v>
      </c>
      <c r="BB33" s="546">
        <f t="shared" si="25"/>
        <v>0</v>
      </c>
      <c r="BC33" s="546"/>
      <c r="BD33" s="546"/>
      <c r="BE33" s="546"/>
      <c r="BF33" s="546"/>
      <c r="BG33" s="546"/>
      <c r="BH33" s="546">
        <f t="shared" si="13"/>
        <v>443879.92651649314</v>
      </c>
      <c r="BI33" s="108">
        <f t="shared" si="22"/>
        <v>60</v>
      </c>
      <c r="BJ33" s="108">
        <f t="shared" si="17"/>
        <v>60</v>
      </c>
      <c r="BK33" s="22">
        <f t="shared" si="18"/>
        <v>46077</v>
      </c>
      <c r="BL33" s="108">
        <f t="shared" si="2"/>
        <v>14612</v>
      </c>
      <c r="BO33" s="782"/>
      <c r="BQ33" s="131"/>
    </row>
    <row r="34" spans="1:1218" ht="25.5" customHeight="1" x14ac:dyDescent="0.2">
      <c r="A34" s="792"/>
      <c r="B34" s="213" t="s">
        <v>181</v>
      </c>
      <c r="C34" s="201">
        <f>C33/C23</f>
        <v>0.18556072514774621</v>
      </c>
      <c r="D34" s="201">
        <f>D33/D23</f>
        <v>0.19767298846675979</v>
      </c>
      <c r="E34" s="191"/>
      <c r="F34" s="191"/>
      <c r="G34" s="244">
        <f t="shared" si="19"/>
        <v>26</v>
      </c>
      <c r="H34" s="245">
        <f>IF((OR(DAY($AE$54)=29,DAY($AE$54)=30,DAY($AE$54)=31)),(EDATE($C$9-3,G34)),EDATE($C$9,G34))</f>
        <v>46105</v>
      </c>
      <c r="I34" s="246">
        <f>IF(AND($X$11=1,G34&gt;=$X$11,),0%,$C$13)</f>
        <v>0.29899999999999999</v>
      </c>
      <c r="J34" s="242">
        <f t="shared" si="0"/>
        <v>14612</v>
      </c>
      <c r="K34" s="242">
        <f>IF(G34&gt;$C$10,0,IF((S33+L34)&lt;K33,(S33+L34),IF(T33=0,K33,MIN(K33,ROUNDUP(S33*$C$13/12/((1-(1+$C$13/12)^(0-($C$10-G34)))),0)))))</f>
        <v>14612</v>
      </c>
      <c r="L34" s="242">
        <f t="shared" si="3"/>
        <v>11140.97972762214</v>
      </c>
      <c r="M34" s="242">
        <f t="shared" si="14"/>
        <v>3471.0202723778602</v>
      </c>
      <c r="N34" s="242">
        <f>IF(P34-Q34&gt;$C$24,$C$24-L34,IF(V34=0,0,R34)+$AJ$51)</f>
        <v>0</v>
      </c>
      <c r="O34" s="242">
        <v>0</v>
      </c>
      <c r="P34" s="242">
        <f t="shared" si="15"/>
        <v>11140.97972762214</v>
      </c>
      <c r="Q34" s="242">
        <f t="shared" si="23"/>
        <v>0</v>
      </c>
      <c r="R34" s="242">
        <f t="shared" si="4"/>
        <v>0</v>
      </c>
      <c r="S34" s="242">
        <f t="shared" si="5"/>
        <v>482250.14558788028</v>
      </c>
      <c r="T34" s="467"/>
      <c r="U34" s="198">
        <f t="shared" si="20"/>
        <v>59</v>
      </c>
      <c r="V34" s="36">
        <f t="shared" si="6"/>
        <v>59</v>
      </c>
      <c r="W34" s="36">
        <f t="shared" si="7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8"/>
        <v>1</v>
      </c>
      <c r="AQ34" s="553">
        <f t="shared" si="21"/>
        <v>26</v>
      </c>
      <c r="AR34" s="554">
        <f>IF((OR(DAY($AE$54)=29,DAY($AE$54)=30,DAY($AE$54)=31)),(EDATE($C$9-3,AQ34)),EDATE($C$9,AQ34))</f>
        <v>46105</v>
      </c>
      <c r="AS34" s="555">
        <f>IF($D$16="Да",$AN$38,$D$13)</f>
        <v>0.29899999999999999</v>
      </c>
      <c r="AT34" s="546">
        <f t="shared" si="9"/>
        <v>14501</v>
      </c>
      <c r="AU34" s="546">
        <f t="shared" si="16"/>
        <v>14501</v>
      </c>
      <c r="AV34" s="546">
        <f>BH33*($D$13/365*(AR34-AR33))</f>
        <v>10181.267793961864</v>
      </c>
      <c r="AW34" s="546">
        <f t="shared" si="10"/>
        <v>4319.7322060381357</v>
      </c>
      <c r="AX34" s="546">
        <f>IF(AZ34-BA34&gt;$D$24,$D$24-AV34,IF(BJ34=0,0,BB34)+BY82)</f>
        <v>0</v>
      </c>
      <c r="AY34" s="546">
        <v>0</v>
      </c>
      <c r="AZ34" s="546">
        <f t="shared" si="11"/>
        <v>10181.267793961864</v>
      </c>
      <c r="BA34" s="546">
        <f t="shared" si="26"/>
        <v>0</v>
      </c>
      <c r="BB34" s="546">
        <f t="shared" si="25"/>
        <v>0</v>
      </c>
      <c r="BC34" s="546"/>
      <c r="BD34" s="546"/>
      <c r="BE34" s="546"/>
      <c r="BF34" s="546"/>
      <c r="BG34" s="546"/>
      <c r="BH34" s="546">
        <f t="shared" si="13"/>
        <v>439560.194310455</v>
      </c>
      <c r="BI34" s="108">
        <f t="shared" si="22"/>
        <v>59</v>
      </c>
      <c r="BJ34" s="108">
        <f t="shared" si="17"/>
        <v>59</v>
      </c>
      <c r="BK34" s="22">
        <f t="shared" si="18"/>
        <v>46105</v>
      </c>
      <c r="BL34" s="108">
        <f t="shared" si="2"/>
        <v>14612</v>
      </c>
      <c r="BO34" s="782"/>
    </row>
    <row r="35" spans="1:1218" ht="31.5" customHeight="1" x14ac:dyDescent="0.2">
      <c r="A35" s="763" t="s">
        <v>177</v>
      </c>
      <c r="B35" s="763"/>
      <c r="C35" s="190">
        <f>C33/12</f>
        <v>8226.5100181563193</v>
      </c>
      <c r="D35" s="191">
        <f>D33/12</f>
        <v>8351.6672899715613</v>
      </c>
      <c r="E35" s="191">
        <f>D35-C35</f>
        <v>125.15727181524198</v>
      </c>
      <c r="F35" s="191"/>
      <c r="G35" s="244">
        <f t="shared" si="19"/>
        <v>27</v>
      </c>
      <c r="H35" s="245">
        <f>IF((OR(DAY($AE$54)=29,DAY($AE$54)=30,DAY($AE$54)=31)),(EDATE($C$9-3,G35)),EDATE($C$9,G35))</f>
        <v>46136</v>
      </c>
      <c r="I35" s="246">
        <f>IF(AND($X$11=1,G35&gt;=$X$11,),0%,$C$13)</f>
        <v>0.29899999999999999</v>
      </c>
      <c r="J35" s="242">
        <f t="shared" si="0"/>
        <v>14612</v>
      </c>
      <c r="K35" s="242">
        <f>IF(G35&gt;$C$10,0,IF((S34+L35)&lt;K34,(S34+L35),IF(T34=0,K34,MIN(K34,ROUNDUP(S34*$C$13/12/((1-(1+$C$13/12)^(0-($C$10-G35)))),0)))))</f>
        <v>14612</v>
      </c>
      <c r="L35" s="242">
        <f t="shared" si="3"/>
        <v>12246.511231380991</v>
      </c>
      <c r="M35" s="242">
        <f t="shared" si="14"/>
        <v>2365.4887686190086</v>
      </c>
      <c r="N35" s="242">
        <f>IF(P35-Q35&gt;$C$24,$C$24-L35,IF(V35=0,0,R35)+$AJ$51)</f>
        <v>0</v>
      </c>
      <c r="O35" s="242">
        <v>0</v>
      </c>
      <c r="P35" s="242">
        <f t="shared" si="15"/>
        <v>12246.511231380991</v>
      </c>
      <c r="Q35" s="242">
        <f t="shared" si="23"/>
        <v>0</v>
      </c>
      <c r="R35" s="242">
        <f t="shared" si="4"/>
        <v>0</v>
      </c>
      <c r="S35" s="242">
        <f t="shared" si="5"/>
        <v>479884.65681926126</v>
      </c>
      <c r="T35" s="467"/>
      <c r="U35" s="198">
        <f t="shared" si="20"/>
        <v>58</v>
      </c>
      <c r="V35" s="36">
        <f t="shared" si="6"/>
        <v>58</v>
      </c>
      <c r="W35" s="36">
        <f t="shared" si="7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8"/>
        <v>1</v>
      </c>
      <c r="AQ35" s="553">
        <f t="shared" si="21"/>
        <v>27</v>
      </c>
      <c r="AR35" s="554">
        <f>IF((OR(DAY($AE$54)=29,DAY($AE$54)=30,DAY($AE$54)=31)),(EDATE($C$9-3,AQ35)),EDATE($C$9,AQ35))</f>
        <v>46136</v>
      </c>
      <c r="AS35" s="555">
        <f>IF($D$16="Да",$AN$38,$D$13)</f>
        <v>0.29899999999999999</v>
      </c>
      <c r="AT35" s="546">
        <f t="shared" si="9"/>
        <v>14501</v>
      </c>
      <c r="AU35" s="546">
        <f t="shared" si="16"/>
        <v>14501</v>
      </c>
      <c r="AV35" s="546">
        <f>BH34*($D$13/365*(AR35-AR34))</f>
        <v>11162.420386475636</v>
      </c>
      <c r="AW35" s="546">
        <f t="shared" si="10"/>
        <v>3338.5796135243636</v>
      </c>
      <c r="AX35" s="546">
        <f>IF(AZ35-BA35&gt;$D$24,$D$24-AV35,IF(BJ35=0,0,BB35)+BY83)</f>
        <v>0</v>
      </c>
      <c r="AY35" s="546">
        <v>0</v>
      </c>
      <c r="AZ35" s="546">
        <f t="shared" si="11"/>
        <v>11162.420386475636</v>
      </c>
      <c r="BA35" s="546">
        <f t="shared" si="26"/>
        <v>0</v>
      </c>
      <c r="BB35" s="546">
        <f t="shared" si="25"/>
        <v>0</v>
      </c>
      <c r="BC35" s="546"/>
      <c r="BD35" s="546"/>
      <c r="BE35" s="546"/>
      <c r="BF35" s="546"/>
      <c r="BG35" s="546"/>
      <c r="BH35" s="546">
        <f t="shared" si="13"/>
        <v>436221.61469693063</v>
      </c>
      <c r="BI35" s="108">
        <f t="shared" si="22"/>
        <v>58</v>
      </c>
      <c r="BJ35" s="108">
        <f t="shared" si="17"/>
        <v>58</v>
      </c>
      <c r="BK35" s="22">
        <f t="shared" si="18"/>
        <v>46136</v>
      </c>
      <c r="BL35" s="108">
        <f t="shared" si="2"/>
        <v>14612</v>
      </c>
      <c r="BO35" s="782"/>
      <c r="BZ35" s="16"/>
      <c r="CA35" s="16"/>
    </row>
    <row r="36" spans="1:1218" ht="21.75" customHeight="1" thickBot="1" x14ac:dyDescent="0.35">
      <c r="A36" s="789" t="s">
        <v>176</v>
      </c>
      <c r="B36" s="789"/>
      <c r="C36" s="203">
        <f>C35/30</f>
        <v>274.21700060521067</v>
      </c>
      <c r="D36" s="202">
        <f>D35/30</f>
        <v>278.3889096657187</v>
      </c>
      <c r="E36" s="202">
        <f>D36-C36</f>
        <v>4.1719090605080282</v>
      </c>
      <c r="F36" s="178"/>
      <c r="G36" s="244">
        <f t="shared" si="19"/>
        <v>28</v>
      </c>
      <c r="H36" s="245">
        <f>IF((OR(DAY($AE$54)=29,DAY($AE$54)=30,DAY($AE$54)=31)),(EDATE($C$9-3,G36)),EDATE($C$9,G36))</f>
        <v>46166</v>
      </c>
      <c r="I36" s="246">
        <f>IF(AND($X$11=1,G36&gt;=$X$11,),0%,$C$13)</f>
        <v>0.29899999999999999</v>
      </c>
      <c r="J36" s="242">
        <f t="shared" si="0"/>
        <v>14612</v>
      </c>
      <c r="K36" s="242">
        <f>IF(G36&gt;$C$10,0,IF((S35+L36)&lt;K35,(S35+L36),IF(T35=0,K35,MIN(K35,ROUNDUP(S35*$C$13/12/((1-(1+$C$13/12)^(0-($C$10-G36)))),0)))))</f>
        <v>14612</v>
      </c>
      <c r="L36" s="242">
        <f t="shared" si="3"/>
        <v>11793.329785393898</v>
      </c>
      <c r="M36" s="242">
        <f t="shared" si="14"/>
        <v>2818.6702146061016</v>
      </c>
      <c r="N36" s="242">
        <f>IF(P36-Q36&gt;$C$24,$C$24-L36,IF(V36=0,0,R36)+$AJ$51)</f>
        <v>0</v>
      </c>
      <c r="O36" s="242">
        <v>0</v>
      </c>
      <c r="P36" s="242">
        <f t="shared" si="15"/>
        <v>11793.329785393898</v>
      </c>
      <c r="Q36" s="242">
        <f t="shared" si="23"/>
        <v>0</v>
      </c>
      <c r="R36" s="242">
        <f t="shared" si="4"/>
        <v>0</v>
      </c>
      <c r="S36" s="242">
        <f t="shared" si="5"/>
        <v>477065.98660465516</v>
      </c>
      <c r="T36" s="467"/>
      <c r="U36" s="198">
        <f t="shared" si="20"/>
        <v>57</v>
      </c>
      <c r="V36" s="36">
        <f t="shared" si="6"/>
        <v>57</v>
      </c>
      <c r="W36" s="36">
        <f t="shared" si="7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14612</v>
      </c>
      <c r="AH36" s="15">
        <f>IF(OR(C$8="Гарантия стандарт",C$8="Гарантия пакет"),AE13,C11)</f>
        <v>0.29899999999999999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14501</v>
      </c>
      <c r="AN36" s="15">
        <f>IF(OR(D$8="Гарантия стандарт",D$8="Гарантия пакет"),AE13,D11)</f>
        <v>0.29899999999999999</v>
      </c>
      <c r="AO36" s="16"/>
      <c r="AP36" s="130">
        <f t="shared" si="8"/>
        <v>1</v>
      </c>
      <c r="AQ36" s="553">
        <f t="shared" si="21"/>
        <v>28</v>
      </c>
      <c r="AR36" s="554">
        <f>IF((OR(DAY($AE$54)=29,DAY($AE$54)=30,DAY($AE$54)=31)),(EDATE($C$9-3,AQ36)),EDATE($C$9,AQ36))</f>
        <v>46166</v>
      </c>
      <c r="AS36" s="555">
        <f>IF($D$16="Да",$AN$38,$D$13)</f>
        <v>0.29899999999999999</v>
      </c>
      <c r="AT36" s="546">
        <f t="shared" si="9"/>
        <v>14501</v>
      </c>
      <c r="AU36" s="546">
        <f t="shared" si="16"/>
        <v>14501</v>
      </c>
      <c r="AV36" s="546">
        <f>BH35*($D$13/365*(AR36-AR35))</f>
        <v>10720.295572141007</v>
      </c>
      <c r="AW36" s="546">
        <f t="shared" si="10"/>
        <v>3780.7044278589929</v>
      </c>
      <c r="AX36" s="546">
        <f>IF(AZ36-BA36&gt;$D$24,$D$24-AV36,IF(BJ36=0,0,BB36)+BY84)</f>
        <v>0</v>
      </c>
      <c r="AY36" s="546">
        <v>0</v>
      </c>
      <c r="AZ36" s="546">
        <f t="shared" si="11"/>
        <v>10720.295572141007</v>
      </c>
      <c r="BA36" s="546">
        <f t="shared" si="26"/>
        <v>0</v>
      </c>
      <c r="BB36" s="546">
        <f t="shared" si="25"/>
        <v>0</v>
      </c>
      <c r="BC36" s="546"/>
      <c r="BD36" s="546"/>
      <c r="BE36" s="546"/>
      <c r="BF36" s="546"/>
      <c r="BG36" s="546"/>
      <c r="BH36" s="546">
        <f t="shared" si="13"/>
        <v>432440.91026907164</v>
      </c>
      <c r="BI36" s="108">
        <f t="shared" si="22"/>
        <v>57</v>
      </c>
      <c r="BJ36" s="108">
        <f t="shared" si="17"/>
        <v>57</v>
      </c>
      <c r="BK36" s="22">
        <f t="shared" si="18"/>
        <v>46166</v>
      </c>
      <c r="BL36" s="108">
        <f t="shared" si="2"/>
        <v>14612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19"/>
        <v>29</v>
      </c>
      <c r="H37" s="245">
        <f>IF((OR(DAY($AE$54)=29,DAY($AE$54)=30,DAY($AE$54)=31)),(EDATE($C$9-3,G37)),EDATE($C$9,G37))</f>
        <v>46197</v>
      </c>
      <c r="I37" s="246">
        <f>IF(AND($X$11=1,G37&gt;=$X$11,),0%,$C$13)</f>
        <v>0.29899999999999999</v>
      </c>
      <c r="J37" s="242">
        <f t="shared" si="0"/>
        <v>14612</v>
      </c>
      <c r="K37" s="242">
        <f>IF(G37&gt;$C$10,0,IF((S36+L37)&lt;K36,(S36+L37),IF(T36=0,K36,MIN(K36,ROUNDUP(S36*$C$13/12/((1-(1+$C$13/12)^(0-($C$10-G37)))),0)))))</f>
        <v>14612</v>
      </c>
      <c r="L37" s="242">
        <f t="shared" si="3"/>
        <v>12114.861999557666</v>
      </c>
      <c r="M37" s="242">
        <f t="shared" si="14"/>
        <v>2497.1380004423336</v>
      </c>
      <c r="N37" s="242">
        <f>IF(P37-Q37&gt;$C$24,$C$24-L37,IF(V37=0,0,R37)+$AJ$51)</f>
        <v>0</v>
      </c>
      <c r="O37" s="242">
        <v>0</v>
      </c>
      <c r="P37" s="242">
        <f t="shared" si="15"/>
        <v>12114.861999557666</v>
      </c>
      <c r="Q37" s="242">
        <f t="shared" si="23"/>
        <v>0</v>
      </c>
      <c r="R37" s="242">
        <f t="shared" si="4"/>
        <v>0</v>
      </c>
      <c r="S37" s="242">
        <f t="shared" si="5"/>
        <v>474568.84860421281</v>
      </c>
      <c r="T37" s="467"/>
      <c r="U37" s="198">
        <f t="shared" si="20"/>
        <v>56</v>
      </c>
      <c r="V37" s="36">
        <f t="shared" si="6"/>
        <v>56</v>
      </c>
      <c r="W37" s="36">
        <f t="shared" si="7"/>
        <v>0</v>
      </c>
      <c r="X37" s="16">
        <f>INDEX('Для Перспективы'!$B$6:$F$6,MATCH($C$10,'Для Перспективы'!$B$1:$F$1,0))</f>
        <v>5500</v>
      </c>
      <c r="Y37" s="16">
        <f>INDEX('Для Перспективы'!$B$8:$F$8,MATCH($C$10,'Для Перспективы'!$B$1:$F$1,0))</f>
        <v>11500</v>
      </c>
      <c r="Z37" s="16">
        <f>INDEX('Для Перспективы'!$B$10:$F$10,MATCH($C$10,'Для Перспективы'!$B$1:$F$1,0))</f>
        <v>12000</v>
      </c>
      <c r="AA37" s="16">
        <f>INDEX('Для Перспективы'!$B$12:$F$12,MATCH($C$10,'Для Перспективы'!$B$1:$F$1,0))</f>
        <v>12000</v>
      </c>
      <c r="AB37" s="16">
        <f>INDEX('Для Перспективы'!$B$14:$F$14,MATCH($C$10,'Для Перспективы'!$B$1:$F$1,0))</f>
        <v>12500</v>
      </c>
      <c r="AC37" s="16" t="e">
        <f>INDEX('Для Перспективы'!$B$22:$D$22,MATCH($C$10,'Для Перспективы'!$B$1:$D$1,0))</f>
        <v>#N/A</v>
      </c>
      <c r="AD37" s="16">
        <f>INDEX('Для Перспективы'!$B$20:$F$20,MATCH($C$10,'Для Перспективы'!$B$1:$F$1,0))</f>
        <v>12000</v>
      </c>
      <c r="AE37" s="16">
        <f>INDEX('Для Перспективы'!$B$6:$F$6,MATCH($C$10,'Для Перспективы'!$B$1:$F$1,0))</f>
        <v>5500</v>
      </c>
      <c r="AF37" s="16">
        <f>INDEX('Для Перспективы'!$B$6:$F$6,MATCH($C$10,'Для Перспективы'!$B$1:$F$1,0))</f>
        <v>5500</v>
      </c>
      <c r="AG37" s="47" t="e">
        <f>IF(AH37=AH36,AG36,AG36-$AG$35)</f>
        <v>#N/A</v>
      </c>
      <c r="AH37" s="169">
        <f>AH36-$AH$35</f>
        <v>0.25900000000000001</v>
      </c>
      <c r="AJ37" s="2"/>
      <c r="AK37" s="2"/>
      <c r="AL37" s="57"/>
      <c r="AM37" s="47" t="e">
        <f>AM36-$AM$35</f>
        <v>#N/A</v>
      </c>
      <c r="AN37" s="169">
        <f>AN36-$AN$35</f>
        <v>0.25900000000000001</v>
      </c>
      <c r="AP37" s="130">
        <f t="shared" si="8"/>
        <v>1</v>
      </c>
      <c r="AQ37" s="553">
        <f t="shared" si="21"/>
        <v>29</v>
      </c>
      <c r="AR37" s="554">
        <f>IF((OR(DAY($AE$54)=29,DAY($AE$54)=30,DAY($AE$54)=31)),(EDATE($C$9-3,AQ37)),EDATE($C$9,AQ37))</f>
        <v>46197</v>
      </c>
      <c r="AS37" s="555">
        <f>IF($D$16="Да",$AN$38,$D$13)</f>
        <v>0.29899999999999999</v>
      </c>
      <c r="AT37" s="546">
        <f t="shared" si="9"/>
        <v>14501</v>
      </c>
      <c r="AU37" s="546">
        <f t="shared" si="16"/>
        <v>14501</v>
      </c>
      <c r="AV37" s="546">
        <f>BH36*($D$13/365*(AR37-AR36))</f>
        <v>10981.629581600067</v>
      </c>
      <c r="AW37" s="546">
        <f t="shared" si="10"/>
        <v>3519.3704183999325</v>
      </c>
      <c r="AX37" s="546">
        <f>IF(AZ37-BA37&gt;$D$24,$D$24-AV37,IF(BJ37=0,0,BB37)+BY85)</f>
        <v>0</v>
      </c>
      <c r="AY37" s="546">
        <v>0</v>
      </c>
      <c r="AZ37" s="546">
        <f t="shared" si="11"/>
        <v>10981.629581600067</v>
      </c>
      <c r="BA37" s="546">
        <f t="shared" si="26"/>
        <v>0</v>
      </c>
      <c r="BB37" s="546">
        <f t="shared" si="25"/>
        <v>0</v>
      </c>
      <c r="BC37" s="546"/>
      <c r="BD37" s="546"/>
      <c r="BE37" s="546"/>
      <c r="BF37" s="546"/>
      <c r="BG37" s="546"/>
      <c r="BH37" s="546">
        <f t="shared" si="13"/>
        <v>428921.53985067172</v>
      </c>
      <c r="BI37" s="108">
        <f t="shared" si="22"/>
        <v>56</v>
      </c>
      <c r="BJ37" s="108">
        <f t="shared" si="17"/>
        <v>56</v>
      </c>
      <c r="BK37" s="22">
        <f t="shared" si="18"/>
        <v>46197</v>
      </c>
      <c r="BL37" s="108">
        <f t="shared" si="2"/>
        <v>14612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19"/>
        <v>30</v>
      </c>
      <c r="H38" s="245">
        <f>IF((OR(DAY($AE$54)=29,DAY($AE$54)=30,DAY($AE$54)=31)),(EDATE($C$9-3,G38)),EDATE($C$9,G38))</f>
        <v>46227</v>
      </c>
      <c r="I38" s="246">
        <f>IF(AND($X$11=1,G38&gt;=$X$11,),0%,$C$13)</f>
        <v>0.29899999999999999</v>
      </c>
      <c r="J38" s="242">
        <f t="shared" si="0"/>
        <v>14612</v>
      </c>
      <c r="K38" s="242">
        <f>IF(G38&gt;$C$10,0,IF((S37+L38)&lt;K37,(S37+L38),IF(T37=0,K37,MIN(K37,ROUNDUP(S37*$C$13/12/((1-(1+$C$13/12)^(0-($C$10-G38)))),0)))))</f>
        <v>14612</v>
      </c>
      <c r="L38" s="242">
        <f t="shared" si="3"/>
        <v>11662.691978026818</v>
      </c>
      <c r="M38" s="242">
        <f t="shared" si="14"/>
        <v>2949.3080219731819</v>
      </c>
      <c r="N38" s="242">
        <f>IF(P38-Q38&gt;$C$24,$C$24-L38,IF(V38=0,0,R38)+$AJ$51)</f>
        <v>0</v>
      </c>
      <c r="O38" s="242">
        <v>0</v>
      </c>
      <c r="P38" s="242">
        <f t="shared" si="15"/>
        <v>11662.691978026818</v>
      </c>
      <c r="Q38" s="242">
        <f t="shared" si="23"/>
        <v>0</v>
      </c>
      <c r="R38" s="242">
        <f t="shared" si="4"/>
        <v>0</v>
      </c>
      <c r="S38" s="242">
        <f t="shared" si="5"/>
        <v>471619.54058223963</v>
      </c>
      <c r="T38" s="467"/>
      <c r="U38" s="198">
        <f t="shared" si="20"/>
        <v>55</v>
      </c>
      <c r="V38" s="36">
        <f t="shared" si="6"/>
        <v>55</v>
      </c>
      <c r="W38" s="36">
        <f t="shared" si="7"/>
        <v>0</v>
      </c>
      <c r="X38" s="16">
        <f>INDEX('Для Перспективы'!B7:F7,MATCH($C$10,'Для Перспективы'!$B$1:$F$1,0))</f>
        <v>118000</v>
      </c>
      <c r="Y38" s="16">
        <f>INDEX('Для Перспективы'!$B$9:$F$9,MATCH($C$10,'Для Перспективы'!$B$1:$F$1,0))</f>
        <v>108900</v>
      </c>
      <c r="Z38" s="16">
        <f>INDEX('Для Перспективы'!$B$11:$F$11,MATCH($C$10,'Для Перспективы'!$B$1:$F$1,0))</f>
        <v>112200</v>
      </c>
      <c r="AA38" s="16">
        <f>INDEX('Для Перспективы'!$B$13:$F$13,MATCH($C$10,'Для Перспективы'!$B$1:$F$1,0))</f>
        <v>115500</v>
      </c>
      <c r="AB38" s="16">
        <f>INDEX('Для Перспективы'!$B$15:$F$15,MATCH($C$10,'Для Перспективы'!$B$1:$F$1,0))</f>
        <v>118900</v>
      </c>
      <c r="AC38" s="16" t="e">
        <f>INDEX('Для Перспективы'!$B$23:$D$23,MATCH($C$10,'Для Перспективы'!$B$1:$D$1,0))</f>
        <v>#N/A</v>
      </c>
      <c r="AD38" s="16" t="e">
        <f>INDEX('Для Перспективы'!$B$11:$D$11,MATCH($C$10,'Для Перспективы'!$B$1:$D$1,0))</f>
        <v>#N/A</v>
      </c>
      <c r="AE38" s="16" t="e">
        <f>INDEX('Для Перспективы'!$B$11:$D$11,MATCH($C$10,'Для Перспективы'!$B$1:$D$1,0))</f>
        <v>#N/A</v>
      </c>
      <c r="AF38" s="16" t="e">
        <f>INDEX('Для Перспективы'!$G21:$I21,MATCH($C$10,'Для Перспективы'!$G$1:$I$1,0))</f>
        <v>#N/A</v>
      </c>
      <c r="AG38" s="47" t="e">
        <f t="shared" ref="AG38:AG40" si="28">IF(AH38=AH37,AG37,AG37-$AG$35)</f>
        <v>#N/A</v>
      </c>
      <c r="AH38" s="169">
        <f>AH36-$AH$35</f>
        <v>0.25900000000000001</v>
      </c>
      <c r="AJ38" s="2"/>
      <c r="AK38" s="2"/>
      <c r="AL38" s="57"/>
      <c r="AM38" s="47" t="e">
        <f>AM36-$AM$35</f>
        <v>#N/A</v>
      </c>
      <c r="AN38" s="169">
        <f>AN36-$AN$35</f>
        <v>0.25900000000000001</v>
      </c>
      <c r="AO38" s="63"/>
      <c r="AP38" s="130">
        <f t="shared" si="8"/>
        <v>1</v>
      </c>
      <c r="AQ38" s="553">
        <f t="shared" si="21"/>
        <v>30</v>
      </c>
      <c r="AR38" s="554">
        <f>IF((OR(DAY($AE$54)=29,DAY($AE$54)=30,DAY($AE$54)=31)),(EDATE($C$9-3,AQ38)),EDATE($C$9,AQ38))</f>
        <v>46227</v>
      </c>
      <c r="AS38" s="555">
        <f>IF($D$16="Да",$AN$38,$D$13)</f>
        <v>0.29899999999999999</v>
      </c>
      <c r="AT38" s="546">
        <f t="shared" si="9"/>
        <v>14501</v>
      </c>
      <c r="AU38" s="546">
        <f t="shared" si="16"/>
        <v>14501</v>
      </c>
      <c r="AV38" s="546">
        <f>BH37*($D$13/365*(AR38-AR37))</f>
        <v>10540.893732768562</v>
      </c>
      <c r="AW38" s="546">
        <f t="shared" si="10"/>
        <v>3960.1062672314383</v>
      </c>
      <c r="AX38" s="546">
        <f>IF(AZ38-BA38&gt;$D$24,$D$24-AV38,IF(BJ38=0,0,BB38)+BY86)</f>
        <v>0</v>
      </c>
      <c r="AY38" s="546">
        <v>0</v>
      </c>
      <c r="AZ38" s="546">
        <f t="shared" si="11"/>
        <v>10540.893732768562</v>
      </c>
      <c r="BA38" s="546">
        <f t="shared" si="26"/>
        <v>0</v>
      </c>
      <c r="BB38" s="546">
        <f t="shared" si="25"/>
        <v>0</v>
      </c>
      <c r="BC38" s="546"/>
      <c r="BD38" s="546"/>
      <c r="BE38" s="546"/>
      <c r="BF38" s="546"/>
      <c r="BG38" s="546"/>
      <c r="BH38" s="546">
        <f t="shared" si="13"/>
        <v>424961.43358344026</v>
      </c>
      <c r="BI38" s="108">
        <f t="shared" si="22"/>
        <v>55</v>
      </c>
      <c r="BJ38" s="108">
        <f t="shared" si="17"/>
        <v>55</v>
      </c>
      <c r="BK38" s="22">
        <f t="shared" si="18"/>
        <v>46227</v>
      </c>
      <c r="BL38" s="108">
        <f t="shared" si="2"/>
        <v>14612</v>
      </c>
    </row>
    <row r="39" spans="1:1218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19"/>
        <v>31</v>
      </c>
      <c r="H39" s="245">
        <f>IF((OR(DAY($AE$54)=29,DAY($AE$54)=30,DAY($AE$54)=31)),(EDATE($C$9-3,G39)),EDATE($C$9,G39))</f>
        <v>46258</v>
      </c>
      <c r="I39" s="246">
        <f>IF(AND($X$11=1,G39&gt;=$X$11,),0%,$C$13)</f>
        <v>0.29899999999999999</v>
      </c>
      <c r="J39" s="242">
        <f t="shared" si="0"/>
        <v>14612</v>
      </c>
      <c r="K39" s="242">
        <f>IF(G39&gt;$C$10,0,IF((S38+L39)&lt;K38,(S38+L39),IF(T38=0,K38,MIN(K38,ROUNDUP(S38*$C$13/12/((1-(1+$C$13/12)^(0-($C$10-G39)))),0)))))</f>
        <v>14612</v>
      </c>
      <c r="L39" s="242">
        <f t="shared" si="3"/>
        <v>11976.552114128161</v>
      </c>
      <c r="M39" s="242">
        <f t="shared" si="14"/>
        <v>2635.4478858718394</v>
      </c>
      <c r="N39" s="242">
        <f>IF(P39-Q39&gt;$C$24,$C$24-L39,IF(V39=0,0,R39)+$AJ$51)</f>
        <v>0</v>
      </c>
      <c r="O39" s="242">
        <v>0</v>
      </c>
      <c r="P39" s="242">
        <f t="shared" si="15"/>
        <v>11976.552114128161</v>
      </c>
      <c r="Q39" s="242">
        <f t="shared" si="23"/>
        <v>0</v>
      </c>
      <c r="R39" s="242">
        <f t="shared" si="4"/>
        <v>0</v>
      </c>
      <c r="S39" s="242">
        <f t="shared" si="5"/>
        <v>468984.09269636776</v>
      </c>
      <c r="T39" s="467"/>
      <c r="U39" s="198">
        <f t="shared" si="20"/>
        <v>54</v>
      </c>
      <c r="V39" s="36">
        <f t="shared" si="6"/>
        <v>54</v>
      </c>
      <c r="W39" s="36">
        <f t="shared" si="7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28"/>
        <v>#N/A</v>
      </c>
      <c r="AH39" s="169">
        <f>AH36-$AH$35</f>
        <v>0.25900000000000001</v>
      </c>
      <c r="AJ39" s="2"/>
      <c r="AK39" s="2"/>
      <c r="AL39" s="57"/>
      <c r="AM39" s="47" t="e">
        <f>AM36-$AM$35</f>
        <v>#N/A</v>
      </c>
      <c r="AN39" s="169">
        <f>AN36-$AN$35</f>
        <v>0.25900000000000001</v>
      </c>
      <c r="AO39" s="15"/>
      <c r="AP39" s="130">
        <f t="shared" si="8"/>
        <v>1</v>
      </c>
      <c r="AQ39" s="553">
        <f t="shared" si="21"/>
        <v>31</v>
      </c>
      <c r="AR39" s="554">
        <f>IF((OR(DAY($AE$54)=29,DAY($AE$54)=30,DAY($AE$54)=31)),(EDATE($C$9-3,AQ39)),EDATE($C$9,AQ39))</f>
        <v>46258</v>
      </c>
      <c r="AS39" s="555">
        <f>IF($D$16="Да",$AN$38,$D$13)</f>
        <v>0.29899999999999999</v>
      </c>
      <c r="AT39" s="546">
        <f t="shared" si="9"/>
        <v>14501</v>
      </c>
      <c r="AU39" s="546">
        <f t="shared" si="16"/>
        <v>14501</v>
      </c>
      <c r="AV39" s="546">
        <f>BH38*($D$13/365*(AR39-AR38))</f>
        <v>10791.691857218924</v>
      </c>
      <c r="AW39" s="546">
        <f t="shared" si="10"/>
        <v>3709.3081427810757</v>
      </c>
      <c r="AX39" s="546">
        <f>IF(AZ39-BA39&gt;$D$24,$D$24-AV39,IF(BJ39=0,0,BB39)+BY87)</f>
        <v>0</v>
      </c>
      <c r="AY39" s="546">
        <v>0</v>
      </c>
      <c r="AZ39" s="546">
        <f t="shared" si="11"/>
        <v>10791.691857218924</v>
      </c>
      <c r="BA39" s="546">
        <f t="shared" si="26"/>
        <v>0</v>
      </c>
      <c r="BB39" s="546">
        <f t="shared" si="25"/>
        <v>0</v>
      </c>
      <c r="BC39" s="546"/>
      <c r="BD39" s="546"/>
      <c r="BE39" s="546"/>
      <c r="BF39" s="546"/>
      <c r="BG39" s="546"/>
      <c r="BH39" s="546">
        <f t="shared" si="13"/>
        <v>421252.12544065918</v>
      </c>
      <c r="BI39" s="108">
        <f t="shared" si="22"/>
        <v>54</v>
      </c>
      <c r="BJ39" s="108">
        <f t="shared" si="17"/>
        <v>54</v>
      </c>
      <c r="BK39" s="22">
        <f t="shared" si="18"/>
        <v>46258</v>
      </c>
      <c r="BL39" s="108">
        <f t="shared" si="2"/>
        <v>14612</v>
      </c>
    </row>
    <row r="40" spans="1:1218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19"/>
        <v>32</v>
      </c>
      <c r="H40" s="245">
        <f>IF((OR(DAY($AE$54)=29,DAY($AE$54)=30,DAY($AE$54)=31)),(EDATE($C$9-3,G40)),EDATE($C$9,G40))</f>
        <v>46289</v>
      </c>
      <c r="I40" s="246">
        <f>IF(AND($X$11=1,G40&gt;=$X$11,),0%,$C$13)</f>
        <v>0.29899999999999999</v>
      </c>
      <c r="J40" s="242">
        <f t="shared" si="0"/>
        <v>14612</v>
      </c>
      <c r="K40" s="242">
        <f>IF(G40&gt;$C$10,0,IF((S39+L40)&lt;K39,(S39+L40),IF(T39=0,K39,MIN(K39,ROUNDUP(S39*$C$13/12/((1-(1+$C$13/12)^(0-($C$10-G40)))),0)))))</f>
        <v>14612</v>
      </c>
      <c r="L40" s="242">
        <f t="shared" si="3"/>
        <v>11909.626178637349</v>
      </c>
      <c r="M40" s="242">
        <f t="shared" si="14"/>
        <v>2702.3738213626511</v>
      </c>
      <c r="N40" s="242">
        <f>IF(P40-Q40&gt;$C$24,$C$24-L40,IF(V40=0,0,R40)+$AJ$51)</f>
        <v>0</v>
      </c>
      <c r="O40" s="242">
        <v>0</v>
      </c>
      <c r="P40" s="242">
        <f t="shared" si="15"/>
        <v>11909.626178637349</v>
      </c>
      <c r="Q40" s="242">
        <f t="shared" si="23"/>
        <v>0</v>
      </c>
      <c r="R40" s="242">
        <f t="shared" si="4"/>
        <v>0</v>
      </c>
      <c r="S40" s="242">
        <f t="shared" si="5"/>
        <v>466281.71887500508</v>
      </c>
      <c r="T40" s="467"/>
      <c r="U40" s="198">
        <f t="shared" si="20"/>
        <v>53</v>
      </c>
      <c r="V40" s="36">
        <f t="shared" si="6"/>
        <v>53</v>
      </c>
      <c r="W40" s="36">
        <f t="shared" si="7"/>
        <v>0</v>
      </c>
      <c r="X40" s="16">
        <f>INDEX('Для Перспективы'!B2:F2,MATCH($C$10,'Для Перспективы'!$B$1:$F$1,0))</f>
        <v>4000</v>
      </c>
      <c r="Y40" s="16">
        <f>INDEX('Для Перспективы'!B8:F8,MATCH($C$10,'Для Перспективы'!$B$1:$F$1,0))</f>
        <v>11500</v>
      </c>
      <c r="Z40" s="16">
        <f>INDEX('Для Перспективы'!B10:F10,MATCH($C$10,'Для Перспективы'!$B$1:$F$1,0))</f>
        <v>12000</v>
      </c>
      <c r="AA40" s="16">
        <f>INDEX('Для Перспективы'!B12:F12,MATCH($C$10,'Для Перспективы'!$B$1:$F$1,0))</f>
        <v>12000</v>
      </c>
      <c r="AB40" s="16">
        <f>INDEX('Для Перспективы'!B14:F14,MATCH($C$10,'Для Перспективы'!$B$1:$F$1,0))</f>
        <v>12500</v>
      </c>
      <c r="AC40" s="16" t="e">
        <f>INDEX('Для Перспективы'!B14:D14,MATCH($C$10,'Для Перспективы'!$B$1:$D$1,0))</f>
        <v>#N/A</v>
      </c>
      <c r="AD40" s="16" t="e">
        <f>INDEX('Для Перспективы'!B16:D16,MATCH($C$10,'Для Перспективы'!$B$1:$D$1,0))</f>
        <v>#N/A</v>
      </c>
      <c r="AE40" s="16" t="e">
        <f>INDEX('Для Перспективы'!B18:D18,MATCH($C$10,'Для Перспективы'!$B$1:$D$1,0))</f>
        <v>#N/A</v>
      </c>
      <c r="AF40" s="16" t="e">
        <f>INDEX('Для Перспективы'!B20:D20,MATCH($C$10,'Для Перспективы'!$B$1:$D$1,0))</f>
        <v>#N/A</v>
      </c>
      <c r="AG40" s="47" t="e">
        <f t="shared" si="28"/>
        <v>#N/A</v>
      </c>
      <c r="AH40" s="169">
        <f>AH36-$AH$35</f>
        <v>0.25900000000000001</v>
      </c>
      <c r="AJ40" s="2"/>
      <c r="AK40" s="2"/>
      <c r="AL40" s="57"/>
      <c r="AM40" s="47" t="e">
        <f>AM36-$AM$35</f>
        <v>#N/A</v>
      </c>
      <c r="AN40" s="169">
        <f>AN36-$AN$35</f>
        <v>0.25900000000000001</v>
      </c>
      <c r="AO40" s="15"/>
      <c r="AP40" s="130">
        <f t="shared" si="8"/>
        <v>1</v>
      </c>
      <c r="AQ40" s="553">
        <f t="shared" si="21"/>
        <v>32</v>
      </c>
      <c r="AR40" s="554">
        <f>IF((OR(DAY($AE$54)=29,DAY($AE$54)=30,DAY($AE$54)=31)),(EDATE($C$9-3,AQ40)),EDATE($C$9,AQ40))</f>
        <v>46289</v>
      </c>
      <c r="AS40" s="555">
        <f>IF($D$16="Да",$AN$38,$D$13)</f>
        <v>0.29899999999999999</v>
      </c>
      <c r="AT40" s="546">
        <f t="shared" si="9"/>
        <v>14501</v>
      </c>
      <c r="AU40" s="546">
        <f t="shared" si="16"/>
        <v>14501</v>
      </c>
      <c r="AV40" s="546">
        <f>BH39*($D$13/365*(AR40-AR39))</f>
        <v>10697.495755368409</v>
      </c>
      <c r="AW40" s="546">
        <f t="shared" si="10"/>
        <v>3803.5042446315911</v>
      </c>
      <c r="AX40" s="546">
        <f>IF(AZ40-BA40&gt;$D$24,$D$24-AV40,IF(BJ40=0,0,BB40)+BY88)</f>
        <v>0</v>
      </c>
      <c r="AY40" s="546">
        <v>0</v>
      </c>
      <c r="AZ40" s="546">
        <f t="shared" si="11"/>
        <v>10697.495755368409</v>
      </c>
      <c r="BA40" s="546">
        <f t="shared" si="26"/>
        <v>0</v>
      </c>
      <c r="BB40" s="546">
        <f t="shared" si="25"/>
        <v>0</v>
      </c>
      <c r="BC40" s="546"/>
      <c r="BD40" s="546"/>
      <c r="BE40" s="546"/>
      <c r="BF40" s="546"/>
      <c r="BG40" s="546"/>
      <c r="BH40" s="546">
        <f t="shared" si="13"/>
        <v>417448.62119602761</v>
      </c>
      <c r="BI40" s="108">
        <f t="shared" si="22"/>
        <v>53</v>
      </c>
      <c r="BJ40" s="108">
        <f t="shared" si="17"/>
        <v>53</v>
      </c>
      <c r="BK40" s="22">
        <f t="shared" si="18"/>
        <v>46289</v>
      </c>
      <c r="BL40" s="108">
        <f t="shared" si="2"/>
        <v>14612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19"/>
        <v>33</v>
      </c>
      <c r="H41" s="245">
        <f>IF((OR(DAY($AE$54)=29,DAY($AE$54)=30,DAY($AE$54)=31)),(EDATE($C$9-3,G41)),EDATE($C$9,G41))</f>
        <v>46319</v>
      </c>
      <c r="I41" s="246">
        <f>IF(AND($X$11=1,G41&gt;=$X$11,),0%,$C$13)</f>
        <v>0.29899999999999999</v>
      </c>
      <c r="J41" s="242">
        <f t="shared" si="0"/>
        <v>14612</v>
      </c>
      <c r="K41" s="242">
        <f>IF(G41&gt;$C$10,0,IF((S40+L41)&lt;K40,(S40+L41),IF(T40=0,K40,MIN(K40,ROUNDUP(S40*$C$13/12/((1-(1+$C$13/12)^(0-($C$10-G41)))),0)))))</f>
        <v>14612</v>
      </c>
      <c r="L41" s="242">
        <f t="shared" si="3"/>
        <v>11459.032926873411</v>
      </c>
      <c r="M41" s="242">
        <f t="shared" si="14"/>
        <v>3152.9670731265887</v>
      </c>
      <c r="N41" s="242">
        <f>IF(P41-Q41&gt;$C$24,$C$24-L41,IF(V41=0,0,R41)+$AJ$51)</f>
        <v>0</v>
      </c>
      <c r="O41" s="242">
        <v>0</v>
      </c>
      <c r="P41" s="242">
        <f t="shared" si="15"/>
        <v>11459.032926873411</v>
      </c>
      <c r="Q41" s="242">
        <f t="shared" si="23"/>
        <v>0</v>
      </c>
      <c r="R41" s="242">
        <f t="shared" si="4"/>
        <v>0</v>
      </c>
      <c r="S41" s="242">
        <f t="shared" si="5"/>
        <v>463128.7518018785</v>
      </c>
      <c r="T41" s="467"/>
      <c r="U41" s="198">
        <f t="shared" si="20"/>
        <v>52</v>
      </c>
      <c r="V41" s="36">
        <f t="shared" si="6"/>
        <v>52</v>
      </c>
      <c r="W41" s="36">
        <f t="shared" si="7"/>
        <v>0</v>
      </c>
      <c r="X41" s="16">
        <f>INDEX('Для Перспективы'!B3:F3,MATCH($C$10,'Для Перспективы'!$B$1:$F$1,0))</f>
        <v>128000</v>
      </c>
      <c r="Y41" s="16">
        <f>INDEX('Для Перспективы'!B9:F9,MATCH($C$10,'Для Перспективы'!$B$1:$F$1,0))</f>
        <v>108900</v>
      </c>
      <c r="Z41" s="16">
        <f>INDEX('Для Перспективы'!B11:F11,MATCH($C$10,'Для Перспективы'!$B$1:$F$1,0))</f>
        <v>112200</v>
      </c>
      <c r="AA41" s="16">
        <f>INDEX('Для Перспективы'!B13:F13,MATCH($C$10,'Для Перспективы'!$B$1:$F$1,0))</f>
        <v>115500</v>
      </c>
      <c r="AB41" s="16">
        <f>INDEX('Для Перспективы'!B15:F15,MATCH($C$10,'Для Перспективы'!$B$1:$F$1,0))</f>
        <v>118900</v>
      </c>
      <c r="AC41" s="16" t="e">
        <f>INDEX('Для Перспективы'!B15:D15,MATCH($C$10,'Для Перспективы'!$B$1:$D$1,0))</f>
        <v>#N/A</v>
      </c>
      <c r="AD41" s="16" t="e">
        <f>INDEX('Для Перспективы'!B17:D17,MATCH($C$10,'Для Перспективы'!$B$1:$D$1,0))</f>
        <v>#N/A</v>
      </c>
      <c r="AE41" s="16" t="e">
        <f>INDEX('Для Перспективы'!B19:D19,MATCH($C$10,'Для Перспективы'!$B$1:$D$1,0))</f>
        <v>#N/A</v>
      </c>
      <c r="AF41" s="16" t="e">
        <f>INDEX('Для Перспективы'!B21:D21,MATCH($C$10,'Для Перспективы'!$B$1:$D$1,0))</f>
        <v>#N/A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8"/>
        <v>1</v>
      </c>
      <c r="AQ41" s="553">
        <f t="shared" si="21"/>
        <v>33</v>
      </c>
      <c r="AR41" s="554">
        <f>IF((OR(DAY($AE$54)=29,DAY($AE$54)=30,DAY($AE$54)=31)),(EDATE($C$9-3,AQ41)),EDATE($C$9,AQ41))</f>
        <v>46319</v>
      </c>
      <c r="AS41" s="555">
        <f>IF($D$16="Да",$AN$38,$D$13)</f>
        <v>0.29899999999999999</v>
      </c>
      <c r="AT41" s="546">
        <f t="shared" si="9"/>
        <v>14501</v>
      </c>
      <c r="AU41" s="546">
        <f t="shared" si="16"/>
        <v>14501</v>
      </c>
      <c r="AV41" s="546">
        <f>BH40*($D$13/365*(AR41-AR40))</f>
        <v>10258.942827748951</v>
      </c>
      <c r="AW41" s="546">
        <f t="shared" si="10"/>
        <v>4242.0571722510485</v>
      </c>
      <c r="AX41" s="546">
        <f>IF(AZ41-BA41&gt;$D$24,$D$24-AV41,IF(BJ41=0,0,BB41)+BY89)</f>
        <v>0</v>
      </c>
      <c r="AY41" s="546">
        <v>0</v>
      </c>
      <c r="AZ41" s="546">
        <f t="shared" si="11"/>
        <v>10258.942827748951</v>
      </c>
      <c r="BA41" s="546">
        <f t="shared" si="26"/>
        <v>0</v>
      </c>
      <c r="BB41" s="546">
        <f t="shared" si="25"/>
        <v>0</v>
      </c>
      <c r="BC41" s="546"/>
      <c r="BD41" s="546"/>
      <c r="BE41" s="546"/>
      <c r="BF41" s="546"/>
      <c r="BG41" s="546"/>
      <c r="BH41" s="546">
        <f t="shared" si="13"/>
        <v>413206.56402377656</v>
      </c>
      <c r="BI41" s="108">
        <f t="shared" si="22"/>
        <v>52</v>
      </c>
      <c r="BJ41" s="108">
        <f t="shared" si="17"/>
        <v>52</v>
      </c>
      <c r="BK41" s="22">
        <f t="shared" si="18"/>
        <v>46319</v>
      </c>
      <c r="BL41" s="108">
        <f t="shared" si="2"/>
        <v>14612</v>
      </c>
    </row>
    <row r="42" spans="1:1218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19"/>
        <v>34</v>
      </c>
      <c r="H42" s="245">
        <f>IF((OR(DAY($AE$54)=29,DAY($AE$54)=30,DAY($AE$54)=31)),(EDATE($C$9-3,G42)),EDATE($C$9,G42))</f>
        <v>46350</v>
      </c>
      <c r="I42" s="246">
        <f>IF(AND($X$11=1,G42&gt;=$X$11,),0%,$C$13)</f>
        <v>0.29899999999999999</v>
      </c>
      <c r="J42" s="242">
        <f t="shared" si="0"/>
        <v>14612</v>
      </c>
      <c r="K42" s="242">
        <f>IF(G42&gt;$C$10,0,IF((S41+L42)&lt;K41,(S41+L42),IF(T41=0,K41,MIN(K41,ROUNDUP(S41*$C$13/12/((1-(1+$C$13/12)^(0-($C$10-G42)))),0)))))</f>
        <v>14612</v>
      </c>
      <c r="L42" s="242">
        <f t="shared" si="3"/>
        <v>11760.932603977019</v>
      </c>
      <c r="M42" s="242">
        <f t="shared" si="14"/>
        <v>2851.0673960229815</v>
      </c>
      <c r="N42" s="242">
        <f>IF(P42-Q42&gt;$C$24,$C$24-L42,IF(V42=0,0,R42)+$AJ$51)</f>
        <v>0</v>
      </c>
      <c r="O42" s="242">
        <v>0</v>
      </c>
      <c r="P42" s="242">
        <f t="shared" si="15"/>
        <v>11760.932603977019</v>
      </c>
      <c r="Q42" s="242">
        <f t="shared" si="23"/>
        <v>0</v>
      </c>
      <c r="R42" s="242">
        <f t="shared" si="4"/>
        <v>0</v>
      </c>
      <c r="S42" s="242">
        <f t="shared" si="5"/>
        <v>460277.68440585554</v>
      </c>
      <c r="T42" s="467"/>
      <c r="U42" s="198">
        <f t="shared" si="20"/>
        <v>51</v>
      </c>
      <c r="V42" s="36">
        <f t="shared" si="6"/>
        <v>51</v>
      </c>
      <c r="W42" s="36">
        <f t="shared" si="7"/>
        <v>0</v>
      </c>
      <c r="X42" s="2"/>
      <c r="Y42" s="18">
        <f>K8</f>
        <v>-531999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8"/>
        <v>1</v>
      </c>
      <c r="AQ42" s="553">
        <f t="shared" si="21"/>
        <v>34</v>
      </c>
      <c r="AR42" s="554">
        <f>IF((OR(DAY($AE$54)=29,DAY($AE$54)=30,DAY($AE$54)=31)),(EDATE($C$9-3,AQ42)),EDATE($C$9,AQ42))</f>
        <v>46350</v>
      </c>
      <c r="AS42" s="555">
        <f>IF($D$16="Да",$AN$38,$D$13)</f>
        <v>0.29899999999999999</v>
      </c>
      <c r="AT42" s="546">
        <f t="shared" si="9"/>
        <v>14501</v>
      </c>
      <c r="AU42" s="546">
        <f t="shared" si="16"/>
        <v>14501</v>
      </c>
      <c r="AV42" s="546">
        <f>BH41*($D$13/365*(AR42-AR41))</f>
        <v>10493.18258064763</v>
      </c>
      <c r="AW42" s="546">
        <f t="shared" si="10"/>
        <v>4007.8174193523701</v>
      </c>
      <c r="AX42" s="546">
        <f>IF(AZ42-BA42&gt;$D$24,$D$24-AV42,IF(BJ42=0,0,BB42)+BY90)</f>
        <v>0</v>
      </c>
      <c r="AY42" s="546">
        <v>0</v>
      </c>
      <c r="AZ42" s="546">
        <f t="shared" si="11"/>
        <v>10493.18258064763</v>
      </c>
      <c r="BA42" s="546">
        <f t="shared" si="26"/>
        <v>0</v>
      </c>
      <c r="BB42" s="546">
        <f t="shared" si="25"/>
        <v>0</v>
      </c>
      <c r="BC42" s="546"/>
      <c r="BD42" s="546"/>
      <c r="BE42" s="546"/>
      <c r="BF42" s="546"/>
      <c r="BG42" s="546"/>
      <c r="BH42" s="546">
        <f t="shared" si="13"/>
        <v>409198.7466044242</v>
      </c>
      <c r="BI42" s="108">
        <f t="shared" si="22"/>
        <v>51</v>
      </c>
      <c r="BJ42" s="108">
        <f t="shared" si="17"/>
        <v>51</v>
      </c>
      <c r="BK42" s="22">
        <f t="shared" si="18"/>
        <v>46350</v>
      </c>
      <c r="BL42" s="108">
        <f t="shared" si="2"/>
        <v>14612</v>
      </c>
    </row>
    <row r="43" spans="1:1218" s="16" customFormat="1" ht="14.25" x14ac:dyDescent="0.3">
      <c r="A43" s="180"/>
      <c r="B43" s="180"/>
      <c r="C43" s="524"/>
      <c r="D43" s="254"/>
      <c r="E43" s="178"/>
      <c r="F43" s="178"/>
      <c r="G43" s="244">
        <f t="shared" si="19"/>
        <v>35</v>
      </c>
      <c r="H43" s="245">
        <f>IF((OR(DAY($AE$54)=29,DAY($AE$54)=30,DAY($AE$54)=31)),(EDATE($C$9-3,G43)),EDATE($C$9,G43))</f>
        <v>46380</v>
      </c>
      <c r="I43" s="246">
        <f>IF(AND($X$11=1,G43&gt;=$X$11,),0%,$C$13)</f>
        <v>0.29899999999999999</v>
      </c>
      <c r="J43" s="242">
        <f t="shared" si="0"/>
        <v>14612</v>
      </c>
      <c r="K43" s="242">
        <f>IF(G43&gt;$C$10,0,IF((S42+L43)&lt;K42,(S42+L43),IF(T42=0,K42,MIN(K42,ROUNDUP(S42*$C$13/12/((1-(1+$C$13/12)^(0-($C$10-G43)))),0)))))</f>
        <v>14612</v>
      </c>
      <c r="L43" s="242">
        <f t="shared" si="3"/>
        <v>11311.481723617873</v>
      </c>
      <c r="M43" s="242">
        <f t="shared" si="14"/>
        <v>3300.5182763821267</v>
      </c>
      <c r="N43" s="242">
        <f>IF(P43-Q43&gt;$C$24,$C$24-L43,IF(V43=0,0,R43)+$AJ$51)</f>
        <v>0</v>
      </c>
      <c r="O43" s="242">
        <v>0</v>
      </c>
      <c r="P43" s="242">
        <f t="shared" si="15"/>
        <v>11311.481723617873</v>
      </c>
      <c r="Q43" s="242">
        <f t="shared" si="23"/>
        <v>0</v>
      </c>
      <c r="R43" s="242">
        <f t="shared" si="4"/>
        <v>0</v>
      </c>
      <c r="S43" s="242">
        <f t="shared" si="5"/>
        <v>456977.16612947342</v>
      </c>
      <c r="T43" s="467"/>
      <c r="U43" s="198">
        <f t="shared" si="20"/>
        <v>50</v>
      </c>
      <c r="V43" s="36">
        <f t="shared" si="6"/>
        <v>50</v>
      </c>
      <c r="W43" s="36">
        <f t="shared" si="7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8"/>
        <v>1</v>
      </c>
      <c r="AQ43" s="553">
        <f t="shared" si="21"/>
        <v>35</v>
      </c>
      <c r="AR43" s="554">
        <f>IF((OR(DAY($AE$54)=29,DAY($AE$54)=30,DAY($AE$54)=31)),(EDATE($C$9-3,AQ43)),EDATE($C$9,AQ43))</f>
        <v>46380</v>
      </c>
      <c r="AS43" s="555">
        <f>IF($D$16="Да",$AN$38,$D$13)</f>
        <v>0.29899999999999999</v>
      </c>
      <c r="AT43" s="546">
        <f t="shared" si="9"/>
        <v>14501</v>
      </c>
      <c r="AU43" s="546">
        <f t="shared" si="16"/>
        <v>14501</v>
      </c>
      <c r="AV43" s="546">
        <f>BH42*($D$13/365*(AR43-AR42))</f>
        <v>10056.199334360779</v>
      </c>
      <c r="AW43" s="546">
        <f t="shared" si="10"/>
        <v>4444.8006656392208</v>
      </c>
      <c r="AX43" s="546">
        <f>IF(AZ43-BA43&gt;$D$24,$D$24-AV43,IF(BJ43=0,0,BB43)+BY91)</f>
        <v>0</v>
      </c>
      <c r="AY43" s="546">
        <v>0</v>
      </c>
      <c r="AZ43" s="546">
        <f t="shared" si="11"/>
        <v>10056.199334360779</v>
      </c>
      <c r="BA43" s="546">
        <f t="shared" si="26"/>
        <v>0</v>
      </c>
      <c r="BB43" s="546">
        <f t="shared" si="25"/>
        <v>0</v>
      </c>
      <c r="BC43" s="546"/>
      <c r="BD43" s="546"/>
      <c r="BE43" s="546"/>
      <c r="BF43" s="546"/>
      <c r="BG43" s="546"/>
      <c r="BH43" s="546">
        <f t="shared" si="13"/>
        <v>404753.94593878498</v>
      </c>
      <c r="BI43" s="108">
        <f t="shared" si="22"/>
        <v>50</v>
      </c>
      <c r="BJ43" s="108">
        <f t="shared" si="17"/>
        <v>50</v>
      </c>
      <c r="BK43" s="22">
        <f t="shared" si="18"/>
        <v>46380</v>
      </c>
      <c r="BL43" s="108">
        <f t="shared" si="2"/>
        <v>14612</v>
      </c>
    </row>
    <row r="44" spans="1:1218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19"/>
        <v>36</v>
      </c>
      <c r="H44" s="679">
        <f>IF((OR(DAY($AE$54)=29,DAY($AE$54)=30,DAY($AE$54)=31)),(EDATE($C$9-3,G44)),EDATE($C$9,G44))</f>
        <v>46411</v>
      </c>
      <c r="I44" s="250">
        <f>IF(AND($X$11=1,G44&gt;=$X$11,),0%,$C$13)</f>
        <v>0.29899999999999999</v>
      </c>
      <c r="J44" s="252">
        <f t="shared" si="0"/>
        <v>14612</v>
      </c>
      <c r="K44" s="252">
        <f>IF(G44&gt;$C$10,0,IF((S43+L44)&lt;K43,(S43+L44),IF(T43=0,K43,MIN(K43,ROUNDUP(S43*$C$13/12/((1-(1+$C$13/12)^(0-($C$10-G44)))),0)))))</f>
        <v>14612</v>
      </c>
      <c r="L44" s="242">
        <f t="shared" si="3"/>
        <v>11604.716035216681</v>
      </c>
      <c r="M44" s="252">
        <f t="shared" si="14"/>
        <v>3007.2839647833189</v>
      </c>
      <c r="N44" s="252">
        <f>IF(P44-Q44&gt;$C$24,$C$24-L44,IF(V44=0,0,R44)+$AJ$51)</f>
        <v>0</v>
      </c>
      <c r="O44" s="252">
        <v>0</v>
      </c>
      <c r="P44" s="252">
        <f t="shared" si="15"/>
        <v>11604.716035216681</v>
      </c>
      <c r="Q44" s="252">
        <f t="shared" si="23"/>
        <v>0</v>
      </c>
      <c r="R44" s="252">
        <f t="shared" si="4"/>
        <v>0</v>
      </c>
      <c r="S44" s="252">
        <f t="shared" si="5"/>
        <v>453969.88216469012</v>
      </c>
      <c r="T44" s="252">
        <f t="shared" ref="T44:T67" si="29">IF(G44=$C$10,(S43-K44+L44),0)</f>
        <v>0</v>
      </c>
      <c r="U44" s="198">
        <f t="shared" si="20"/>
        <v>49</v>
      </c>
      <c r="V44" s="36">
        <f t="shared" si="6"/>
        <v>49</v>
      </c>
      <c r="W44" s="36">
        <f t="shared" si="7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14612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8"/>
        <v>1</v>
      </c>
      <c r="AQ44" s="556">
        <f t="shared" si="21"/>
        <v>36</v>
      </c>
      <c r="AR44" s="680">
        <f>IF((OR(DAY($AE$54)=29,DAY($AE$54)=30,DAY($AE$54)=31)),(EDATE($C$9-3,AQ44)),EDATE($C$9,AQ44))</f>
        <v>46411</v>
      </c>
      <c r="AS44" s="557">
        <f>IF($D$16="Да",$AN$38,$D$13)</f>
        <v>0.29899999999999999</v>
      </c>
      <c r="AT44" s="547">
        <f t="shared" si="9"/>
        <v>14501</v>
      </c>
      <c r="AU44" s="547">
        <f t="shared" si="16"/>
        <v>14501</v>
      </c>
      <c r="AV44" s="547">
        <f>BH43*($D$13/365*(AR44-AR43))</f>
        <v>10278.532397004377</v>
      </c>
      <c r="AW44" s="547">
        <f t="shared" si="10"/>
        <v>4222.4676029956227</v>
      </c>
      <c r="AX44" s="547">
        <f>IF(AZ44-BA44&gt;$D$24,$D$24-AV44,IF(BJ44=0,0,BB44)+BY92)</f>
        <v>0</v>
      </c>
      <c r="AY44" s="547">
        <v>0</v>
      </c>
      <c r="AZ44" s="547">
        <f t="shared" si="11"/>
        <v>10278.532397004377</v>
      </c>
      <c r="BA44" s="547">
        <f t="shared" si="26"/>
        <v>0</v>
      </c>
      <c r="BB44" s="547">
        <f t="shared" si="25"/>
        <v>0</v>
      </c>
      <c r="BC44" s="547"/>
      <c r="BD44" s="547"/>
      <c r="BE44" s="547"/>
      <c r="BF44" s="547"/>
      <c r="BG44" s="547"/>
      <c r="BH44" s="547">
        <f t="shared" si="13"/>
        <v>400531.47833578935</v>
      </c>
      <c r="BI44" s="108">
        <f t="shared" si="22"/>
        <v>49</v>
      </c>
      <c r="BJ44" s="108">
        <f t="shared" si="17"/>
        <v>49</v>
      </c>
      <c r="BK44" s="22">
        <f t="shared" si="18"/>
        <v>46411</v>
      </c>
      <c r="BL44" s="108">
        <f t="shared" si="2"/>
        <v>14612</v>
      </c>
    </row>
    <row r="45" spans="1:1218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19"/>
        <v>37</v>
      </c>
      <c r="H45" s="245">
        <f>IF((OR(DAY($AE$54)=29,DAY($AE$54)=30,DAY($AE$54)=31)),(EDATE($C$9-3,G45)),EDATE($C$9,G45))</f>
        <v>46442</v>
      </c>
      <c r="I45" s="246">
        <f>IF(AND($X$11=1,G45&gt;=$X$11,),0%,$C$13)</f>
        <v>0.29899999999999999</v>
      </c>
      <c r="J45" s="242">
        <f t="shared" si="0"/>
        <v>14612</v>
      </c>
      <c r="K45" s="242">
        <f>IF(G45&gt;$C$10,0,IF((S44+L45)&lt;K44,(S44+L45),IF(T44=0,K44,MIN(K44,ROUNDUP(S44*$C$13/12/((1-(1+$C$13/12)^(0-($C$10-G45)))),0)))))</f>
        <v>14612</v>
      </c>
      <c r="L45" s="242">
        <f t="shared" si="3"/>
        <v>11528.347500779486</v>
      </c>
      <c r="M45" s="242">
        <f t="shared" si="14"/>
        <v>3083.6524992205141</v>
      </c>
      <c r="N45" s="242">
        <f>IF(P45-Q45&gt;$C$24,$C$24-L45,IF(V45=0,0,R45)+$AJ$51)</f>
        <v>0</v>
      </c>
      <c r="O45" s="242">
        <v>0</v>
      </c>
      <c r="P45" s="242">
        <f t="shared" si="15"/>
        <v>11528.347500779486</v>
      </c>
      <c r="Q45" s="242">
        <f t="shared" si="23"/>
        <v>0</v>
      </c>
      <c r="R45" s="242">
        <f t="shared" si="4"/>
        <v>0</v>
      </c>
      <c r="S45" s="242">
        <f t="shared" si="5"/>
        <v>450886.22966546961</v>
      </c>
      <c r="T45" s="467">
        <f t="shared" si="29"/>
        <v>0</v>
      </c>
      <c r="U45" s="198">
        <f t="shared" si="20"/>
        <v>48</v>
      </c>
      <c r="V45" s="36">
        <f t="shared" si="6"/>
        <v>48</v>
      </c>
      <c r="W45" s="36">
        <f t="shared" si="7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>IF(K10 &gt; 0, K10, 0)</f>
        <v>14612</v>
      </c>
      <c r="Z45" s="57">
        <f t="shared" ref="Z45:Z108" si="30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8"/>
        <v>1</v>
      </c>
      <c r="AQ45" s="553">
        <f t="shared" si="21"/>
        <v>37</v>
      </c>
      <c r="AR45" s="554">
        <f>IF((OR(DAY($AE$54)=29,DAY($AE$54)=30,DAY($AE$54)=31)),(EDATE($C$9-3,AQ45)),EDATE($C$9,AQ45))</f>
        <v>46442</v>
      </c>
      <c r="AS45" s="555">
        <f>IF($D$16="Да",$AN$39,$D$13)</f>
        <v>0.29899999999999999</v>
      </c>
      <c r="AT45" s="546">
        <f t="shared" si="9"/>
        <v>14501</v>
      </c>
      <c r="AU45" s="546">
        <f t="shared" si="16"/>
        <v>14501</v>
      </c>
      <c r="AV45" s="546">
        <f>BH44*($D$13/365*(AR45-AR44))</f>
        <v>10171.304856697072</v>
      </c>
      <c r="AW45" s="546">
        <f t="shared" si="10"/>
        <v>4329.695143302928</v>
      </c>
      <c r="AX45" s="546">
        <f>IF(AZ45-BA45&gt;$D$24,$D$24-AV45,IF(BJ45=0,0,BB45)+BY93)</f>
        <v>0</v>
      </c>
      <c r="AY45" s="546">
        <v>0</v>
      </c>
      <c r="AZ45" s="546">
        <f t="shared" si="11"/>
        <v>10171.304856697072</v>
      </c>
      <c r="BA45" s="546">
        <f t="shared" si="26"/>
        <v>0</v>
      </c>
      <c r="BB45" s="546">
        <f t="shared" si="25"/>
        <v>0</v>
      </c>
      <c r="BC45" s="546"/>
      <c r="BD45" s="546"/>
      <c r="BE45" s="546"/>
      <c r="BF45" s="546"/>
      <c r="BG45" s="546"/>
      <c r="BH45" s="546">
        <f t="shared" si="13"/>
        <v>396201.78319248644</v>
      </c>
      <c r="BI45" s="108">
        <f t="shared" si="22"/>
        <v>48</v>
      </c>
      <c r="BJ45" s="108">
        <f t="shared" si="17"/>
        <v>48</v>
      </c>
      <c r="BK45" s="22">
        <f t="shared" si="18"/>
        <v>46442</v>
      </c>
      <c r="BL45" s="108">
        <f t="shared" si="2"/>
        <v>14612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19"/>
        <v>38</v>
      </c>
      <c r="H46" s="245">
        <f>IF((OR(DAY($AE$54)=29,DAY($AE$54)=30,DAY($AE$54)=31)),(EDATE($C$9-3,G46)),EDATE($C$9,G46))</f>
        <v>46470</v>
      </c>
      <c r="I46" s="246">
        <f>IF(AND($X$11=1,G46&gt;=$X$11,),0%,$C$13)</f>
        <v>0.29899999999999999</v>
      </c>
      <c r="J46" s="242">
        <f t="shared" si="0"/>
        <v>14612</v>
      </c>
      <c r="K46" s="242">
        <f>IF(G46&gt;$C$10,0,IF((S45+L46)&lt;K45,(S45+L46),IF(T45=0,K45,MIN(K45,ROUNDUP(S45*$C$13/12/((1-(1+$C$13/12)^(0-($C$10-G46)))),0)))))</f>
        <v>14612</v>
      </c>
      <c r="L46" s="242">
        <f t="shared" si="3"/>
        <v>10341.971273313182</v>
      </c>
      <c r="M46" s="242">
        <f t="shared" si="14"/>
        <v>4270.0287266868181</v>
      </c>
      <c r="N46" s="242">
        <f>IF(P46-Q46&gt;$C$24,$C$24-L46,IF(V46=0,0,R46)+$AJ$51)</f>
        <v>0</v>
      </c>
      <c r="O46" s="242">
        <v>0</v>
      </c>
      <c r="P46" s="242">
        <f t="shared" si="15"/>
        <v>10341.971273313182</v>
      </c>
      <c r="Q46" s="242">
        <f t="shared" si="23"/>
        <v>0</v>
      </c>
      <c r="R46" s="242">
        <f t="shared" si="4"/>
        <v>0</v>
      </c>
      <c r="S46" s="242">
        <f t="shared" si="5"/>
        <v>446616.20093878277</v>
      </c>
      <c r="T46" s="467">
        <f t="shared" si="29"/>
        <v>0</v>
      </c>
      <c r="U46" s="198">
        <f t="shared" si="20"/>
        <v>47</v>
      </c>
      <c r="V46" s="36">
        <f t="shared" si="6"/>
        <v>47</v>
      </c>
      <c r="W46" s="36">
        <f t="shared" si="7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>IF(K11 &gt; 0, K11, 0)</f>
        <v>14612</v>
      </c>
      <c r="Z46" s="57">
        <f t="shared" si="30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-506999</v>
      </c>
      <c r="AO46" s="57">
        <f>AR8</f>
        <v>45315</v>
      </c>
      <c r="AP46" s="130">
        <f t="shared" si="8"/>
        <v>1</v>
      </c>
      <c r="AQ46" s="553">
        <f t="shared" si="21"/>
        <v>38</v>
      </c>
      <c r="AR46" s="554">
        <f>IF((OR(DAY($AE$54)=29,DAY($AE$54)=30,DAY($AE$54)=31)),(EDATE($C$9-3,AQ46)),EDATE($C$9,AQ46))</f>
        <v>46470</v>
      </c>
      <c r="AS46" s="555">
        <f>IF($D$16="Да",$AN$39,$D$13)</f>
        <v>0.29899999999999999</v>
      </c>
      <c r="AT46" s="546">
        <f t="shared" si="9"/>
        <v>14501</v>
      </c>
      <c r="AU46" s="546">
        <f t="shared" si="16"/>
        <v>14501</v>
      </c>
      <c r="AV46" s="546">
        <f>BH45*($D$13/365*(AR46-AR45))</f>
        <v>9087.6748736643731</v>
      </c>
      <c r="AW46" s="546">
        <f t="shared" si="10"/>
        <v>5413.3251263356269</v>
      </c>
      <c r="AX46" s="546">
        <f>IF(AZ46-BA46&gt;$D$24,$D$24-AV46,IF(BJ46=0,0,BB46)+BY94)</f>
        <v>0</v>
      </c>
      <c r="AY46" s="546">
        <v>0</v>
      </c>
      <c r="AZ46" s="546">
        <f t="shared" si="11"/>
        <v>9087.6748736643731</v>
      </c>
      <c r="BA46" s="546">
        <f t="shared" si="26"/>
        <v>0</v>
      </c>
      <c r="BB46" s="546">
        <f t="shared" si="25"/>
        <v>0</v>
      </c>
      <c r="BC46" s="546"/>
      <c r="BD46" s="546"/>
      <c r="BE46" s="546"/>
      <c r="BF46" s="546"/>
      <c r="BG46" s="546"/>
      <c r="BH46" s="546">
        <f t="shared" si="13"/>
        <v>390788.45806615084</v>
      </c>
      <c r="BI46" s="108">
        <f t="shared" si="22"/>
        <v>47</v>
      </c>
      <c r="BJ46" s="108">
        <f t="shared" si="17"/>
        <v>47</v>
      </c>
      <c r="BK46" s="22">
        <f t="shared" si="18"/>
        <v>46470</v>
      </c>
      <c r="BL46" s="108">
        <f t="shared" si="2"/>
        <v>14612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19"/>
        <v>39</v>
      </c>
      <c r="H47" s="245">
        <f>IF((OR(DAY($AE$54)=29,DAY($AE$54)=30,DAY($AE$54)=31)),(EDATE($C$9-3,G47)),EDATE($C$9,G47))</f>
        <v>46501</v>
      </c>
      <c r="I47" s="246">
        <f>IF(AND($X$11=1,G47&gt;=$X$11,),0%,$C$13)</f>
        <v>0.29899999999999999</v>
      </c>
      <c r="J47" s="242">
        <f t="shared" si="0"/>
        <v>14612</v>
      </c>
      <c r="K47" s="242">
        <f>IF(G47&gt;$C$10,0,IF((S46+L47)&lt;K46,(S46+L47),IF(T46=0,K46,MIN(K46,ROUNDUP(S46*$C$13/12/((1-(1+$C$13/12)^(0-($C$10-G47)))),0)))))</f>
        <v>14612</v>
      </c>
      <c r="L47" s="242">
        <f t="shared" si="3"/>
        <v>11341.604291785143</v>
      </c>
      <c r="M47" s="242">
        <f t="shared" si="14"/>
        <v>3270.3957082148572</v>
      </c>
      <c r="N47" s="242">
        <f>IF(P47-Q47&gt;$C$24,$C$24-L47,IF(V47=0,0,R47)+$AJ$51)</f>
        <v>0</v>
      </c>
      <c r="O47" s="242">
        <v>0</v>
      </c>
      <c r="P47" s="242">
        <f t="shared" si="15"/>
        <v>11341.604291785143</v>
      </c>
      <c r="Q47" s="242">
        <f t="shared" si="23"/>
        <v>0</v>
      </c>
      <c r="R47" s="242">
        <f t="shared" si="4"/>
        <v>0</v>
      </c>
      <c r="S47" s="242">
        <f t="shared" si="5"/>
        <v>443345.80523056793</v>
      </c>
      <c r="T47" s="467">
        <f t="shared" si="29"/>
        <v>0</v>
      </c>
      <c r="U47" s="198">
        <f t="shared" si="20"/>
        <v>46</v>
      </c>
      <c r="V47" s="36">
        <f t="shared" si="6"/>
        <v>46</v>
      </c>
      <c r="W47" s="36">
        <f t="shared" si="7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>IF(K12 &gt; 0, K12, 0)</f>
        <v>14612</v>
      </c>
      <c r="Z47" s="57">
        <f t="shared" si="30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10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8"/>
        <v>1</v>
      </c>
      <c r="AQ47" s="553">
        <f t="shared" si="21"/>
        <v>39</v>
      </c>
      <c r="AR47" s="554">
        <f>IF((OR(DAY($AE$54)=29,DAY($AE$54)=30,DAY($AE$54)=31)),(EDATE($C$9-3,AQ47)),EDATE($C$9,AQ47))</f>
        <v>46501</v>
      </c>
      <c r="AS47" s="555">
        <f>IF($D$16="Да",$AN$39,$D$13)</f>
        <v>0.29899999999999999</v>
      </c>
      <c r="AT47" s="546">
        <f t="shared" si="9"/>
        <v>14501</v>
      </c>
      <c r="AU47" s="546">
        <f t="shared" si="16"/>
        <v>14501</v>
      </c>
      <c r="AV47" s="546">
        <f>BH46*($D$13/365*(AR47-AR46))</f>
        <v>9923.8855282606892</v>
      </c>
      <c r="AW47" s="546">
        <f t="shared" si="10"/>
        <v>4577.1144717393108</v>
      </c>
      <c r="AX47" s="546">
        <f>IF(AZ47-BA47&gt;$D$24,$D$24-AV47,IF(BJ47=0,0,BB47)+BY95)</f>
        <v>0</v>
      </c>
      <c r="AY47" s="546">
        <v>0</v>
      </c>
      <c r="AZ47" s="546">
        <f t="shared" si="11"/>
        <v>9923.8855282606892</v>
      </c>
      <c r="BA47" s="546">
        <f t="shared" si="26"/>
        <v>0</v>
      </c>
      <c r="BB47" s="546">
        <f t="shared" si="25"/>
        <v>0</v>
      </c>
      <c r="BC47" s="546"/>
      <c r="BD47" s="546"/>
      <c r="BE47" s="546"/>
      <c r="BF47" s="546"/>
      <c r="BG47" s="546"/>
      <c r="BH47" s="546">
        <f t="shared" si="13"/>
        <v>386211.3435944115</v>
      </c>
      <c r="BI47" s="108">
        <f t="shared" si="22"/>
        <v>46</v>
      </c>
      <c r="BJ47" s="108">
        <f t="shared" si="17"/>
        <v>46</v>
      </c>
      <c r="BK47" s="22">
        <f t="shared" si="18"/>
        <v>46501</v>
      </c>
      <c r="BL47" s="108">
        <f t="shared" si="2"/>
        <v>14612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19"/>
        <v>40</v>
      </c>
      <c r="H48" s="245">
        <f>IF((OR(DAY($AE$54)=29,DAY($AE$54)=30,DAY($AE$54)=31)),(EDATE($C$9-3,G48)),EDATE($C$9,G48))</f>
        <v>46531</v>
      </c>
      <c r="I48" s="246">
        <f>IF(AND($X$11=1,G48&gt;=$X$11,),0%,$C$13)</f>
        <v>0.29899999999999999</v>
      </c>
      <c r="J48" s="242">
        <f t="shared" si="0"/>
        <v>14612</v>
      </c>
      <c r="K48" s="242">
        <f>IF(G48&gt;$C$10,0,IF((S47+L48)&lt;K47,(S47+L48),IF(T47=0,K47,MIN(K47,ROUNDUP(S47*$C$13/12/((1-(1+$C$13/12)^(0-($C$10-G48)))),0)))))</f>
        <v>14612</v>
      </c>
      <c r="L48" s="242">
        <f t="shared" si="3"/>
        <v>10895.374994296422</v>
      </c>
      <c r="M48" s="242">
        <f t="shared" si="14"/>
        <v>3716.6250057035777</v>
      </c>
      <c r="N48" s="242">
        <f>IF(P48-Q48&gt;$C$24,$C$24-L48,IF(V48=0,0,R48)+$AJ$51)</f>
        <v>0</v>
      </c>
      <c r="O48" s="242">
        <v>0</v>
      </c>
      <c r="P48" s="242">
        <f t="shared" si="15"/>
        <v>10895.374994296422</v>
      </c>
      <c r="Q48" s="242">
        <f t="shared" si="23"/>
        <v>0</v>
      </c>
      <c r="R48" s="242">
        <f t="shared" si="4"/>
        <v>0</v>
      </c>
      <c r="S48" s="242">
        <f t="shared" si="5"/>
        <v>439629.18022486434</v>
      </c>
      <c r="T48" s="467">
        <f t="shared" si="29"/>
        <v>0</v>
      </c>
      <c r="U48" s="198">
        <f t="shared" si="20"/>
        <v>45</v>
      </c>
      <c r="V48" s="36">
        <f t="shared" si="6"/>
        <v>45</v>
      </c>
      <c r="W48" s="36">
        <f t="shared" si="7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>IF(K13 &gt; 0, K13, 0)</f>
        <v>14612</v>
      </c>
      <c r="Z48" s="57">
        <f t="shared" si="30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0</v>
      </c>
      <c r="AD48" s="39">
        <f>C7*(1-AD47)</f>
        <v>500000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>
        <f>IF(AND(Z5&gt;=$X$11,Z5&lt;=$X$11+5),0,IF($C$9&gt;$AG$51,ROUND(AJ8*#REF!/(DATEVALUE(CONCATENATE("01/01/",YEAR(AA5)+1))-DATEVALUE(CONCATENATE("01/01/",YEAR(AA5))))*(AA5-AA4),2),0))</f>
        <v>0</v>
      </c>
      <c r="AN48" s="34">
        <f>AU9</f>
        <v>14501</v>
      </c>
      <c r="AO48" s="57">
        <f>AO47+365</f>
        <v>45680</v>
      </c>
      <c r="AP48" s="130">
        <f t="shared" si="8"/>
        <v>1</v>
      </c>
      <c r="AQ48" s="553">
        <f t="shared" si="21"/>
        <v>40</v>
      </c>
      <c r="AR48" s="554">
        <f>IF((OR(DAY($AE$54)=29,DAY($AE$54)=30,DAY($AE$54)=31)),(EDATE($C$9-3,AQ48)),EDATE($C$9,AQ48))</f>
        <v>46531</v>
      </c>
      <c r="AS48" s="555">
        <f>IF($D$16="Да",$AN$39,$D$13)</f>
        <v>0.29899999999999999</v>
      </c>
      <c r="AT48" s="546">
        <f t="shared" si="9"/>
        <v>14501</v>
      </c>
      <c r="AU48" s="546">
        <f t="shared" si="16"/>
        <v>14501</v>
      </c>
      <c r="AV48" s="546">
        <f>BH47*($D$13/365*(AR48-AR47))</f>
        <v>9491.2760329914272</v>
      </c>
      <c r="AW48" s="546">
        <f t="shared" si="10"/>
        <v>5009.7239670085728</v>
      </c>
      <c r="AX48" s="546">
        <f>IF(AZ48-BA48&gt;$D$24,$D$24-AV48,IF(BJ48=0,0,BB48)+BY96)</f>
        <v>0</v>
      </c>
      <c r="AY48" s="546">
        <v>0</v>
      </c>
      <c r="AZ48" s="546">
        <f t="shared" si="11"/>
        <v>9491.2760329914272</v>
      </c>
      <c r="BA48" s="546">
        <f t="shared" si="26"/>
        <v>0</v>
      </c>
      <c r="BB48" s="546">
        <f t="shared" si="25"/>
        <v>0</v>
      </c>
      <c r="BC48" s="546"/>
      <c r="BD48" s="546"/>
      <c r="BE48" s="546"/>
      <c r="BF48" s="546"/>
      <c r="BG48" s="546"/>
      <c r="BH48" s="546">
        <f t="shared" si="13"/>
        <v>381201.61962740292</v>
      </c>
      <c r="BI48" s="108">
        <f t="shared" si="22"/>
        <v>45</v>
      </c>
      <c r="BJ48" s="108">
        <f t="shared" si="17"/>
        <v>45</v>
      </c>
      <c r="BK48" s="22">
        <f t="shared" si="18"/>
        <v>46531</v>
      </c>
      <c r="BL48" s="108">
        <f t="shared" si="2"/>
        <v>14612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19"/>
        <v>41</v>
      </c>
      <c r="H49" s="245">
        <f>IF((OR(DAY($AE$54)=29,DAY($AE$54)=30,DAY($AE$54)=31)),(EDATE($C$9-3,G49)),EDATE($C$9,G49))</f>
        <v>46562</v>
      </c>
      <c r="I49" s="246">
        <f>IF(AND($X$11=1,G49&gt;=$X$11,),0%,$C$13)</f>
        <v>0.29899999999999999</v>
      </c>
      <c r="J49" s="242">
        <f t="shared" si="0"/>
        <v>14612</v>
      </c>
      <c r="K49" s="242">
        <f>IF(G49&gt;$C$10,0,IF((S48+L49)&lt;K48,(S48+L49),IF(T48=0,K48,MIN(K48,ROUNDUP(S48*$C$13/12/((1-(1+$C$13/12)^(0-($C$10-G49)))),0)))))</f>
        <v>14612</v>
      </c>
      <c r="L49" s="242">
        <f t="shared" si="3"/>
        <v>11164.172250696622</v>
      </c>
      <c r="M49" s="242">
        <f t="shared" si="14"/>
        <v>3447.8277493033784</v>
      </c>
      <c r="N49" s="242">
        <f>IF(P49-Q49&gt;$C$24,$C$24-L49,IF(V49=0,0,R49)+$AJ$51)</f>
        <v>0</v>
      </c>
      <c r="O49" s="242">
        <v>0</v>
      </c>
      <c r="P49" s="242">
        <f t="shared" si="15"/>
        <v>11164.172250696622</v>
      </c>
      <c r="Q49" s="242">
        <f t="shared" si="23"/>
        <v>0</v>
      </c>
      <c r="R49" s="242">
        <f t="shared" si="4"/>
        <v>0</v>
      </c>
      <c r="S49" s="242">
        <f t="shared" si="5"/>
        <v>436181.35247556097</v>
      </c>
      <c r="T49" s="467">
        <f t="shared" si="29"/>
        <v>0</v>
      </c>
      <c r="U49" s="198">
        <f t="shared" si="20"/>
        <v>44</v>
      </c>
      <c r="V49" s="36">
        <f t="shared" si="6"/>
        <v>44</v>
      </c>
      <c r="W49" s="36">
        <f t="shared" si="7"/>
        <v>0</v>
      </c>
      <c r="X49" s="2" t="e">
        <f>IF(AND(G14&gt;=$X$11,G14&lt;=$X$11+5),0,IF($C$9&gt;$AG$51,ROUND(S13*#REF!/(DATEVALUE(CONCATENATE("01/01/",YEAR(H14)+1))-DATEVALUE(CONCATENATE("01/01/",YEAR(H14))))*(H14-H13),2),0))</f>
        <v>#REF!</v>
      </c>
      <c r="Y49" s="34">
        <f>IF(K14 &gt; 0, K14, 0)</f>
        <v>14612</v>
      </c>
      <c r="Z49" s="57">
        <f t="shared" si="30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15190</v>
      </c>
      <c r="AJ49" s="2"/>
      <c r="AK49" s="2"/>
      <c r="AL49" s="2"/>
      <c r="AM49" s="2">
        <f>IF(AND(Z6&gt;=$X$11,Z6&lt;=$X$11+5),0,IF($C$9&gt;$AG$51,ROUND(AJ9*#REF!/(DATEVALUE(CONCATENATE("01/01/",YEAR(AA6)+1))-DATEVALUE(CONCATENATE("01/01/",YEAR(AA6))))*(AA6-AA5),2),0))</f>
        <v>0</v>
      </c>
      <c r="AN49" s="34">
        <f>AU10</f>
        <v>14501</v>
      </c>
      <c r="AO49" s="57">
        <f t="shared" ref="AO49:AO112" si="31">AO48+365</f>
        <v>46045</v>
      </c>
      <c r="AP49" s="130">
        <f t="shared" si="8"/>
        <v>1</v>
      </c>
      <c r="AQ49" s="553">
        <f t="shared" si="21"/>
        <v>41</v>
      </c>
      <c r="AR49" s="554">
        <f>IF((OR(DAY($AE$54)=29,DAY($AE$54)=30,DAY($AE$54)=31)),(EDATE($C$9-3,AQ49)),EDATE($C$9,AQ49))</f>
        <v>46562</v>
      </c>
      <c r="AS49" s="555">
        <f>IF($D$16="Да",$AN$39,$D$13)</f>
        <v>0.29899999999999999</v>
      </c>
      <c r="AT49" s="546">
        <f t="shared" si="9"/>
        <v>14501</v>
      </c>
      <c r="AU49" s="546">
        <f t="shared" si="16"/>
        <v>14501</v>
      </c>
      <c r="AV49" s="546">
        <f>BH48*($D$13/365*(AR49-AR48))</f>
        <v>9680.4323625380748</v>
      </c>
      <c r="AW49" s="546">
        <f t="shared" si="10"/>
        <v>4820.5676374619252</v>
      </c>
      <c r="AX49" s="546">
        <f>IF(AZ49-BA49&gt;$D$24,$D$24-AV49,IF(BJ49=0,0,BB49)+BY97)</f>
        <v>0</v>
      </c>
      <c r="AY49" s="546">
        <v>0</v>
      </c>
      <c r="AZ49" s="546">
        <f t="shared" si="11"/>
        <v>9680.4323625380748</v>
      </c>
      <c r="BA49" s="546">
        <f t="shared" si="26"/>
        <v>0</v>
      </c>
      <c r="BB49" s="546">
        <f t="shared" si="25"/>
        <v>0</v>
      </c>
      <c r="BC49" s="546"/>
      <c r="BD49" s="546"/>
      <c r="BE49" s="546"/>
      <c r="BF49" s="546"/>
      <c r="BG49" s="546"/>
      <c r="BH49" s="546">
        <f t="shared" si="13"/>
        <v>376381.05198994098</v>
      </c>
      <c r="BI49" s="108">
        <f t="shared" si="22"/>
        <v>44</v>
      </c>
      <c r="BJ49" s="108">
        <f t="shared" si="17"/>
        <v>44</v>
      </c>
      <c r="BK49" s="22">
        <f t="shared" si="18"/>
        <v>46562</v>
      </c>
      <c r="BL49" s="108">
        <f t="shared" si="2"/>
        <v>14612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19"/>
        <v>42</v>
      </c>
      <c r="H50" s="245">
        <f>IF((OR(DAY($AE$54)=29,DAY($AE$54)=30,DAY($AE$54)=31)),(EDATE($C$9-3,G50)),EDATE($C$9,G50))</f>
        <v>46592</v>
      </c>
      <c r="I50" s="246">
        <f>IF(AND($X$11=1,G50&gt;=$X$11,),0%,$C$13)</f>
        <v>0.29899999999999999</v>
      </c>
      <c r="J50" s="242">
        <f t="shared" si="0"/>
        <v>14612</v>
      </c>
      <c r="K50" s="242">
        <f>IF(G50&gt;$C$10,0,IF((S49+L50)&lt;K49,(S49+L50),IF(T49=0,K49,MIN(K49,ROUNDUP(S49*$C$13/12/((1-(1+$C$13/12)^(0-($C$10-G50)))),0)))))</f>
        <v>14612</v>
      </c>
      <c r="L50" s="242">
        <f t="shared" si="3"/>
        <v>10719.306114262416</v>
      </c>
      <c r="M50" s="242">
        <f t="shared" si="14"/>
        <v>3892.6938857375844</v>
      </c>
      <c r="N50" s="242">
        <f>IF(P50-Q50&gt;$C$24,$C$24-L50,IF(V50=0,0,R50)+$AJ$51)</f>
        <v>0</v>
      </c>
      <c r="O50" s="242">
        <v>0</v>
      </c>
      <c r="P50" s="242">
        <f t="shared" si="15"/>
        <v>10719.306114262416</v>
      </c>
      <c r="Q50" s="242">
        <f t="shared" si="23"/>
        <v>0</v>
      </c>
      <c r="R50" s="242">
        <f t="shared" si="4"/>
        <v>0</v>
      </c>
      <c r="S50" s="242">
        <f t="shared" si="5"/>
        <v>432288.6585898234</v>
      </c>
      <c r="T50" s="467">
        <f t="shared" si="29"/>
        <v>0</v>
      </c>
      <c r="U50" s="198">
        <f t="shared" si="20"/>
        <v>43</v>
      </c>
      <c r="V50" s="36">
        <f t="shared" si="6"/>
        <v>43</v>
      </c>
      <c r="W50" s="36">
        <f t="shared" si="7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>IF(K15 &gt; 0, K15, 0)</f>
        <v>14612</v>
      </c>
      <c r="Z50" s="57">
        <f t="shared" si="30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>AU11</f>
        <v>14501</v>
      </c>
      <c r="AO50" s="57">
        <f t="shared" si="31"/>
        <v>46410</v>
      </c>
      <c r="AP50" s="130">
        <f t="shared" si="8"/>
        <v>1</v>
      </c>
      <c r="AQ50" s="553">
        <f t="shared" si="21"/>
        <v>42</v>
      </c>
      <c r="AR50" s="554">
        <f>IF((OR(DAY($AE$54)=29,DAY($AE$54)=30,DAY($AE$54)=31)),(EDATE($C$9-3,AQ50)),EDATE($C$9,AQ50))</f>
        <v>46592</v>
      </c>
      <c r="AS50" s="555">
        <f>IF($D$16="Да",$AN$39,$D$13)</f>
        <v>0.29899999999999999</v>
      </c>
      <c r="AT50" s="546">
        <f t="shared" si="9"/>
        <v>14501</v>
      </c>
      <c r="AU50" s="546">
        <f t="shared" si="16"/>
        <v>14501</v>
      </c>
      <c r="AV50" s="546">
        <f>BH49*($D$13/365*(AR50-AR49))</f>
        <v>9249.6932502733434</v>
      </c>
      <c r="AW50" s="546">
        <f t="shared" si="10"/>
        <v>5251.3067497266566</v>
      </c>
      <c r="AX50" s="546">
        <f>IF(AZ50-BA50&gt;$D$24,$D$24-AV50,IF(BJ50=0,0,BB50)+BY98)</f>
        <v>0</v>
      </c>
      <c r="AY50" s="546">
        <v>0</v>
      </c>
      <c r="AZ50" s="546">
        <f t="shared" si="11"/>
        <v>9249.6932502733434</v>
      </c>
      <c r="BA50" s="546">
        <f t="shared" si="26"/>
        <v>0</v>
      </c>
      <c r="BB50" s="546">
        <f t="shared" si="25"/>
        <v>0</v>
      </c>
      <c r="BC50" s="546"/>
      <c r="BD50" s="546"/>
      <c r="BE50" s="546"/>
      <c r="BF50" s="546"/>
      <c r="BG50" s="546"/>
      <c r="BH50" s="546">
        <f t="shared" si="13"/>
        <v>371129.74524021434</v>
      </c>
      <c r="BI50" s="108">
        <f t="shared" si="22"/>
        <v>43</v>
      </c>
      <c r="BJ50" s="108">
        <f t="shared" si="17"/>
        <v>43</v>
      </c>
      <c r="BK50" s="22">
        <f t="shared" si="18"/>
        <v>46592</v>
      </c>
      <c r="BL50" s="108">
        <f t="shared" si="2"/>
        <v>14612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19"/>
        <v>43</v>
      </c>
      <c r="H51" s="245">
        <f>IF((OR(DAY($AE$54)=29,DAY($AE$54)=30,DAY($AE$54)=31)),(EDATE($C$9-3,G51)),EDATE($C$9,G51))</f>
        <v>46623</v>
      </c>
      <c r="I51" s="246">
        <f>IF(AND($X$11=1,G51&gt;=$X$11,),0%,$C$13)</f>
        <v>0.29899999999999999</v>
      </c>
      <c r="J51" s="242">
        <f t="shared" si="0"/>
        <v>14612</v>
      </c>
      <c r="K51" s="242">
        <f>IF(G51&gt;$C$10,0,IF((S50+L51)&lt;K50,(S50+L51),IF(T50=0,K50,MIN(K50,ROUNDUP(S50*$C$13/12/((1-(1+$C$13/12)^(0-($C$10-G51)))),0)))))</f>
        <v>14612</v>
      </c>
      <c r="L51" s="242">
        <f t="shared" si="3"/>
        <v>10977.763223202939</v>
      </c>
      <c r="M51" s="242">
        <f t="shared" si="14"/>
        <v>3634.2367767970609</v>
      </c>
      <c r="N51" s="242">
        <f>IF(P51-Q51&gt;$C$24,$C$24-L51,IF(V51=0,0,R51)+$AJ$51)</f>
        <v>0</v>
      </c>
      <c r="O51" s="242">
        <v>0</v>
      </c>
      <c r="P51" s="242">
        <f t="shared" si="15"/>
        <v>10977.763223202939</v>
      </c>
      <c r="Q51" s="242">
        <f t="shared" si="23"/>
        <v>0</v>
      </c>
      <c r="R51" s="242">
        <f t="shared" si="4"/>
        <v>0</v>
      </c>
      <c r="S51" s="242">
        <f t="shared" si="5"/>
        <v>428654.42181302636</v>
      </c>
      <c r="T51" s="467">
        <f t="shared" si="29"/>
        <v>0</v>
      </c>
      <c r="U51" s="198">
        <f t="shared" si="20"/>
        <v>42</v>
      </c>
      <c r="V51" s="36">
        <f t="shared" si="6"/>
        <v>42</v>
      </c>
      <c r="W51" s="36">
        <f t="shared" si="7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>IF(K16 &gt; 0, K16, 0)</f>
        <v>14612</v>
      </c>
      <c r="Z51" s="57">
        <f t="shared" si="30"/>
        <v>48235</v>
      </c>
      <c r="AA51" s="11" t="s">
        <v>18</v>
      </c>
      <c r="AB51" s="11"/>
      <c r="AC51" s="11"/>
      <c r="AD51" s="42">
        <f>(D30-C7)</f>
        <v>-500000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>
        <f>IF(AND(Z7&gt;=$X$11,Z7&lt;=$X$11+5),0,IF($C$9&gt;$AG$51,ROUND(AJ11*#REF!/(DATEVALUE(CONCATENATE("01/01/",YEAR(AA7)+1))-DATEVALUE(CONCATENATE("01/01/",YEAR(AA7))))*(AA7-#REF!),2),0))</f>
        <v>0</v>
      </c>
      <c r="AN51" s="34">
        <f>AU12</f>
        <v>14501</v>
      </c>
      <c r="AO51" s="57">
        <f t="shared" si="31"/>
        <v>46775</v>
      </c>
      <c r="AP51" s="130">
        <f t="shared" si="8"/>
        <v>1</v>
      </c>
      <c r="AQ51" s="553">
        <f t="shared" si="21"/>
        <v>43</v>
      </c>
      <c r="AR51" s="554">
        <f>IF((OR(DAY($AE$54)=29,DAY($AE$54)=30,DAY($AE$54)=31)),(EDATE($C$9-3,AQ51)),EDATE($C$9,AQ51))</f>
        <v>46623</v>
      </c>
      <c r="AS51" s="555">
        <f>IF($D$16="Да",$AN$39,$D$13)</f>
        <v>0.29899999999999999</v>
      </c>
      <c r="AT51" s="546">
        <f t="shared" si="9"/>
        <v>14501</v>
      </c>
      <c r="AU51" s="546">
        <f t="shared" si="16"/>
        <v>14501</v>
      </c>
      <c r="AV51" s="546">
        <f>BH50*($D$13/365*(AR51-AR50))</f>
        <v>9424.661941456292</v>
      </c>
      <c r="AW51" s="546">
        <f t="shared" si="10"/>
        <v>5076.338058543708</v>
      </c>
      <c r="AX51" s="546">
        <f>IF(AZ51-BA51&gt;$D$24,$D$24-AV51,IF(BJ51=0,0,BB51)+BY99)</f>
        <v>0</v>
      </c>
      <c r="AY51" s="546">
        <v>0</v>
      </c>
      <c r="AZ51" s="546">
        <f t="shared" si="11"/>
        <v>9424.661941456292</v>
      </c>
      <c r="BA51" s="546">
        <f t="shared" si="26"/>
        <v>0</v>
      </c>
      <c r="BB51" s="546">
        <f t="shared" si="25"/>
        <v>0</v>
      </c>
      <c r="BC51" s="546"/>
      <c r="BD51" s="546"/>
      <c r="BE51" s="546"/>
      <c r="BF51" s="546"/>
      <c r="BG51" s="546"/>
      <c r="BH51" s="546">
        <f t="shared" si="13"/>
        <v>366053.40718167066</v>
      </c>
      <c r="BI51" s="108">
        <f t="shared" si="22"/>
        <v>42</v>
      </c>
      <c r="BJ51" s="108">
        <f t="shared" si="17"/>
        <v>42</v>
      </c>
      <c r="BK51" s="22">
        <f t="shared" si="18"/>
        <v>46623</v>
      </c>
      <c r="BL51" s="108">
        <f t="shared" si="2"/>
        <v>14612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19"/>
        <v>44</v>
      </c>
      <c r="H52" s="245">
        <f>IF((OR(DAY($AE$54)=29,DAY($AE$54)=30,DAY($AE$54)=31)),(EDATE($C$9-3,G52)),EDATE($C$9,G52))</f>
        <v>46654</v>
      </c>
      <c r="I52" s="246">
        <f>IF(AND($X$11=1,G52&gt;=$X$11,),0%,$C$13)</f>
        <v>0.29899999999999999</v>
      </c>
      <c r="J52" s="242">
        <f t="shared" si="0"/>
        <v>14612</v>
      </c>
      <c r="K52" s="242">
        <f>IF(G52&gt;$C$10,0,IF((S51+L52)&lt;K51,(S51+L52),IF(T51=0,K51,MIN(K51,ROUNDUP(S51*$C$13/12/((1-(1+$C$13/12)^(0-($C$10-G52)))),0)))))</f>
        <v>14612</v>
      </c>
      <c r="L52" s="242">
        <f t="shared" si="3"/>
        <v>10885.473522698469</v>
      </c>
      <c r="M52" s="242">
        <f t="shared" si="14"/>
        <v>3726.5264773015315</v>
      </c>
      <c r="N52" s="242">
        <f>IF(P52-Q52&gt;$C$24,$C$24-L52,IF(V52=0,0,R52)+$AJ$51)</f>
        <v>0</v>
      </c>
      <c r="O52" s="242">
        <v>0</v>
      </c>
      <c r="P52" s="242">
        <f t="shared" si="15"/>
        <v>10885.473522698469</v>
      </c>
      <c r="Q52" s="242">
        <f t="shared" si="23"/>
        <v>0</v>
      </c>
      <c r="R52" s="242">
        <f t="shared" si="4"/>
        <v>0</v>
      </c>
      <c r="S52" s="242">
        <f t="shared" si="5"/>
        <v>424927.89533572481</v>
      </c>
      <c r="T52" s="467">
        <f t="shared" si="29"/>
        <v>0</v>
      </c>
      <c r="U52" s="198">
        <f t="shared" si="20"/>
        <v>41</v>
      </c>
      <c r="V52" s="36">
        <f t="shared" si="6"/>
        <v>41</v>
      </c>
      <c r="W52" s="36">
        <f t="shared" si="7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>IF(K17 &gt; 0, K17, 0)</f>
        <v>14612</v>
      </c>
      <c r="Z52" s="57">
        <f t="shared" si="30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>
        <f>IF(AND(Z8&gt;=$X$11,Z8&lt;=$X$11+5),0,IF($C$9&gt;$AG$51,ROUND(AJ12*#REF!/(DATEVALUE(CONCATENATE("01/01/",YEAR(AA8)+1))-DATEVALUE(CONCATENATE("01/01/",YEAR(AA8))))*(AA8-AA7),2),0))</f>
        <v>0</v>
      </c>
      <c r="AN52" s="34">
        <f>AU13</f>
        <v>14501</v>
      </c>
      <c r="AO52" s="57">
        <f t="shared" si="31"/>
        <v>47140</v>
      </c>
      <c r="AP52" s="130">
        <f t="shared" si="8"/>
        <v>1</v>
      </c>
      <c r="AQ52" s="553">
        <f t="shared" si="21"/>
        <v>44</v>
      </c>
      <c r="AR52" s="554">
        <f>IF((OR(DAY($AE$54)=29,DAY($AE$54)=30,DAY($AE$54)=31)),(EDATE($C$9-3,AQ52)),EDATE($C$9,AQ52))</f>
        <v>46654</v>
      </c>
      <c r="AS52" s="555">
        <f>IF($D$16="Да",$AN$39,$D$13)</f>
        <v>0.29899999999999999</v>
      </c>
      <c r="AT52" s="546">
        <f t="shared" si="9"/>
        <v>14501</v>
      </c>
      <c r="AU52" s="546">
        <f t="shared" si="16"/>
        <v>14501</v>
      </c>
      <c r="AV52" s="546">
        <f>BH51*($D$13/365*(AR52-AR51))</f>
        <v>9295.7507703202882</v>
      </c>
      <c r="AW52" s="546">
        <f t="shared" si="10"/>
        <v>5205.2492296797118</v>
      </c>
      <c r="AX52" s="546">
        <f>IF(AZ52-BA52&gt;$D$24,$D$24-AV52,IF(BJ52=0,0,BB52)+BY100)</f>
        <v>0</v>
      </c>
      <c r="AY52" s="546">
        <v>0</v>
      </c>
      <c r="AZ52" s="546">
        <f t="shared" si="11"/>
        <v>9295.7507703202882</v>
      </c>
      <c r="BA52" s="546">
        <f t="shared" si="26"/>
        <v>0</v>
      </c>
      <c r="BB52" s="546">
        <f t="shared" si="25"/>
        <v>0</v>
      </c>
      <c r="BC52" s="546"/>
      <c r="BD52" s="546"/>
      <c r="BE52" s="546"/>
      <c r="BF52" s="546"/>
      <c r="BG52" s="546"/>
      <c r="BH52" s="546">
        <f t="shared" si="13"/>
        <v>360848.15795199096</v>
      </c>
      <c r="BI52" s="108">
        <f t="shared" si="22"/>
        <v>41</v>
      </c>
      <c r="BJ52" s="108">
        <f t="shared" si="17"/>
        <v>41</v>
      </c>
      <c r="BK52" s="22">
        <f t="shared" si="18"/>
        <v>46654</v>
      </c>
      <c r="BL52" s="108">
        <f t="shared" si="2"/>
        <v>14612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19"/>
        <v>45</v>
      </c>
      <c r="H53" s="245">
        <f>IF((OR(DAY($AE$54)=29,DAY($AE$54)=30,DAY($AE$54)=31)),(EDATE($C$9-3,G53)),EDATE($C$9,G53))</f>
        <v>46684</v>
      </c>
      <c r="I53" s="246">
        <f>IF(AND($X$11=1,G53&gt;=$X$11,),0%,$C$13)</f>
        <v>0.29899999999999999</v>
      </c>
      <c r="J53" s="242">
        <f t="shared" si="0"/>
        <v>14612</v>
      </c>
      <c r="K53" s="242">
        <f>IF(G53&gt;$C$10,0,IF((S52+L53)&lt;K52,(S52+L53),IF(T52=0,K52,MIN(K52,ROUNDUP(S52*$C$13/12/((1-(1+$C$13/12)^(0-($C$10-G53)))),0)))))</f>
        <v>14612</v>
      </c>
      <c r="L53" s="242">
        <f t="shared" si="3"/>
        <v>10442.748551127263</v>
      </c>
      <c r="M53" s="242">
        <f t="shared" si="14"/>
        <v>4169.2514488727375</v>
      </c>
      <c r="N53" s="242">
        <f>IF(P53-Q53&gt;$C$24,$C$24-L53,IF(V53=0,0,R53)+$AJ$51)</f>
        <v>0</v>
      </c>
      <c r="O53" s="242">
        <v>0</v>
      </c>
      <c r="P53" s="242">
        <f t="shared" si="15"/>
        <v>10442.748551127263</v>
      </c>
      <c r="Q53" s="242">
        <f t="shared" si="23"/>
        <v>0</v>
      </c>
      <c r="R53" s="242">
        <f t="shared" si="4"/>
        <v>0</v>
      </c>
      <c r="S53" s="242">
        <f t="shared" si="5"/>
        <v>420758.64388685208</v>
      </c>
      <c r="T53" s="467">
        <f t="shared" si="29"/>
        <v>0</v>
      </c>
      <c r="U53" s="198">
        <f t="shared" si="20"/>
        <v>40</v>
      </c>
      <c r="V53" s="36">
        <f t="shared" si="6"/>
        <v>40</v>
      </c>
      <c r="W53" s="36">
        <f t="shared" si="7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>IF(K18 &gt; 0, K18, 0)</f>
        <v>14612</v>
      </c>
      <c r="Z53" s="57">
        <f t="shared" si="30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>
        <f>IF(AND(Z9&gt;=$X$11,Z9&lt;=$X$11+5),0,IF($C$9&gt;$AG$51,ROUND(AJ13*#REF!/(DATEVALUE(CONCATENATE("01/01/",YEAR(AA9)+1))-DATEVALUE(CONCATENATE("01/01/",YEAR(AA9))))*(AA9-AA8),2),0))</f>
        <v>0</v>
      </c>
      <c r="AN53" s="34">
        <f>AU14</f>
        <v>14501</v>
      </c>
      <c r="AO53" s="57">
        <f t="shared" si="31"/>
        <v>47505</v>
      </c>
      <c r="AP53" s="130">
        <f t="shared" si="8"/>
        <v>1</v>
      </c>
      <c r="AQ53" s="553">
        <f t="shared" si="21"/>
        <v>45</v>
      </c>
      <c r="AR53" s="554">
        <f>IF((OR(DAY($AE$54)=29,DAY($AE$54)=30,DAY($AE$54)=31)),(EDATE($C$9-3,AQ53)),EDATE($C$9,AQ53))</f>
        <v>46684</v>
      </c>
      <c r="AS53" s="555">
        <f>IF($D$16="Да",$AN$39,$D$13)</f>
        <v>0.29899999999999999</v>
      </c>
      <c r="AT53" s="546">
        <f t="shared" si="9"/>
        <v>14501</v>
      </c>
      <c r="AU53" s="546">
        <f t="shared" si="16"/>
        <v>14501</v>
      </c>
      <c r="AV53" s="546">
        <f>BH52*($D$13/365*(AR53-AR52))</f>
        <v>8867.9670598064622</v>
      </c>
      <c r="AW53" s="546">
        <f t="shared" si="10"/>
        <v>5633.0329401935378</v>
      </c>
      <c r="AX53" s="546">
        <f>IF(AZ53-BA53&gt;$D$24,$D$24-AV53,IF(BJ53=0,0,BB53)+BY101)</f>
        <v>0</v>
      </c>
      <c r="AY53" s="546">
        <v>0</v>
      </c>
      <c r="AZ53" s="546">
        <f t="shared" si="11"/>
        <v>8867.9670598064622</v>
      </c>
      <c r="BA53" s="546">
        <f t="shared" si="26"/>
        <v>0</v>
      </c>
      <c r="BB53" s="546">
        <f t="shared" si="25"/>
        <v>0</v>
      </c>
      <c r="BC53" s="546"/>
      <c r="BD53" s="546"/>
      <c r="BE53" s="546"/>
      <c r="BF53" s="546"/>
      <c r="BG53" s="546"/>
      <c r="BH53" s="546">
        <f t="shared" si="13"/>
        <v>355215.12501179741</v>
      </c>
      <c r="BI53" s="108">
        <f t="shared" si="22"/>
        <v>40</v>
      </c>
      <c r="BJ53" s="108">
        <f t="shared" si="17"/>
        <v>40</v>
      </c>
      <c r="BK53" s="22">
        <f t="shared" si="18"/>
        <v>46684</v>
      </c>
      <c r="BL53" s="108">
        <f t="shared" si="2"/>
        <v>14612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19"/>
        <v>46</v>
      </c>
      <c r="H54" s="245">
        <f>IF((OR(DAY($AE$54)=29,DAY($AE$54)=30,DAY($AE$54)=31)),(EDATE($C$9-3,G54)),EDATE($C$9,G54))</f>
        <v>46715</v>
      </c>
      <c r="I54" s="246">
        <f>IF(AND($X$11=1,G54&gt;=$X$11,),0%,$C$13)</f>
        <v>0.29899999999999999</v>
      </c>
      <c r="J54" s="242">
        <f t="shared" si="0"/>
        <v>14612</v>
      </c>
      <c r="K54" s="242">
        <f>IF(G54&gt;$C$10,0,IF((S53+L54)&lt;K53,(S53+L54),IF(T53=0,K53,MIN(K53,ROUNDUP(S53*$C$13/12/((1-(1+$C$13/12)^(0-($C$10-G54)))),0)))))</f>
        <v>14612</v>
      </c>
      <c r="L54" s="242">
        <f t="shared" si="3"/>
        <v>10684.964027910224</v>
      </c>
      <c r="M54" s="242">
        <f t="shared" si="14"/>
        <v>3927.0359720897759</v>
      </c>
      <c r="N54" s="242">
        <f>IF(P54-Q54&gt;$C$24,$C$24-L54,IF(V54=0,0,R54)+$AJ$51)</f>
        <v>0</v>
      </c>
      <c r="O54" s="242">
        <v>0</v>
      </c>
      <c r="P54" s="242">
        <f t="shared" si="15"/>
        <v>10684.964027910224</v>
      </c>
      <c r="Q54" s="242">
        <f t="shared" si="23"/>
        <v>0</v>
      </c>
      <c r="R54" s="242">
        <f t="shared" si="4"/>
        <v>0</v>
      </c>
      <c r="S54" s="242">
        <f t="shared" si="5"/>
        <v>416831.60791476228</v>
      </c>
      <c r="T54" s="467">
        <f t="shared" si="29"/>
        <v>0</v>
      </c>
      <c r="U54" s="198">
        <f t="shared" si="20"/>
        <v>39</v>
      </c>
      <c r="V54" s="36">
        <f t="shared" si="6"/>
        <v>39</v>
      </c>
      <c r="W54" s="36">
        <f t="shared" si="7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ref="Y54:Y109" si="32">IF(K19 &gt; 0, K19, 0)</f>
        <v>14612</v>
      </c>
      <c r="Z54" s="57">
        <f t="shared" si="30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15215.445006481863</v>
      </c>
      <c r="AG54" s="2"/>
      <c r="AH54" s="47">
        <f>(D23+AJ51)*AF14/12*(1+AF14/12)^(C10)/((1+AF14/12)^(C10)-1)+D23/10000*IF(C10&lt;11,20,IF(C10&lt;20,2.5,IF(C10&lt;37,1.5,IF(C10&lt;60,0.7,0.5))))*IF(AF14&lt;0.3,AF14/0.2,AF14/0.1)</f>
        <v>14500.432149010237</v>
      </c>
      <c r="AI54" s="2"/>
      <c r="AJ54" s="2"/>
      <c r="AK54" s="2"/>
      <c r="AL54" s="2"/>
      <c r="AM54" s="2">
        <f>IF(AND(Z10&gt;=$X$11,Z10&lt;=$X$11+5),0,IF($C$9&gt;$AG$51,ROUND(AJ14*#REF!/(DATEVALUE(CONCATENATE("01/01/",YEAR(AA10)+1))-DATEVALUE(CONCATENATE("01/01/",YEAR(AA10))))*(AA10-AA9),2),0))</f>
        <v>0</v>
      </c>
      <c r="AN54" s="34">
        <f>AU15</f>
        <v>14501</v>
      </c>
      <c r="AO54" s="57">
        <f t="shared" si="31"/>
        <v>47870</v>
      </c>
      <c r="AP54" s="130">
        <f t="shared" si="8"/>
        <v>1</v>
      </c>
      <c r="AQ54" s="553">
        <f t="shared" si="21"/>
        <v>46</v>
      </c>
      <c r="AR54" s="554">
        <f>IF((OR(DAY($AE$54)=29,DAY($AE$54)=30,DAY($AE$54)=31)),(EDATE($C$9-3,AQ54)),EDATE($C$9,AQ54))</f>
        <v>46715</v>
      </c>
      <c r="AS54" s="555">
        <f>IF($D$16="Да",$AN$39,$D$13)</f>
        <v>0.29899999999999999</v>
      </c>
      <c r="AT54" s="546">
        <f t="shared" si="9"/>
        <v>14501</v>
      </c>
      <c r="AU54" s="546">
        <f t="shared" si="16"/>
        <v>14501</v>
      </c>
      <c r="AV54" s="546">
        <f>BH53*($D$13/365*(AR54-AR53))</f>
        <v>9020.5177910530128</v>
      </c>
      <c r="AW54" s="546">
        <f t="shared" si="10"/>
        <v>5480.4822089469872</v>
      </c>
      <c r="AX54" s="546">
        <f>IF(AZ54-BA54&gt;$D$24,$D$24-AV54,IF(BJ54=0,0,BB54)+BY102)</f>
        <v>0</v>
      </c>
      <c r="AY54" s="546">
        <v>0</v>
      </c>
      <c r="AZ54" s="546">
        <f t="shared" si="11"/>
        <v>9020.5177910530128</v>
      </c>
      <c r="BA54" s="546">
        <f t="shared" si="26"/>
        <v>0</v>
      </c>
      <c r="BB54" s="546">
        <f t="shared" si="25"/>
        <v>0</v>
      </c>
      <c r="BC54" s="546"/>
      <c r="BD54" s="546"/>
      <c r="BE54" s="546"/>
      <c r="BF54" s="546"/>
      <c r="BG54" s="546"/>
      <c r="BH54" s="546">
        <f t="shared" si="13"/>
        <v>349734.6428028504</v>
      </c>
      <c r="BI54" s="108">
        <f t="shared" si="22"/>
        <v>39</v>
      </c>
      <c r="BJ54" s="108">
        <f t="shared" si="17"/>
        <v>39</v>
      </c>
      <c r="BK54" s="22">
        <f t="shared" si="18"/>
        <v>46715</v>
      </c>
      <c r="BL54" s="108">
        <f t="shared" si="2"/>
        <v>14612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19"/>
        <v>47</v>
      </c>
      <c r="H55" s="245">
        <f>IF((OR(DAY($AE$54)=29,DAY($AE$54)=30,DAY($AE$54)=31)),(EDATE($C$9-3,G55)),EDATE($C$9,G55))</f>
        <v>46745</v>
      </c>
      <c r="I55" s="246">
        <f>IF(AND($X$11=1,G55&gt;=$X$11,),0%,$C$13)</f>
        <v>0.29899999999999999</v>
      </c>
      <c r="J55" s="242">
        <f t="shared" si="0"/>
        <v>14612</v>
      </c>
      <c r="K55" s="242">
        <f>IF(G55&gt;$C$10,0,IF((S54+L55)&lt;K54,(S54+L55),IF(T54=0,K54,MIN(K54,ROUNDUP(S54*$C$13/12/((1-(1+$C$13/12)^(0-($C$10-G55)))),0)))))</f>
        <v>14612</v>
      </c>
      <c r="L55" s="242">
        <f t="shared" si="3"/>
        <v>10243.779515055938</v>
      </c>
      <c r="M55" s="242">
        <f t="shared" si="14"/>
        <v>4368.2204849440623</v>
      </c>
      <c r="N55" s="242">
        <f>IF(P55-Q55&gt;$C$24,$C$24-L55,IF(V55=0,0,R55)+$AJ$51)</f>
        <v>0</v>
      </c>
      <c r="O55" s="242">
        <v>0</v>
      </c>
      <c r="P55" s="242">
        <f t="shared" si="15"/>
        <v>10243.779515055938</v>
      </c>
      <c r="Q55" s="242">
        <f t="shared" si="23"/>
        <v>0</v>
      </c>
      <c r="R55" s="242">
        <f t="shared" si="4"/>
        <v>0</v>
      </c>
      <c r="S55" s="242">
        <f t="shared" si="5"/>
        <v>412463.38742981822</v>
      </c>
      <c r="T55" s="467">
        <f t="shared" si="29"/>
        <v>0</v>
      </c>
      <c r="U55" s="198">
        <f t="shared" si="20"/>
        <v>38</v>
      </c>
      <c r="V55" s="36">
        <f t="shared" si="6"/>
        <v>38</v>
      </c>
      <c r="W55" s="36">
        <f t="shared" si="7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32"/>
        <v>14612</v>
      </c>
      <c r="Z55" s="57">
        <f t="shared" si="30"/>
        <v>49695</v>
      </c>
      <c r="AB55" s="170" t="s">
        <v>134</v>
      </c>
      <c r="AE55" s="47">
        <f>IF(DAY(C9)&lt;4,AF54,IF(DAY(C9)&gt;28,AF56,AF55))</f>
        <v>15183.631466281862</v>
      </c>
      <c r="AF55" s="47">
        <f>(C23+AJ51)*AH36/12*(1+AH36/12)^(C10)/((1+AH36/12)^(C10)-1)+C23/10000*IF(C10&lt;11,20,IF(C10&lt;34,0.7,IF(C10&lt;58,0.3,0.1)))*IF(AH36&lt;0.3,AH36/0.2,AH36/0.1)</f>
        <v>15183.631466281862</v>
      </c>
      <c r="AG55" s="13">
        <f>IF(DAY(C9)&lt;4,AH54,IF(DAY(C9)&gt;28,AH56,AH55))</f>
        <v>14470.113608810238</v>
      </c>
      <c r="AH55" s="156">
        <f>(D23+AJ51)*AF14/12*(1+AF14/12)^(C10)/((1+AF14/12)^(C10)-1)+D23/10000*IF(C10&lt;11,20,IF(C10&lt;34,0.7,IF(C10&lt;58,0.3,0.1)))*IF(AF14&lt;0.3,AF14/0.2,AF14/0.1)</f>
        <v>14470.113608810238</v>
      </c>
      <c r="AI55" s="2"/>
      <c r="AJ55" s="2"/>
      <c r="AK55" s="2"/>
      <c r="AL55" s="2"/>
      <c r="AM55" s="2">
        <f>IF(AND(Z11&gt;=$X$11,Z11&lt;=$X$11+5),0,IF($C$9&gt;$AG$51,ROUND(AJ15*#REF!/(DATEVALUE(CONCATENATE("01/01/",YEAR(AA11)+1))-DATEVALUE(CONCATENATE("01/01/",YEAR(AA11))))*(AA11-AA10),2),0))</f>
        <v>0</v>
      </c>
      <c r="AN55" s="34">
        <f>AU16</f>
        <v>14501</v>
      </c>
      <c r="AO55" s="57">
        <f t="shared" si="31"/>
        <v>48235</v>
      </c>
      <c r="AP55" s="130">
        <f t="shared" si="8"/>
        <v>1</v>
      </c>
      <c r="AQ55" s="553">
        <f t="shared" si="21"/>
        <v>47</v>
      </c>
      <c r="AR55" s="554">
        <f>IF((OR(DAY($AE$54)=29,DAY($AE$54)=30,DAY($AE$54)=31)),(EDATE($C$9-3,AQ55)),EDATE($C$9,AQ55))</f>
        <v>46745</v>
      </c>
      <c r="AS55" s="555">
        <f>IF($D$16="Да",$AN$39,$D$13)</f>
        <v>0.29899999999999999</v>
      </c>
      <c r="AT55" s="546">
        <f t="shared" si="9"/>
        <v>14501</v>
      </c>
      <c r="AU55" s="546">
        <f t="shared" si="16"/>
        <v>14501</v>
      </c>
      <c r="AV55" s="546">
        <f>BH54*($D$13/365*(AR55-AR54))</f>
        <v>8594.8486190179938</v>
      </c>
      <c r="AW55" s="546">
        <f t="shared" si="10"/>
        <v>5906.1513809820062</v>
      </c>
      <c r="AX55" s="546">
        <f>IF(AZ55-BA55&gt;$D$24,$D$24-AV55,IF(BJ55=0,0,BB55)+BY103)</f>
        <v>0</v>
      </c>
      <c r="AY55" s="546">
        <v>0</v>
      </c>
      <c r="AZ55" s="546">
        <f t="shared" si="11"/>
        <v>8594.8486190179938</v>
      </c>
      <c r="BA55" s="546">
        <f t="shared" si="26"/>
        <v>0</v>
      </c>
      <c r="BB55" s="546">
        <f t="shared" si="25"/>
        <v>0</v>
      </c>
      <c r="BC55" s="546"/>
      <c r="BD55" s="546"/>
      <c r="BE55" s="546"/>
      <c r="BF55" s="546"/>
      <c r="BG55" s="546"/>
      <c r="BH55" s="546">
        <f t="shared" si="13"/>
        <v>343828.49142186838</v>
      </c>
      <c r="BI55" s="108">
        <f t="shared" si="22"/>
        <v>38</v>
      </c>
      <c r="BJ55" s="108">
        <f t="shared" si="17"/>
        <v>38</v>
      </c>
      <c r="BK55" s="22">
        <f t="shared" si="18"/>
        <v>46745</v>
      </c>
      <c r="BL55" s="108">
        <f t="shared" si="2"/>
        <v>14612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19"/>
        <v>48</v>
      </c>
      <c r="H56" s="679">
        <f>IF((OR(DAY($AE$54)=29,DAY($AE$54)=30,DAY($AE$54)=31)),(EDATE($C$9-3,G56)),EDATE($C$9,G56))</f>
        <v>46776</v>
      </c>
      <c r="I56" s="250">
        <f>IF(AND($X$11=1,G56&gt;=$X$11,),0%,$C$13)</f>
        <v>0.29899999999999999</v>
      </c>
      <c r="J56" s="252">
        <f t="shared" si="0"/>
        <v>14612</v>
      </c>
      <c r="K56" s="252">
        <f>IF(G56&gt;$C$10,0,IF((S55+L56)&lt;K55,(S55+L56),IF(T55=0,K55,MIN(K55,ROUNDUP(S55*$C$13/12/((1-(1+$C$13/12)^(0-($C$10-G56)))),0)))))</f>
        <v>14612</v>
      </c>
      <c r="L56" s="242">
        <f t="shared" si="3"/>
        <v>10474.309967361602</v>
      </c>
      <c r="M56" s="252">
        <f t="shared" si="14"/>
        <v>4137.6900326383984</v>
      </c>
      <c r="N56" s="252">
        <f>IF(P56-Q56&gt;$C$24,$C$24-L56,IF(V56=0,0,R56)+$AJ$51)</f>
        <v>0</v>
      </c>
      <c r="O56" s="252">
        <v>0</v>
      </c>
      <c r="P56" s="252">
        <f t="shared" si="15"/>
        <v>10474.309967361602</v>
      </c>
      <c r="Q56" s="252">
        <f t="shared" si="23"/>
        <v>0</v>
      </c>
      <c r="R56" s="252">
        <f t="shared" si="4"/>
        <v>0</v>
      </c>
      <c r="S56" s="252">
        <f t="shared" si="5"/>
        <v>408325.69739717984</v>
      </c>
      <c r="T56" s="252">
        <f t="shared" si="29"/>
        <v>0</v>
      </c>
      <c r="U56" s="198">
        <f t="shared" si="20"/>
        <v>37</v>
      </c>
      <c r="V56" s="36">
        <f t="shared" si="6"/>
        <v>37</v>
      </c>
      <c r="W56" s="36">
        <f t="shared" si="7"/>
        <v>0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32"/>
        <v>14612</v>
      </c>
      <c r="Z56" s="57">
        <f t="shared" si="30"/>
        <v>50060</v>
      </c>
      <c r="AB56" s="171">
        <v>20000</v>
      </c>
      <c r="AC56" s="133" t="s">
        <v>135</v>
      </c>
      <c r="AD56" s="118">
        <f>ROUNDUP(AE56/AH47,0)*AH47</f>
        <v>14070</v>
      </c>
      <c r="AE56" s="13">
        <f>(C23+AJ51)*AD57/12*(1+AD57/12)^(C10+AE57)/((1+AD57/12)^(C10+AE57)-1)+10*C23/100000*IF(C10+AE57&lt;24,4,IF(C10+AE57&lt;36,3,IF(C10+AE57&lt;48,2,IF(C10+AE57&lt;60,1.5,1))))*AD57/0.2</f>
        <v>14064.702043608795</v>
      </c>
      <c r="AF56" s="47">
        <f>(C23+AJ51)*AH36/12*(1+AH36/12)^(C10)/((1+AH36/12)^(C10)-1)+C23/10000*IF(C10&lt;11,20,IF(C10&lt;34,0.7,IF(C10&lt;48,0.3,0)))*IF(AH36&lt;0.3,AH36/0.2,AH36/0.1)</f>
        <v>15175.678081231863</v>
      </c>
      <c r="AG56" s="13">
        <f>(D23+AJ51)*AG57/12*(1+AG57/12)^(C10+AE57)/((1+AG57/12)^(C10+AE57)-1)+10*D23/100000*IF(C10+AE57&lt;24,4,IF(C10+AE57&lt;36,3,IF(C10+AE57&lt;48,2,IF(C10+AE57&lt;60,1.5,1))))*AG57/0.2</f>
        <v>13403.765554836786</v>
      </c>
      <c r="AH56" s="157">
        <f>(D23+AJ51)*AF14/12*(1+AF14/12)^(C10)/((1+AF14/12)^(C10)-1)+D23/10000*IF(C10&lt;11,20,IF(C10&lt;34,0.7,IF(C10&lt;48,0.3,0)))*IF(AF14&lt;0.3,AF14/0.2,AF14/0.1)</f>
        <v>14462.533973760237</v>
      </c>
      <c r="AI56" s="2"/>
      <c r="AJ56" s="2"/>
      <c r="AK56" s="2"/>
      <c r="AL56" s="2"/>
      <c r="AM56" s="2">
        <f>IF(AND(Z12&gt;=$X$11,Z12&lt;=$X$11+5),0,IF($C$9&gt;$AG$51,ROUND(AJ16*#REF!/(DATEVALUE(CONCATENATE("01/01/",YEAR(AA12)+1))-DATEVALUE(CONCATENATE("01/01/",YEAR(AA12))))*(AA12-AA11),2),0))</f>
        <v>0</v>
      </c>
      <c r="AN56" s="34">
        <f>AU17</f>
        <v>14501</v>
      </c>
      <c r="AO56" s="57">
        <f t="shared" si="31"/>
        <v>48600</v>
      </c>
      <c r="AP56" s="130">
        <f t="shared" si="8"/>
        <v>1</v>
      </c>
      <c r="AQ56" s="556">
        <f t="shared" si="21"/>
        <v>48</v>
      </c>
      <c r="AR56" s="680">
        <f>IF((OR(DAY($AE$54)=29,DAY($AE$54)=30,DAY($AE$54)=31)),(EDATE($C$9-3,AQ56)),EDATE($C$9,AQ56))</f>
        <v>46776</v>
      </c>
      <c r="AS56" s="557">
        <f>IF($D$16="Да",$AN$39,$D$13)</f>
        <v>0.29899999999999999</v>
      </c>
      <c r="AT56" s="547">
        <f t="shared" si="9"/>
        <v>14501</v>
      </c>
      <c r="AU56" s="547">
        <f t="shared" si="16"/>
        <v>14501</v>
      </c>
      <c r="AV56" s="547">
        <f>BH55*($D$13/365*(AR56-AR55))</f>
        <v>8731.3596903816378</v>
      </c>
      <c r="AW56" s="547">
        <f t="shared" si="10"/>
        <v>5769.6403096183622</v>
      </c>
      <c r="AX56" s="547">
        <f>IF(AZ56-BA56&gt;$D$24,$D$24-AV56,IF(BJ56=0,0,BB56)+BY104)</f>
        <v>0</v>
      </c>
      <c r="AY56" s="547">
        <v>0</v>
      </c>
      <c r="AZ56" s="547">
        <f t="shared" si="11"/>
        <v>8731.3596903816378</v>
      </c>
      <c r="BA56" s="547">
        <f t="shared" si="26"/>
        <v>0</v>
      </c>
      <c r="BB56" s="547">
        <f t="shared" si="25"/>
        <v>0</v>
      </c>
      <c r="BC56" s="547"/>
      <c r="BD56" s="547"/>
      <c r="BE56" s="547"/>
      <c r="BF56" s="547"/>
      <c r="BG56" s="547"/>
      <c r="BH56" s="547">
        <f t="shared" si="13"/>
        <v>338058.85111225001</v>
      </c>
      <c r="BI56" s="108">
        <f t="shared" si="22"/>
        <v>37</v>
      </c>
      <c r="BJ56" s="108">
        <f t="shared" si="17"/>
        <v>37</v>
      </c>
      <c r="BK56" s="22">
        <f t="shared" si="18"/>
        <v>46776</v>
      </c>
      <c r="BL56" s="108">
        <f t="shared" si="2"/>
        <v>14612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19"/>
        <v>49</v>
      </c>
      <c r="H57" s="245">
        <f>IF((OR(DAY($AE$54)=29,DAY($AE$54)=30,DAY($AE$54)=31)),(EDATE($C$9-3,G57)),EDATE($C$9,G57))</f>
        <v>46807</v>
      </c>
      <c r="I57" s="246">
        <f>IF(AND($X$11=1,G57&gt;=$X$11,),0%,$C$13)</f>
        <v>0.29899999999999999</v>
      </c>
      <c r="J57" s="242">
        <f t="shared" si="0"/>
        <v>14612</v>
      </c>
      <c r="K57" s="242">
        <f>IF(G57&gt;$C$10,0,IF((S56+L57)&lt;K56,(S56+L57),IF(T56=0,K56,MIN(K56,ROUNDUP(S56*$C$13/12/((1-(1+$C$13/12)^(0-($C$10-G57)))),0)))))</f>
        <v>14612</v>
      </c>
      <c r="L57" s="242">
        <f t="shared" si="3"/>
        <v>10340.904068782676</v>
      </c>
      <c r="M57" s="242">
        <f t="shared" si="14"/>
        <v>4271.0959312173236</v>
      </c>
      <c r="N57" s="242">
        <f>IF(P57-Q57&gt;$C$24,$C$24-L57,IF(V57=0,0,R57)+$AJ$51)</f>
        <v>0</v>
      </c>
      <c r="O57" s="242">
        <v>0</v>
      </c>
      <c r="P57" s="242">
        <f t="shared" si="15"/>
        <v>10340.904068782676</v>
      </c>
      <c r="Q57" s="242">
        <f t="shared" si="23"/>
        <v>0</v>
      </c>
      <c r="R57" s="242">
        <f t="shared" si="4"/>
        <v>0</v>
      </c>
      <c r="S57" s="242">
        <f t="shared" si="5"/>
        <v>404054.60146596254</v>
      </c>
      <c r="T57" s="467">
        <f t="shared" si="29"/>
        <v>0</v>
      </c>
      <c r="U57" s="198">
        <f t="shared" si="20"/>
        <v>36</v>
      </c>
      <c r="V57" s="36">
        <f t="shared" si="6"/>
        <v>36</v>
      </c>
      <c r="W57" s="36">
        <f t="shared" si="7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32"/>
        <v>14612</v>
      </c>
      <c r="Z57" s="57">
        <f t="shared" si="30"/>
        <v>50425</v>
      </c>
      <c r="AB57" s="171">
        <v>200000</v>
      </c>
      <c r="AC57" s="171">
        <v>200000</v>
      </c>
      <c r="AD57" s="15">
        <f>IF(C9&gt;AI48,C11,C11+0.05)</f>
        <v>0.29899999999999999</v>
      </c>
      <c r="AE57" s="2">
        <f xml:space="preserve"> IF(C9&gt;AI48,36,24)</f>
        <v>36</v>
      </c>
      <c r="AF57" s="44">
        <f>(C23+AJ51)*AH36/12*(1+AH36/12)^(C10)/((1+AH36/12)^(C10)-1)</f>
        <v>15175.678081231863</v>
      </c>
      <c r="AG57" s="15">
        <f>IF(C9&gt;AI48,D13,D13+0.05)</f>
        <v>0.29899999999999999</v>
      </c>
      <c r="AH57" s="118">
        <f>(D23+AJ51)*AF14/12*(1+AF14/12)^(C10)/((1+AF14/12)^(C10)-1)</f>
        <v>14462.533973760237</v>
      </c>
      <c r="AI57" s="2"/>
      <c r="AJ57" s="2"/>
      <c r="AK57" s="2"/>
      <c r="AL57" s="2"/>
      <c r="AM57" s="2">
        <f>IF(AND(Z13&gt;=$X$11,Z13&lt;=$X$11+5),0,IF($C$9&gt;$AG$51,ROUND(AJ17*#REF!/(DATEVALUE(CONCATENATE("01/01/",YEAR(AA13)+1))-DATEVALUE(CONCATENATE("01/01/",YEAR(AA13))))*(AA13-AA12),2),0))</f>
        <v>0</v>
      </c>
      <c r="AN57" s="34">
        <f>AU18</f>
        <v>14501</v>
      </c>
      <c r="AO57" s="57">
        <f t="shared" si="31"/>
        <v>48965</v>
      </c>
      <c r="AP57" s="130">
        <f t="shared" si="8"/>
        <v>1</v>
      </c>
      <c r="AQ57" s="553">
        <f t="shared" si="21"/>
        <v>49</v>
      </c>
      <c r="AR57" s="554">
        <f>IF((OR(DAY($AE$54)=29,DAY($AE$54)=30,DAY($AE$54)=31)),(EDATE($C$9-3,AQ57)),EDATE($C$9,AQ57))</f>
        <v>46807</v>
      </c>
      <c r="AS57" s="555">
        <f>IF($D$16="Да",$AN$40,$D$13)</f>
        <v>0.29899999999999999</v>
      </c>
      <c r="AT57" s="546">
        <f t="shared" si="9"/>
        <v>14501</v>
      </c>
      <c r="AU57" s="546">
        <f t="shared" si="16"/>
        <v>14501</v>
      </c>
      <c r="AV57" s="546">
        <f>BH56*($D$13/365*(AR57-AR56))</f>
        <v>8584.8424409847812</v>
      </c>
      <c r="AW57" s="546">
        <f t="shared" si="10"/>
        <v>5916.1575590152188</v>
      </c>
      <c r="AX57" s="546">
        <f>IF(AZ57-BA57&gt;$D$24,$D$24-AV57,IF(BJ57=0,0,BB57)+BY105)</f>
        <v>0</v>
      </c>
      <c r="AY57" s="546">
        <v>0</v>
      </c>
      <c r="AZ57" s="546">
        <f t="shared" si="11"/>
        <v>8584.8424409847812</v>
      </c>
      <c r="BA57" s="546">
        <f t="shared" si="26"/>
        <v>0</v>
      </c>
      <c r="BB57" s="546">
        <f t="shared" si="25"/>
        <v>0</v>
      </c>
      <c r="BC57" s="546"/>
      <c r="BD57" s="546"/>
      <c r="BE57" s="546"/>
      <c r="BF57" s="546"/>
      <c r="BG57" s="546"/>
      <c r="BH57" s="546">
        <f t="shared" si="13"/>
        <v>332142.6935532348</v>
      </c>
      <c r="BI57" s="108">
        <f t="shared" si="22"/>
        <v>36</v>
      </c>
      <c r="BJ57" s="108">
        <f t="shared" si="17"/>
        <v>36</v>
      </c>
      <c r="BK57" s="22">
        <f t="shared" si="18"/>
        <v>46807</v>
      </c>
      <c r="BL57" s="108">
        <f t="shared" si="2"/>
        <v>14612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19"/>
        <v>50</v>
      </c>
      <c r="H58" s="245">
        <f>IF((OR(DAY($AE$54)=29,DAY($AE$54)=30,DAY($AE$54)=31)),(EDATE($C$9-3,G58)),EDATE($C$9,G58))</f>
        <v>46836</v>
      </c>
      <c r="I58" s="246">
        <f>IF(AND($X$11=1,G58&gt;=$X$11,),0%,$C$13)</f>
        <v>0.29899999999999999</v>
      </c>
      <c r="J58" s="242">
        <f t="shared" si="0"/>
        <v>14612</v>
      </c>
      <c r="K58" s="242">
        <f>IF(G58&gt;$C$10,0,IF((S57+L58)&lt;K57,(S57+L58),IF(T57=0,K57,MIN(K57,ROUNDUP(S57*$C$13/12/((1-(1+$C$13/12)^(0-($C$10-G58)))),0)))))</f>
        <v>14612</v>
      </c>
      <c r="L58" s="242">
        <f t="shared" si="3"/>
        <v>9572.5613369162875</v>
      </c>
      <c r="M58" s="242">
        <f t="shared" si="14"/>
        <v>5039.4386630837125</v>
      </c>
      <c r="N58" s="242">
        <f>IF(P58-Q58&gt;$C$24,$C$24-L58,IF(V58=0,0,R58)+$AJ$51)</f>
        <v>0</v>
      </c>
      <c r="O58" s="242">
        <v>0</v>
      </c>
      <c r="P58" s="242">
        <f t="shared" si="15"/>
        <v>9572.5613369162875</v>
      </c>
      <c r="Q58" s="242">
        <f t="shared" si="23"/>
        <v>0</v>
      </c>
      <c r="R58" s="242">
        <f t="shared" si="4"/>
        <v>0</v>
      </c>
      <c r="S58" s="242">
        <f t="shared" si="5"/>
        <v>399015.16280287883</v>
      </c>
      <c r="T58" s="467">
        <f t="shared" si="29"/>
        <v>0</v>
      </c>
      <c r="U58" s="198">
        <f t="shared" si="20"/>
        <v>35</v>
      </c>
      <c r="V58" s="36">
        <f t="shared" si="6"/>
        <v>35</v>
      </c>
      <c r="W58" s="36">
        <f t="shared" si="7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32"/>
        <v>14612</v>
      </c>
      <c r="Z58" s="57">
        <f t="shared" si="30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>
        <f>IF(AND(Z14&gt;=$X$11,Z14&lt;=$X$11+5),0,IF($C$9&gt;$AG$51,ROUND(AJ18*#REF!/(DATEVALUE(CONCATENATE("01/01/",YEAR(AA14)+1))-DATEVALUE(CONCATENATE("01/01/",YEAR(AA14))))*(AA14-AA13),2),0))</f>
        <v>0</v>
      </c>
      <c r="AN58" s="34">
        <f t="shared" ref="AN58:AN113" si="33">AU19</f>
        <v>14501</v>
      </c>
      <c r="AO58" s="57">
        <f t="shared" si="31"/>
        <v>49330</v>
      </c>
      <c r="AP58" s="130">
        <f t="shared" si="8"/>
        <v>1</v>
      </c>
      <c r="AQ58" s="553">
        <f t="shared" si="21"/>
        <v>50</v>
      </c>
      <c r="AR58" s="554">
        <f>IF((OR(DAY($AE$54)=29,DAY($AE$54)=30,DAY($AE$54)=31)),(EDATE($C$9-3,AQ58)),EDATE($C$9,AQ58))</f>
        <v>46836</v>
      </c>
      <c r="AS58" s="555">
        <f>IF($D$16="Да",$AN$40,$D$13)</f>
        <v>0.29899999999999999</v>
      </c>
      <c r="AT58" s="546">
        <f t="shared" si="9"/>
        <v>14501</v>
      </c>
      <c r="AU58" s="546">
        <f t="shared" si="16"/>
        <v>14501</v>
      </c>
      <c r="AV58" s="546">
        <f>BH57*($D$13/365*(AR58-AR57))</f>
        <v>7890.4364268495865</v>
      </c>
      <c r="AW58" s="546">
        <f t="shared" si="10"/>
        <v>6610.5635731504135</v>
      </c>
      <c r="AX58" s="546">
        <f>IF(AZ58-BA58&gt;$D$24,$D$24-AV58,IF(BJ58=0,0,BB58)+BY106)</f>
        <v>0</v>
      </c>
      <c r="AY58" s="546">
        <v>0</v>
      </c>
      <c r="AZ58" s="546">
        <f t="shared" si="11"/>
        <v>7890.4364268495865</v>
      </c>
      <c r="BA58" s="546">
        <f t="shared" si="26"/>
        <v>0</v>
      </c>
      <c r="BB58" s="546">
        <f t="shared" si="25"/>
        <v>0</v>
      </c>
      <c r="BC58" s="546"/>
      <c r="BD58" s="546"/>
      <c r="BE58" s="546"/>
      <c r="BF58" s="546"/>
      <c r="BG58" s="546"/>
      <c r="BH58" s="546">
        <f t="shared" si="13"/>
        <v>325532.12998008437</v>
      </c>
      <c r="BI58" s="108">
        <f t="shared" si="22"/>
        <v>35</v>
      </c>
      <c r="BJ58" s="108">
        <f t="shared" si="17"/>
        <v>35</v>
      </c>
      <c r="BK58" s="22">
        <f t="shared" si="18"/>
        <v>46836</v>
      </c>
      <c r="BL58" s="108">
        <f t="shared" si="2"/>
        <v>14612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19"/>
        <v>51</v>
      </c>
      <c r="H59" s="245">
        <f>IF((OR(DAY($AE$54)=29,DAY($AE$54)=30,DAY($AE$54)=31)),(EDATE($C$9-3,G59)),EDATE($C$9,G59))</f>
        <v>46867</v>
      </c>
      <c r="I59" s="246">
        <f>IF(AND($X$11=1,G59&gt;=$X$11,),0%,$C$13)</f>
        <v>0.29899999999999999</v>
      </c>
      <c r="J59" s="242">
        <f t="shared" si="0"/>
        <v>14612</v>
      </c>
      <c r="K59" s="242">
        <f>IF(G59&gt;$C$10,0,IF((S58+L59)&lt;K58,(S58+L59),IF(T58=0,K58,MIN(K58,ROUNDUP(S58*$C$13/12/((1-(1+$C$13/12)^(0-($C$10-G59)))),0)))))</f>
        <v>14612</v>
      </c>
      <c r="L59" s="242">
        <f t="shared" si="3"/>
        <v>10105.113508251048</v>
      </c>
      <c r="M59" s="242">
        <f t="shared" si="14"/>
        <v>4506.8864917489518</v>
      </c>
      <c r="N59" s="242">
        <f>IF(P59-Q59&gt;$C$24,$C$24-L59,IF(V59=0,0,R59)+$AJ$51)</f>
        <v>0</v>
      </c>
      <c r="O59" s="242">
        <v>0</v>
      </c>
      <c r="P59" s="242">
        <f t="shared" si="15"/>
        <v>10105.113508251048</v>
      </c>
      <c r="Q59" s="242">
        <f t="shared" si="23"/>
        <v>0</v>
      </c>
      <c r="R59" s="242">
        <f t="shared" si="4"/>
        <v>0</v>
      </c>
      <c r="S59" s="242">
        <f t="shared" si="5"/>
        <v>394508.27631112986</v>
      </c>
      <c r="T59" s="467">
        <f t="shared" si="29"/>
        <v>0</v>
      </c>
      <c r="U59" s="198">
        <f t="shared" si="20"/>
        <v>34</v>
      </c>
      <c r="V59" s="36">
        <f t="shared" si="6"/>
        <v>34</v>
      </c>
      <c r="W59" s="36">
        <f t="shared" si="7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32"/>
        <v>14612</v>
      </c>
      <c r="Z59" s="57">
        <f t="shared" si="30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>
        <f>IF(AND(Z15&gt;=$X$11,Z15&lt;=$X$11+5),0,IF($C$9&gt;$AG$51,ROUND(AJ19*#REF!/(DATEVALUE(CONCATENATE("01/01/",YEAR(AA15)+1))-DATEVALUE(CONCATENATE("01/01/",YEAR(AA15))))*(AA15-AA14),2),0))</f>
        <v>0</v>
      </c>
      <c r="AN59" s="34">
        <f t="shared" si="33"/>
        <v>14501</v>
      </c>
      <c r="AO59" s="57">
        <f t="shared" si="31"/>
        <v>49695</v>
      </c>
      <c r="AP59" s="130">
        <f t="shared" si="8"/>
        <v>1</v>
      </c>
      <c r="AQ59" s="553">
        <f t="shared" si="21"/>
        <v>51</v>
      </c>
      <c r="AR59" s="554">
        <f>IF((OR(DAY($AE$54)=29,DAY($AE$54)=30,DAY($AE$54)=31)),(EDATE($C$9-3,AQ59)),EDATE($C$9,AQ59))</f>
        <v>46867</v>
      </c>
      <c r="AS59" s="555">
        <f>IF($D$16="Да",$AN$40,$D$13)</f>
        <v>0.29899999999999999</v>
      </c>
      <c r="AT59" s="546">
        <f t="shared" si="9"/>
        <v>14501</v>
      </c>
      <c r="AU59" s="546">
        <f t="shared" si="16"/>
        <v>14501</v>
      </c>
      <c r="AV59" s="546">
        <f>BH58*($D$13/365*(AR59-AR58))</f>
        <v>8266.7323637956215</v>
      </c>
      <c r="AW59" s="546">
        <f t="shared" si="10"/>
        <v>6234.2676362043785</v>
      </c>
      <c r="AX59" s="546">
        <f>IF(AZ59-BA59&gt;$D$24,$D$24-AV59,IF(BJ59=0,0,BB59)+BY107)</f>
        <v>0</v>
      </c>
      <c r="AY59" s="546">
        <v>0</v>
      </c>
      <c r="AZ59" s="546">
        <f t="shared" si="11"/>
        <v>8266.7323637956215</v>
      </c>
      <c r="BA59" s="546">
        <f t="shared" si="26"/>
        <v>0</v>
      </c>
      <c r="BB59" s="546">
        <f t="shared" si="25"/>
        <v>0</v>
      </c>
      <c r="BC59" s="546"/>
      <c r="BD59" s="546"/>
      <c r="BE59" s="546"/>
      <c r="BF59" s="546"/>
      <c r="BG59" s="546"/>
      <c r="BH59" s="546">
        <f t="shared" si="13"/>
        <v>319297.86234388</v>
      </c>
      <c r="BI59" s="108">
        <f t="shared" si="22"/>
        <v>34</v>
      </c>
      <c r="BJ59" s="108">
        <f t="shared" si="17"/>
        <v>34</v>
      </c>
      <c r="BK59" s="22">
        <f t="shared" si="18"/>
        <v>46867</v>
      </c>
      <c r="BL59" s="108">
        <f t="shared" si="2"/>
        <v>14612</v>
      </c>
      <c r="BM59" s="2" t="e">
        <f>IF(AND(G14&gt;=$X$11,G14&lt;=$X$11+5),0,IF($C$9&gt;$AG$51,ROUND(BH13*IF(#REF!="",0,#REF!)/(DATEVALUE(CONCATENATE("01/01/",YEAR(AR14)+1))-DATEVALUE(CONCATENATE("01/01/",YEAR(AR14))))*(AR14-AR13),2),0))</f>
        <v>#REF!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19"/>
        <v>52</v>
      </c>
      <c r="H60" s="245">
        <f>IF((OR(DAY($AE$54)=29,DAY($AE$54)=30,DAY($AE$54)=31)),(EDATE($C$9-3,G60)),EDATE($C$9,G60))</f>
        <v>46897</v>
      </c>
      <c r="I60" s="246">
        <f>IF(AND($X$11=1,G60&gt;=$X$11,),0%,$C$13)</f>
        <v>0.29899999999999999</v>
      </c>
      <c r="J60" s="242">
        <f t="shared" si="0"/>
        <v>14612</v>
      </c>
      <c r="K60" s="242">
        <f>IF(G60&gt;$C$10,0,IF((S59+L60)&lt;K59,(S59+L60),IF(T59=0,K59,MIN(K59,ROUNDUP(S59*$C$13/12/((1-(1+$C$13/12)^(0-($C$10-G60)))),0)))))</f>
        <v>14612</v>
      </c>
      <c r="L60" s="242">
        <f t="shared" si="3"/>
        <v>9668.6864440186728</v>
      </c>
      <c r="M60" s="242">
        <f t="shared" si="14"/>
        <v>4943.3135559813272</v>
      </c>
      <c r="N60" s="242">
        <f>IF(P60-Q60&gt;$C$24,$C$24-L60,IF(V60=0,0,R60)+$AJ$51)</f>
        <v>0</v>
      </c>
      <c r="O60" s="242">
        <v>0</v>
      </c>
      <c r="P60" s="242">
        <f t="shared" si="15"/>
        <v>9668.6864440186728</v>
      </c>
      <c r="Q60" s="242">
        <f t="shared" si="23"/>
        <v>0</v>
      </c>
      <c r="R60" s="242">
        <f t="shared" si="4"/>
        <v>0</v>
      </c>
      <c r="S60" s="242">
        <f t="shared" si="5"/>
        <v>389564.96275514853</v>
      </c>
      <c r="T60" s="467">
        <f t="shared" si="29"/>
        <v>0</v>
      </c>
      <c r="U60" s="198">
        <f t="shared" si="20"/>
        <v>33</v>
      </c>
      <c r="V60" s="36">
        <f t="shared" si="6"/>
        <v>33</v>
      </c>
      <c r="W60" s="36">
        <f t="shared" si="7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32"/>
        <v>14612</v>
      </c>
      <c r="Z60" s="57">
        <f t="shared" si="30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>
        <f>IF(AND(Z16&gt;=$X$11,Z16&lt;=$X$11+5),0,IF($C$9&gt;$AG$51,ROUND(AJ20*#REF!/(DATEVALUE(CONCATENATE("01/01/",YEAR(AA16)+1))-DATEVALUE(CONCATENATE("01/01/",YEAR(AA16))))*(AA16-AA15),2),0))</f>
        <v>0</v>
      </c>
      <c r="AN60" s="34">
        <f t="shared" si="33"/>
        <v>14501</v>
      </c>
      <c r="AO60" s="57">
        <f t="shared" si="31"/>
        <v>50060</v>
      </c>
      <c r="AP60" s="130">
        <f t="shared" si="8"/>
        <v>1</v>
      </c>
      <c r="AQ60" s="553">
        <f t="shared" si="21"/>
        <v>52</v>
      </c>
      <c r="AR60" s="554">
        <f>IF((OR(DAY($AE$54)=29,DAY($AE$54)=30,DAY($AE$54)=31)),(EDATE($C$9-3,AQ60)),EDATE($C$9,AQ60))</f>
        <v>46897</v>
      </c>
      <c r="AS60" s="555">
        <f>IF($D$16="Да",$AN$40,$D$13)</f>
        <v>0.29899999999999999</v>
      </c>
      <c r="AT60" s="546">
        <f t="shared" si="9"/>
        <v>14501</v>
      </c>
      <c r="AU60" s="546">
        <f t="shared" si="16"/>
        <v>14501</v>
      </c>
      <c r="AV60" s="546">
        <f>BH59*($D$13/365*(AR60-AR59))</f>
        <v>7846.854315683845</v>
      </c>
      <c r="AW60" s="546">
        <f t="shared" si="10"/>
        <v>6654.145684316155</v>
      </c>
      <c r="AX60" s="546">
        <f>IF(AZ60-BA60&gt;$D$24,$D$24-AV60,IF(BJ60=0,0,BB60)+BY108)</f>
        <v>0</v>
      </c>
      <c r="AY60" s="546">
        <v>0</v>
      </c>
      <c r="AZ60" s="546">
        <f t="shared" si="11"/>
        <v>7846.854315683845</v>
      </c>
      <c r="BA60" s="546">
        <f t="shared" si="26"/>
        <v>0</v>
      </c>
      <c r="BB60" s="546">
        <f t="shared" si="25"/>
        <v>0</v>
      </c>
      <c r="BC60" s="546"/>
      <c r="BD60" s="546"/>
      <c r="BE60" s="546"/>
      <c r="BF60" s="546"/>
      <c r="BG60" s="546"/>
      <c r="BH60" s="546">
        <f t="shared" si="13"/>
        <v>312643.71665956383</v>
      </c>
      <c r="BI60" s="108">
        <f t="shared" si="22"/>
        <v>33</v>
      </c>
      <c r="BJ60" s="108">
        <f t="shared" si="17"/>
        <v>33</v>
      </c>
      <c r="BK60" s="22">
        <f t="shared" si="18"/>
        <v>46897</v>
      </c>
      <c r="BL60" s="108">
        <f t="shared" si="2"/>
        <v>14612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19"/>
        <v>53</v>
      </c>
      <c r="H61" s="245">
        <f>IF((OR(DAY($AE$54)=29,DAY($AE$54)=30,DAY($AE$54)=31)),(EDATE($C$9-3,G61)),EDATE($C$9,G61))</f>
        <v>46928</v>
      </c>
      <c r="I61" s="246">
        <f>IF(AND($X$11=1,G61&gt;=$X$11,),0%,$C$13)</f>
        <v>0.29899999999999999</v>
      </c>
      <c r="J61" s="242">
        <f t="shared" si="0"/>
        <v>14612</v>
      </c>
      <c r="K61" s="242">
        <f>IF(G61&gt;$C$10,0,IF((S60+L61)&lt;K60,(S60+L61),IF(T60=0,K60,MIN(K60,ROUNDUP(S60*$C$13/12/((1-(1+$C$13/12)^(0-($C$10-G61)))),0)))))</f>
        <v>14612</v>
      </c>
      <c r="L61" s="242">
        <f t="shared" si="3"/>
        <v>9865.7859010313423</v>
      </c>
      <c r="M61" s="242">
        <f t="shared" si="14"/>
        <v>4746.2140989686577</v>
      </c>
      <c r="N61" s="242">
        <f>IF(P61-Q61&gt;$C$24,$C$24-L61,IF(V61=0,0,R61)+$AJ$51)</f>
        <v>0</v>
      </c>
      <c r="O61" s="242">
        <v>0</v>
      </c>
      <c r="P61" s="242">
        <f t="shared" si="15"/>
        <v>9865.7859010313423</v>
      </c>
      <c r="Q61" s="242">
        <f t="shared" si="23"/>
        <v>0</v>
      </c>
      <c r="R61" s="242">
        <f t="shared" si="4"/>
        <v>0</v>
      </c>
      <c r="S61" s="242">
        <f t="shared" si="5"/>
        <v>384818.74865617987</v>
      </c>
      <c r="T61" s="467">
        <f t="shared" si="29"/>
        <v>0</v>
      </c>
      <c r="U61" s="198">
        <f t="shared" si="20"/>
        <v>32</v>
      </c>
      <c r="V61" s="36">
        <f t="shared" si="6"/>
        <v>32</v>
      </c>
      <c r="W61" s="36">
        <f t="shared" si="7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32"/>
        <v>14612</v>
      </c>
      <c r="Z61" s="57">
        <f t="shared" si="30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>
        <f>IF(AND(Z17&gt;=$X$11,Z17&lt;=$X$11+5),0,IF($C$9&gt;$AG$51,ROUND(AJ21*#REF!/(DATEVALUE(CONCATENATE("01/01/",YEAR(AA17)+1))-DATEVALUE(CONCATENATE("01/01/",YEAR(AA17))))*(AA17-AA16),2),0))</f>
        <v>0</v>
      </c>
      <c r="AN61" s="34">
        <f t="shared" si="33"/>
        <v>14501</v>
      </c>
      <c r="AO61" s="57">
        <f t="shared" si="31"/>
        <v>50425</v>
      </c>
      <c r="AP61" s="130">
        <f t="shared" si="8"/>
        <v>1</v>
      </c>
      <c r="AQ61" s="553">
        <f t="shared" si="21"/>
        <v>53</v>
      </c>
      <c r="AR61" s="554">
        <f>IF((OR(DAY($AE$54)=29,DAY($AE$54)=30,DAY($AE$54)=31)),(EDATE($C$9-3,AQ61)),EDATE($C$9,AQ61))</f>
        <v>46928</v>
      </c>
      <c r="AS61" s="555">
        <f>IF($D$16="Да",$AN$40,$D$13)</f>
        <v>0.29899999999999999</v>
      </c>
      <c r="AT61" s="546">
        <f t="shared" si="9"/>
        <v>14501</v>
      </c>
      <c r="AU61" s="546">
        <f t="shared" si="16"/>
        <v>14501</v>
      </c>
      <c r="AV61" s="546">
        <f>BH60*($D$13/365*(AR61-AR60))</f>
        <v>7939.4372868972514</v>
      </c>
      <c r="AW61" s="546">
        <f t="shared" si="10"/>
        <v>6561.5627131027486</v>
      </c>
      <c r="AX61" s="546">
        <f>IF(AZ61-BA61&gt;$D$24,$D$24-AV61,IF(BJ61=0,0,BB61)+BY109)</f>
        <v>0</v>
      </c>
      <c r="AY61" s="546">
        <v>0</v>
      </c>
      <c r="AZ61" s="546">
        <f t="shared" si="11"/>
        <v>7939.4372868972514</v>
      </c>
      <c r="BA61" s="546">
        <f t="shared" si="26"/>
        <v>0</v>
      </c>
      <c r="BB61" s="546">
        <f t="shared" si="25"/>
        <v>0</v>
      </c>
      <c r="BC61" s="546"/>
      <c r="BD61" s="546"/>
      <c r="BE61" s="546"/>
      <c r="BF61" s="546"/>
      <c r="BG61" s="546"/>
      <c r="BH61" s="546">
        <f t="shared" si="13"/>
        <v>306082.1539464611</v>
      </c>
      <c r="BI61" s="108">
        <f t="shared" si="22"/>
        <v>32</v>
      </c>
      <c r="BJ61" s="108">
        <f t="shared" si="17"/>
        <v>32</v>
      </c>
      <c r="BK61" s="22">
        <f t="shared" si="18"/>
        <v>46928</v>
      </c>
      <c r="BL61" s="108">
        <f t="shared" si="2"/>
        <v>14612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19"/>
        <v>54</v>
      </c>
      <c r="H62" s="245">
        <f>IF((OR(DAY($AE$54)=29,DAY($AE$54)=30,DAY($AE$54)=31)),(EDATE($C$9-3,G62)),EDATE($C$9,G62))</f>
        <v>46958</v>
      </c>
      <c r="I62" s="246">
        <f>IF(AND($X$11=1,G62&gt;=$X$11,),0%,$C$13)</f>
        <v>0.29899999999999999</v>
      </c>
      <c r="J62" s="242">
        <f t="shared" si="0"/>
        <v>14612</v>
      </c>
      <c r="K62" s="242">
        <f>IF(G62&gt;$C$10,0,IF((S61+L62)&lt;K61,(S61+L62),IF(T61=0,K61,MIN(K61,ROUNDUP(S61*$C$13/12/((1-(1+$C$13/12)^(0-($C$10-G62)))),0)))))</f>
        <v>14612</v>
      </c>
      <c r="L62" s="242">
        <f t="shared" si="3"/>
        <v>9431.2135941145716</v>
      </c>
      <c r="M62" s="242">
        <f t="shared" si="14"/>
        <v>5180.7864058854284</v>
      </c>
      <c r="N62" s="242">
        <f>IF(P62-Q62&gt;$C$24,$C$24-L62,IF(V62=0,0,R62)+$AJ$51)</f>
        <v>0</v>
      </c>
      <c r="O62" s="242">
        <v>0</v>
      </c>
      <c r="P62" s="242">
        <f t="shared" si="15"/>
        <v>9431.2135941145716</v>
      </c>
      <c r="Q62" s="242">
        <f t="shared" si="23"/>
        <v>0</v>
      </c>
      <c r="R62" s="242">
        <f t="shared" si="4"/>
        <v>0</v>
      </c>
      <c r="S62" s="242">
        <f t="shared" si="5"/>
        <v>379637.96225029445</v>
      </c>
      <c r="T62" s="467">
        <f t="shared" si="29"/>
        <v>0</v>
      </c>
      <c r="U62" s="198">
        <f t="shared" si="20"/>
        <v>31</v>
      </c>
      <c r="V62" s="36">
        <f t="shared" si="6"/>
        <v>31</v>
      </c>
      <c r="W62" s="36">
        <f t="shared" si="7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32"/>
        <v>14612</v>
      </c>
      <c r="Z62" s="57">
        <f t="shared" si="30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>
        <f>IF(AND(Z18&gt;=$X$11,Z18&lt;=$X$11+5),0,IF($C$9&gt;$AG$51,ROUND(AJ22*#REF!/(DATEVALUE(CONCATENATE("01/01/",YEAR(AA18)+1))-DATEVALUE(CONCATENATE("01/01/",YEAR(AA18))))*(AA18-AA17),2),0))</f>
        <v>0</v>
      </c>
      <c r="AN62" s="34">
        <f t="shared" si="33"/>
        <v>14501</v>
      </c>
      <c r="AO62" s="57">
        <f t="shared" si="31"/>
        <v>50790</v>
      </c>
      <c r="AP62" s="130">
        <f t="shared" si="8"/>
        <v>1</v>
      </c>
      <c r="AQ62" s="553">
        <f t="shared" si="21"/>
        <v>54</v>
      </c>
      <c r="AR62" s="554">
        <f>IF((OR(DAY($AE$54)=29,DAY($AE$54)=30,DAY($AE$54)=31)),(EDATE($C$9-3,AQ62)),EDATE($C$9,AQ62))</f>
        <v>46958</v>
      </c>
      <c r="AS62" s="555">
        <f>IF($D$16="Да",$AN$40,$D$13)</f>
        <v>0.29899999999999999</v>
      </c>
      <c r="AT62" s="546">
        <f t="shared" si="9"/>
        <v>14501</v>
      </c>
      <c r="AU62" s="546">
        <f t="shared" si="16"/>
        <v>14501</v>
      </c>
      <c r="AV62" s="546">
        <f>BH61*($D$13/365*(AR62-AR61))</f>
        <v>7522.0737558897417</v>
      </c>
      <c r="AW62" s="546">
        <f t="shared" si="10"/>
        <v>6978.9262441102583</v>
      </c>
      <c r="AX62" s="546">
        <f>IF(AZ62-BA62&gt;$D$24,$D$24-AV62,IF(BJ62=0,0,BB62)+BY110)</f>
        <v>0</v>
      </c>
      <c r="AY62" s="546">
        <v>0</v>
      </c>
      <c r="AZ62" s="546">
        <f t="shared" si="11"/>
        <v>7522.0737558897417</v>
      </c>
      <c r="BA62" s="546">
        <f t="shared" si="26"/>
        <v>0</v>
      </c>
      <c r="BB62" s="546">
        <f t="shared" si="25"/>
        <v>0</v>
      </c>
      <c r="BC62" s="546"/>
      <c r="BD62" s="546"/>
      <c r="BE62" s="546"/>
      <c r="BF62" s="546"/>
      <c r="BG62" s="546"/>
      <c r="BH62" s="546">
        <f t="shared" si="13"/>
        <v>299103.22770235082</v>
      </c>
      <c r="BI62" s="108">
        <f t="shared" si="22"/>
        <v>31</v>
      </c>
      <c r="BJ62" s="108">
        <f t="shared" si="17"/>
        <v>31</v>
      </c>
      <c r="BK62" s="22">
        <f t="shared" si="18"/>
        <v>46958</v>
      </c>
      <c r="BL62" s="108">
        <f t="shared" si="2"/>
        <v>14612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19"/>
        <v>55</v>
      </c>
      <c r="H63" s="245">
        <f>IF((OR(DAY($AE$54)=29,DAY($AE$54)=30,DAY($AE$54)=31)),(EDATE($C$9-3,G63)),EDATE($C$9,G63))</f>
        <v>46989</v>
      </c>
      <c r="I63" s="246">
        <f>IF(AND($X$11=1,G63&gt;=$X$11,),0%,$C$13)</f>
        <v>0.29899999999999999</v>
      </c>
      <c r="J63" s="242">
        <f t="shared" si="0"/>
        <v>14612</v>
      </c>
      <c r="K63" s="242">
        <f>IF(G63&gt;$C$10,0,IF((S62+L63)&lt;K62,(S62+L63),IF(T62=0,K62,MIN(K62,ROUNDUP(S62*$C$13/12/((1-(1+$C$13/12)^(0-($C$10-G63)))),0)))))</f>
        <v>14612</v>
      </c>
      <c r="L63" s="242">
        <f t="shared" si="3"/>
        <v>9614.3832570983031</v>
      </c>
      <c r="M63" s="242">
        <f t="shared" si="14"/>
        <v>4997.6167429016969</v>
      </c>
      <c r="N63" s="242">
        <f>IF(P63-Q63&gt;$C$24,$C$24-L63,IF(V63=0,0,R63)+$AJ$51)</f>
        <v>0</v>
      </c>
      <c r="O63" s="242">
        <v>0</v>
      </c>
      <c r="P63" s="242">
        <f t="shared" si="15"/>
        <v>9614.3832570983031</v>
      </c>
      <c r="Q63" s="242">
        <f t="shared" si="23"/>
        <v>0</v>
      </c>
      <c r="R63" s="242">
        <f t="shared" si="4"/>
        <v>0</v>
      </c>
      <c r="S63" s="242">
        <f t="shared" si="5"/>
        <v>374640.34550739278</v>
      </c>
      <c r="T63" s="467">
        <f t="shared" si="29"/>
        <v>0</v>
      </c>
      <c r="U63" s="198">
        <f t="shared" si="20"/>
        <v>30</v>
      </c>
      <c r="V63" s="36">
        <f t="shared" si="6"/>
        <v>30</v>
      </c>
      <c r="W63" s="36">
        <f t="shared" si="7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32"/>
        <v>14612</v>
      </c>
      <c r="Z63" s="57">
        <f t="shared" si="30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>
        <f>IF(AND(Z19&gt;=$X$11,Z19&lt;=$X$11+5),0,IF($C$9&gt;$AG$51,ROUND(AJ23*#REF!/(DATEVALUE(CONCATENATE("01/01/",YEAR(AA19)+1))-DATEVALUE(CONCATENATE("01/01/",YEAR(AA19))))*(AA19-AA18),2),0))</f>
        <v>0</v>
      </c>
      <c r="AN63" s="34">
        <f t="shared" si="33"/>
        <v>14501</v>
      </c>
      <c r="AO63" s="57">
        <f t="shared" si="31"/>
        <v>51155</v>
      </c>
      <c r="AP63" s="130">
        <f t="shared" si="8"/>
        <v>1</v>
      </c>
      <c r="AQ63" s="553">
        <f t="shared" si="21"/>
        <v>55</v>
      </c>
      <c r="AR63" s="554">
        <f>IF((OR(DAY($AE$54)=29,DAY($AE$54)=30,DAY($AE$54)=31)),(EDATE($C$9-3,AQ63)),EDATE($C$9,AQ63))</f>
        <v>46989</v>
      </c>
      <c r="AS63" s="555">
        <f>IF($D$16="Да",$AN$40,$D$13)</f>
        <v>0.29899999999999999</v>
      </c>
      <c r="AT63" s="546">
        <f t="shared" si="9"/>
        <v>14501</v>
      </c>
      <c r="AU63" s="546">
        <f t="shared" si="16"/>
        <v>14501</v>
      </c>
      <c r="AV63" s="546">
        <f>BH62*($D$13/365*(AR63-AR62))</f>
        <v>7595.5830618440805</v>
      </c>
      <c r="AW63" s="546">
        <f t="shared" si="10"/>
        <v>6905.4169381559195</v>
      </c>
      <c r="AX63" s="546">
        <f>IF(AZ63-BA63&gt;$D$24,$D$24-AV63,IF(BJ63=0,0,BB63)+BY111)</f>
        <v>0</v>
      </c>
      <c r="AY63" s="546">
        <v>0</v>
      </c>
      <c r="AZ63" s="546">
        <f t="shared" si="11"/>
        <v>7595.5830618440805</v>
      </c>
      <c r="BA63" s="546">
        <f t="shared" si="26"/>
        <v>0</v>
      </c>
      <c r="BB63" s="546">
        <f t="shared" si="25"/>
        <v>0</v>
      </c>
      <c r="BC63" s="546"/>
      <c r="BD63" s="546"/>
      <c r="BE63" s="546"/>
      <c r="BF63" s="546"/>
      <c r="BG63" s="546"/>
      <c r="BH63" s="546">
        <f t="shared" si="13"/>
        <v>292197.81076419487</v>
      </c>
      <c r="BI63" s="108">
        <f t="shared" si="22"/>
        <v>30</v>
      </c>
      <c r="BJ63" s="108">
        <f t="shared" si="17"/>
        <v>30</v>
      </c>
      <c r="BK63" s="22">
        <f t="shared" si="18"/>
        <v>46989</v>
      </c>
      <c r="BL63" s="108">
        <f t="shared" si="2"/>
        <v>14612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19"/>
        <v>56</v>
      </c>
      <c r="H64" s="245">
        <f>IF((OR(DAY($AE$54)=29,DAY($AE$54)=30,DAY($AE$54)=31)),(EDATE($C$9-3,G64)),EDATE($C$9,G64))</f>
        <v>47020</v>
      </c>
      <c r="I64" s="246">
        <f>IF(AND($X$11=1,G64&gt;=$X$11,),0%,$C$13)</f>
        <v>0.29899999999999999</v>
      </c>
      <c r="J64" s="242">
        <f t="shared" si="0"/>
        <v>14612</v>
      </c>
      <c r="K64" s="242">
        <f>IF(G64&gt;$C$10,0,IF((S63+L64)&lt;K63,(S63+L64),IF(T63=0,K63,MIN(K63,ROUNDUP(S63*$C$13/12/((1-(1+$C$13/12)^(0-($C$10-G64)))),0)))))</f>
        <v>14612</v>
      </c>
      <c r="L64" s="242">
        <f t="shared" si="3"/>
        <v>9487.8179303497909</v>
      </c>
      <c r="M64" s="242">
        <f t="shared" si="14"/>
        <v>5124.1820696502091</v>
      </c>
      <c r="N64" s="242">
        <f>IF(P64-Q64&gt;$C$24,$C$24-L64,IF(V64=0,0,R64)+$AJ$51)</f>
        <v>0</v>
      </c>
      <c r="O64" s="242">
        <v>0</v>
      </c>
      <c r="P64" s="242">
        <f t="shared" si="15"/>
        <v>9487.8179303497909</v>
      </c>
      <c r="Q64" s="242">
        <f t="shared" si="23"/>
        <v>0</v>
      </c>
      <c r="R64" s="242">
        <f t="shared" si="4"/>
        <v>0</v>
      </c>
      <c r="S64" s="242">
        <f t="shared" si="5"/>
        <v>369516.16343774257</v>
      </c>
      <c r="T64" s="467">
        <f t="shared" si="29"/>
        <v>0</v>
      </c>
      <c r="U64" s="198">
        <f t="shared" si="20"/>
        <v>29</v>
      </c>
      <c r="V64" s="36">
        <f t="shared" si="6"/>
        <v>29</v>
      </c>
      <c r="W64" s="36">
        <f t="shared" si="7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32"/>
        <v>14612</v>
      </c>
      <c r="Z64" s="57">
        <f t="shared" si="30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>
        <f>IF(AND(Z20&gt;=$X$11,Z20&lt;=$X$11+5),0,IF($C$9&gt;$AG$51,ROUND(AJ24*#REF!/(DATEVALUE(CONCATENATE("01/01/",YEAR(AA20)+1))-DATEVALUE(CONCATENATE("01/01/",YEAR(AA20))))*(AA20-AA19),2),0))</f>
        <v>0</v>
      </c>
      <c r="AN64" s="34">
        <f t="shared" si="33"/>
        <v>14501</v>
      </c>
      <c r="AO64" s="57">
        <f t="shared" si="31"/>
        <v>51520</v>
      </c>
      <c r="AP64" s="130">
        <f t="shared" si="8"/>
        <v>1</v>
      </c>
      <c r="AQ64" s="553">
        <f t="shared" si="21"/>
        <v>56</v>
      </c>
      <c r="AR64" s="554">
        <f>IF((OR(DAY($AE$54)=29,DAY($AE$54)=30,DAY($AE$54)=31)),(EDATE($C$9-3,AQ64)),EDATE($C$9,AQ64))</f>
        <v>47020</v>
      </c>
      <c r="AS64" s="555">
        <f>IF($D$16="Да",$AN$40,$D$13)</f>
        <v>0.29899999999999999</v>
      </c>
      <c r="AT64" s="546">
        <f t="shared" si="9"/>
        <v>14501</v>
      </c>
      <c r="AU64" s="546">
        <f t="shared" si="16"/>
        <v>14501</v>
      </c>
      <c r="AV64" s="546">
        <f>BH63*($D$13/365*(AR64-AR63))</f>
        <v>7420.2233095159509</v>
      </c>
      <c r="AW64" s="546">
        <f t="shared" si="10"/>
        <v>7080.7766904840491</v>
      </c>
      <c r="AX64" s="546">
        <f>IF(AZ64-BA64&gt;$D$24,$D$24-AV64,IF(BJ64=0,0,BB64)+BY112)</f>
        <v>0</v>
      </c>
      <c r="AY64" s="546">
        <v>0</v>
      </c>
      <c r="AZ64" s="546">
        <f t="shared" si="11"/>
        <v>7420.2233095159509</v>
      </c>
      <c r="BA64" s="546">
        <f t="shared" si="26"/>
        <v>0</v>
      </c>
      <c r="BB64" s="546">
        <f t="shared" si="25"/>
        <v>0</v>
      </c>
      <c r="BC64" s="546"/>
      <c r="BD64" s="546"/>
      <c r="BE64" s="546"/>
      <c r="BF64" s="546"/>
      <c r="BG64" s="546"/>
      <c r="BH64" s="546">
        <f t="shared" si="13"/>
        <v>285117.03407371085</v>
      </c>
      <c r="BI64" s="108">
        <f t="shared" si="22"/>
        <v>29</v>
      </c>
      <c r="BJ64" s="108">
        <f t="shared" si="17"/>
        <v>29</v>
      </c>
      <c r="BK64" s="22">
        <f t="shared" si="18"/>
        <v>47020</v>
      </c>
      <c r="BL64" s="108">
        <f t="shared" si="2"/>
        <v>14612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19"/>
        <v>57</v>
      </c>
      <c r="H65" s="245">
        <f>IF((OR(DAY($AE$54)=29,DAY($AE$54)=30,DAY($AE$54)=31)),(EDATE($C$9-3,G65)),EDATE($C$9,G65))</f>
        <v>47050</v>
      </c>
      <c r="I65" s="246">
        <f>IF(AND($X$11=1,G65&gt;=$X$11,),0%,$C$13)</f>
        <v>0.29899999999999999</v>
      </c>
      <c r="J65" s="242">
        <f t="shared" si="0"/>
        <v>14612</v>
      </c>
      <c r="K65" s="242">
        <f>IF(G65&gt;$C$10,0,IF((S64+L65)&lt;K64,(S64+L65),IF(T64=0,K64,MIN(K64,ROUNDUP(S64*$C$13/12/((1-(1+$C$13/12)^(0-($C$10-G65)))),0)))))</f>
        <v>14612</v>
      </c>
      <c r="L65" s="242">
        <f t="shared" si="3"/>
        <v>9056.174825236476</v>
      </c>
      <c r="M65" s="242">
        <f t="shared" si="14"/>
        <v>5555.825174763524</v>
      </c>
      <c r="N65" s="242">
        <f>IF(P65-Q65&gt;$C$24,$C$24-L65,IF(V65=0,0,R65)+$AJ$51)</f>
        <v>0</v>
      </c>
      <c r="O65" s="242">
        <v>0</v>
      </c>
      <c r="P65" s="242">
        <f t="shared" si="15"/>
        <v>9056.174825236476</v>
      </c>
      <c r="Q65" s="242">
        <f t="shared" si="23"/>
        <v>0</v>
      </c>
      <c r="R65" s="242">
        <f t="shared" si="4"/>
        <v>0</v>
      </c>
      <c r="S65" s="242">
        <f t="shared" si="5"/>
        <v>363960.33826297906</v>
      </c>
      <c r="T65" s="467">
        <f t="shared" si="29"/>
        <v>0</v>
      </c>
      <c r="U65" s="198">
        <f t="shared" si="20"/>
        <v>28</v>
      </c>
      <c r="V65" s="36">
        <f t="shared" si="6"/>
        <v>28</v>
      </c>
      <c r="W65" s="36">
        <f t="shared" si="7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32"/>
        <v>14612</v>
      </c>
      <c r="Z65" s="57">
        <f t="shared" si="30"/>
        <v>53345</v>
      </c>
      <c r="AC65" s="2"/>
      <c r="AD65" s="66">
        <f>IF(AD79&gt;$AB$59,AD64,IF(AD79&gt;$AB$58,AD63,IF(AD79&gt;$AB$57,AD62,AD61)))</f>
        <v>3.0000000000000001E-3</v>
      </c>
      <c r="AE65" s="66">
        <f>IF(AE79&gt;$AB$59,AE64,IF(AE79&gt;$AB$58,AE63,IF(AE79&gt;$AB$57,AE62,AE61)))</f>
        <v>3.0000000000000001E-3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2.5000000000000001E-3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34">IF(AJ79&gt;$AB$59,AJ64,IF(AJ79&gt;$AB$58,AJ63,IF(AJ79&gt;$AB$57,AJ62,AJ61)))</f>
        <v>3.2000000000000002E-3</v>
      </c>
      <c r="AK65" s="15" t="s">
        <v>126</v>
      </c>
      <c r="AM65" s="2">
        <f>IF(AND(Z21&gt;=$X$11,Z21&lt;=$X$11+5),0,IF($C$9&gt;$AG$51,ROUND(AJ25*#REF!/(DATEVALUE(CONCATENATE("01/01/",YEAR(AA21)+1))-DATEVALUE(CONCATENATE("01/01/",YEAR(AA21))))*(AA21-AA20),2),0))</f>
        <v>0</v>
      </c>
      <c r="AN65" s="34">
        <f t="shared" si="33"/>
        <v>14501</v>
      </c>
      <c r="AO65" s="57">
        <f t="shared" si="31"/>
        <v>51885</v>
      </c>
      <c r="AP65" s="130">
        <f t="shared" si="8"/>
        <v>1</v>
      </c>
      <c r="AQ65" s="553">
        <f t="shared" si="21"/>
        <v>57</v>
      </c>
      <c r="AR65" s="554">
        <f>IF((OR(DAY($AE$54)=29,DAY($AE$54)=30,DAY($AE$54)=31)),(EDATE($C$9-3,AQ65)),EDATE($C$9,AQ65))</f>
        <v>47050</v>
      </c>
      <c r="AS65" s="555">
        <f>IF($D$16="Да",$AN$40,$D$13)</f>
        <v>0.29899999999999999</v>
      </c>
      <c r="AT65" s="546">
        <f t="shared" si="9"/>
        <v>14501</v>
      </c>
      <c r="AU65" s="546">
        <f t="shared" si="16"/>
        <v>14501</v>
      </c>
      <c r="AV65" s="546">
        <f>BH64*($D$13/365*(AR65-AR64))</f>
        <v>7006.8487551813314</v>
      </c>
      <c r="AW65" s="546">
        <f t="shared" si="10"/>
        <v>7494.1512448186686</v>
      </c>
      <c r="AX65" s="546">
        <f>IF(AZ65-BA65&gt;$D$24,$D$24-AV65,IF(BJ65=0,0,BB65)+BY113)</f>
        <v>0</v>
      </c>
      <c r="AY65" s="546">
        <v>0</v>
      </c>
      <c r="AZ65" s="546">
        <f t="shared" si="11"/>
        <v>7006.8487551813314</v>
      </c>
      <c r="BA65" s="546">
        <f t="shared" si="26"/>
        <v>0</v>
      </c>
      <c r="BB65" s="546">
        <f t="shared" si="25"/>
        <v>0</v>
      </c>
      <c r="BC65" s="546"/>
      <c r="BD65" s="546"/>
      <c r="BE65" s="546"/>
      <c r="BF65" s="546"/>
      <c r="BG65" s="546"/>
      <c r="BH65" s="546">
        <f t="shared" si="13"/>
        <v>277622.88282889221</v>
      </c>
      <c r="BI65" s="108">
        <f t="shared" si="22"/>
        <v>28</v>
      </c>
      <c r="BJ65" s="108">
        <f t="shared" si="17"/>
        <v>28</v>
      </c>
      <c r="BK65" s="22">
        <f t="shared" si="18"/>
        <v>47050</v>
      </c>
      <c r="BL65" s="108">
        <f t="shared" si="2"/>
        <v>14612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19"/>
        <v>58</v>
      </c>
      <c r="H66" s="245">
        <f>IF((OR(DAY($AE$54)=29,DAY($AE$54)=30,DAY($AE$54)=31)),(EDATE($C$9-3,G66)),EDATE($C$9,G66))</f>
        <v>47081</v>
      </c>
      <c r="I66" s="246">
        <f>IF(AND($X$11=1,G66&gt;=$X$11,),0%,$C$13)</f>
        <v>0.29899999999999999</v>
      </c>
      <c r="J66" s="242">
        <f t="shared" si="0"/>
        <v>14612</v>
      </c>
      <c r="K66" s="242">
        <f>IF(G66&gt;$C$10,0,IF((S65+L66)&lt;K65,(S65+L66),IF(T65=0,K65,MIN(K65,ROUNDUP(S65*$C$13/12/((1-(1+$C$13/12)^(0-($C$10-G66)))),0)))))</f>
        <v>14612</v>
      </c>
      <c r="L66" s="242">
        <f t="shared" si="3"/>
        <v>9217.3452878676289</v>
      </c>
      <c r="M66" s="242">
        <f t="shared" si="14"/>
        <v>5394.6547121323711</v>
      </c>
      <c r="N66" s="242">
        <f>IF(P66-Q66&gt;$C$24,$C$24-L66,IF(V66=0,0,R66)+$AJ$51)</f>
        <v>0</v>
      </c>
      <c r="O66" s="242">
        <v>0</v>
      </c>
      <c r="P66" s="242">
        <f t="shared" si="15"/>
        <v>9217.3452878676289</v>
      </c>
      <c r="Q66" s="242">
        <f t="shared" si="23"/>
        <v>0</v>
      </c>
      <c r="R66" s="242">
        <f t="shared" si="4"/>
        <v>0</v>
      </c>
      <c r="S66" s="242">
        <f t="shared" si="5"/>
        <v>358565.6835508467</v>
      </c>
      <c r="T66" s="467">
        <f t="shared" si="29"/>
        <v>0</v>
      </c>
      <c r="U66" s="198">
        <f t="shared" si="20"/>
        <v>27</v>
      </c>
      <c r="V66" s="36">
        <f t="shared" si="6"/>
        <v>27</v>
      </c>
      <c r="W66" s="36">
        <f t="shared" si="7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32"/>
        <v>14612</v>
      </c>
      <c r="Z66" s="57">
        <f t="shared" si="30"/>
        <v>53710</v>
      </c>
      <c r="AB66" s="133" t="s">
        <v>96</v>
      </c>
      <c r="AC66" s="15"/>
      <c r="AD66" s="143">
        <f>AD65*AD79*IF($C$10&gt;60,60,$C$10)</f>
        <v>108000</v>
      </c>
      <c r="AE66" s="143">
        <f>AE65*AE79*IF($C$10&gt;60,60,$C$10)</f>
        <v>99000</v>
      </c>
      <c r="AF66" s="143">
        <f>AF65*AF79*IF($C$10&gt;60,60,$C$10)</f>
        <v>112500</v>
      </c>
      <c r="AG66" s="143">
        <f>AG65*AG79*IF($C$10&gt;60,60,$C$10)</f>
        <v>90000</v>
      </c>
      <c r="AH66" s="143">
        <f t="shared" ref="AH66:AI66" si="35">AH65*AH79*$C$10</f>
        <v>0</v>
      </c>
      <c r="AI66" s="143">
        <f t="shared" si="35"/>
        <v>42000</v>
      </c>
      <c r="AJ66" s="143">
        <f>AJ65*AJ79*$C$10</f>
        <v>268800</v>
      </c>
      <c r="AK66" s="143">
        <f>AJ66+AI66</f>
        <v>310800</v>
      </c>
      <c r="AM66" s="2">
        <f>IF(AND(Z22&gt;=$X$11,Z22&lt;=$X$11+5),0,IF($C$9&gt;$AG$51,ROUND(AJ26*#REF!/(DATEVALUE(CONCATENATE("01/01/",YEAR(AA22)+1))-DATEVALUE(CONCATENATE("01/01/",YEAR(AA22))))*(AA22-AA21),2),0))</f>
        <v>0</v>
      </c>
      <c r="AN66" s="34">
        <f t="shared" si="33"/>
        <v>14501</v>
      </c>
      <c r="AO66" s="57">
        <f t="shared" si="31"/>
        <v>52250</v>
      </c>
      <c r="AP66" s="130">
        <f t="shared" si="8"/>
        <v>1</v>
      </c>
      <c r="AQ66" s="553">
        <f t="shared" si="21"/>
        <v>58</v>
      </c>
      <c r="AR66" s="554">
        <f>IF((OR(DAY($AE$54)=29,DAY($AE$54)=30,DAY($AE$54)=31)),(EDATE($C$9-3,AQ66)),EDATE($C$9,AQ66))</f>
        <v>47081</v>
      </c>
      <c r="AS66" s="555">
        <f>IF($D$16="Да",$AN$40,$D$13)</f>
        <v>0.29899999999999999</v>
      </c>
      <c r="AT66" s="546">
        <f t="shared" si="9"/>
        <v>14501</v>
      </c>
      <c r="AU66" s="546">
        <f t="shared" si="16"/>
        <v>14501</v>
      </c>
      <c r="AV66" s="546">
        <f>BH65*($D$13/365*(AR66-AR65))</f>
        <v>7050.1000025780868</v>
      </c>
      <c r="AW66" s="546">
        <f t="shared" si="10"/>
        <v>7450.8999974219132</v>
      </c>
      <c r="AX66" s="546">
        <f>IF(AZ66-BA66&gt;$D$24,$D$24-AV66,IF(BJ66=0,0,BB66)+BY114)</f>
        <v>0</v>
      </c>
      <c r="AY66" s="546">
        <v>0</v>
      </c>
      <c r="AZ66" s="546">
        <f t="shared" si="11"/>
        <v>7050.1000025780868</v>
      </c>
      <c r="BA66" s="546">
        <f t="shared" si="26"/>
        <v>0</v>
      </c>
      <c r="BB66" s="546">
        <f t="shared" si="25"/>
        <v>0</v>
      </c>
      <c r="BC66" s="546"/>
      <c r="BD66" s="546"/>
      <c r="BE66" s="546"/>
      <c r="BF66" s="546"/>
      <c r="BG66" s="546"/>
      <c r="BH66" s="546">
        <f t="shared" si="13"/>
        <v>270171.98283147032</v>
      </c>
      <c r="BI66" s="108">
        <f t="shared" si="22"/>
        <v>27</v>
      </c>
      <c r="BJ66" s="108">
        <f t="shared" si="17"/>
        <v>27</v>
      </c>
      <c r="BK66" s="22">
        <f t="shared" si="18"/>
        <v>47081</v>
      </c>
      <c r="BL66" s="108">
        <f t="shared" si="2"/>
        <v>14612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19"/>
        <v>59</v>
      </c>
      <c r="H67" s="245">
        <f>IF((OR(DAY($AE$54)=29,DAY($AE$54)=30,DAY($AE$54)=31)),(EDATE($C$9-3,G67)),EDATE($C$9,G67))</f>
        <v>47111</v>
      </c>
      <c r="I67" s="246">
        <f>IF(AND($X$11=1,G67&gt;=$X$11,),0%,$C$13)</f>
        <v>0.29899999999999999</v>
      </c>
      <c r="J67" s="242">
        <f t="shared" si="0"/>
        <v>14612</v>
      </c>
      <c r="K67" s="242">
        <f>IF(G67&gt;$C$10,0,IF((S66+L67)&lt;K66,(S66+L67),IF(T66=0,K66,MIN(K66,ROUNDUP(S66*$C$13/12/((1-(1+$C$13/12)^(0-($C$10-G67)))),0)))))</f>
        <v>14612</v>
      </c>
      <c r="L67" s="242">
        <f t="shared" si="3"/>
        <v>8787.7983099756675</v>
      </c>
      <c r="M67" s="242">
        <f t="shared" si="14"/>
        <v>5824.2016900243325</v>
      </c>
      <c r="N67" s="242">
        <f>IF(P67-Q67&gt;$C$24,$C$24-L67,IF(V67=0,0,R67)+$AJ$51)</f>
        <v>0</v>
      </c>
      <c r="O67" s="242">
        <v>0</v>
      </c>
      <c r="P67" s="242">
        <f t="shared" si="15"/>
        <v>8787.7983099756675</v>
      </c>
      <c r="Q67" s="242">
        <f t="shared" si="23"/>
        <v>0</v>
      </c>
      <c r="R67" s="242">
        <f t="shared" si="4"/>
        <v>0</v>
      </c>
      <c r="S67" s="242">
        <f t="shared" si="5"/>
        <v>352741.48186082236</v>
      </c>
      <c r="T67" s="467">
        <f t="shared" si="29"/>
        <v>0</v>
      </c>
      <c r="U67" s="198">
        <f t="shared" si="20"/>
        <v>26</v>
      </c>
      <c r="V67" s="36">
        <f t="shared" si="6"/>
        <v>26</v>
      </c>
      <c r="W67" s="36">
        <f t="shared" si="7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32"/>
        <v>14612</v>
      </c>
      <c r="Z67" s="57">
        <f t="shared" si="30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33"/>
        <v>14501</v>
      </c>
      <c r="AO67" s="57">
        <f t="shared" si="31"/>
        <v>52615</v>
      </c>
      <c r="AP67" s="130">
        <f t="shared" si="8"/>
        <v>1</v>
      </c>
      <c r="AQ67" s="553">
        <f t="shared" si="21"/>
        <v>59</v>
      </c>
      <c r="AR67" s="554">
        <f>IF((OR(DAY($AE$54)=29,DAY($AE$54)=30,DAY($AE$54)=31)),(EDATE($C$9-3,AQ67)),EDATE($C$9,AQ67))</f>
        <v>47111</v>
      </c>
      <c r="AS67" s="555">
        <f>IF($D$16="Да",$AN$40,$D$13)</f>
        <v>0.29899999999999999</v>
      </c>
      <c r="AT67" s="546">
        <f t="shared" si="9"/>
        <v>14501</v>
      </c>
      <c r="AU67" s="546">
        <f t="shared" si="16"/>
        <v>14501</v>
      </c>
      <c r="AV67" s="546">
        <f>BH66*($D$13/365*(AR67-AR66))</f>
        <v>6639.5690027350374</v>
      </c>
      <c r="AW67" s="546">
        <f t="shared" si="10"/>
        <v>7861.4309972649626</v>
      </c>
      <c r="AX67" s="546">
        <f>IF(AZ67-BA67&gt;$D$24,$D$24-AV67,IF(BJ67=0,0,BB67)+BY115)</f>
        <v>0</v>
      </c>
      <c r="AY67" s="546">
        <v>0</v>
      </c>
      <c r="AZ67" s="546">
        <f t="shared" si="11"/>
        <v>6639.5690027350374</v>
      </c>
      <c r="BA67" s="546">
        <f t="shared" si="26"/>
        <v>0</v>
      </c>
      <c r="BB67" s="546">
        <f t="shared" si="25"/>
        <v>0</v>
      </c>
      <c r="BC67" s="546"/>
      <c r="BD67" s="546"/>
      <c r="BE67" s="546"/>
      <c r="BF67" s="546"/>
      <c r="BG67" s="546"/>
      <c r="BH67" s="546">
        <f t="shared" si="13"/>
        <v>262310.55183420534</v>
      </c>
      <c r="BI67" s="108">
        <f t="shared" si="22"/>
        <v>26</v>
      </c>
      <c r="BJ67" s="108">
        <f t="shared" si="17"/>
        <v>26</v>
      </c>
      <c r="BK67" s="22">
        <f t="shared" si="18"/>
        <v>47111</v>
      </c>
      <c r="BL67" s="108">
        <f t="shared" si="2"/>
        <v>14612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19"/>
        <v>60</v>
      </c>
      <c r="H68" s="679">
        <f>IF((OR(DAY($AE$54)=29,DAY($AE$54)=30,DAY($AE$54)=31)),(EDATE($C$9-3,G68)),EDATE($C$9,G68))</f>
        <v>47142</v>
      </c>
      <c r="I68" s="250">
        <f>IF(AND($X$11=1,G68&gt;=$X$11,),0%,$C$13)</f>
        <v>0.29899999999999999</v>
      </c>
      <c r="J68" s="242">
        <f t="shared" si="0"/>
        <v>14612</v>
      </c>
      <c r="K68" s="252">
        <f>IF(G68&gt;$C$10,0,IF((S67+L68)&lt;K67,(S67+L68),IF(T67=0,K67,MIN(K67,ROUNDUP(S67*$C$13/12/((1-(1+$C$13/12)^(0-($C$10-G68)))),0)))))</f>
        <v>14612</v>
      </c>
      <c r="L68" s="242">
        <f t="shared" si="3"/>
        <v>8933.2262168523557</v>
      </c>
      <c r="M68" s="252">
        <f t="shared" si="14"/>
        <v>5678.7737831476443</v>
      </c>
      <c r="N68" s="252">
        <f>IF(P68-Q68&gt;$C$24,$C$24-L68,IF(V68=0,0,R68)+$AJ$51)</f>
        <v>0</v>
      </c>
      <c r="O68" s="252">
        <v>0</v>
      </c>
      <c r="P68" s="252">
        <f t="shared" si="15"/>
        <v>8933.2262168523557</v>
      </c>
      <c r="Q68" s="252">
        <f t="shared" si="23"/>
        <v>0</v>
      </c>
      <c r="R68" s="252">
        <f t="shared" si="4"/>
        <v>0</v>
      </c>
      <c r="S68" s="252">
        <f t="shared" si="5"/>
        <v>347062.70807767473</v>
      </c>
      <c r="T68" s="252">
        <f>IF(G68=$C$10,(S67-K68+L68),0)</f>
        <v>0</v>
      </c>
      <c r="U68" s="198">
        <f t="shared" si="20"/>
        <v>25</v>
      </c>
      <c r="V68" s="36">
        <f t="shared" si="6"/>
        <v>25</v>
      </c>
      <c r="W68" s="36">
        <f t="shared" si="7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32"/>
        <v>14612</v>
      </c>
      <c r="Z68" s="57">
        <f t="shared" si="30"/>
        <v>54440</v>
      </c>
      <c r="AB68" s="170">
        <v>300001</v>
      </c>
      <c r="AC68" s="135">
        <v>160000</v>
      </c>
      <c r="AM68" s="2">
        <f>IF(AND(Z24&gt;=$X$11,Z24&lt;=$X$11+5),0,IF($C$9&gt;$AG$51,ROUND(AJ28*#REF!/(DATEVALUE(CONCATENATE("01/01/",YEAR(AA24)+1))-DATEVALUE(CONCATENATE("01/01/",YEAR(AA24))))*(AA24-AA23),2),0))</f>
        <v>0</v>
      </c>
      <c r="AN68" s="34">
        <f t="shared" si="33"/>
        <v>14501</v>
      </c>
      <c r="AO68" s="57">
        <f t="shared" si="31"/>
        <v>52980</v>
      </c>
      <c r="AP68" s="130">
        <f t="shared" si="8"/>
        <v>1</v>
      </c>
      <c r="AQ68" s="556">
        <f t="shared" si="21"/>
        <v>60</v>
      </c>
      <c r="AR68" s="680">
        <f>IF((OR(DAY($AE$54)=29,DAY($AE$54)=30,DAY($AE$54)=31)),(EDATE($C$9-3,AQ68)),EDATE($C$9,AQ68))</f>
        <v>47142</v>
      </c>
      <c r="AS68" s="557">
        <f>IF($D$16="Да",$AN$40,$D$13)</f>
        <v>0.29899999999999999</v>
      </c>
      <c r="AT68" s="547">
        <f t="shared" si="9"/>
        <v>14501</v>
      </c>
      <c r="AU68" s="547">
        <f t="shared" si="16"/>
        <v>14501</v>
      </c>
      <c r="AV68" s="547">
        <f>BH67*($D$13/365*(AR68-AR67))</f>
        <v>6661.250698496573</v>
      </c>
      <c r="AW68" s="547">
        <f t="shared" si="10"/>
        <v>7839.749301503427</v>
      </c>
      <c r="AX68" s="547">
        <f>IF(AZ68-BA68&gt;$D$24,$D$24-AV68,IF(BJ68=0,0,BB68)+BY116)</f>
        <v>0</v>
      </c>
      <c r="AY68" s="547">
        <v>0</v>
      </c>
      <c r="AZ68" s="547">
        <f t="shared" si="11"/>
        <v>6661.250698496573</v>
      </c>
      <c r="BA68" s="547">
        <f t="shared" si="26"/>
        <v>0</v>
      </c>
      <c r="BB68" s="547">
        <f t="shared" si="25"/>
        <v>0</v>
      </c>
      <c r="BC68" s="547"/>
      <c r="BD68" s="547"/>
      <c r="BE68" s="547"/>
      <c r="BF68" s="547"/>
      <c r="BG68" s="547"/>
      <c r="BH68" s="547">
        <f t="shared" si="13"/>
        <v>254470.80253270193</v>
      </c>
      <c r="BI68" s="108">
        <f t="shared" si="22"/>
        <v>25</v>
      </c>
      <c r="BJ68" s="108">
        <f t="shared" si="17"/>
        <v>25</v>
      </c>
      <c r="BK68" s="22">
        <f t="shared" si="18"/>
        <v>47142</v>
      </c>
      <c r="BL68" s="108">
        <f t="shared" si="2"/>
        <v>14612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19"/>
        <v>61</v>
      </c>
      <c r="H69" s="245">
        <f>IF((OR(DAY($AE$54)=29,DAY($AE$54)=30,DAY($AE$54)=31)),(EDATE($C$9-3,G69)),EDATE($C$9,G69))</f>
        <v>47173</v>
      </c>
      <c r="I69" s="246">
        <f>IF(AND($X$11=1,G69&gt;=$X$11,),0%,$C$13)</f>
        <v>0.29899999999999999</v>
      </c>
      <c r="J69" s="242">
        <f t="shared" si="0"/>
        <v>14612</v>
      </c>
      <c r="K69" s="242">
        <f>IF(G69&gt;$C$10,0,IF((S68+L69)&lt;K68,(S68+L69),IF(T68=0,K68,MIN(K68,ROUNDUP(S68*$C$13/12/((1-(1+$C$13/12)^(0-($C$10-G69)))),0)))))</f>
        <v>14612</v>
      </c>
      <c r="L69" s="242">
        <f t="shared" si="3"/>
        <v>8813.4910717040184</v>
      </c>
      <c r="M69" s="242">
        <f t="shared" si="14"/>
        <v>5798.5089282959816</v>
      </c>
      <c r="N69" s="242">
        <f>IF(P69-Q69&gt;$C$24,$C$24-L69,IF(V69=0,0,R69)+$AJ$51)</f>
        <v>0</v>
      </c>
      <c r="O69" s="242">
        <v>0</v>
      </c>
      <c r="P69" s="242">
        <f t="shared" si="15"/>
        <v>8813.4910717040184</v>
      </c>
      <c r="Q69" s="242">
        <f t="shared" si="23"/>
        <v>0</v>
      </c>
      <c r="R69" s="242">
        <f t="shared" si="4"/>
        <v>0</v>
      </c>
      <c r="S69" s="242">
        <f t="shared" si="5"/>
        <v>341264.19914937875</v>
      </c>
      <c r="T69" s="467">
        <f t="shared" ref="T69:T92" si="36">IF(G69=$C$10,(S68-K69+L69),0)</f>
        <v>0</v>
      </c>
      <c r="U69" s="36">
        <f t="shared" si="20"/>
        <v>24</v>
      </c>
      <c r="V69" s="36">
        <f t="shared" si="6"/>
        <v>24</v>
      </c>
      <c r="W69" s="36">
        <f t="shared" si="7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32"/>
        <v>14612</v>
      </c>
      <c r="Z69" s="57">
        <f t="shared" si="30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33"/>
        <v>14501</v>
      </c>
      <c r="AO69" s="57">
        <f t="shared" si="31"/>
        <v>53345</v>
      </c>
      <c r="AP69" s="130">
        <f t="shared" si="8"/>
        <v>1</v>
      </c>
      <c r="AQ69" s="553">
        <f t="shared" si="21"/>
        <v>61</v>
      </c>
      <c r="AR69" s="554">
        <f>IF((OR(DAY($AE$54)=29,DAY($AE$54)=30,DAY($AE$54)=31)),(EDATE($C$9-3,AQ69)),EDATE($C$9,AQ69))</f>
        <v>47173</v>
      </c>
      <c r="AS69" s="555">
        <f>IF($D$16="Да",$AN$40,$D$13)</f>
        <v>0.29899999999999999</v>
      </c>
      <c r="AT69" s="546">
        <f t="shared" si="9"/>
        <v>14501</v>
      </c>
      <c r="AU69" s="546">
        <f t="shared" si="16"/>
        <v>14501</v>
      </c>
      <c r="AV69" s="546">
        <f>BH68*($D$13/365*(AR69-AR68))</f>
        <v>6462.1640237688052</v>
      </c>
      <c r="AW69" s="546">
        <f t="shared" si="10"/>
        <v>8038.8359762311948</v>
      </c>
      <c r="AX69" s="546">
        <f>IF(AZ69-BA69&gt;$D$24,$D$24-AV69,IF(BJ69=0,0,BB69)+BY117)</f>
        <v>0</v>
      </c>
      <c r="AY69" s="546">
        <v>0</v>
      </c>
      <c r="AZ69" s="546">
        <f t="shared" si="11"/>
        <v>6462.1640237688052</v>
      </c>
      <c r="BA69" s="546">
        <f t="shared" si="26"/>
        <v>0</v>
      </c>
      <c r="BB69" s="546">
        <f t="shared" si="25"/>
        <v>0</v>
      </c>
      <c r="BC69" s="546"/>
      <c r="BD69" s="546"/>
      <c r="BE69" s="546"/>
      <c r="BF69" s="546"/>
      <c r="BG69" s="546"/>
      <c r="BH69" s="546">
        <f t="shared" si="13"/>
        <v>246431.96655647072</v>
      </c>
      <c r="BI69" s="108">
        <f t="shared" si="22"/>
        <v>24</v>
      </c>
      <c r="BJ69" s="108">
        <f t="shared" si="17"/>
        <v>24</v>
      </c>
      <c r="BK69" s="22">
        <f t="shared" si="18"/>
        <v>47173</v>
      </c>
      <c r="BL69" s="108">
        <f t="shared" si="2"/>
        <v>14612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19"/>
        <v>62</v>
      </c>
      <c r="H70" s="245">
        <f>IF((OR(DAY($AE$54)=29,DAY($AE$54)=30,DAY($AE$54)=31)),(EDATE($C$9-3,G70)),EDATE($C$9,G70))</f>
        <v>47201</v>
      </c>
      <c r="I70" s="246">
        <f>IF(AND($X$11=1,G70&gt;=$X$11,),0%,$C$13)</f>
        <v>0.29899999999999999</v>
      </c>
      <c r="J70" s="242">
        <f t="shared" si="0"/>
        <v>14612</v>
      </c>
      <c r="K70" s="242">
        <f>IF(G70&gt;$C$10,0,IF((S69+L70)&lt;K69,(S69+L70),IF(T69=0,K69,MIN(K69,ROUNDUP(S69*$C$13/12/((1-(1+$C$13/12)^(0-($C$10-G70)))),0)))))</f>
        <v>14612</v>
      </c>
      <c r="L70" s="242">
        <f t="shared" si="3"/>
        <v>7827.5722610372568</v>
      </c>
      <c r="M70" s="242">
        <f t="shared" si="14"/>
        <v>6784.4277389627432</v>
      </c>
      <c r="N70" s="242">
        <f>IF(P70-Q70&gt;$C$24,$C$24-L70,IF(V70=0,0,R70)+$AJ$51)</f>
        <v>0</v>
      </c>
      <c r="O70" s="242">
        <v>0</v>
      </c>
      <c r="P70" s="242">
        <f t="shared" si="15"/>
        <v>7827.5722610372568</v>
      </c>
      <c r="Q70" s="242">
        <f t="shared" si="23"/>
        <v>0</v>
      </c>
      <c r="R70" s="242">
        <f t="shared" si="4"/>
        <v>0</v>
      </c>
      <c r="S70" s="242">
        <f t="shared" si="5"/>
        <v>334479.771410416</v>
      </c>
      <c r="T70" s="467">
        <f t="shared" si="36"/>
        <v>0</v>
      </c>
      <c r="U70" s="36">
        <f t="shared" si="20"/>
        <v>23</v>
      </c>
      <c r="V70" s="36">
        <f t="shared" si="6"/>
        <v>23</v>
      </c>
      <c r="W70" s="36">
        <f t="shared" si="7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32"/>
        <v>14612</v>
      </c>
      <c r="Z70" s="57">
        <f t="shared" si="30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>
        <f>IF(AND(Z26&gt;=$X$11,Z26&lt;=$X$11+5),0,IF($C$9&gt;$AG$51,ROUND(AJ30*#REF!/(DATEVALUE(CONCATENATE("01/01/",YEAR(AA26)+1))-DATEVALUE(CONCATENATE("01/01/",YEAR(AA26))))*(AA26-AA25),2),0))</f>
        <v>0</v>
      </c>
      <c r="AN70" s="34">
        <f t="shared" si="33"/>
        <v>14501</v>
      </c>
      <c r="AO70" s="57">
        <f t="shared" si="31"/>
        <v>53710</v>
      </c>
      <c r="AP70" s="130">
        <f t="shared" si="8"/>
        <v>1</v>
      </c>
      <c r="AQ70" s="553">
        <f t="shared" si="21"/>
        <v>62</v>
      </c>
      <c r="AR70" s="554">
        <f>IF((OR(DAY($AE$54)=29,DAY($AE$54)=30,DAY($AE$54)=31)),(EDATE($C$9-3,AQ70)),EDATE($C$9,AQ70))</f>
        <v>47201</v>
      </c>
      <c r="AS70" s="555">
        <f>IF($D$16="Да",$AN$40,$D$13)</f>
        <v>0.29899999999999999</v>
      </c>
      <c r="AT70" s="546">
        <f t="shared" si="9"/>
        <v>14501</v>
      </c>
      <c r="AU70" s="546">
        <f t="shared" si="16"/>
        <v>14501</v>
      </c>
      <c r="AV70" s="546">
        <f>BH69*($D$13/365*(AR70-AR69))</f>
        <v>5652.4066411254053</v>
      </c>
      <c r="AW70" s="546">
        <f t="shared" si="10"/>
        <v>8848.5933588745938</v>
      </c>
      <c r="AX70" s="546">
        <f>IF(AZ70-BA70&gt;$D$24,$D$24-AV70,IF(BJ70=0,0,BB70)+BY118)</f>
        <v>0</v>
      </c>
      <c r="AY70" s="546">
        <v>0</v>
      </c>
      <c r="AZ70" s="546">
        <f t="shared" si="11"/>
        <v>5652.4066411254053</v>
      </c>
      <c r="BA70" s="546">
        <f t="shared" si="26"/>
        <v>0</v>
      </c>
      <c r="BB70" s="546">
        <f t="shared" si="25"/>
        <v>0</v>
      </c>
      <c r="BC70" s="546"/>
      <c r="BD70" s="546"/>
      <c r="BE70" s="546"/>
      <c r="BF70" s="546"/>
      <c r="BG70" s="546"/>
      <c r="BH70" s="546">
        <f t="shared" si="13"/>
        <v>237583.37319759614</v>
      </c>
      <c r="BI70" s="108">
        <f t="shared" si="22"/>
        <v>23</v>
      </c>
      <c r="BJ70" s="108">
        <f t="shared" si="17"/>
        <v>23</v>
      </c>
      <c r="BK70" s="22">
        <f t="shared" si="18"/>
        <v>47201</v>
      </c>
      <c r="BL70" s="108">
        <f t="shared" si="2"/>
        <v>14612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19"/>
        <v>63</v>
      </c>
      <c r="H71" s="245">
        <f>IF((OR(DAY($AE$54)=29,DAY($AE$54)=30,DAY($AE$54)=31)),(EDATE($C$9-3,G71)),EDATE($C$9,G71))</f>
        <v>47232</v>
      </c>
      <c r="I71" s="246">
        <f>IF(AND($X$11=1,G71&gt;=$X$11,),0%,$C$13)</f>
        <v>0.29899999999999999</v>
      </c>
      <c r="J71" s="242">
        <f t="shared" si="0"/>
        <v>14612</v>
      </c>
      <c r="K71" s="242">
        <f>IF(G71&gt;$C$10,0,IF((S70+L71)&lt;K70,(S70+L71),IF(T70=0,K70,MIN(K70,ROUNDUP(S70*$C$13/12/((1-(1+$C$13/12)^(0-($C$10-G71)))),0)))))</f>
        <v>14612</v>
      </c>
      <c r="L71" s="242">
        <f t="shared" si="3"/>
        <v>8493.9534279538238</v>
      </c>
      <c r="M71" s="242">
        <f t="shared" si="14"/>
        <v>6118.0465720461762</v>
      </c>
      <c r="N71" s="242">
        <f>IF(P71-Q71&gt;$C$24,$C$24-L71,IF(V71=0,0,R71)+$AJ$51)</f>
        <v>0</v>
      </c>
      <c r="O71" s="242">
        <v>0</v>
      </c>
      <c r="P71" s="242">
        <f t="shared" si="15"/>
        <v>8493.9534279538238</v>
      </c>
      <c r="Q71" s="242">
        <f t="shared" si="23"/>
        <v>0</v>
      </c>
      <c r="R71" s="242">
        <f t="shared" si="4"/>
        <v>0</v>
      </c>
      <c r="S71" s="242">
        <f t="shared" si="5"/>
        <v>328361.72483836982</v>
      </c>
      <c r="T71" s="467">
        <f t="shared" si="36"/>
        <v>0</v>
      </c>
      <c r="U71" s="36">
        <f t="shared" si="20"/>
        <v>22</v>
      </c>
      <c r="V71" s="36">
        <f t="shared" si="6"/>
        <v>22</v>
      </c>
      <c r="W71" s="36">
        <f t="shared" si="7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32"/>
        <v>14612</v>
      </c>
      <c r="Z71" s="57">
        <f t="shared" si="30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>
        <f>IF(AND(Z27&gt;=$X$11,Z27&lt;=$X$11+5),0,IF($C$9&gt;$AG$51,ROUND(AJ31*#REF!/(DATEVALUE(CONCATENATE("01/01/",YEAR(AA27)+1))-DATEVALUE(CONCATENATE("01/01/",YEAR(AA27))))*(AA27-AA26),2),0))</f>
        <v>0</v>
      </c>
      <c r="AN71" s="34">
        <f t="shared" si="33"/>
        <v>14501</v>
      </c>
      <c r="AO71" s="57">
        <f t="shared" si="31"/>
        <v>54075</v>
      </c>
      <c r="AP71" s="130">
        <f t="shared" si="8"/>
        <v>1</v>
      </c>
      <c r="AQ71" s="553">
        <f t="shared" si="21"/>
        <v>63</v>
      </c>
      <c r="AR71" s="554">
        <f>IF((OR(DAY($AE$54)=29,DAY($AE$54)=30,DAY($AE$54)=31)),(EDATE($C$9-3,AQ71)),EDATE($C$9,AQ71))</f>
        <v>47232</v>
      </c>
      <c r="AS71" s="555">
        <f>IF($D$16="Да",$AN$40,$D$13)</f>
        <v>0.29899999999999999</v>
      </c>
      <c r="AT71" s="546">
        <f t="shared" si="9"/>
        <v>14501</v>
      </c>
      <c r="AU71" s="546">
        <f t="shared" si="16"/>
        <v>14501</v>
      </c>
      <c r="AV71" s="546">
        <f>BH70*($D$13/365*(AR71-AR70))</f>
        <v>6033.315852516489</v>
      </c>
      <c r="AW71" s="546">
        <f t="shared" si="10"/>
        <v>8467.684147483511</v>
      </c>
      <c r="AX71" s="546">
        <f>IF(AZ71-BA71&gt;$D$24,$D$24-AV71,IF(BJ71=0,0,BB71)+BY119)</f>
        <v>0</v>
      </c>
      <c r="AY71" s="546">
        <v>0</v>
      </c>
      <c r="AZ71" s="546">
        <f t="shared" si="11"/>
        <v>6033.315852516489</v>
      </c>
      <c r="BA71" s="546">
        <f t="shared" si="26"/>
        <v>0</v>
      </c>
      <c r="BB71" s="546">
        <f t="shared" si="25"/>
        <v>0</v>
      </c>
      <c r="BC71" s="546"/>
      <c r="BD71" s="546"/>
      <c r="BE71" s="546"/>
      <c r="BF71" s="546"/>
      <c r="BG71" s="546"/>
      <c r="BH71" s="546">
        <f t="shared" si="13"/>
        <v>229115.68905011262</v>
      </c>
      <c r="BI71" s="108">
        <f t="shared" si="22"/>
        <v>22</v>
      </c>
      <c r="BJ71" s="108">
        <f t="shared" si="17"/>
        <v>22</v>
      </c>
      <c r="BK71" s="22">
        <f t="shared" si="18"/>
        <v>47232</v>
      </c>
      <c r="BL71" s="108">
        <f t="shared" si="2"/>
        <v>14612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19"/>
        <v>64</v>
      </c>
      <c r="H72" s="245">
        <f>IF((OR(DAY($AE$54)=29,DAY($AE$54)=30,DAY($AE$54)=31)),(EDATE($C$9-3,G72)),EDATE($C$9,G72))</f>
        <v>47262</v>
      </c>
      <c r="I72" s="246">
        <f>IF(AND($X$11=1,G72&gt;=$X$11,),0%,$C$13)</f>
        <v>0.29899999999999999</v>
      </c>
      <c r="J72" s="242">
        <f t="shared" si="0"/>
        <v>14612</v>
      </c>
      <c r="K72" s="242">
        <f>IF(G72&gt;$C$10,0,IF((S71+L72)&lt;K71,(S71+L72),IF(T71=0,K71,MIN(K71,ROUNDUP(S71*$C$13/12/((1-(1+$C$13/12)^(0-($C$10-G72)))),0)))))</f>
        <v>14612</v>
      </c>
      <c r="L72" s="242">
        <f t="shared" si="3"/>
        <v>8069.6018405484301</v>
      </c>
      <c r="M72" s="242">
        <f t="shared" si="14"/>
        <v>6542.3981594515699</v>
      </c>
      <c r="N72" s="242">
        <f>IF(P72-Q72&gt;$C$24,$C$24-L72,IF(V72=0,0,R72)+$AJ$51)</f>
        <v>0</v>
      </c>
      <c r="O72" s="242">
        <v>0</v>
      </c>
      <c r="P72" s="242">
        <f t="shared" si="15"/>
        <v>8069.6018405484301</v>
      </c>
      <c r="Q72" s="242">
        <f t="shared" si="23"/>
        <v>0</v>
      </c>
      <c r="R72" s="242">
        <f t="shared" si="4"/>
        <v>0</v>
      </c>
      <c r="S72" s="242">
        <f t="shared" si="5"/>
        <v>321819.32667891827</v>
      </c>
      <c r="T72" s="467">
        <f t="shared" si="36"/>
        <v>0</v>
      </c>
      <c r="U72" s="36">
        <f t="shared" si="20"/>
        <v>21</v>
      </c>
      <c r="V72" s="36">
        <f t="shared" si="6"/>
        <v>21</v>
      </c>
      <c r="W72" s="36">
        <f t="shared" si="7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32"/>
        <v>14612</v>
      </c>
      <c r="Z72" s="57">
        <f t="shared" si="30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33"/>
        <v>14501</v>
      </c>
      <c r="AO72" s="57">
        <f t="shared" si="31"/>
        <v>54440</v>
      </c>
      <c r="AP72" s="130">
        <f t="shared" si="8"/>
        <v>1</v>
      </c>
      <c r="AQ72" s="553">
        <f t="shared" si="21"/>
        <v>64</v>
      </c>
      <c r="AR72" s="554">
        <f>IF((OR(DAY($AE$54)=29,DAY($AE$54)=30,DAY($AE$54)=31)),(EDATE($C$9-3,AQ72)),EDATE($C$9,AQ72))</f>
        <v>47262</v>
      </c>
      <c r="AS72" s="555">
        <f>IF($D$16="Да",$AN$40,$D$13)</f>
        <v>0.29899999999999999</v>
      </c>
      <c r="AT72" s="546">
        <f t="shared" si="9"/>
        <v>14501</v>
      </c>
      <c r="AU72" s="546">
        <f t="shared" si="16"/>
        <v>14501</v>
      </c>
      <c r="AV72" s="546">
        <f>BH71*($D$13/365*(AR72-AR71))</f>
        <v>5630.5965226835888</v>
      </c>
      <c r="AW72" s="546">
        <f t="shared" si="10"/>
        <v>8870.4034773164112</v>
      </c>
      <c r="AX72" s="546">
        <f>IF(AZ72-BA72&gt;$D$24,$D$24-AV72,IF(BJ72=0,0,BB72)+BY120)</f>
        <v>0</v>
      </c>
      <c r="AY72" s="546">
        <v>0</v>
      </c>
      <c r="AZ72" s="546">
        <f t="shared" si="11"/>
        <v>5630.5965226835888</v>
      </c>
      <c r="BA72" s="546">
        <f t="shared" si="26"/>
        <v>0</v>
      </c>
      <c r="BB72" s="546">
        <f t="shared" si="25"/>
        <v>0</v>
      </c>
      <c r="BC72" s="546"/>
      <c r="BD72" s="546"/>
      <c r="BE72" s="546"/>
      <c r="BF72" s="546"/>
      <c r="BG72" s="546"/>
      <c r="BH72" s="546">
        <f t="shared" si="13"/>
        <v>220245.28557279622</v>
      </c>
      <c r="BI72" s="108">
        <f t="shared" si="22"/>
        <v>21</v>
      </c>
      <c r="BJ72" s="108">
        <f t="shared" si="17"/>
        <v>21</v>
      </c>
      <c r="BK72" s="22">
        <f t="shared" si="18"/>
        <v>47262</v>
      </c>
      <c r="BL72" s="108">
        <f t="shared" si="2"/>
        <v>14612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19"/>
        <v>65</v>
      </c>
      <c r="H73" s="245">
        <f>IF((OR(DAY($AE$54)=29,DAY($AE$54)=30,DAY($AE$54)=31)),(EDATE($C$9-3,G73)),EDATE($C$9,G73))</f>
        <v>47293</v>
      </c>
      <c r="I73" s="246">
        <f>IF(AND($X$11=1,G73&gt;=$X$11,),0%,$C$13)</f>
        <v>0.29899999999999999</v>
      </c>
      <c r="J73" s="242">
        <f t="shared" si="0"/>
        <v>14612</v>
      </c>
      <c r="K73" s="242">
        <f>IF(G73&gt;$C$10,0,IF((S72+L73)&lt;K72,(S72+L73),IF(T72=0,K72,MIN(K72,ROUNDUP(S72*$C$13/12/((1-(1+$C$13/12)^(0-($C$10-G73)))),0)))))</f>
        <v>14612</v>
      </c>
      <c r="L73" s="242">
        <f t="shared" si="3"/>
        <v>8172.4475040736797</v>
      </c>
      <c r="M73" s="242">
        <f t="shared" si="14"/>
        <v>6439.5524959263203</v>
      </c>
      <c r="N73" s="242">
        <f>IF(P73-Q73&gt;$C$24,$C$24-L73,IF(V73=0,0,R73)+$AJ$51)</f>
        <v>0</v>
      </c>
      <c r="O73" s="242">
        <v>0</v>
      </c>
      <c r="P73" s="242">
        <f t="shared" si="15"/>
        <v>8172.4475040736797</v>
      </c>
      <c r="Q73" s="242">
        <f t="shared" si="23"/>
        <v>0</v>
      </c>
      <c r="R73" s="242">
        <f t="shared" si="4"/>
        <v>0</v>
      </c>
      <c r="S73" s="242">
        <f t="shared" si="5"/>
        <v>315379.77418299194</v>
      </c>
      <c r="T73" s="467">
        <f t="shared" si="36"/>
        <v>0</v>
      </c>
      <c r="U73" s="36">
        <f t="shared" si="20"/>
        <v>20</v>
      </c>
      <c r="V73" s="36">
        <f t="shared" si="6"/>
        <v>20</v>
      </c>
      <c r="W73" s="36">
        <f t="shared" si="7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32"/>
        <v>14612</v>
      </c>
      <c r="Z73" s="57">
        <f t="shared" si="30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>
        <f>IF(AND(Z29&gt;=$X$11,Z29&lt;=$X$11+5),0,IF($C$9&gt;$AG$51,ROUND(AJ33*#REF!/(DATEVALUE(CONCATENATE("01/01/",YEAR(AA29)+1))-DATEVALUE(CONCATENATE("01/01/",YEAR(AA29))))*(AA29-AA28),2),0))</f>
        <v>0</v>
      </c>
      <c r="AN73" s="34">
        <f t="shared" si="33"/>
        <v>14501</v>
      </c>
      <c r="AO73" s="57">
        <f t="shared" si="31"/>
        <v>54805</v>
      </c>
      <c r="AP73" s="130">
        <f t="shared" si="8"/>
        <v>1</v>
      </c>
      <c r="AQ73" s="553">
        <f t="shared" si="21"/>
        <v>65</v>
      </c>
      <c r="AR73" s="554">
        <f>IF((OR(DAY($AE$54)=29,DAY($AE$54)=30,DAY($AE$54)=31)),(EDATE($C$9-3,AQ73)),EDATE($C$9,AQ73))</f>
        <v>47293</v>
      </c>
      <c r="AS73" s="555">
        <f>IF($D$16="Да",$AN$40,$D$13)</f>
        <v>0.29899999999999999</v>
      </c>
      <c r="AT73" s="546">
        <f t="shared" si="9"/>
        <v>14501</v>
      </c>
      <c r="AU73" s="546">
        <f t="shared" si="16"/>
        <v>14501</v>
      </c>
      <c r="AV73" s="546">
        <f>BH72*($D$13/365*(AR73-AR72))</f>
        <v>5593.0234300664324</v>
      </c>
      <c r="AW73" s="546">
        <f t="shared" si="10"/>
        <v>8907.9765699335676</v>
      </c>
      <c r="AX73" s="546">
        <f>IF(AZ73-BA73&gt;$D$24,$D$24-AV73,IF(BJ73=0,0,BB73)+BY121)</f>
        <v>0</v>
      </c>
      <c r="AY73" s="546">
        <v>0</v>
      </c>
      <c r="AZ73" s="546">
        <f t="shared" si="11"/>
        <v>5593.0234300664324</v>
      </c>
      <c r="BA73" s="546">
        <f t="shared" si="26"/>
        <v>0</v>
      </c>
      <c r="BB73" s="546">
        <f t="shared" si="25"/>
        <v>0</v>
      </c>
      <c r="BC73" s="546"/>
      <c r="BD73" s="546"/>
      <c r="BE73" s="546"/>
      <c r="BF73" s="546"/>
      <c r="BG73" s="546"/>
      <c r="BH73" s="546">
        <f t="shared" si="13"/>
        <v>211337.30900286266</v>
      </c>
      <c r="BI73" s="108">
        <f t="shared" si="22"/>
        <v>20</v>
      </c>
      <c r="BJ73" s="108">
        <f t="shared" si="17"/>
        <v>20</v>
      </c>
      <c r="BK73" s="22">
        <f t="shared" si="18"/>
        <v>47293</v>
      </c>
      <c r="BL73" s="108">
        <f t="shared" ref="BL73:BL114" si="37">K73</f>
        <v>14612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19"/>
        <v>66</v>
      </c>
      <c r="H74" s="245">
        <f>IF((OR(DAY($AE$54)=29,DAY($AE$54)=30,DAY($AE$54)=31)),(EDATE($C$9-3,G74)),EDATE($C$9,G74))</f>
        <v>47323</v>
      </c>
      <c r="I74" s="246">
        <f>IF(AND($X$11=1,G74&gt;=$X$11,),0%,$C$13)</f>
        <v>0.29899999999999999</v>
      </c>
      <c r="J74" s="242">
        <f t="shared" ref="J74:J108" si="38">K74+Q74</f>
        <v>14612</v>
      </c>
      <c r="K74" s="242">
        <f>IF(G74&gt;$C$10,0,IF((S73+L74)&lt;K73,(S73+L74),IF(T73=0,K73,MIN(K73,ROUNDUP(S73*$C$13/12/((1-(1+$C$13/12)^(0-($C$10-G74)))),0)))))</f>
        <v>14612</v>
      </c>
      <c r="L74" s="242">
        <f t="shared" ref="L74:L108" si="39">S73*($C$13/(DATE(YEAR(H73)+1,1,1)-DATE(YEAR(H73),1,1))*(H74-H73))</f>
        <v>7750.5659573190069</v>
      </c>
      <c r="M74" s="242">
        <f t="shared" si="14"/>
        <v>6861.4340426809931</v>
      </c>
      <c r="N74" s="242">
        <f>IF(P74-Q74&gt;$C$24,$C$24-L74,IF(V74=0,0,R74)+$AJ$51)</f>
        <v>0</v>
      </c>
      <c r="O74" s="242">
        <v>0</v>
      </c>
      <c r="P74" s="242">
        <f t="shared" si="15"/>
        <v>7750.5659573190069</v>
      </c>
      <c r="Q74" s="242">
        <f t="shared" si="23"/>
        <v>0</v>
      </c>
      <c r="R74" s="242">
        <f t="shared" ref="R74:R108" si="40">IF(V74=0,0,0)</f>
        <v>0</v>
      </c>
      <c r="S74" s="242">
        <f t="shared" ref="S74" si="41">S73-M74-T74</f>
        <v>308518.34014031093</v>
      </c>
      <c r="T74" s="467">
        <f t="shared" si="36"/>
        <v>0</v>
      </c>
      <c r="U74" s="36">
        <f t="shared" si="20"/>
        <v>19</v>
      </c>
      <c r="V74" s="36">
        <f t="shared" ref="V74:V107" si="42">U74</f>
        <v>19</v>
      </c>
      <c r="W74" s="36">
        <f t="shared" ref="W74:W108" si="43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32"/>
        <v>14612</v>
      </c>
      <c r="Z74" s="57">
        <f t="shared" si="30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>
        <f>IF(AND(Z30&gt;=$X$11,Z30&lt;=$X$11+5),0,IF($C$9&gt;$AG$51,ROUND(AJ34*#REF!/(DATEVALUE(CONCATENATE("01/01/",YEAR(AA30)+1))-DATEVALUE(CONCATENATE("01/01/",YEAR(AA30))))*(AA30-AA29),2),0))</f>
        <v>0</v>
      </c>
      <c r="AN74" s="34">
        <f t="shared" si="33"/>
        <v>14501</v>
      </c>
      <c r="AO74" s="57">
        <f t="shared" si="31"/>
        <v>55170</v>
      </c>
      <c r="AP74" s="130">
        <f t="shared" ref="AP74:AP108" si="44">IF(OR(AU74="",AU74=0),0,1)</f>
        <v>1</v>
      </c>
      <c r="AQ74" s="553">
        <f t="shared" si="21"/>
        <v>66</v>
      </c>
      <c r="AR74" s="554">
        <f>IF((OR(DAY($AE$54)=29,DAY($AE$54)=30,DAY($AE$54)=31)),(EDATE($C$9-3,AQ74)),EDATE($C$9,AQ74))</f>
        <v>47323</v>
      </c>
      <c r="AS74" s="555">
        <f>IF($D$16="Да",$AN$40,$D$13)</f>
        <v>0.29899999999999999</v>
      </c>
      <c r="AT74" s="546">
        <f t="shared" ref="AT74:AT108" si="45">AU74+BA74</f>
        <v>14501</v>
      </c>
      <c r="AU74" s="546">
        <f t="shared" si="16"/>
        <v>14501</v>
      </c>
      <c r="AV74" s="546">
        <f t="shared" ref="AV74:AV108" si="46">BH73*($D$13/365*(AR74-AR73))</f>
        <v>5193.686744536104</v>
      </c>
      <c r="AW74" s="546">
        <f t="shared" ref="AW74:AW108" si="47">IF(BJ74=0,0,IF(BJ74=1,BH73,IF(BH73+AX74+AV74&gt;AU73,AU74-AV74-AX74,BH73)))</f>
        <v>9307.313255463896</v>
      </c>
      <c r="AX74" s="546">
        <f>IF(AZ74-BA74&gt;$D$24,$D$24-AV74,IF(BJ74=0,0,BB74)+BY122)</f>
        <v>0</v>
      </c>
      <c r="AY74" s="546">
        <v>0</v>
      </c>
      <c r="AZ74" s="546">
        <f t="shared" si="11"/>
        <v>5193.686744536104</v>
      </c>
      <c r="BA74" s="546">
        <f t="shared" si="26"/>
        <v>0</v>
      </c>
      <c r="BB74" s="546">
        <f t="shared" si="25"/>
        <v>0</v>
      </c>
      <c r="BC74" s="546"/>
      <c r="BD74" s="546"/>
      <c r="BE74" s="546"/>
      <c r="BF74" s="546"/>
      <c r="BG74" s="546"/>
      <c r="BH74" s="546">
        <f t="shared" ref="BH74:BH108" si="48">IF(OR(BJ74=1,BH73=0),0,BH73-AW74)</f>
        <v>202029.99574739876</v>
      </c>
      <c r="BI74" s="108">
        <f t="shared" si="22"/>
        <v>19</v>
      </c>
      <c r="BJ74" s="108">
        <f t="shared" si="17"/>
        <v>19</v>
      </c>
      <c r="BK74" s="22">
        <f t="shared" si="18"/>
        <v>47323</v>
      </c>
      <c r="BL74" s="108">
        <f t="shared" si="37"/>
        <v>14612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19"/>
        <v>67</v>
      </c>
      <c r="H75" s="245">
        <f>IF((OR(DAY($AE$54)=29,DAY($AE$54)=30,DAY($AE$54)=31)),(EDATE($C$9-3,G75)),EDATE($C$9,G75))</f>
        <v>47354</v>
      </c>
      <c r="I75" s="246">
        <f>IF(AND($X$11=1,G75&gt;=$X$11,),0%,$C$13)</f>
        <v>0.29899999999999999</v>
      </c>
      <c r="J75" s="242">
        <f t="shared" si="38"/>
        <v>14612</v>
      </c>
      <c r="K75" s="242">
        <f>IF(G75&gt;$C$10,0,IF((S74+L75)&lt;K74,(S74+L75),IF(T74=0,K74,MIN(K74,ROUNDUP(S74*$C$13/12/((1-(1+$C$13/12)^(0-($C$10-G75)))),0)))))</f>
        <v>14612</v>
      </c>
      <c r="L75" s="242">
        <f t="shared" si="39"/>
        <v>7834.6753281110732</v>
      </c>
      <c r="M75" s="242">
        <f t="shared" ref="M75:M92" si="49">IF(S74=0,0,IF(S74+L75&gt;K74,K75-L75,S74))</f>
        <v>6777.3246718889268</v>
      </c>
      <c r="N75" s="242">
        <f>IF(P75-Q75&gt;$C$24,$C$24-L75,IF(V75=0,0,R75)+$AJ$51)</f>
        <v>0</v>
      </c>
      <c r="O75" s="242">
        <v>0</v>
      </c>
      <c r="P75" s="242">
        <f t="shared" si="15"/>
        <v>7834.6753281110732</v>
      </c>
      <c r="Q75" s="242">
        <f t="shared" si="23"/>
        <v>0</v>
      </c>
      <c r="R75" s="242">
        <f t="shared" si="40"/>
        <v>0</v>
      </c>
      <c r="S75" s="242">
        <f t="shared" ref="S75:S108" si="50">IF(OR(V75=1,S74=0),0,S74-M75)</f>
        <v>301741.01546842203</v>
      </c>
      <c r="T75" s="467">
        <f t="shared" si="36"/>
        <v>0</v>
      </c>
      <c r="U75" s="36">
        <f t="shared" si="20"/>
        <v>18</v>
      </c>
      <c r="V75" s="36">
        <f t="shared" si="42"/>
        <v>18</v>
      </c>
      <c r="W75" s="36">
        <f t="shared" si="43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32"/>
        <v>14612</v>
      </c>
      <c r="Z75" s="57">
        <f t="shared" si="30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>
        <f>IF(AND(Z31&gt;=$X$11,Z31&lt;=$X$11+5),0,IF($C$9&gt;$AG$51,ROUND(AJ35*#REF!/(DATEVALUE(CONCATENATE("01/01/",YEAR(AA31)+1))-DATEVALUE(CONCATENATE("01/01/",YEAR(AA31))))*(AA31-AA30),2),0))</f>
        <v>0</v>
      </c>
      <c r="AN75" s="34">
        <f t="shared" si="33"/>
        <v>14501</v>
      </c>
      <c r="AO75" s="57">
        <f t="shared" si="31"/>
        <v>55535</v>
      </c>
      <c r="AP75" s="130">
        <f t="shared" si="44"/>
        <v>1</v>
      </c>
      <c r="AQ75" s="553">
        <f t="shared" si="21"/>
        <v>67</v>
      </c>
      <c r="AR75" s="554">
        <f>IF((OR(DAY($AE$54)=29,DAY($AE$54)=30,DAY($AE$54)=31)),(EDATE($C$9-3,AQ75)),EDATE($C$9,AQ75))</f>
        <v>47354</v>
      </c>
      <c r="AS75" s="555">
        <f>IF($D$16="Да",$AN$40,$D$13)</f>
        <v>0.29899999999999999</v>
      </c>
      <c r="AT75" s="559">
        <f t="shared" si="45"/>
        <v>14501</v>
      </c>
      <c r="AU75" s="546">
        <f t="shared" ref="AU75:AU108" si="51">IF(AQ75&gt;$C$10,0,IF(BD74=0,AU74,ROUNDUP(BC74*$C$11/12/((1-(1+$C$11/12)^(0-($C$10-AQ75)))),0)))</f>
        <v>14501</v>
      </c>
      <c r="AV75" s="546">
        <f t="shared" si="46"/>
        <v>5130.4548783086002</v>
      </c>
      <c r="AW75" s="546">
        <f t="shared" si="47"/>
        <v>9370.5451216914007</v>
      </c>
      <c r="AX75" s="559">
        <f>IF(AZ75-BA75&gt;$D$24,$D$24-AV75,IF(BJ75=0,0,BB75)+BY123)</f>
        <v>0</v>
      </c>
      <c r="AY75" s="559">
        <v>0</v>
      </c>
      <c r="AZ75" s="559">
        <f t="shared" si="11"/>
        <v>5130.4548783086002</v>
      </c>
      <c r="BA75" s="559">
        <f t="shared" si="26"/>
        <v>0</v>
      </c>
      <c r="BB75" s="559">
        <f t="shared" si="25"/>
        <v>0</v>
      </c>
      <c r="BC75" s="559"/>
      <c r="BD75" s="559"/>
      <c r="BE75" s="559"/>
      <c r="BF75" s="559"/>
      <c r="BG75" s="559"/>
      <c r="BH75" s="546">
        <f t="shared" si="48"/>
        <v>192659.45062570737</v>
      </c>
      <c r="BI75" s="108">
        <f t="shared" si="22"/>
        <v>18</v>
      </c>
      <c r="BJ75" s="108">
        <f t="shared" ref="BJ75:BJ114" si="52">BI75</f>
        <v>18</v>
      </c>
      <c r="BK75" s="22">
        <f t="shared" ref="BK75:BK114" si="53">H75</f>
        <v>47354</v>
      </c>
      <c r="BL75" s="108">
        <f t="shared" si="37"/>
        <v>14612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54">G75+1</f>
        <v>68</v>
      </c>
      <c r="H76" s="245">
        <f>IF((OR(DAY($AE$54)=29,DAY($AE$54)=30,DAY($AE$54)=31)),(EDATE($C$9-3,G76)),EDATE($C$9,G76))</f>
        <v>47385</v>
      </c>
      <c r="I76" s="246">
        <f>IF(AND($X$11=1,G76&gt;=$X$11,),0%,$C$13)</f>
        <v>0.29899999999999999</v>
      </c>
      <c r="J76" s="242">
        <f t="shared" si="38"/>
        <v>14612</v>
      </c>
      <c r="K76" s="242">
        <f>IF(G76&gt;$C$10,0,IF((S75+L76)&lt;K75,(S75+L76),IF(T75=0,K75,MIN(K75,ROUNDUP(S75*$C$13/12/((1-(1+$C$13/12)^(0-($C$10-G76)))),0)))))</f>
        <v>14612</v>
      </c>
      <c r="L76" s="242">
        <f t="shared" si="39"/>
        <v>7662.5684174706948</v>
      </c>
      <c r="M76" s="242">
        <f t="shared" si="49"/>
        <v>6949.4315825293052</v>
      </c>
      <c r="N76" s="242">
        <f>IF(P76-Q76&gt;$C$24,$C$24-L76,IF(V76=0,0,R76)+$AJ$51)</f>
        <v>0</v>
      </c>
      <c r="O76" s="242">
        <v>0</v>
      </c>
      <c r="P76" s="242">
        <f t="shared" si="15"/>
        <v>7662.5684174706948</v>
      </c>
      <c r="Q76" s="242">
        <f t="shared" si="23"/>
        <v>0</v>
      </c>
      <c r="R76" s="242">
        <f t="shared" si="40"/>
        <v>0</v>
      </c>
      <c r="S76" s="242">
        <f t="shared" si="50"/>
        <v>294791.5838858927</v>
      </c>
      <c r="T76" s="467">
        <f t="shared" si="36"/>
        <v>0</v>
      </c>
      <c r="U76" s="36">
        <f t="shared" ref="U76:U108" si="55">IF((U75-1)&lt;0,0,U75-1)</f>
        <v>17</v>
      </c>
      <c r="V76" s="36">
        <f t="shared" si="42"/>
        <v>17</v>
      </c>
      <c r="W76" s="36">
        <f t="shared" si="43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32"/>
        <v>14612</v>
      </c>
      <c r="Z76" s="57">
        <f t="shared" si="30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>
        <f>IF(AND(Z32&gt;=$X$11,Z32&lt;=$X$11+5),0,IF($C$9&gt;$AG$51,ROUND(AJ36*#REF!/(DATEVALUE(CONCATENATE("01/01/",YEAR(AA32)+1))-DATEVALUE(CONCATENATE("01/01/",YEAR(AA32))))*(AA32-AA31),2),0))</f>
        <v>0</v>
      </c>
      <c r="AN76" s="34">
        <f t="shared" si="33"/>
        <v>14501</v>
      </c>
      <c r="AO76" s="57">
        <f t="shared" si="31"/>
        <v>55900</v>
      </c>
      <c r="AP76" s="130">
        <f t="shared" si="44"/>
        <v>1</v>
      </c>
      <c r="AQ76" s="553">
        <f t="shared" ref="AQ76:AQ108" si="56">AQ75+1</f>
        <v>68</v>
      </c>
      <c r="AR76" s="554">
        <f>IF((OR(DAY($AE$54)=29,DAY($AE$54)=30,DAY($AE$54)=31)),(EDATE($C$9-3,AQ76)),EDATE($C$9,AQ76))</f>
        <v>47385</v>
      </c>
      <c r="AS76" s="555">
        <f>IF($D$16="Да",$AN$40,$D$13)</f>
        <v>0.29899999999999999</v>
      </c>
      <c r="AT76" s="559">
        <f t="shared" si="45"/>
        <v>14501</v>
      </c>
      <c r="AU76" s="546">
        <f t="shared" si="51"/>
        <v>14501</v>
      </c>
      <c r="AV76" s="546">
        <f t="shared" si="46"/>
        <v>4892.4943776703603</v>
      </c>
      <c r="AW76" s="546">
        <f t="shared" si="47"/>
        <v>9608.5056223296397</v>
      </c>
      <c r="AX76" s="559">
        <f>IF(AZ76-BA76&gt;$D$24,$D$24-AV76,IF(BJ76=0,0,BB76)+BY124)</f>
        <v>0</v>
      </c>
      <c r="AY76" s="559">
        <v>0</v>
      </c>
      <c r="AZ76" s="559">
        <f t="shared" si="11"/>
        <v>4892.4943776703603</v>
      </c>
      <c r="BA76" s="559">
        <f t="shared" si="26"/>
        <v>0</v>
      </c>
      <c r="BB76" s="559">
        <f t="shared" si="25"/>
        <v>0</v>
      </c>
      <c r="BC76" s="559"/>
      <c r="BD76" s="559"/>
      <c r="BE76" s="559"/>
      <c r="BF76" s="559"/>
      <c r="BG76" s="559"/>
      <c r="BH76" s="546">
        <f t="shared" si="48"/>
        <v>183050.94500337774</v>
      </c>
      <c r="BI76" s="108">
        <f t="shared" ref="BI76:BI114" si="57">IF((BI75-1)&lt;0,0,BI75-1)</f>
        <v>17</v>
      </c>
      <c r="BJ76" s="108">
        <f t="shared" si="52"/>
        <v>17</v>
      </c>
      <c r="BK76" s="22">
        <f t="shared" si="53"/>
        <v>47385</v>
      </c>
      <c r="BL76" s="108">
        <f t="shared" si="37"/>
        <v>14612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54"/>
        <v>69</v>
      </c>
      <c r="H77" s="245">
        <f>IF((OR(DAY($AE$54)=29,DAY($AE$54)=30,DAY($AE$54)=31)),(EDATE($C$9-3,G77)),EDATE($C$9,G77))</f>
        <v>47415</v>
      </c>
      <c r="I77" s="246">
        <f>IF(AND($X$11=1,G77&gt;=$X$11,),0%,$C$13)</f>
        <v>0.29899999999999999</v>
      </c>
      <c r="J77" s="242">
        <f t="shared" si="38"/>
        <v>14612</v>
      </c>
      <c r="K77" s="242">
        <f>IF(G77&gt;$C$10,0,IF((S76+L77)&lt;K76,(S76+L77),IF(T76=0,K76,MIN(K76,ROUNDUP(S76*$C$13/12/((1-(1+$C$13/12)^(0-($C$10-G77)))),0)))))</f>
        <v>14612</v>
      </c>
      <c r="L77" s="242">
        <f t="shared" si="39"/>
        <v>7244.6041300176912</v>
      </c>
      <c r="M77" s="242">
        <f t="shared" si="49"/>
        <v>7367.3958699823088</v>
      </c>
      <c r="N77" s="242">
        <f>IF(P77-Q77&gt;$C$24,$C$24-L77,IF(V77=0,0,R77)+$AJ$51)</f>
        <v>0</v>
      </c>
      <c r="O77" s="242">
        <v>0</v>
      </c>
      <c r="P77" s="242">
        <f t="shared" si="15"/>
        <v>7244.6041300176912</v>
      </c>
      <c r="Q77" s="242">
        <f t="shared" si="23"/>
        <v>0</v>
      </c>
      <c r="R77" s="242">
        <f t="shared" si="40"/>
        <v>0</v>
      </c>
      <c r="S77" s="242">
        <f t="shared" si="50"/>
        <v>287424.18801591039</v>
      </c>
      <c r="T77" s="467">
        <f t="shared" si="36"/>
        <v>0</v>
      </c>
      <c r="U77" s="36">
        <f t="shared" si="55"/>
        <v>16</v>
      </c>
      <c r="V77" s="36">
        <f t="shared" si="42"/>
        <v>16</v>
      </c>
      <c r="W77" s="36">
        <f t="shared" si="43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32"/>
        <v>14612</v>
      </c>
      <c r="Z77" s="57">
        <f t="shared" si="30"/>
        <v>57725</v>
      </c>
      <c r="AD77" s="16">
        <f>IF($C$7&gt;=$AB$71,AD76,IF($C$7&gt;=$AB$70,AD75,IF($C$7&gt;=$AB$69,AD74,IF($C$7&gt;=$AB$68,AD73,AD72))))</f>
        <v>1.1000000000000001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33"/>
        <v>14501</v>
      </c>
      <c r="AO77" s="57">
        <f t="shared" si="31"/>
        <v>56265</v>
      </c>
      <c r="AP77" s="130">
        <f t="shared" si="44"/>
        <v>1</v>
      </c>
      <c r="AQ77" s="553">
        <f t="shared" si="56"/>
        <v>69</v>
      </c>
      <c r="AR77" s="554">
        <f>IF((OR(DAY($AE$54)=29,DAY($AE$54)=30,DAY($AE$54)=31)),(EDATE($C$9-3,AQ77)),EDATE($C$9,AQ77))</f>
        <v>47415</v>
      </c>
      <c r="AS77" s="555">
        <f>IF($D$16="Да",$AN$40,$D$13)</f>
        <v>0.29899999999999999</v>
      </c>
      <c r="AT77" s="559">
        <f t="shared" si="45"/>
        <v>14501</v>
      </c>
      <c r="AU77" s="546">
        <f t="shared" si="51"/>
        <v>14501</v>
      </c>
      <c r="AV77" s="546">
        <f t="shared" si="46"/>
        <v>4498.5396621378031</v>
      </c>
      <c r="AW77" s="546">
        <f t="shared" si="47"/>
        <v>10002.460337862198</v>
      </c>
      <c r="AX77" s="559">
        <f>IF(AZ77-BA77&gt;$D$24,$D$24-AV77,IF(BJ77=0,0,BB77)+BY125)</f>
        <v>0</v>
      </c>
      <c r="AY77" s="559">
        <v>0</v>
      </c>
      <c r="AZ77" s="559">
        <f t="shared" si="11"/>
        <v>4498.5396621378031</v>
      </c>
      <c r="BA77" s="559">
        <f t="shared" si="26"/>
        <v>0</v>
      </c>
      <c r="BB77" s="559">
        <f t="shared" si="25"/>
        <v>0</v>
      </c>
      <c r="BC77" s="559"/>
      <c r="BD77" s="559"/>
      <c r="BE77" s="559"/>
      <c r="BF77" s="559"/>
      <c r="BG77" s="559"/>
      <c r="BH77" s="546">
        <f t="shared" si="48"/>
        <v>173048.48466551554</v>
      </c>
      <c r="BI77" s="108">
        <f t="shared" si="57"/>
        <v>16</v>
      </c>
      <c r="BJ77" s="108">
        <f t="shared" si="52"/>
        <v>16</v>
      </c>
      <c r="BK77" s="22">
        <f t="shared" si="53"/>
        <v>47415</v>
      </c>
      <c r="BL77" s="108">
        <f t="shared" si="37"/>
        <v>14612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54"/>
        <v>70</v>
      </c>
      <c r="H78" s="245">
        <f>IF((OR(DAY($AE$54)=29,DAY($AE$54)=30,DAY($AE$54)=31)),(EDATE($C$9-3,G78)),EDATE($C$9,G78))</f>
        <v>47446</v>
      </c>
      <c r="I78" s="246">
        <f>IF(AND($X$11=1,G78&gt;=$X$11,),0%,$C$13)</f>
        <v>0.29899999999999999</v>
      </c>
      <c r="J78" s="242">
        <f t="shared" si="38"/>
        <v>14612</v>
      </c>
      <c r="K78" s="242">
        <f>IF(G78&gt;$C$10,0,IF((S77+L78)&lt;K77,(S77+L78),IF(T77=0,K77,MIN(K77,ROUNDUP(S77*$C$13/12/((1-(1+$C$13/12)^(0-($C$10-G78)))),0)))))</f>
        <v>14612</v>
      </c>
      <c r="L78" s="242">
        <f t="shared" si="39"/>
        <v>7298.9994485465022</v>
      </c>
      <c r="M78" s="242">
        <f t="shared" si="49"/>
        <v>7313.0005514534978</v>
      </c>
      <c r="N78" s="242">
        <f>IF(P78-Q78&gt;$C$24,$C$24-L78,IF(V78=0,0,R78)+$AJ$51)</f>
        <v>0</v>
      </c>
      <c r="O78" s="242">
        <v>0</v>
      </c>
      <c r="P78" s="242">
        <f t="shared" si="15"/>
        <v>7298.9994485465022</v>
      </c>
      <c r="Q78" s="242">
        <f t="shared" si="23"/>
        <v>0</v>
      </c>
      <c r="R78" s="242">
        <f t="shared" si="40"/>
        <v>0</v>
      </c>
      <c r="S78" s="242">
        <f>IF(OR(V78=1,S77=0),0,S77-M78)</f>
        <v>280111.18746445689</v>
      </c>
      <c r="T78" s="467">
        <f t="shared" si="36"/>
        <v>0</v>
      </c>
      <c r="U78" s="36">
        <f t="shared" si="55"/>
        <v>15</v>
      </c>
      <c r="V78" s="36">
        <f t="shared" si="42"/>
        <v>15</v>
      </c>
      <c r="W78" s="36">
        <f t="shared" si="43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32"/>
        <v>14612</v>
      </c>
      <c r="Z78" s="57">
        <f t="shared" si="30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33"/>
        <v>14501</v>
      </c>
      <c r="AO78" s="57">
        <f t="shared" si="31"/>
        <v>56630</v>
      </c>
      <c r="AP78" s="130">
        <f t="shared" si="44"/>
        <v>1</v>
      </c>
      <c r="AQ78" s="553">
        <f t="shared" si="56"/>
        <v>70</v>
      </c>
      <c r="AR78" s="554">
        <f>IF((OR(DAY($AE$54)=29,DAY($AE$54)=30,DAY($AE$54)=31)),(EDATE($C$9-3,AQ78)),EDATE($C$9,AQ78))</f>
        <v>47446</v>
      </c>
      <c r="AS78" s="555">
        <f>IF($D$16="Да",$AN$40,$D$13)</f>
        <v>0.29899999999999999</v>
      </c>
      <c r="AT78" s="559">
        <f t="shared" si="45"/>
        <v>14501</v>
      </c>
      <c r="AU78" s="546">
        <f t="shared" si="51"/>
        <v>14501</v>
      </c>
      <c r="AV78" s="546">
        <f t="shared" si="46"/>
        <v>4394.4832996292153</v>
      </c>
      <c r="AW78" s="546">
        <f t="shared" si="47"/>
        <v>10106.516700370785</v>
      </c>
      <c r="AX78" s="559">
        <f>IF(AZ78-BA78&gt;$D$24,$D$24-AV78,IF(BJ78=0,0,BB78)+BY126)</f>
        <v>0</v>
      </c>
      <c r="AY78" s="559">
        <v>0</v>
      </c>
      <c r="AZ78" s="559">
        <f t="shared" si="11"/>
        <v>4394.4832996292153</v>
      </c>
      <c r="BA78" s="559">
        <f t="shared" si="26"/>
        <v>0</v>
      </c>
      <c r="BB78" s="559">
        <f t="shared" si="25"/>
        <v>0</v>
      </c>
      <c r="BC78" s="559"/>
      <c r="BD78" s="559"/>
      <c r="BE78" s="559"/>
      <c r="BF78" s="559"/>
      <c r="BG78" s="559"/>
      <c r="BH78" s="546">
        <f t="shared" si="48"/>
        <v>162941.96796514475</v>
      </c>
      <c r="BI78" s="108">
        <f t="shared" si="57"/>
        <v>15</v>
      </c>
      <c r="BJ78" s="108">
        <f t="shared" si="52"/>
        <v>15</v>
      </c>
      <c r="BK78" s="22">
        <f t="shared" si="53"/>
        <v>47446</v>
      </c>
      <c r="BL78" s="108">
        <f t="shared" si="37"/>
        <v>14612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54"/>
        <v>71</v>
      </c>
      <c r="H79" s="245">
        <f>IF((OR(DAY($AE$54)=29,DAY($AE$54)=30,DAY($AE$54)=31)),(EDATE($C$9-3,G79)),EDATE($C$9,G79))</f>
        <v>47476</v>
      </c>
      <c r="I79" s="246">
        <f>IF(AND($X$11=1,G79&gt;=$X$11,),0%,$C$13)</f>
        <v>0.29899999999999999</v>
      </c>
      <c r="J79" s="242">
        <f t="shared" si="38"/>
        <v>14612</v>
      </c>
      <c r="K79" s="242">
        <f>IF(G79&gt;$C$10,0,IF((S78+L79)&lt;K78,(S78+L79),IF(T78=0,K78,MIN(K78,ROUNDUP(S78*$C$13/12/((1-(1+$C$13/12)^(0-($C$10-G79)))),0)))))</f>
        <v>14612</v>
      </c>
      <c r="L79" s="242">
        <f t="shared" si="39"/>
        <v>6883.8283604278849</v>
      </c>
      <c r="M79" s="242">
        <f t="shared" si="49"/>
        <v>7728.1716395721151</v>
      </c>
      <c r="N79" s="242">
        <f>IF(P79-Q79&gt;$C$24,$C$24-L79,IF(V79=0,0,R79)+$AJ$51)</f>
        <v>0</v>
      </c>
      <c r="O79" s="242">
        <v>0</v>
      </c>
      <c r="P79" s="242">
        <f t="shared" si="15"/>
        <v>6883.8283604278849</v>
      </c>
      <c r="Q79" s="242">
        <f t="shared" ref="Q79:Q108" si="58">IF(V79=0,0,0)</f>
        <v>0</v>
      </c>
      <c r="R79" s="242">
        <f t="shared" si="40"/>
        <v>0</v>
      </c>
      <c r="S79" s="242">
        <f t="shared" si="50"/>
        <v>272383.01582488476</v>
      </c>
      <c r="T79" s="467">
        <f t="shared" si="36"/>
        <v>0</v>
      </c>
      <c r="U79" s="36">
        <f t="shared" si="55"/>
        <v>14</v>
      </c>
      <c r="V79" s="36">
        <f t="shared" si="42"/>
        <v>14</v>
      </c>
      <c r="W79" s="36">
        <f t="shared" si="43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32"/>
        <v>14612</v>
      </c>
      <c r="Z79" s="57">
        <f t="shared" si="30"/>
        <v>58455</v>
      </c>
      <c r="AD79" s="143">
        <f>MIN($C$7*IF($C$7&gt;$AC$71,AD76,IF($C$7&gt;$AC$70,AD75,IF($C$7&gt;$AC$69,AD74,IF($C$7&gt;$AC$68,AD73,AD72)))),5000000)</f>
        <v>600000</v>
      </c>
      <c r="AE79" s="143">
        <f>MIN($C$7*IF($C$7&gt;$AC$72,AE77,IF($C$7&gt;$AC$77,AE76,IF($C$7&gt;$AC$70,AE75,IF($C$7&gt;$AC$69,AE74,IF($C$7&gt;$AC$68,AE73,AE72))))),5000000)</f>
        <v>550000</v>
      </c>
      <c r="AF79" s="143">
        <f>MIN(3000000,$C$7*IF($C$7&gt;=$AB$71,AF76,IF($C$7&gt;=$AB$70,AF75,IF($C$7&gt;=$AB$69,AF74,IF($C$7&gt;=$AB$68,AF73,AF72)))))</f>
        <v>750000</v>
      </c>
      <c r="AG79" s="143">
        <f>MIN(5000000,$C$7*IF($C$7&gt;500000,AG76,IF($C$7&gt;200000,AG75,AG72)))</f>
        <v>600000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500000</v>
      </c>
      <c r="AJ79" s="143">
        <f>$C$7*IF($C$7&gt;=$AB$71,AJ76,IF($C$7&gt;=$AB$70,AJ75,IF($C$7&gt;=$AB$69,AJ74,IF($C$7&gt;=$AB$68,AJ73,AJ72))))</f>
        <v>1000000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33"/>
        <v>14501</v>
      </c>
      <c r="AO79" s="57">
        <f t="shared" si="31"/>
        <v>56995</v>
      </c>
      <c r="AP79" s="130">
        <f t="shared" si="44"/>
        <v>1</v>
      </c>
      <c r="AQ79" s="553">
        <f t="shared" si="56"/>
        <v>71</v>
      </c>
      <c r="AR79" s="554">
        <f>IF((OR(DAY($AE$54)=29,DAY($AE$54)=30,DAY($AE$54)=31)),(EDATE($C$9-3,AQ79)),EDATE($C$9,AQ79))</f>
        <v>47476</v>
      </c>
      <c r="AS79" s="555">
        <f>IF($D$16="Да",$AN$40,$D$13)</f>
        <v>0.29899999999999999</v>
      </c>
      <c r="AT79" s="559">
        <f t="shared" si="45"/>
        <v>14501</v>
      </c>
      <c r="AU79" s="546">
        <f t="shared" si="51"/>
        <v>14501</v>
      </c>
      <c r="AV79" s="546">
        <f t="shared" si="46"/>
        <v>4004.3546647872554</v>
      </c>
      <c r="AW79" s="546">
        <f t="shared" si="47"/>
        <v>10496.645335212745</v>
      </c>
      <c r="AX79" s="559">
        <f>IF(AZ79-BA79&gt;$D$24,$D$24-AV79,IF(BJ79=0,0,BB79)+BY127)</f>
        <v>0</v>
      </c>
      <c r="AY79" s="559">
        <v>0</v>
      </c>
      <c r="AZ79" s="559">
        <f t="shared" si="11"/>
        <v>4004.3546647872554</v>
      </c>
      <c r="BA79" s="559">
        <f t="shared" si="26"/>
        <v>0</v>
      </c>
      <c r="BB79" s="559">
        <f t="shared" si="25"/>
        <v>0</v>
      </c>
      <c r="BC79" s="559"/>
      <c r="BD79" s="559"/>
      <c r="BE79" s="559"/>
      <c r="BF79" s="559"/>
      <c r="BG79" s="559"/>
      <c r="BH79" s="546">
        <f t="shared" si="48"/>
        <v>152445.32262993199</v>
      </c>
      <c r="BI79" s="108">
        <f t="shared" si="57"/>
        <v>14</v>
      </c>
      <c r="BJ79" s="108">
        <f t="shared" si="52"/>
        <v>14</v>
      </c>
      <c r="BK79" s="22">
        <f t="shared" si="53"/>
        <v>47476</v>
      </c>
      <c r="BL79" s="108">
        <f t="shared" si="37"/>
        <v>14612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54"/>
        <v>72</v>
      </c>
      <c r="H80" s="679">
        <f>IF((OR(DAY($AE$54)=29,DAY($AE$54)=30,DAY($AE$54)=31)),(EDATE($C$9-3,G80)),EDATE($C$9,G80))</f>
        <v>47507</v>
      </c>
      <c r="I80" s="250">
        <f>IF(AND($X$11=1,G80&gt;=$X$11,),0%,$C$13)</f>
        <v>0.29899999999999999</v>
      </c>
      <c r="J80" s="242">
        <f t="shared" si="38"/>
        <v>14612</v>
      </c>
      <c r="K80" s="252">
        <f>IF(G80&gt;$C$10,0,IF((S79+L80)&lt;K79,(S79+L80),IF(T79=0,K79,MIN(K79,ROUNDUP(S79*$C$13/12/((1-(1+$C$13/12)^(0-($C$10-G80)))),0)))))</f>
        <v>14612</v>
      </c>
      <c r="L80" s="242">
        <f t="shared" si="39"/>
        <v>6917.0360922763193</v>
      </c>
      <c r="M80" s="252">
        <f t="shared" si="49"/>
        <v>7694.9639077236807</v>
      </c>
      <c r="N80" s="252">
        <f>IF(P80-Q80&gt;$C$24,$C$24-L80,IF(V80=0,0,R80)+$AJ$51)</f>
        <v>0</v>
      </c>
      <c r="O80" s="252">
        <v>0</v>
      </c>
      <c r="P80" s="252">
        <f t="shared" si="15"/>
        <v>6917.0360922763193</v>
      </c>
      <c r="Q80" s="252">
        <f t="shared" si="58"/>
        <v>0</v>
      </c>
      <c r="R80" s="252">
        <f t="shared" si="40"/>
        <v>0</v>
      </c>
      <c r="S80" s="252">
        <f t="shared" si="50"/>
        <v>264688.05191716109</v>
      </c>
      <c r="T80" s="252">
        <f t="shared" si="36"/>
        <v>0</v>
      </c>
      <c r="U80" s="36">
        <f t="shared" si="55"/>
        <v>13</v>
      </c>
      <c r="V80" s="36">
        <f t="shared" si="42"/>
        <v>13</v>
      </c>
      <c r="W80" s="36">
        <f t="shared" si="43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32"/>
        <v>14612</v>
      </c>
      <c r="Z80" s="57">
        <f t="shared" si="30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33"/>
        <v>14501</v>
      </c>
      <c r="AO80" s="57">
        <f t="shared" si="31"/>
        <v>57360</v>
      </c>
      <c r="AP80" s="130">
        <f t="shared" si="44"/>
        <v>1</v>
      </c>
      <c r="AQ80" s="556">
        <f t="shared" si="56"/>
        <v>72</v>
      </c>
      <c r="AR80" s="680">
        <f>IF((OR(DAY($AE$54)=29,DAY($AE$54)=30,DAY($AE$54)=31)),(EDATE($C$9-3,AQ80)),EDATE($C$9,AQ80))</f>
        <v>47507</v>
      </c>
      <c r="AS80" s="557">
        <f>IF($D$16="Да",$AN$40,$D$13)</f>
        <v>0.29899999999999999</v>
      </c>
      <c r="AT80" s="560">
        <f t="shared" si="45"/>
        <v>14501</v>
      </c>
      <c r="AU80" s="547">
        <f t="shared" si="51"/>
        <v>14501</v>
      </c>
      <c r="AV80" s="547">
        <f t="shared" si="46"/>
        <v>3871.2758779639439</v>
      </c>
      <c r="AW80" s="547">
        <f t="shared" si="47"/>
        <v>10629.724122036056</v>
      </c>
      <c r="AX80" s="560">
        <f>IF(AZ80-BA80&gt;$D$24,$D$24-AV80,IF(BJ80=0,0,BB80)+BY128)</f>
        <v>0</v>
      </c>
      <c r="AY80" s="560">
        <v>0</v>
      </c>
      <c r="AZ80" s="560">
        <f t="shared" si="11"/>
        <v>3871.2758779639439</v>
      </c>
      <c r="BA80" s="560">
        <f t="shared" si="26"/>
        <v>0</v>
      </c>
      <c r="BB80" s="560">
        <f t="shared" si="25"/>
        <v>0</v>
      </c>
      <c r="BC80" s="560"/>
      <c r="BD80" s="560"/>
      <c r="BE80" s="560"/>
      <c r="BF80" s="560"/>
      <c r="BG80" s="560"/>
      <c r="BH80" s="547">
        <f t="shared" si="48"/>
        <v>141815.59850789595</v>
      </c>
      <c r="BI80" s="108">
        <f t="shared" si="57"/>
        <v>13</v>
      </c>
      <c r="BJ80" s="108">
        <f t="shared" si="52"/>
        <v>13</v>
      </c>
      <c r="BK80" s="22">
        <f t="shared" si="53"/>
        <v>47507</v>
      </c>
      <c r="BL80" s="108">
        <f t="shared" si="37"/>
        <v>14612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54"/>
        <v>73</v>
      </c>
      <c r="H81" s="245">
        <f>IF((OR(DAY($AE$54)=29,DAY($AE$54)=30,DAY($AE$54)=31)),(EDATE($C$9-3,G81)),EDATE($C$9,G81))</f>
        <v>47538</v>
      </c>
      <c r="I81" s="246">
        <f>IF(AND($X$11=1,G81&gt;=$X$11,),0%,$C$13)</f>
        <v>0.29899999999999999</v>
      </c>
      <c r="J81" s="242">
        <f t="shared" si="38"/>
        <v>14612</v>
      </c>
      <c r="K81" s="242">
        <f>IF(G81&gt;$C$10,0,IF((S80+L81)&lt;K80,(S80+L81),IF(T80=0,K80,MIN(K80,ROUNDUP(S80*$C$13/12/((1-(1+$C$13/12)^(0-($C$10-G81)))),0)))))</f>
        <v>14612</v>
      </c>
      <c r="L81" s="242">
        <f t="shared" si="39"/>
        <v>6721.6261732059338</v>
      </c>
      <c r="M81" s="242">
        <f t="shared" si="49"/>
        <v>7890.3738267940662</v>
      </c>
      <c r="N81" s="242">
        <f>IF(P81-Q81&gt;$C$24,$C$24-L81,IF(V81=0,0,R81)+$AJ$51)</f>
        <v>0</v>
      </c>
      <c r="O81" s="242">
        <v>0</v>
      </c>
      <c r="P81" s="242">
        <f t="shared" si="15"/>
        <v>6721.6261732059338</v>
      </c>
      <c r="Q81" s="242">
        <f t="shared" si="58"/>
        <v>0</v>
      </c>
      <c r="R81" s="242">
        <f t="shared" si="40"/>
        <v>0</v>
      </c>
      <c r="S81" s="242">
        <f t="shared" si="50"/>
        <v>256797.67809036703</v>
      </c>
      <c r="T81" s="467">
        <f t="shared" si="36"/>
        <v>0</v>
      </c>
      <c r="U81" s="36">
        <f t="shared" si="55"/>
        <v>12</v>
      </c>
      <c r="V81" s="36">
        <f t="shared" si="42"/>
        <v>12</v>
      </c>
      <c r="W81" s="36">
        <f t="shared" si="43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32"/>
        <v>14612</v>
      </c>
      <c r="Z81" s="57">
        <f t="shared" si="30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33"/>
        <v>14501</v>
      </c>
      <c r="AO81" s="57">
        <f t="shared" si="31"/>
        <v>57725</v>
      </c>
      <c r="AP81" s="130">
        <f t="shared" si="44"/>
        <v>1</v>
      </c>
      <c r="AQ81" s="553">
        <f t="shared" si="56"/>
        <v>73</v>
      </c>
      <c r="AR81" s="554">
        <f>IF((OR(DAY($AE$54)=29,DAY($AE$54)=30,DAY($AE$54)=31)),(EDATE($C$9-3,AQ81)),EDATE($C$9,AQ81))</f>
        <v>47538</v>
      </c>
      <c r="AS81" s="555">
        <f>IF($D$16="Да",$AN$40,$D$13)</f>
        <v>0.29899999999999999</v>
      </c>
      <c r="AT81" s="559">
        <f t="shared" si="45"/>
        <v>14501</v>
      </c>
      <c r="AU81" s="546">
        <f t="shared" si="51"/>
        <v>14501</v>
      </c>
      <c r="AV81" s="546">
        <f t="shared" si="46"/>
        <v>3601.3391303279109</v>
      </c>
      <c r="AW81" s="546">
        <f t="shared" si="47"/>
        <v>10899.660869672089</v>
      </c>
      <c r="AX81" s="559">
        <f>IF(AZ81-BA81&gt;$D$24,$D$24-AV81,IF(BJ81=0,0,BB81)+BY129)</f>
        <v>0</v>
      </c>
      <c r="AY81" s="559">
        <v>0</v>
      </c>
      <c r="AZ81" s="559">
        <f t="shared" si="11"/>
        <v>3601.3391303279109</v>
      </c>
      <c r="BA81" s="559">
        <f t="shared" si="26"/>
        <v>0</v>
      </c>
      <c r="BB81" s="559">
        <f t="shared" si="25"/>
        <v>0</v>
      </c>
      <c r="BC81" s="559"/>
      <c r="BD81" s="559"/>
      <c r="BE81" s="559"/>
      <c r="BF81" s="559"/>
      <c r="BG81" s="559"/>
      <c r="BH81" s="546">
        <f t="shared" si="48"/>
        <v>130915.93763822386</v>
      </c>
      <c r="BI81" s="108">
        <f t="shared" si="57"/>
        <v>12</v>
      </c>
      <c r="BJ81" s="108">
        <f t="shared" si="52"/>
        <v>12</v>
      </c>
      <c r="BK81" s="22">
        <f t="shared" si="53"/>
        <v>47538</v>
      </c>
      <c r="BL81" s="108">
        <f t="shared" si="37"/>
        <v>14612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54"/>
        <v>74</v>
      </c>
      <c r="H82" s="245">
        <f>IF((OR(DAY($AE$54)=29,DAY($AE$54)=30,DAY($AE$54)=31)),(EDATE($C$9-3,G82)),EDATE($C$9,G82))</f>
        <v>47566</v>
      </c>
      <c r="I82" s="246">
        <f>IF(AND($X$11=1,G82&gt;=$X$11,),0%,$C$13)</f>
        <v>0.29899999999999999</v>
      </c>
      <c r="J82" s="242">
        <f t="shared" si="38"/>
        <v>14612</v>
      </c>
      <c r="K82" s="242">
        <f>IF(G82&gt;$C$10,0,IF((S81+L82)&lt;K81,(S81+L82),IF(T81=0,K81,MIN(K81,ROUNDUP(S81*$C$13/12/((1-(1+$C$13/12)^(0-($C$10-G82)))),0)))))</f>
        <v>14612</v>
      </c>
      <c r="L82" s="242">
        <f t="shared" si="39"/>
        <v>5890.1648245823362</v>
      </c>
      <c r="M82" s="242">
        <f t="shared" si="49"/>
        <v>8721.8351754176638</v>
      </c>
      <c r="N82" s="242">
        <f>IF(P82-Q82&gt;$C$24,$C$24-L82,IF(V82=0,0,R82)+$AJ$51)</f>
        <v>0</v>
      </c>
      <c r="O82" s="242">
        <v>0</v>
      </c>
      <c r="P82" s="242">
        <f t="shared" si="15"/>
        <v>5890.1648245823362</v>
      </c>
      <c r="Q82" s="242">
        <f t="shared" si="58"/>
        <v>0</v>
      </c>
      <c r="R82" s="242">
        <f t="shared" si="40"/>
        <v>0</v>
      </c>
      <c r="S82" s="242">
        <f t="shared" si="50"/>
        <v>248075.84291494937</v>
      </c>
      <c r="T82" s="467">
        <f t="shared" si="36"/>
        <v>0</v>
      </c>
      <c r="U82" s="36">
        <f t="shared" si="55"/>
        <v>11</v>
      </c>
      <c r="V82" s="36">
        <f t="shared" si="42"/>
        <v>11</v>
      </c>
      <c r="W82" s="36">
        <f t="shared" si="43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32"/>
        <v>14612</v>
      </c>
      <c r="Z82" s="57">
        <f t="shared" si="30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33"/>
        <v>14501</v>
      </c>
      <c r="AO82" s="57">
        <f t="shared" si="31"/>
        <v>58090</v>
      </c>
      <c r="AP82" s="130">
        <f t="shared" si="44"/>
        <v>1</v>
      </c>
      <c r="AQ82" s="553">
        <f t="shared" si="56"/>
        <v>74</v>
      </c>
      <c r="AR82" s="554">
        <f>IF((OR(DAY($AE$54)=29,DAY($AE$54)=30,DAY($AE$54)=31)),(EDATE($C$9-3,AQ82)),EDATE($C$9,AQ82))</f>
        <v>47566</v>
      </c>
      <c r="AS82" s="555">
        <f>IF($D$16="Да",$AN$40,$D$13)</f>
        <v>0.29899999999999999</v>
      </c>
      <c r="AT82" s="559">
        <f t="shared" si="45"/>
        <v>14501</v>
      </c>
      <c r="AU82" s="546">
        <f t="shared" si="51"/>
        <v>14501</v>
      </c>
      <c r="AV82" s="546">
        <f t="shared" si="46"/>
        <v>3002.8170682389318</v>
      </c>
      <c r="AW82" s="546">
        <f t="shared" si="47"/>
        <v>11498.182931761068</v>
      </c>
      <c r="AX82" s="559">
        <f>IF(AZ82-BA82&gt;$D$24,$D$24-AV82,IF(BJ82=0,0,BB82)+BY130)</f>
        <v>0</v>
      </c>
      <c r="AY82" s="559">
        <v>0</v>
      </c>
      <c r="AZ82" s="559">
        <f t="shared" si="11"/>
        <v>3002.8170682389318</v>
      </c>
      <c r="BA82" s="559">
        <f t="shared" si="26"/>
        <v>0</v>
      </c>
      <c r="BB82" s="559">
        <f t="shared" si="25"/>
        <v>0</v>
      </c>
      <c r="BC82" s="559"/>
      <c r="BD82" s="559"/>
      <c r="BE82" s="559"/>
      <c r="BF82" s="559"/>
      <c r="BG82" s="559"/>
      <c r="BH82" s="546">
        <f t="shared" si="48"/>
        <v>119417.75470646279</v>
      </c>
      <c r="BI82" s="108">
        <f t="shared" si="57"/>
        <v>11</v>
      </c>
      <c r="BJ82" s="108">
        <f t="shared" si="52"/>
        <v>11</v>
      </c>
      <c r="BK82" s="22">
        <f t="shared" si="53"/>
        <v>47566</v>
      </c>
      <c r="BL82" s="108">
        <f t="shared" si="37"/>
        <v>14612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54"/>
        <v>75</v>
      </c>
      <c r="H83" s="245">
        <f>IF((OR(DAY($AE$54)=29,DAY($AE$54)=30,DAY($AE$54)=31)),(EDATE($C$9-3,G83)),EDATE($C$9,G83))</f>
        <v>47597</v>
      </c>
      <c r="I83" s="246">
        <f>IF(AND($X$11=1,G83&gt;=$X$11,),0%,$C$13)</f>
        <v>0.29899999999999999</v>
      </c>
      <c r="J83" s="242">
        <f t="shared" si="38"/>
        <v>14612</v>
      </c>
      <c r="K83" s="242">
        <f>IF(G83&gt;$C$10,0,IF((S82+L83)&lt;K82,(S82+L83),IF(T82=0,K82,MIN(K82,ROUNDUP(S82*$C$13/12/((1-(1+$C$13/12)^(0-($C$10-G83)))),0)))))</f>
        <v>14612</v>
      </c>
      <c r="L83" s="242">
        <f t="shared" si="39"/>
        <v>6299.7670903525086</v>
      </c>
      <c r="M83" s="242">
        <f t="shared" si="49"/>
        <v>8312.2329096474914</v>
      </c>
      <c r="N83" s="242">
        <f>IF(P83-Q83&gt;$C$24,$C$24-L83,IF(V83=0,0,R83)+$AJ$51)</f>
        <v>0</v>
      </c>
      <c r="O83" s="242">
        <v>0</v>
      </c>
      <c r="P83" s="242">
        <f t="shared" si="15"/>
        <v>6299.7670903525086</v>
      </c>
      <c r="Q83" s="242">
        <f t="shared" si="58"/>
        <v>0</v>
      </c>
      <c r="R83" s="242">
        <f t="shared" si="40"/>
        <v>0</v>
      </c>
      <c r="S83" s="242">
        <f t="shared" si="50"/>
        <v>239763.61000530189</v>
      </c>
      <c r="T83" s="467">
        <f t="shared" si="36"/>
        <v>0</v>
      </c>
      <c r="U83" s="36">
        <f t="shared" si="55"/>
        <v>10</v>
      </c>
      <c r="V83" s="36">
        <f t="shared" si="42"/>
        <v>10</v>
      </c>
      <c r="W83" s="36">
        <f t="shared" si="43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32"/>
        <v>14612</v>
      </c>
      <c r="Z83" s="57">
        <f t="shared" si="30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33"/>
        <v>14501</v>
      </c>
      <c r="AO83" s="57">
        <f t="shared" si="31"/>
        <v>58455</v>
      </c>
      <c r="AP83" s="130">
        <f t="shared" si="44"/>
        <v>1</v>
      </c>
      <c r="AQ83" s="553">
        <f t="shared" si="56"/>
        <v>75</v>
      </c>
      <c r="AR83" s="554">
        <f>IF((OR(DAY($AE$54)=29,DAY($AE$54)=30,DAY($AE$54)=31)),(EDATE($C$9-3,AQ83)),EDATE($C$9,AQ83))</f>
        <v>47597</v>
      </c>
      <c r="AS83" s="555">
        <f>IF($D$16="Да",$AN$40,$D$13)</f>
        <v>0.29899999999999999</v>
      </c>
      <c r="AT83" s="559">
        <f t="shared" si="45"/>
        <v>14501</v>
      </c>
      <c r="AU83" s="546">
        <f t="shared" si="51"/>
        <v>14501</v>
      </c>
      <c r="AV83" s="546">
        <f t="shared" si="46"/>
        <v>3032.5566256827492</v>
      </c>
      <c r="AW83" s="546">
        <f t="shared" si="47"/>
        <v>11468.44337431725</v>
      </c>
      <c r="AX83" s="559">
        <f>IF(AZ83-BA83&gt;$D$24,$D$24-AV83,IF(BJ83=0,0,BB83)+BY131)</f>
        <v>0</v>
      </c>
      <c r="AY83" s="559">
        <v>0</v>
      </c>
      <c r="AZ83" s="559">
        <f t="shared" si="11"/>
        <v>3032.5566256827492</v>
      </c>
      <c r="BA83" s="559">
        <f t="shared" si="26"/>
        <v>0</v>
      </c>
      <c r="BB83" s="559">
        <f t="shared" si="25"/>
        <v>0</v>
      </c>
      <c r="BC83" s="559"/>
      <c r="BD83" s="559"/>
      <c r="BE83" s="559"/>
      <c r="BF83" s="559"/>
      <c r="BG83" s="559"/>
      <c r="BH83" s="546">
        <f t="shared" si="48"/>
        <v>107949.31133214553</v>
      </c>
      <c r="BI83" s="108">
        <f t="shared" si="57"/>
        <v>10</v>
      </c>
      <c r="BJ83" s="108">
        <f t="shared" si="52"/>
        <v>10</v>
      </c>
      <c r="BK83" s="22">
        <f t="shared" si="53"/>
        <v>47597</v>
      </c>
      <c r="BL83" s="108">
        <f t="shared" si="37"/>
        <v>14612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54"/>
        <v>76</v>
      </c>
      <c r="H84" s="245">
        <f>IF((OR(DAY($AE$54)=29,DAY($AE$54)=30,DAY($AE$54)=31)),(EDATE($C$9-3,G84)),EDATE($C$9,G84))</f>
        <v>47627</v>
      </c>
      <c r="I84" s="246">
        <f>IF(AND($X$11=1,G84&gt;=$X$11,),0%,$C$13)</f>
        <v>0.29899999999999999</v>
      </c>
      <c r="J84" s="242">
        <f t="shared" si="38"/>
        <v>14612</v>
      </c>
      <c r="K84" s="242">
        <f>IF(G84&gt;$C$10,0,IF((S83+L84)&lt;K83,(S83+L84),IF(T83=0,K83,MIN(K83,ROUNDUP(S83*$C$13/12/((1-(1+$C$13/12)^(0-($C$10-G84)))),0)))))</f>
        <v>14612</v>
      </c>
      <c r="L84" s="242">
        <f t="shared" si="39"/>
        <v>5892.2728267056373</v>
      </c>
      <c r="M84" s="242">
        <f t="shared" si="49"/>
        <v>8719.7271732943627</v>
      </c>
      <c r="N84" s="242">
        <f>IF(P84-Q84&gt;$C$24,$C$24-L84,IF(V84=0,0,R84)+$AJ$51)</f>
        <v>0</v>
      </c>
      <c r="O84" s="242">
        <v>0</v>
      </c>
      <c r="P84" s="242">
        <f t="shared" si="15"/>
        <v>5892.2728267056373</v>
      </c>
      <c r="Q84" s="242">
        <f t="shared" si="58"/>
        <v>0</v>
      </c>
      <c r="R84" s="242">
        <f t="shared" si="40"/>
        <v>0</v>
      </c>
      <c r="S84" s="242">
        <f t="shared" si="50"/>
        <v>231043.88283200754</v>
      </c>
      <c r="T84" s="467">
        <f t="shared" si="36"/>
        <v>0</v>
      </c>
      <c r="U84" s="36">
        <f t="shared" si="55"/>
        <v>9</v>
      </c>
      <c r="V84" s="36">
        <f t="shared" si="42"/>
        <v>9</v>
      </c>
      <c r="W84" s="36">
        <f t="shared" si="43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32"/>
        <v>14612</v>
      </c>
      <c r="Z84" s="57">
        <f t="shared" si="30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33"/>
        <v>14501</v>
      </c>
      <c r="AO84" s="57">
        <f t="shared" si="31"/>
        <v>58820</v>
      </c>
      <c r="AP84" s="130">
        <f t="shared" si="44"/>
        <v>1</v>
      </c>
      <c r="AQ84" s="553">
        <f t="shared" si="56"/>
        <v>76</v>
      </c>
      <c r="AR84" s="554">
        <f>IF((OR(DAY($AE$54)=29,DAY($AE$54)=30,DAY($AE$54)=31)),(EDATE($C$9-3,AQ84)),EDATE($C$9,AQ84))</f>
        <v>47627</v>
      </c>
      <c r="AS84" s="555">
        <f>IF($D$16="Да",$AN$40,$D$13)</f>
        <v>0.29899999999999999</v>
      </c>
      <c r="AT84" s="559">
        <f t="shared" si="45"/>
        <v>14501</v>
      </c>
      <c r="AU84" s="546">
        <f t="shared" si="51"/>
        <v>14501</v>
      </c>
      <c r="AV84" s="546">
        <f t="shared" si="46"/>
        <v>2652.8912949297132</v>
      </c>
      <c r="AW84" s="546">
        <f t="shared" si="47"/>
        <v>11848.108705070286</v>
      </c>
      <c r="AX84" s="559">
        <f>IF(AZ84-BA84&gt;$D$24,$D$24-AV84,IF(BJ84=0,0,BB84)+BY132)</f>
        <v>0</v>
      </c>
      <c r="AY84" s="559">
        <v>0</v>
      </c>
      <c r="AZ84" s="559">
        <f t="shared" si="11"/>
        <v>2652.8912949297132</v>
      </c>
      <c r="BA84" s="559">
        <f t="shared" si="26"/>
        <v>0</v>
      </c>
      <c r="BB84" s="559">
        <f t="shared" ref="BB84:BB108" si="59">IF(BJ90=0,0,0)</f>
        <v>0</v>
      </c>
      <c r="BC84" s="559"/>
      <c r="BD84" s="559"/>
      <c r="BE84" s="559"/>
      <c r="BF84" s="559"/>
      <c r="BG84" s="559"/>
      <c r="BH84" s="546">
        <f t="shared" si="48"/>
        <v>96101.202627075239</v>
      </c>
      <c r="BI84" s="108">
        <f t="shared" si="57"/>
        <v>9</v>
      </c>
      <c r="BJ84" s="108">
        <f t="shared" si="52"/>
        <v>9</v>
      </c>
      <c r="BK84" s="22">
        <f t="shared" si="53"/>
        <v>47627</v>
      </c>
      <c r="BL84" s="108">
        <f t="shared" si="37"/>
        <v>14612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54"/>
        <v>77</v>
      </c>
      <c r="H85" s="245">
        <f>IF((OR(DAY($AE$54)=29,DAY($AE$54)=30,DAY($AE$54)=31)),(EDATE($C$9-3,G85)),EDATE($C$9,G85))</f>
        <v>47658</v>
      </c>
      <c r="I85" s="246">
        <f>IF(AND($X$11=1,G85&gt;=$X$11,),0%,$C$13)</f>
        <v>0.29899999999999999</v>
      </c>
      <c r="J85" s="242">
        <f t="shared" si="38"/>
        <v>14612</v>
      </c>
      <c r="K85" s="242">
        <f>IF(G85&gt;$C$10,0,IF((S84+L85)&lt;K84,(S84+L85),IF(T84=0,K84,MIN(K84,ROUNDUP(S84*$C$13/12/((1-(1+$C$13/12)^(0-($C$10-G85)))),0)))))</f>
        <v>14612</v>
      </c>
      <c r="L85" s="242">
        <f t="shared" si="39"/>
        <v>5867.2486300544597</v>
      </c>
      <c r="M85" s="242">
        <f t="shared" si="49"/>
        <v>8744.7513699455412</v>
      </c>
      <c r="N85" s="242">
        <f>IF(P85-Q85&gt;$C$24,$C$24-L85,IF(V85=0,0,R85)+$AJ$51)</f>
        <v>0</v>
      </c>
      <c r="O85" s="242">
        <v>0</v>
      </c>
      <c r="P85" s="242">
        <f t="shared" si="15"/>
        <v>5867.2486300544597</v>
      </c>
      <c r="Q85" s="242">
        <f t="shared" si="58"/>
        <v>0</v>
      </c>
      <c r="R85" s="242">
        <f t="shared" si="40"/>
        <v>0</v>
      </c>
      <c r="S85" s="242">
        <f t="shared" si="50"/>
        <v>222299.13146206201</v>
      </c>
      <c r="T85" s="467">
        <f t="shared" si="36"/>
        <v>0</v>
      </c>
      <c r="U85" s="36">
        <f t="shared" si="55"/>
        <v>8</v>
      </c>
      <c r="V85" s="36">
        <f t="shared" si="42"/>
        <v>8</v>
      </c>
      <c r="W85" s="36">
        <f t="shared" si="43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32"/>
        <v>14612</v>
      </c>
      <c r="Z85" s="57">
        <f t="shared" si="30"/>
        <v>60645</v>
      </c>
      <c r="AD85" s="803" t="s">
        <v>104</v>
      </c>
      <c r="AE85" s="803"/>
      <c r="AF85" s="803"/>
      <c r="AG85" s="803"/>
      <c r="AH85" s="803"/>
      <c r="AI85" s="803"/>
      <c r="AJ85" s="803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33"/>
        <v>14501</v>
      </c>
      <c r="AO85" s="57">
        <f t="shared" si="31"/>
        <v>59185</v>
      </c>
      <c r="AP85" s="130">
        <f t="shared" si="44"/>
        <v>1</v>
      </c>
      <c r="AQ85" s="553">
        <f t="shared" si="56"/>
        <v>77</v>
      </c>
      <c r="AR85" s="554">
        <f>IF((OR(DAY($AE$54)=29,DAY($AE$54)=30,DAY($AE$54)=31)),(EDATE($C$9-3,AQ85)),EDATE($C$9,AQ85))</f>
        <v>47658</v>
      </c>
      <c r="AS85" s="555">
        <f>IF($D$16="Да",$AN$40,$D$13)</f>
        <v>0.29899999999999999</v>
      </c>
      <c r="AT85" s="559">
        <f t="shared" si="45"/>
        <v>14501</v>
      </c>
      <c r="AU85" s="546">
        <f t="shared" si="51"/>
        <v>14501</v>
      </c>
      <c r="AV85" s="546">
        <f t="shared" si="46"/>
        <v>2440.4439647955078</v>
      </c>
      <c r="AW85" s="546">
        <f t="shared" si="47"/>
        <v>12060.556035204492</v>
      </c>
      <c r="AX85" s="559">
        <f>IF(AZ85-BA85&gt;$D$24,$D$24-AV85,IF(BJ85=0,0,BB85)+BY133)</f>
        <v>0</v>
      </c>
      <c r="AY85" s="559">
        <v>0</v>
      </c>
      <c r="AZ85" s="559">
        <f t="shared" si="11"/>
        <v>2440.4439647955078</v>
      </c>
      <c r="BA85" s="559">
        <f t="shared" ref="BA85:BA108" si="60">IF(BJ91=0,0,0)</f>
        <v>0</v>
      </c>
      <c r="BB85" s="559">
        <f t="shared" si="59"/>
        <v>0</v>
      </c>
      <c r="BC85" s="559"/>
      <c r="BD85" s="559"/>
      <c r="BE85" s="559"/>
      <c r="BF85" s="559"/>
      <c r="BG85" s="559"/>
      <c r="BH85" s="546">
        <f t="shared" si="48"/>
        <v>84040.646591870754</v>
      </c>
      <c r="BI85" s="108">
        <f t="shared" si="57"/>
        <v>8</v>
      </c>
      <c r="BJ85" s="108">
        <f t="shared" si="52"/>
        <v>8</v>
      </c>
      <c r="BK85" s="22">
        <f t="shared" si="53"/>
        <v>47658</v>
      </c>
      <c r="BL85" s="108">
        <f t="shared" si="37"/>
        <v>14612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54"/>
        <v>78</v>
      </c>
      <c r="H86" s="245">
        <f>IF((OR(DAY($AE$54)=29,DAY($AE$54)=30,DAY($AE$54)=31)),(EDATE($C$9-3,G86)),EDATE($C$9,G86))</f>
        <v>47688</v>
      </c>
      <c r="I86" s="246">
        <f>IF(AND($X$11=1,G86&gt;=$X$11,),0%,$C$13)</f>
        <v>0.29899999999999999</v>
      </c>
      <c r="J86" s="242">
        <f t="shared" si="38"/>
        <v>14612</v>
      </c>
      <c r="K86" s="242">
        <f>IF(G86&gt;$C$10,0,IF((S85+L86)&lt;K85,(S85+L86),IF(T85=0,K85,MIN(K85,ROUNDUP(S85*$C$13/12/((1-(1+$C$13/12)^(0-($C$10-G86)))),0)))))</f>
        <v>14612</v>
      </c>
      <c r="L86" s="242">
        <f t="shared" si="39"/>
        <v>5463.0772855197147</v>
      </c>
      <c r="M86" s="242">
        <f t="shared" si="49"/>
        <v>9148.9227144802862</v>
      </c>
      <c r="N86" s="242">
        <f>IF(P86-Q86&gt;$C$24,$C$24-L86,IF(V86=0,0,R86)+$AJ$51)</f>
        <v>0</v>
      </c>
      <c r="O86" s="242">
        <v>0</v>
      </c>
      <c r="P86" s="242">
        <f t="shared" ref="P86:P108" si="61">L86+Q86</f>
        <v>5463.0772855197147</v>
      </c>
      <c r="Q86" s="242">
        <f t="shared" si="58"/>
        <v>0</v>
      </c>
      <c r="R86" s="242">
        <f t="shared" si="40"/>
        <v>0</v>
      </c>
      <c r="S86" s="242">
        <f t="shared" si="50"/>
        <v>213150.20874758172</v>
      </c>
      <c r="T86" s="467">
        <f t="shared" si="36"/>
        <v>0</v>
      </c>
      <c r="U86" s="36">
        <f t="shared" si="55"/>
        <v>7</v>
      </c>
      <c r="V86" s="36">
        <f t="shared" si="42"/>
        <v>7</v>
      </c>
      <c r="W86" s="36">
        <f t="shared" si="43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32"/>
        <v>14612</v>
      </c>
      <c r="Z86" s="57">
        <f t="shared" si="30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33"/>
        <v>14501</v>
      </c>
      <c r="AO86" s="57">
        <f t="shared" si="31"/>
        <v>59550</v>
      </c>
      <c r="AP86" s="130">
        <f t="shared" si="44"/>
        <v>1</v>
      </c>
      <c r="AQ86" s="553">
        <f t="shared" si="56"/>
        <v>78</v>
      </c>
      <c r="AR86" s="554">
        <f>IF((OR(DAY($AE$54)=29,DAY($AE$54)=30,DAY($AE$54)=31)),(EDATE($C$9-3,AQ86)),EDATE($C$9,AQ86))</f>
        <v>47688</v>
      </c>
      <c r="AS86" s="555">
        <f>IF($D$16="Да",$AN$40,$D$13)</f>
        <v>0.29899999999999999</v>
      </c>
      <c r="AT86" s="559">
        <f t="shared" si="45"/>
        <v>14501</v>
      </c>
      <c r="AU86" s="546">
        <f t="shared" si="51"/>
        <v>14501</v>
      </c>
      <c r="AV86" s="546">
        <f t="shared" si="46"/>
        <v>2065.3276710385771</v>
      </c>
      <c r="AW86" s="546">
        <f t="shared" si="47"/>
        <v>12435.672328961424</v>
      </c>
      <c r="AX86" s="559">
        <f>IF(AZ86-BA86&gt;$D$24,$D$24-AV86,IF(BJ86=0,0,BB86)+BY134)</f>
        <v>0</v>
      </c>
      <c r="AY86" s="559">
        <v>0</v>
      </c>
      <c r="AZ86" s="559">
        <f t="shared" ref="AZ86:AZ108" si="62">AV86+BA86</f>
        <v>2065.3276710385771</v>
      </c>
      <c r="BA86" s="559">
        <f t="shared" si="60"/>
        <v>0</v>
      </c>
      <c r="BB86" s="559">
        <f t="shared" si="59"/>
        <v>0</v>
      </c>
      <c r="BC86" s="559"/>
      <c r="BD86" s="559"/>
      <c r="BE86" s="559"/>
      <c r="BF86" s="559"/>
      <c r="BG86" s="559"/>
      <c r="BH86" s="546">
        <f t="shared" si="48"/>
        <v>71604.974262909323</v>
      </c>
      <c r="BI86" s="108">
        <f t="shared" si="57"/>
        <v>7</v>
      </c>
      <c r="BJ86" s="108">
        <f t="shared" si="52"/>
        <v>7</v>
      </c>
      <c r="BK86" s="22">
        <f t="shared" si="53"/>
        <v>47688</v>
      </c>
      <c r="BL86" s="108">
        <f t="shared" si="37"/>
        <v>14612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54"/>
        <v>79</v>
      </c>
      <c r="H87" s="245">
        <f>IF((OR(DAY($AE$54)=29,DAY($AE$54)=30,DAY($AE$54)=31)),(EDATE($C$9-3,G87)),EDATE($C$9,G87))</f>
        <v>47719</v>
      </c>
      <c r="I87" s="246">
        <f>IF(AND($X$11=1,G87&gt;=$X$11,),0%,$C$13)</f>
        <v>0.29899999999999999</v>
      </c>
      <c r="J87" s="242">
        <f t="shared" si="38"/>
        <v>14612</v>
      </c>
      <c r="K87" s="242">
        <f>IF(G87&gt;$C$10,0,IF((S86+L87)&lt;K86,(S86+L87),IF(T86=0,K86,MIN(K86,ROUNDUP(S86*$C$13/12/((1-(1+$C$13/12)^(0-($C$10-G87)))),0)))))</f>
        <v>14612</v>
      </c>
      <c r="L87" s="242">
        <f t="shared" si="39"/>
        <v>5412.8473558392734</v>
      </c>
      <c r="M87" s="242">
        <f t="shared" si="49"/>
        <v>9199.1526441607275</v>
      </c>
      <c r="N87" s="242">
        <f>IF(P87-Q87&gt;$C$24,$C$24-L87,IF(V87=0,0,R87)+$AJ$51)</f>
        <v>0</v>
      </c>
      <c r="O87" s="242">
        <v>0</v>
      </c>
      <c r="P87" s="242">
        <f t="shared" si="61"/>
        <v>5412.8473558392734</v>
      </c>
      <c r="Q87" s="242">
        <f t="shared" si="58"/>
        <v>0</v>
      </c>
      <c r="R87" s="242">
        <f t="shared" si="40"/>
        <v>0</v>
      </c>
      <c r="S87" s="242">
        <f t="shared" si="50"/>
        <v>203951.056103421</v>
      </c>
      <c r="T87" s="467">
        <f t="shared" si="36"/>
        <v>0</v>
      </c>
      <c r="U87" s="36">
        <f t="shared" si="55"/>
        <v>6</v>
      </c>
      <c r="V87" s="36">
        <f t="shared" si="42"/>
        <v>6</v>
      </c>
      <c r="W87" s="36">
        <f t="shared" si="43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32"/>
        <v>14612</v>
      </c>
      <c r="Z87" s="57">
        <f t="shared" si="30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33"/>
        <v>14501</v>
      </c>
      <c r="AO87" s="57">
        <f t="shared" si="31"/>
        <v>59915</v>
      </c>
      <c r="AP87" s="130">
        <f t="shared" si="44"/>
        <v>1</v>
      </c>
      <c r="AQ87" s="553">
        <f t="shared" si="56"/>
        <v>79</v>
      </c>
      <c r="AR87" s="554">
        <f>IF((OR(DAY($AE$54)=29,DAY($AE$54)=30,DAY($AE$54)=31)),(EDATE($C$9-3,AQ87)),EDATE($C$9,AQ87))</f>
        <v>47719</v>
      </c>
      <c r="AS87" s="555">
        <f>IF($D$16="Да",$AN$40,$D$13)</f>
        <v>0.29899999999999999</v>
      </c>
      <c r="AT87" s="559">
        <f t="shared" si="45"/>
        <v>14501</v>
      </c>
      <c r="AU87" s="546">
        <f t="shared" si="51"/>
        <v>14501</v>
      </c>
      <c r="AV87" s="546">
        <f t="shared" si="46"/>
        <v>1818.3739902545383</v>
      </c>
      <c r="AW87" s="546">
        <f t="shared" si="47"/>
        <v>12682.626009745461</v>
      </c>
      <c r="AX87" s="559">
        <f>IF(AZ87-BA87&gt;$D$24,$D$24-AV87,IF(BJ87=0,0,BB87)+BY135)</f>
        <v>0</v>
      </c>
      <c r="AY87" s="559">
        <v>0</v>
      </c>
      <c r="AZ87" s="559">
        <f t="shared" si="62"/>
        <v>1818.3739902545383</v>
      </c>
      <c r="BA87" s="559">
        <f t="shared" si="60"/>
        <v>0</v>
      </c>
      <c r="BB87" s="559">
        <f t="shared" si="59"/>
        <v>0</v>
      </c>
      <c r="BC87" s="559"/>
      <c r="BD87" s="559"/>
      <c r="BE87" s="559"/>
      <c r="BF87" s="559"/>
      <c r="BG87" s="559"/>
      <c r="BH87" s="546">
        <f t="shared" si="48"/>
        <v>58922.348253163858</v>
      </c>
      <c r="BI87" s="108">
        <f t="shared" si="57"/>
        <v>6</v>
      </c>
      <c r="BJ87" s="108">
        <f t="shared" si="52"/>
        <v>6</v>
      </c>
      <c r="BK87" s="22">
        <f t="shared" si="53"/>
        <v>47719</v>
      </c>
      <c r="BL87" s="108">
        <f t="shared" si="37"/>
        <v>14612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54"/>
        <v>80</v>
      </c>
      <c r="H88" s="245">
        <f>IF((OR(DAY($AE$54)=29,DAY($AE$54)=30,DAY($AE$54)=31)),(EDATE($C$9-3,G88)),EDATE($C$9,G88))</f>
        <v>47750</v>
      </c>
      <c r="I88" s="246">
        <f>IF(AND($X$11=1,G88&gt;=$X$11,),0%,$C$13)</f>
        <v>0.29899999999999999</v>
      </c>
      <c r="J88" s="242">
        <f t="shared" si="38"/>
        <v>14612</v>
      </c>
      <c r="K88" s="242">
        <f>IF(G88&gt;$C$10,0,IF((S87+L88)&lt;K87,(S87+L88),IF(T87=0,K87,MIN(K87,ROUNDUP(S87*$C$13/12/((1-(1+$C$13/12)^(0-($C$10-G88)))),0)))))</f>
        <v>14612</v>
      </c>
      <c r="L88" s="242">
        <f t="shared" si="39"/>
        <v>5179.2392849934495</v>
      </c>
      <c r="M88" s="242">
        <f t="shared" si="49"/>
        <v>9432.7607150065505</v>
      </c>
      <c r="N88" s="242">
        <f>IF(P88-Q88&gt;$C$24,$C$24-L88,IF(V88=0,0,R88)+$AJ$51)</f>
        <v>0</v>
      </c>
      <c r="O88" s="242">
        <v>0</v>
      </c>
      <c r="P88" s="242">
        <f t="shared" si="61"/>
        <v>5179.2392849934495</v>
      </c>
      <c r="Q88" s="242">
        <f t="shared" si="58"/>
        <v>0</v>
      </c>
      <c r="R88" s="242">
        <f t="shared" si="40"/>
        <v>0</v>
      </c>
      <c r="S88" s="242">
        <f t="shared" si="50"/>
        <v>194518.29538841444</v>
      </c>
      <c r="T88" s="467">
        <f t="shared" si="36"/>
        <v>0</v>
      </c>
      <c r="U88" s="36">
        <f t="shared" si="55"/>
        <v>5</v>
      </c>
      <c r="V88" s="36">
        <f t="shared" si="42"/>
        <v>5</v>
      </c>
      <c r="W88" s="36">
        <f t="shared" si="43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32"/>
        <v>14612</v>
      </c>
      <c r="Z88" s="57">
        <f t="shared" si="30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33"/>
        <v>14501</v>
      </c>
      <c r="AO88" s="57">
        <f t="shared" si="31"/>
        <v>60280</v>
      </c>
      <c r="AP88" s="130">
        <f t="shared" si="44"/>
        <v>1</v>
      </c>
      <c r="AQ88" s="553">
        <f t="shared" si="56"/>
        <v>80</v>
      </c>
      <c r="AR88" s="554">
        <f>IF((OR(DAY($AE$54)=29,DAY($AE$54)=30,DAY($AE$54)=31)),(EDATE($C$9-3,AQ88)),EDATE($C$9,AQ88))</f>
        <v>47750</v>
      </c>
      <c r="AS88" s="555">
        <f>IF($D$16="Да",$AN$40,$D$13)</f>
        <v>0.29899999999999999</v>
      </c>
      <c r="AT88" s="559">
        <f t="shared" si="45"/>
        <v>14501</v>
      </c>
      <c r="AU88" s="546">
        <f t="shared" si="51"/>
        <v>14501</v>
      </c>
      <c r="AV88" s="546">
        <f t="shared" si="46"/>
        <v>1496.3047834481526</v>
      </c>
      <c r="AW88" s="546">
        <f t="shared" si="47"/>
        <v>13004.695216551847</v>
      </c>
      <c r="AX88" s="559">
        <f>IF(AZ88-BA88&gt;$D$24,$D$24-AV88,IF(BJ88=0,0,BB88)+BY136)</f>
        <v>0</v>
      </c>
      <c r="AY88" s="559">
        <v>0</v>
      </c>
      <c r="AZ88" s="559">
        <f t="shared" si="62"/>
        <v>1496.3047834481526</v>
      </c>
      <c r="BA88" s="559">
        <f t="shared" si="60"/>
        <v>0</v>
      </c>
      <c r="BB88" s="559">
        <f t="shared" si="59"/>
        <v>0</v>
      </c>
      <c r="BC88" s="559"/>
      <c r="BD88" s="559"/>
      <c r="BE88" s="559"/>
      <c r="BF88" s="559"/>
      <c r="BG88" s="559"/>
      <c r="BH88" s="546">
        <f t="shared" si="48"/>
        <v>45917.653036612013</v>
      </c>
      <c r="BI88" s="108">
        <f t="shared" si="57"/>
        <v>5</v>
      </c>
      <c r="BJ88" s="108">
        <f t="shared" si="52"/>
        <v>5</v>
      </c>
      <c r="BK88" s="22">
        <f t="shared" si="53"/>
        <v>47750</v>
      </c>
      <c r="BL88" s="108">
        <f t="shared" si="37"/>
        <v>14612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54"/>
        <v>81</v>
      </c>
      <c r="H89" s="245">
        <f>IF((OR(DAY($AE$54)=29,DAY($AE$54)=30,DAY($AE$54)=31)),(EDATE($C$9-3,G89)),EDATE($C$9,G89))</f>
        <v>47780</v>
      </c>
      <c r="I89" s="246">
        <f>IF(AND($X$11=1,G89&gt;=$X$11,),0%,$C$13)</f>
        <v>0.29899999999999999</v>
      </c>
      <c r="J89" s="242">
        <f t="shared" si="38"/>
        <v>14612</v>
      </c>
      <c r="K89" s="242">
        <f>IF(G89&gt;$C$10,0,IF((S88+L89)&lt;K88,(S88+L89),IF(T88=0,K88,MIN(K88,ROUNDUP(S88*$C$13/12/((1-(1+$C$13/12)^(0-($C$10-G89)))),0)))))</f>
        <v>14612</v>
      </c>
      <c r="L89" s="242">
        <f t="shared" si="39"/>
        <v>4780.3537250248692</v>
      </c>
      <c r="M89" s="242">
        <f t="shared" si="49"/>
        <v>9831.6462749751299</v>
      </c>
      <c r="N89" s="242">
        <f>IF(P89-Q89&gt;$C$24,$C$24-L89,IF(V89=0,0,R89)+$AJ$51)</f>
        <v>0</v>
      </c>
      <c r="O89" s="242">
        <v>0</v>
      </c>
      <c r="P89" s="242">
        <f t="shared" si="61"/>
        <v>4780.3537250248692</v>
      </c>
      <c r="Q89" s="242">
        <f t="shared" si="58"/>
        <v>0</v>
      </c>
      <c r="R89" s="242">
        <f t="shared" si="40"/>
        <v>0</v>
      </c>
      <c r="S89" s="242">
        <f t="shared" si="50"/>
        <v>184686.64911343931</v>
      </c>
      <c r="T89" s="467">
        <f t="shared" si="36"/>
        <v>0</v>
      </c>
      <c r="U89" s="36">
        <f t="shared" si="55"/>
        <v>4</v>
      </c>
      <c r="V89" s="36">
        <f t="shared" si="42"/>
        <v>4</v>
      </c>
      <c r="W89" s="36">
        <f t="shared" si="43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32"/>
        <v>14612</v>
      </c>
      <c r="Z89" s="57">
        <f t="shared" si="30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33"/>
        <v>14501</v>
      </c>
      <c r="AO89" s="57">
        <f t="shared" si="31"/>
        <v>60645</v>
      </c>
      <c r="AP89" s="130">
        <f t="shared" si="44"/>
        <v>1</v>
      </c>
      <c r="AQ89" s="553">
        <f t="shared" si="56"/>
        <v>81</v>
      </c>
      <c r="AR89" s="554">
        <f>IF((OR(DAY($AE$54)=29,DAY($AE$54)=30,DAY($AE$54)=31)),(EDATE($C$9-3,AQ89)),EDATE($C$9,AQ89))</f>
        <v>47780</v>
      </c>
      <c r="AS89" s="555">
        <f>IF($D$16="Да",$AN$40,$D$13)</f>
        <v>0.29899999999999999</v>
      </c>
      <c r="AT89" s="559">
        <f t="shared" si="45"/>
        <v>14501</v>
      </c>
      <c r="AU89" s="546">
        <f t="shared" si="51"/>
        <v>14501</v>
      </c>
      <c r="AV89" s="546">
        <f t="shared" si="46"/>
        <v>1128.4420485983828</v>
      </c>
      <c r="AW89" s="546">
        <f t="shared" si="47"/>
        <v>13372.557951401617</v>
      </c>
      <c r="AX89" s="559">
        <f>IF(AZ89-BA89&gt;$D$24,$D$24-AV89,IF(BJ89=0,0,BB89)+BY137)</f>
        <v>0</v>
      </c>
      <c r="AY89" s="559">
        <v>0</v>
      </c>
      <c r="AZ89" s="559">
        <f t="shared" si="62"/>
        <v>1128.4420485983828</v>
      </c>
      <c r="BA89" s="559">
        <f t="shared" si="60"/>
        <v>0</v>
      </c>
      <c r="BB89" s="559">
        <f t="shared" si="59"/>
        <v>0</v>
      </c>
      <c r="BC89" s="559"/>
      <c r="BD89" s="559"/>
      <c r="BE89" s="559"/>
      <c r="BF89" s="559"/>
      <c r="BG89" s="559"/>
      <c r="BH89" s="546">
        <f t="shared" si="48"/>
        <v>32545.095085210396</v>
      </c>
      <c r="BI89" s="108">
        <f t="shared" si="57"/>
        <v>4</v>
      </c>
      <c r="BJ89" s="108">
        <f t="shared" si="52"/>
        <v>4</v>
      </c>
      <c r="BK89" s="22">
        <f t="shared" si="53"/>
        <v>47780</v>
      </c>
      <c r="BL89" s="108">
        <f t="shared" si="37"/>
        <v>14612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54"/>
        <v>82</v>
      </c>
      <c r="H90" s="245">
        <f>IF((OR(DAY($AE$54)=29,DAY($AE$54)=30,DAY($AE$54)=31)),(EDATE($C$9-3,G90)),EDATE($C$9,G90))</f>
        <v>47811</v>
      </c>
      <c r="I90" s="246">
        <f>IF(AND($X$11=1,G90&gt;=$X$11,),0%,$C$13)</f>
        <v>0.29899999999999999</v>
      </c>
      <c r="J90" s="242">
        <f t="shared" si="38"/>
        <v>14612</v>
      </c>
      <c r="K90" s="242">
        <f>IF(G90&gt;$C$10,0,IF((S89+L90)&lt;K89,(S89+L90),IF(T89=0,K89,MIN(K89,ROUNDUP(S89*$C$13/12/((1-(1+$C$13/12)^(0-($C$10-G90)))),0)))))</f>
        <v>14612</v>
      </c>
      <c r="L90" s="242">
        <f t="shared" si="39"/>
        <v>4690.0289058423805</v>
      </c>
      <c r="M90" s="242">
        <f t="shared" si="49"/>
        <v>9921.9710941576195</v>
      </c>
      <c r="N90" s="242">
        <f>IF(P90-Q90&gt;$C$24,$C$24-L90,IF(V90=0,0,R90)+$AJ$51)</f>
        <v>0</v>
      </c>
      <c r="O90" s="242">
        <v>0</v>
      </c>
      <c r="P90" s="242">
        <f t="shared" si="61"/>
        <v>4690.0289058423805</v>
      </c>
      <c r="Q90" s="242">
        <f t="shared" si="58"/>
        <v>0</v>
      </c>
      <c r="R90" s="242">
        <f t="shared" si="40"/>
        <v>0</v>
      </c>
      <c r="S90" s="242">
        <f t="shared" si="50"/>
        <v>174764.67801928171</v>
      </c>
      <c r="T90" s="467">
        <f t="shared" si="36"/>
        <v>0</v>
      </c>
      <c r="U90" s="36">
        <f t="shared" si="55"/>
        <v>3</v>
      </c>
      <c r="V90" s="36">
        <f t="shared" si="42"/>
        <v>3</v>
      </c>
      <c r="W90" s="36">
        <f t="shared" si="43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32"/>
        <v>14612</v>
      </c>
      <c r="Z90" s="57">
        <f t="shared" si="30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33"/>
        <v>14501</v>
      </c>
      <c r="AO90" s="57">
        <f t="shared" si="31"/>
        <v>61010</v>
      </c>
      <c r="AP90" s="130">
        <f t="shared" si="44"/>
        <v>1</v>
      </c>
      <c r="AQ90" s="553">
        <f t="shared" si="56"/>
        <v>82</v>
      </c>
      <c r="AR90" s="554">
        <f>IF((OR(DAY($AE$54)=29,DAY($AE$54)=30,DAY($AE$54)=31)),(EDATE($C$9-3,AQ90)),EDATE($C$9,AQ90))</f>
        <v>47811</v>
      </c>
      <c r="AS90" s="555">
        <f>IF($D$16="Да",$AN$40,$D$13)</f>
        <v>0.29899999999999999</v>
      </c>
      <c r="AT90" s="559">
        <f t="shared" si="45"/>
        <v>14501</v>
      </c>
      <c r="AU90" s="546">
        <f t="shared" si="51"/>
        <v>14501</v>
      </c>
      <c r="AV90" s="546">
        <f t="shared" si="46"/>
        <v>826.46708587620583</v>
      </c>
      <c r="AW90" s="546">
        <f t="shared" si="47"/>
        <v>13674.532914123794</v>
      </c>
      <c r="AX90" s="559">
        <f>IF(AZ90-BA90&gt;$D$24,$D$24-AV90,IF(BJ90=0,0,BB90)+BY138)</f>
        <v>0</v>
      </c>
      <c r="AY90" s="559">
        <v>0</v>
      </c>
      <c r="AZ90" s="559">
        <f t="shared" si="62"/>
        <v>826.46708587620583</v>
      </c>
      <c r="BA90" s="559">
        <f t="shared" si="60"/>
        <v>0</v>
      </c>
      <c r="BB90" s="559">
        <f t="shared" si="59"/>
        <v>0</v>
      </c>
      <c r="BC90" s="559"/>
      <c r="BD90" s="559"/>
      <c r="BE90" s="559"/>
      <c r="BF90" s="559"/>
      <c r="BG90" s="559"/>
      <c r="BH90" s="546">
        <f t="shared" si="48"/>
        <v>18870.562171086603</v>
      </c>
      <c r="BI90" s="108">
        <f t="shared" si="57"/>
        <v>3</v>
      </c>
      <c r="BJ90" s="108">
        <f t="shared" si="52"/>
        <v>3</v>
      </c>
      <c r="BK90" s="22">
        <f t="shared" si="53"/>
        <v>47811</v>
      </c>
      <c r="BL90" s="108">
        <f t="shared" si="37"/>
        <v>14612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54"/>
        <v>83</v>
      </c>
      <c r="H91" s="245">
        <f>IF((OR(DAY($AE$54)=29,DAY($AE$54)=30,DAY($AE$54)=31)),(EDATE($C$9-3,G91)),EDATE($C$9,G91))</f>
        <v>47841</v>
      </c>
      <c r="I91" s="246">
        <f>IF(AND($X$11=1,G91&gt;=$X$11,),0%,$C$13)</f>
        <v>0.29899999999999999</v>
      </c>
      <c r="J91" s="242">
        <f t="shared" si="38"/>
        <v>14612</v>
      </c>
      <c r="K91" s="242">
        <f>IF(G91&gt;$C$10,0,IF((S90+L91)&lt;K90,(S90+L91),IF(T90=0,K90,MIN(K90,ROUNDUP(S90*$C$13/12/((1-(1+$C$13/12)^(0-($C$10-G91)))),0)))))</f>
        <v>14612</v>
      </c>
      <c r="L91" s="242">
        <f t="shared" si="39"/>
        <v>4294.9018132409774</v>
      </c>
      <c r="M91" s="242">
        <f t="shared" si="49"/>
        <v>10317.098186759024</v>
      </c>
      <c r="N91" s="242">
        <f>IF(P91-Q91&gt;$C$24,$C$24-L91,IF(V91=0,0,R91)+$AJ$51)</f>
        <v>0</v>
      </c>
      <c r="O91" s="242">
        <v>0</v>
      </c>
      <c r="P91" s="242">
        <f t="shared" si="61"/>
        <v>4294.9018132409774</v>
      </c>
      <c r="Q91" s="242">
        <f t="shared" si="58"/>
        <v>0</v>
      </c>
      <c r="R91" s="242">
        <f t="shared" si="40"/>
        <v>0</v>
      </c>
      <c r="S91" s="242">
        <f t="shared" si="50"/>
        <v>164447.57983252269</v>
      </c>
      <c r="T91" s="467">
        <f t="shared" si="36"/>
        <v>0</v>
      </c>
      <c r="U91" s="36">
        <f t="shared" si="55"/>
        <v>2</v>
      </c>
      <c r="V91" s="36">
        <f t="shared" si="42"/>
        <v>2</v>
      </c>
      <c r="W91" s="36">
        <f t="shared" si="43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32"/>
        <v>14612</v>
      </c>
      <c r="Z91" s="57">
        <f t="shared" si="30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33"/>
        <v>14501</v>
      </c>
      <c r="AO91" s="57">
        <f t="shared" si="31"/>
        <v>61375</v>
      </c>
      <c r="AP91" s="130">
        <f t="shared" si="44"/>
        <v>1</v>
      </c>
      <c r="AQ91" s="553">
        <f t="shared" si="56"/>
        <v>83</v>
      </c>
      <c r="AR91" s="554">
        <f>IF((OR(DAY($AE$54)=29,DAY($AE$54)=30,DAY($AE$54)=31)),(EDATE($C$9-3,AQ91)),EDATE($C$9,AQ91))</f>
        <v>47841</v>
      </c>
      <c r="AS91" s="555">
        <f>IF($D$16="Да",$AN$40,$D$13)</f>
        <v>0.29899999999999999</v>
      </c>
      <c r="AT91" s="559">
        <f t="shared" si="45"/>
        <v>14501</v>
      </c>
      <c r="AU91" s="546">
        <f t="shared" si="51"/>
        <v>14501</v>
      </c>
      <c r="AV91" s="546">
        <f t="shared" si="46"/>
        <v>463.75052787574469</v>
      </c>
      <c r="AW91" s="546">
        <f t="shared" si="47"/>
        <v>14037.249472124255</v>
      </c>
      <c r="AX91" s="559">
        <f>IF(AZ91-BA91&gt;$D$24,$D$24-AV91,IF(BJ91=0,0,BB91)+BY139)</f>
        <v>0</v>
      </c>
      <c r="AY91" s="559">
        <v>0</v>
      </c>
      <c r="AZ91" s="559">
        <f t="shared" si="62"/>
        <v>463.75052787574469</v>
      </c>
      <c r="BA91" s="559">
        <f t="shared" si="60"/>
        <v>0</v>
      </c>
      <c r="BB91" s="559">
        <f t="shared" si="59"/>
        <v>0</v>
      </c>
      <c r="BC91" s="559"/>
      <c r="BD91" s="559"/>
      <c r="BE91" s="559"/>
      <c r="BF91" s="559"/>
      <c r="BG91" s="559"/>
      <c r="BH91" s="546">
        <f t="shared" si="48"/>
        <v>4833.3126989623488</v>
      </c>
      <c r="BI91" s="108">
        <f t="shared" si="57"/>
        <v>2</v>
      </c>
      <c r="BJ91" s="108">
        <f t="shared" si="52"/>
        <v>2</v>
      </c>
      <c r="BK91" s="22">
        <f t="shared" si="53"/>
        <v>47841</v>
      </c>
      <c r="BL91" s="108">
        <f t="shared" si="37"/>
        <v>14612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54"/>
        <v>84</v>
      </c>
      <c r="H92" s="245">
        <f>IF((OR(DAY($AE$54)=29,DAY($AE$54)=30,DAY($AE$54)=31)),(EDATE($C$9-3,G92)),EDATE($C$9,G92))</f>
        <v>47872</v>
      </c>
      <c r="I92" s="246">
        <f>IF(AND($X$11=1,G92&gt;=$X$11,),0%,$C$13)</f>
        <v>0.29899999999999999</v>
      </c>
      <c r="J92" s="242">
        <f t="shared" si="38"/>
        <v>14612</v>
      </c>
      <c r="K92" s="242">
        <f>IF(G92&gt;$C$10,0,IF((S91+L92)&lt;K91,(S91+L92),IF(T91=0,K91,MIN(K91,ROUNDUP(S91*$C$13/12/((1-(1+$C$13/12)^(0-($C$10-G92)))),0)))))</f>
        <v>14612</v>
      </c>
      <c r="L92" s="242">
        <f t="shared" si="39"/>
        <v>4176.067445116857</v>
      </c>
      <c r="M92" s="242">
        <f t="shared" si="49"/>
        <v>10435.932554883144</v>
      </c>
      <c r="N92" s="242">
        <f>IF(P92-Q92&gt;$C$24,$C$24-L92,IF(V92=0,0,R92)+$AJ$51)</f>
        <v>0</v>
      </c>
      <c r="O92" s="242">
        <v>0</v>
      </c>
      <c r="P92" s="242">
        <f t="shared" si="61"/>
        <v>4176.067445116857</v>
      </c>
      <c r="Q92" s="242">
        <f t="shared" si="58"/>
        <v>0</v>
      </c>
      <c r="R92" s="242">
        <f t="shared" si="40"/>
        <v>0</v>
      </c>
      <c r="S92" s="242">
        <f t="shared" si="50"/>
        <v>0</v>
      </c>
      <c r="T92" s="467">
        <f t="shared" si="36"/>
        <v>154011.64727763954</v>
      </c>
      <c r="U92" s="36">
        <f t="shared" si="55"/>
        <v>1</v>
      </c>
      <c r="V92" s="36">
        <f t="shared" si="42"/>
        <v>1</v>
      </c>
      <c r="W92" s="36">
        <f>IF(G92=$C$10,T92,0)</f>
        <v>154011.64727763954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32"/>
        <v>14612</v>
      </c>
      <c r="Z92" s="57">
        <f t="shared" si="30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33"/>
        <v>14501</v>
      </c>
      <c r="AO92" s="57">
        <f t="shared" si="31"/>
        <v>61740</v>
      </c>
      <c r="AP92" s="130">
        <f t="shared" si="44"/>
        <v>1</v>
      </c>
      <c r="AQ92" s="553">
        <f t="shared" si="56"/>
        <v>84</v>
      </c>
      <c r="AR92" s="554">
        <f>IF((OR(DAY($AE$54)=29,DAY($AE$54)=30,DAY($AE$54)=31)),(EDATE($C$9-3,AQ92)),EDATE($C$9,AQ92))</f>
        <v>47872</v>
      </c>
      <c r="AS92" s="555">
        <f>IF($D$16="Да",$AN$40,$D$13)</f>
        <v>0.29899999999999999</v>
      </c>
      <c r="AT92" s="559">
        <f t="shared" si="45"/>
        <v>14501</v>
      </c>
      <c r="AU92" s="546">
        <f t="shared" si="51"/>
        <v>14501</v>
      </c>
      <c r="AV92" s="546">
        <f t="shared" si="46"/>
        <v>122.73965864844385</v>
      </c>
      <c r="AW92" s="546">
        <f t="shared" si="47"/>
        <v>4833.3126989623488</v>
      </c>
      <c r="AX92" s="559">
        <f>IF(AZ92-BA92&gt;$D$24,$D$24-AV92,IF(BJ92=0,0,BB92)+BY140)</f>
        <v>0</v>
      </c>
      <c r="AY92" s="559">
        <v>0</v>
      </c>
      <c r="AZ92" s="559">
        <f t="shared" si="62"/>
        <v>122.73965864844385</v>
      </c>
      <c r="BA92" s="559">
        <f t="shared" si="60"/>
        <v>0</v>
      </c>
      <c r="BB92" s="559">
        <f t="shared" si="59"/>
        <v>0</v>
      </c>
      <c r="BC92" s="559"/>
      <c r="BD92" s="559"/>
      <c r="BE92" s="559"/>
      <c r="BF92" s="559"/>
      <c r="BG92" s="559"/>
      <c r="BH92" s="546">
        <f t="shared" si="48"/>
        <v>0</v>
      </c>
      <c r="BI92" s="108">
        <f t="shared" si="57"/>
        <v>1</v>
      </c>
      <c r="BJ92" s="108">
        <f t="shared" si="52"/>
        <v>1</v>
      </c>
      <c r="BK92" s="22">
        <f t="shared" si="53"/>
        <v>47872</v>
      </c>
      <c r="BL92" s="108">
        <f t="shared" si="37"/>
        <v>14612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54"/>
        <v>85</v>
      </c>
      <c r="H93" s="245">
        <f>IF((OR(DAY($AE$54)=29,DAY($AE$54)=30,DAY($AE$54)=31)),(EDATE($C$9-3,G93)),EDATE($C$9,G93))</f>
        <v>47903</v>
      </c>
      <c r="I93" s="246">
        <f>IF(AND($X$11=1,G93&gt;=$X$11,),0%,$C$13)</f>
        <v>0.29899999999999999</v>
      </c>
      <c r="J93" s="24">
        <f t="shared" si="38"/>
        <v>0</v>
      </c>
      <c r="K93" s="242">
        <f>IF(G93&gt;$C$10,0,IF((S92+L93)&lt;K92,(S92+L93),IF(T92=0,K92,MIN(K92,ROUNDUP(S92*$C$13/12/((1-(1+$C$13/12)^(0-($C$10-G93)))),0)))))</f>
        <v>0</v>
      </c>
      <c r="L93" s="242">
        <f t="shared" si="39"/>
        <v>0</v>
      </c>
      <c r="M93" s="24">
        <f t="shared" ref="M93:M108" si="63">IF(V93=0,0,IF(V93=1,S92,IF(S92+N93+L93&gt;K92,K93-L93-N93,S92)))</f>
        <v>0</v>
      </c>
      <c r="N93" s="24">
        <f>IF(P93-Q93&gt;$C$24,$C$24-L93,IF(V93=0,0,R93)+$AJ$51)</f>
        <v>0</v>
      </c>
      <c r="O93" s="24">
        <v>0</v>
      </c>
      <c r="P93" s="24">
        <f t="shared" si="61"/>
        <v>0</v>
      </c>
      <c r="Q93" s="24">
        <f t="shared" si="58"/>
        <v>0</v>
      </c>
      <c r="R93" s="24">
        <f t="shared" si="40"/>
        <v>0</v>
      </c>
      <c r="S93" s="24">
        <f t="shared" si="50"/>
        <v>0</v>
      </c>
      <c r="T93" s="24">
        <f>IF(G93=C35,'КЭШ, Реф (БВ_ОПТИ_Базовый)'!$C$26-'КЭШ, Реф (БВ_ОПТИ_Базовый)'!$C$27,0)</f>
        <v>0</v>
      </c>
      <c r="U93" s="36">
        <f t="shared" si="55"/>
        <v>0</v>
      </c>
      <c r="V93" s="36">
        <f t="shared" si="42"/>
        <v>0</v>
      </c>
      <c r="W93" s="36">
        <f t="shared" si="43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32"/>
        <v>14612</v>
      </c>
      <c r="Z93" s="57">
        <f t="shared" si="30"/>
        <v>63565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33"/>
        <v>14501</v>
      </c>
      <c r="AO93" s="57">
        <f t="shared" si="31"/>
        <v>62105</v>
      </c>
      <c r="AP93" s="130">
        <f t="shared" si="44"/>
        <v>0</v>
      </c>
      <c r="AQ93" s="109">
        <f t="shared" si="56"/>
        <v>85</v>
      </c>
      <c r="AR93" s="681">
        <f>IF((OR(DAY($AE$54)=29,DAY($AE$54)=30,DAY($AE$54)=31)),(EDATE($C$9-3,AQ93)),EDATE($C$9,AQ93))</f>
        <v>47903</v>
      </c>
      <c r="AS93" s="177">
        <f>IF($D$16="Да",$AN$40,$D$13)</f>
        <v>0.29899999999999999</v>
      </c>
      <c r="AT93" s="105">
        <f t="shared" si="45"/>
        <v>0</v>
      </c>
      <c r="AU93" s="105">
        <f t="shared" si="51"/>
        <v>0</v>
      </c>
      <c r="AV93" s="559">
        <f t="shared" si="46"/>
        <v>0</v>
      </c>
      <c r="AW93" s="105">
        <f t="shared" si="47"/>
        <v>0</v>
      </c>
      <c r="AX93" s="105">
        <f>IF(AZ93-BA93&gt;$D$24,$D$24-AV93,IF(BJ93=0,0,BB93)+BY141)</f>
        <v>0</v>
      </c>
      <c r="AY93" s="105">
        <v>0</v>
      </c>
      <c r="AZ93" s="105">
        <f t="shared" si="62"/>
        <v>0</v>
      </c>
      <c r="BA93" s="105">
        <f t="shared" si="60"/>
        <v>0</v>
      </c>
      <c r="BB93" s="105">
        <f t="shared" si="59"/>
        <v>0</v>
      </c>
      <c r="BC93" s="105"/>
      <c r="BD93" s="105"/>
      <c r="BE93" s="105"/>
      <c r="BF93" s="105"/>
      <c r="BG93" s="105"/>
      <c r="BH93" s="105">
        <f t="shared" si="48"/>
        <v>0</v>
      </c>
      <c r="BI93" s="108">
        <f t="shared" si="57"/>
        <v>0</v>
      </c>
      <c r="BJ93" s="108">
        <f t="shared" si="52"/>
        <v>0</v>
      </c>
      <c r="BK93" s="22">
        <f t="shared" si="53"/>
        <v>47903</v>
      </c>
      <c r="BL93" s="108">
        <f t="shared" si="37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54"/>
        <v>86</v>
      </c>
      <c r="H94" s="245">
        <f>IF((OR(DAY($AE$54)=29,DAY($AE$54)=30,DAY($AE$54)=31)),(EDATE($C$9-3,G94)),EDATE($C$9,G94))</f>
        <v>47931</v>
      </c>
      <c r="I94" s="246">
        <f>IF(AND($X$11=1,G94&gt;=$X$11,),0%,$C$13)</f>
        <v>0.29899999999999999</v>
      </c>
      <c r="J94" s="24">
        <f t="shared" si="38"/>
        <v>0</v>
      </c>
      <c r="K94" s="242">
        <f>IF(G94&gt;$C$10,0,IF((S93+L94)&lt;K93,(S93+L94),IF(T93=0,K93,MIN(K93,ROUNDUP(S93*$C$13/12/((1-(1+$C$13/12)^(0-($C$10-G94)))),0)))))</f>
        <v>0</v>
      </c>
      <c r="L94" s="242">
        <f t="shared" si="39"/>
        <v>0</v>
      </c>
      <c r="M94" s="24">
        <f t="shared" si="63"/>
        <v>0</v>
      </c>
      <c r="N94" s="24">
        <f>IF(P94-Q94&gt;$C$24,$C$24-L94,IF(V94=0,0,R94)+$AJ$51)</f>
        <v>0</v>
      </c>
      <c r="O94" s="24">
        <v>0</v>
      </c>
      <c r="P94" s="24">
        <f t="shared" si="61"/>
        <v>0</v>
      </c>
      <c r="Q94" s="24">
        <f t="shared" si="58"/>
        <v>0</v>
      </c>
      <c r="R94" s="24">
        <f t="shared" si="40"/>
        <v>0</v>
      </c>
      <c r="S94" s="24">
        <f t="shared" si="50"/>
        <v>0</v>
      </c>
      <c r="T94" s="24">
        <f>IF(G94=C36,'КЭШ, Реф (БВ_ОПТИ_Базовый)'!$C$26-'КЭШ, Реф (БВ_ОПТИ_Базовый)'!$C$27,0)</f>
        <v>0</v>
      </c>
      <c r="U94" s="36">
        <f t="shared" si="55"/>
        <v>0</v>
      </c>
      <c r="V94" s="36">
        <f t="shared" si="42"/>
        <v>0</v>
      </c>
      <c r="W94" s="36">
        <f t="shared" si="43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32"/>
        <v>14612</v>
      </c>
      <c r="Z94" s="57">
        <f t="shared" si="30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33"/>
        <v>14501</v>
      </c>
      <c r="AO94" s="57">
        <f t="shared" si="31"/>
        <v>62470</v>
      </c>
      <c r="AP94" s="130">
        <f t="shared" si="44"/>
        <v>0</v>
      </c>
      <c r="AQ94" s="109">
        <f t="shared" si="56"/>
        <v>86</v>
      </c>
      <c r="AR94" s="681">
        <f>IF((OR(DAY($AE$54)=29,DAY($AE$54)=30,DAY($AE$54)=31)),(EDATE($C$9-3,AQ94)),EDATE($C$9,AQ94))</f>
        <v>47931</v>
      </c>
      <c r="AS94" s="177">
        <f>IF($D$16="Да",$AN$40,$D$13)</f>
        <v>0.29899999999999999</v>
      </c>
      <c r="AT94" s="105">
        <f t="shared" si="45"/>
        <v>0</v>
      </c>
      <c r="AU94" s="105">
        <f t="shared" si="51"/>
        <v>0</v>
      </c>
      <c r="AV94" s="559">
        <f t="shared" si="46"/>
        <v>0</v>
      </c>
      <c r="AW94" s="105">
        <f t="shared" si="47"/>
        <v>0</v>
      </c>
      <c r="AX94" s="105">
        <f>IF(AZ94-BA94&gt;$D$24,$D$24-AV94,IF(BJ94=0,0,BB94)+BY142)</f>
        <v>0</v>
      </c>
      <c r="AY94" s="105">
        <v>0</v>
      </c>
      <c r="AZ94" s="105">
        <f t="shared" si="62"/>
        <v>0</v>
      </c>
      <c r="BA94" s="105">
        <f t="shared" si="60"/>
        <v>0</v>
      </c>
      <c r="BB94" s="105">
        <f t="shared" si="59"/>
        <v>0</v>
      </c>
      <c r="BC94" s="105"/>
      <c r="BD94" s="105"/>
      <c r="BE94" s="105"/>
      <c r="BF94" s="105"/>
      <c r="BG94" s="105"/>
      <c r="BH94" s="105">
        <f t="shared" si="48"/>
        <v>0</v>
      </c>
      <c r="BI94" s="108">
        <f t="shared" si="57"/>
        <v>0</v>
      </c>
      <c r="BJ94" s="108">
        <f t="shared" si="52"/>
        <v>0</v>
      </c>
      <c r="BK94" s="22">
        <f t="shared" si="53"/>
        <v>47931</v>
      </c>
      <c r="BL94" s="108">
        <f t="shared" si="37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54"/>
        <v>87</v>
      </c>
      <c r="H95" s="245">
        <f>IF((OR(DAY($AE$54)=29,DAY($AE$54)=30,DAY($AE$54)=31)),(EDATE($C$9-3,G95)),EDATE($C$9,G95))</f>
        <v>47962</v>
      </c>
      <c r="I95" s="246">
        <f>IF(AND($X$11=1,G95&gt;=$X$11,),0%,$C$13)</f>
        <v>0.29899999999999999</v>
      </c>
      <c r="J95" s="24">
        <f t="shared" si="38"/>
        <v>0</v>
      </c>
      <c r="K95" s="242">
        <f>IF(G95&gt;$C$10,0,IF((S94+L95)&lt;K94,(S94+L95),IF(T94=0,K94,MIN(K94,ROUNDUP(S94*$C$13/12/((1-(1+$C$13/12)^(0-($C$10-G95)))),0)))))</f>
        <v>0</v>
      </c>
      <c r="L95" s="242">
        <f t="shared" si="39"/>
        <v>0</v>
      </c>
      <c r="M95" s="24">
        <f t="shared" si="63"/>
        <v>0</v>
      </c>
      <c r="N95" s="24">
        <f>IF(P95-Q95&gt;$C$24,$C$24-L95,IF(V95=0,0,R95)+$AJ$51)</f>
        <v>0</v>
      </c>
      <c r="O95" s="24">
        <v>0</v>
      </c>
      <c r="P95" s="24">
        <f t="shared" si="61"/>
        <v>0</v>
      </c>
      <c r="Q95" s="24">
        <f t="shared" si="58"/>
        <v>0</v>
      </c>
      <c r="R95" s="24">
        <f t="shared" si="40"/>
        <v>0</v>
      </c>
      <c r="S95" s="24">
        <f t="shared" si="50"/>
        <v>0</v>
      </c>
      <c r="T95" s="24">
        <f>IF(G95=C37,'КЭШ, Реф (БВ_ОПТИ_Базовый)'!$C$26-'КЭШ, Реф (БВ_ОПТИ_Базовый)'!$C$27,0)</f>
        <v>0</v>
      </c>
      <c r="U95" s="36">
        <f t="shared" si="55"/>
        <v>0</v>
      </c>
      <c r="V95" s="36">
        <f t="shared" si="42"/>
        <v>0</v>
      </c>
      <c r="W95" s="36">
        <f t="shared" si="43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32"/>
        <v>14612</v>
      </c>
      <c r="Z95" s="57">
        <f t="shared" si="30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33"/>
        <v>14501</v>
      </c>
      <c r="AO95" s="57">
        <f t="shared" si="31"/>
        <v>62835</v>
      </c>
      <c r="AP95" s="130">
        <f t="shared" si="44"/>
        <v>0</v>
      </c>
      <c r="AQ95" s="109">
        <f t="shared" si="56"/>
        <v>87</v>
      </c>
      <c r="AR95" s="681">
        <f>IF((OR(DAY($AE$54)=29,DAY($AE$54)=30,DAY($AE$54)=31)),(EDATE($C$9-3,AQ95)),EDATE($C$9,AQ95))</f>
        <v>47962</v>
      </c>
      <c r="AS95" s="177">
        <f>IF($D$16="Да",$AN$40,$D$13)</f>
        <v>0.29899999999999999</v>
      </c>
      <c r="AT95" s="105">
        <f t="shared" si="45"/>
        <v>0</v>
      </c>
      <c r="AU95" s="105">
        <f t="shared" si="51"/>
        <v>0</v>
      </c>
      <c r="AV95" s="559">
        <f t="shared" si="46"/>
        <v>0</v>
      </c>
      <c r="AW95" s="105">
        <f t="shared" si="47"/>
        <v>0</v>
      </c>
      <c r="AX95" s="105">
        <f>IF(AZ95-BA95&gt;$D$24,$D$24-AV95,IF(BJ95=0,0,BB95)+BY143)</f>
        <v>0</v>
      </c>
      <c r="AY95" s="105">
        <v>0</v>
      </c>
      <c r="AZ95" s="105">
        <f t="shared" si="62"/>
        <v>0</v>
      </c>
      <c r="BA95" s="105">
        <f t="shared" si="60"/>
        <v>0</v>
      </c>
      <c r="BB95" s="105">
        <f t="shared" si="59"/>
        <v>0</v>
      </c>
      <c r="BC95" s="105"/>
      <c r="BD95" s="105"/>
      <c r="BE95" s="105"/>
      <c r="BF95" s="105"/>
      <c r="BG95" s="105"/>
      <c r="BH95" s="105">
        <f t="shared" si="48"/>
        <v>0</v>
      </c>
      <c r="BI95" s="108">
        <f t="shared" si="57"/>
        <v>0</v>
      </c>
      <c r="BJ95" s="108">
        <f t="shared" si="52"/>
        <v>0</v>
      </c>
      <c r="BK95" s="22">
        <f t="shared" si="53"/>
        <v>47962</v>
      </c>
      <c r="BL95" s="108">
        <f t="shared" si="37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54"/>
        <v>88</v>
      </c>
      <c r="H96" s="245">
        <f>IF((OR(DAY($AE$54)=29,DAY($AE$54)=30,DAY($AE$54)=31)),(EDATE($C$9-3,G96)),EDATE($C$9,G96))</f>
        <v>47992</v>
      </c>
      <c r="I96" s="246">
        <f>IF(AND($X$11=1,G96&gt;=$X$11,),0%,$C$13)</f>
        <v>0.29899999999999999</v>
      </c>
      <c r="J96" s="24">
        <f t="shared" si="38"/>
        <v>0</v>
      </c>
      <c r="K96" s="242">
        <f>IF(G96&gt;$C$10,0,IF((S95+L96)&lt;K95,(S95+L96),IF(T95=0,K95,MIN(K95,ROUNDUP(S95*$C$13/12/((1-(1+$C$13/12)^(0-($C$10-G96)))),0)))))</f>
        <v>0</v>
      </c>
      <c r="L96" s="242">
        <f t="shared" si="39"/>
        <v>0</v>
      </c>
      <c r="M96" s="24">
        <f t="shared" si="63"/>
        <v>0</v>
      </c>
      <c r="N96" s="24">
        <f>IF(P96-Q96&gt;$C$24,$C$24-L96,IF(V96=0,0,R96)+$AJ$51)</f>
        <v>0</v>
      </c>
      <c r="O96" s="24">
        <v>0</v>
      </c>
      <c r="P96" s="24">
        <f t="shared" si="61"/>
        <v>0</v>
      </c>
      <c r="Q96" s="24">
        <f t="shared" si="58"/>
        <v>0</v>
      </c>
      <c r="R96" s="24">
        <f t="shared" si="40"/>
        <v>0</v>
      </c>
      <c r="S96" s="24">
        <f t="shared" si="50"/>
        <v>0</v>
      </c>
      <c r="T96" s="24">
        <f>IF(G96=C38,'КЭШ, Реф (БВ_ОПТИ_Базовый)'!$C$26-'КЭШ, Реф (БВ_ОПТИ_Базовый)'!$C$27,0)</f>
        <v>0</v>
      </c>
      <c r="U96" s="36">
        <f t="shared" si="55"/>
        <v>0</v>
      </c>
      <c r="V96" s="36">
        <f t="shared" si="42"/>
        <v>0</v>
      </c>
      <c r="W96" s="36">
        <f t="shared" si="43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32"/>
        <v>14612</v>
      </c>
      <c r="Z96" s="57">
        <f t="shared" si="30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33"/>
        <v>14501</v>
      </c>
      <c r="AO96" s="57">
        <f t="shared" si="31"/>
        <v>63200</v>
      </c>
      <c r="AP96" s="130">
        <f t="shared" si="44"/>
        <v>0</v>
      </c>
      <c r="AQ96" s="109">
        <f t="shared" si="56"/>
        <v>88</v>
      </c>
      <c r="AR96" s="681">
        <f>IF((OR(DAY($AE$54)=29,DAY($AE$54)=30,DAY($AE$54)=31)),(EDATE($C$9-3,AQ96)),EDATE($C$9,AQ96))</f>
        <v>47992</v>
      </c>
      <c r="AS96" s="177">
        <f>IF($D$16="Да",$AN$40,$D$13)</f>
        <v>0.29899999999999999</v>
      </c>
      <c r="AT96" s="105">
        <f t="shared" si="45"/>
        <v>0</v>
      </c>
      <c r="AU96" s="105">
        <f t="shared" si="51"/>
        <v>0</v>
      </c>
      <c r="AV96" s="559">
        <f t="shared" si="46"/>
        <v>0</v>
      </c>
      <c r="AW96" s="105">
        <f t="shared" si="47"/>
        <v>0</v>
      </c>
      <c r="AX96" s="105">
        <f>IF(AZ96-BA96&gt;$D$24,$D$24-AV96,IF(BJ96=0,0,BB96)+BY144)</f>
        <v>0</v>
      </c>
      <c r="AY96" s="105">
        <v>0</v>
      </c>
      <c r="AZ96" s="105">
        <f t="shared" si="62"/>
        <v>0</v>
      </c>
      <c r="BA96" s="105">
        <f t="shared" si="60"/>
        <v>0</v>
      </c>
      <c r="BB96" s="105">
        <f t="shared" si="59"/>
        <v>0</v>
      </c>
      <c r="BC96" s="105"/>
      <c r="BD96" s="105"/>
      <c r="BE96" s="105"/>
      <c r="BF96" s="105"/>
      <c r="BG96" s="105"/>
      <c r="BH96" s="105">
        <f t="shared" si="48"/>
        <v>0</v>
      </c>
      <c r="BI96" s="108">
        <f t="shared" si="57"/>
        <v>0</v>
      </c>
      <c r="BJ96" s="108">
        <f t="shared" si="52"/>
        <v>0</v>
      </c>
      <c r="BK96" s="22">
        <f t="shared" si="53"/>
        <v>47992</v>
      </c>
      <c r="BL96" s="108">
        <f t="shared" si="37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54"/>
        <v>89</v>
      </c>
      <c r="H97" s="245">
        <f>IF((OR(DAY($AE$54)=29,DAY($AE$54)=30,DAY($AE$54)=31)),(EDATE($C$9-3,G97)),EDATE($C$9,G97))</f>
        <v>48023</v>
      </c>
      <c r="I97" s="246">
        <f>IF(AND($X$11=1,G97&gt;=$X$11,),0%,$C$13)</f>
        <v>0.29899999999999999</v>
      </c>
      <c r="J97" s="24">
        <f t="shared" si="38"/>
        <v>0</v>
      </c>
      <c r="K97" s="242">
        <f>IF(G97&gt;$C$10,0,IF((S96+L97)&lt;K96,(S96+L97),IF(T96=0,K96,MIN(K96,ROUNDUP(S96*$C$13/12/((1-(1+$C$13/12)^(0-($C$10-G97)))),0)))))</f>
        <v>0</v>
      </c>
      <c r="L97" s="242">
        <f t="shared" si="39"/>
        <v>0</v>
      </c>
      <c r="M97" s="24">
        <f t="shared" si="63"/>
        <v>0</v>
      </c>
      <c r="N97" s="24">
        <f>IF(P97-Q97&gt;$C$24,$C$24-L97,IF(V97=0,0,R97)+$AJ$51)</f>
        <v>0</v>
      </c>
      <c r="O97" s="24">
        <v>0</v>
      </c>
      <c r="P97" s="24">
        <f t="shared" si="61"/>
        <v>0</v>
      </c>
      <c r="Q97" s="24">
        <f t="shared" si="58"/>
        <v>0</v>
      </c>
      <c r="R97" s="24">
        <f t="shared" si="40"/>
        <v>0</v>
      </c>
      <c r="S97" s="24">
        <f t="shared" si="50"/>
        <v>0</v>
      </c>
      <c r="T97" s="24">
        <f>IF(G97=C39,'КЭШ, Реф (БВ_ОПТИ_Базовый)'!$C$26-'КЭШ, Реф (БВ_ОПТИ_Базовый)'!$C$27,0)</f>
        <v>0</v>
      </c>
      <c r="U97" s="36">
        <f t="shared" si="55"/>
        <v>0</v>
      </c>
      <c r="V97" s="36">
        <f t="shared" si="42"/>
        <v>0</v>
      </c>
      <c r="W97" s="36">
        <f t="shared" si="43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32"/>
        <v>14612</v>
      </c>
      <c r="Z97" s="57">
        <f t="shared" si="30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33"/>
        <v>14501</v>
      </c>
      <c r="AO97" s="57">
        <f t="shared" si="31"/>
        <v>63565</v>
      </c>
      <c r="AP97" s="130">
        <f t="shared" si="44"/>
        <v>0</v>
      </c>
      <c r="AQ97" s="109">
        <f t="shared" si="56"/>
        <v>89</v>
      </c>
      <c r="AR97" s="681">
        <f>IF((OR(DAY($AE$54)=29,DAY($AE$54)=30,DAY($AE$54)=31)),(EDATE($C$9-3,AQ97)),EDATE($C$9,AQ97))</f>
        <v>48023</v>
      </c>
      <c r="AS97" s="177">
        <f>IF($D$16="Да",$AN$40,$D$13)</f>
        <v>0.29899999999999999</v>
      </c>
      <c r="AT97" s="105">
        <f t="shared" si="45"/>
        <v>0</v>
      </c>
      <c r="AU97" s="105">
        <f t="shared" si="51"/>
        <v>0</v>
      </c>
      <c r="AV97" s="559">
        <f t="shared" si="46"/>
        <v>0</v>
      </c>
      <c r="AW97" s="105">
        <f t="shared" si="47"/>
        <v>0</v>
      </c>
      <c r="AX97" s="105">
        <f>IF(AZ97-BA97&gt;$D$24,$D$24-AV97,IF(BJ97=0,0,BB97)+BY145)</f>
        <v>0</v>
      </c>
      <c r="AY97" s="105">
        <v>0</v>
      </c>
      <c r="AZ97" s="105">
        <f t="shared" si="62"/>
        <v>0</v>
      </c>
      <c r="BA97" s="105">
        <f t="shared" si="60"/>
        <v>0</v>
      </c>
      <c r="BB97" s="105">
        <f t="shared" si="59"/>
        <v>0</v>
      </c>
      <c r="BC97" s="105"/>
      <c r="BD97" s="105"/>
      <c r="BE97" s="105"/>
      <c r="BF97" s="105"/>
      <c r="BG97" s="105"/>
      <c r="BH97" s="105">
        <f t="shared" si="48"/>
        <v>0</v>
      </c>
      <c r="BI97" s="108">
        <f t="shared" si="57"/>
        <v>0</v>
      </c>
      <c r="BJ97" s="108">
        <f t="shared" si="52"/>
        <v>0</v>
      </c>
      <c r="BK97" s="22">
        <f t="shared" si="53"/>
        <v>48023</v>
      </c>
      <c r="BL97" s="108">
        <f t="shared" si="37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54"/>
        <v>90</v>
      </c>
      <c r="H98" s="245">
        <f>IF((OR(DAY($AE$54)=29,DAY($AE$54)=30,DAY($AE$54)=31)),(EDATE($C$9-3,G98)),EDATE($C$9,G98))</f>
        <v>48053</v>
      </c>
      <c r="I98" s="246">
        <f>IF(AND($X$11=1,G98&gt;=$X$11,),0%,$C$13)</f>
        <v>0.29899999999999999</v>
      </c>
      <c r="J98" s="24">
        <f t="shared" si="38"/>
        <v>0</v>
      </c>
      <c r="K98" s="242">
        <f>IF(G98&gt;$C$10,0,IF((S97+L98)&lt;K97,(S97+L98),IF(T97=0,K97,MIN(K97,ROUNDUP(S97*$C$13/12/((1-(1+$C$13/12)^(0-($C$10-G98)))),0)))))</f>
        <v>0</v>
      </c>
      <c r="L98" s="242">
        <f t="shared" si="39"/>
        <v>0</v>
      </c>
      <c r="M98" s="24">
        <f t="shared" si="63"/>
        <v>0</v>
      </c>
      <c r="N98" s="24">
        <f>IF(P98-Q98&gt;$C$24,$C$24-L98,IF(V98=0,0,R98)+$AJ$51)</f>
        <v>0</v>
      </c>
      <c r="O98" s="24">
        <v>0</v>
      </c>
      <c r="P98" s="24">
        <f t="shared" si="61"/>
        <v>0</v>
      </c>
      <c r="Q98" s="24">
        <f t="shared" si="58"/>
        <v>0</v>
      </c>
      <c r="R98" s="24">
        <f t="shared" si="40"/>
        <v>0</v>
      </c>
      <c r="S98" s="24">
        <f t="shared" si="50"/>
        <v>0</v>
      </c>
      <c r="T98" s="24">
        <f>IF(G98=C40,'КЭШ, Реф (БВ_ОПТИ_Базовый)'!$C$26-'КЭШ, Реф (БВ_ОПТИ_Базовый)'!$C$27,0)</f>
        <v>0</v>
      </c>
      <c r="U98" s="36">
        <f t="shared" si="55"/>
        <v>0</v>
      </c>
      <c r="V98" s="36">
        <f t="shared" si="42"/>
        <v>0</v>
      </c>
      <c r="W98" s="36">
        <f t="shared" si="43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32"/>
        <v>14612</v>
      </c>
      <c r="Z98" s="57">
        <f t="shared" si="30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33"/>
        <v>14501</v>
      </c>
      <c r="AO98" s="57">
        <f t="shared" si="31"/>
        <v>63930</v>
      </c>
      <c r="AP98" s="130">
        <f t="shared" si="44"/>
        <v>0</v>
      </c>
      <c r="AQ98" s="109">
        <f t="shared" si="56"/>
        <v>90</v>
      </c>
      <c r="AR98" s="681">
        <f>IF((OR(DAY($AE$54)=29,DAY($AE$54)=30,DAY($AE$54)=31)),(EDATE($C$9-3,AQ98)),EDATE($C$9,AQ98))</f>
        <v>48053</v>
      </c>
      <c r="AS98" s="177">
        <f>IF($D$16="Да",$AN$40,$D$13)</f>
        <v>0.29899999999999999</v>
      </c>
      <c r="AT98" s="105">
        <f t="shared" si="45"/>
        <v>0</v>
      </c>
      <c r="AU98" s="105">
        <f t="shared" si="51"/>
        <v>0</v>
      </c>
      <c r="AV98" s="559">
        <f t="shared" si="46"/>
        <v>0</v>
      </c>
      <c r="AW98" s="105">
        <f t="shared" si="47"/>
        <v>0</v>
      </c>
      <c r="AX98" s="105">
        <f>IF(AZ98-BA98&gt;$D$24,$D$24-AV98,IF(BJ98=0,0,BB98)+BY146)</f>
        <v>0</v>
      </c>
      <c r="AY98" s="105">
        <v>0</v>
      </c>
      <c r="AZ98" s="105">
        <f t="shared" si="62"/>
        <v>0</v>
      </c>
      <c r="BA98" s="105">
        <f t="shared" si="60"/>
        <v>0</v>
      </c>
      <c r="BB98" s="105">
        <f t="shared" si="59"/>
        <v>0</v>
      </c>
      <c r="BC98" s="105"/>
      <c r="BD98" s="105"/>
      <c r="BE98" s="105"/>
      <c r="BF98" s="105"/>
      <c r="BG98" s="105"/>
      <c r="BH98" s="105">
        <f t="shared" si="48"/>
        <v>0</v>
      </c>
      <c r="BI98" s="108">
        <f t="shared" si="57"/>
        <v>0</v>
      </c>
      <c r="BJ98" s="108">
        <f t="shared" si="52"/>
        <v>0</v>
      </c>
      <c r="BK98" s="22">
        <f t="shared" si="53"/>
        <v>48053</v>
      </c>
      <c r="BL98" s="108">
        <f t="shared" si="37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54"/>
        <v>91</v>
      </c>
      <c r="H99" s="245">
        <f>IF((OR(DAY($AE$54)=29,DAY($AE$54)=30,DAY($AE$54)=31)),(EDATE($C$9-3,G99)),EDATE($C$9,G99))</f>
        <v>48084</v>
      </c>
      <c r="I99" s="246">
        <f>IF(AND($X$11=1,G99&gt;=$X$11,),0%,$C$13)</f>
        <v>0.29899999999999999</v>
      </c>
      <c r="J99" s="24">
        <f t="shared" si="38"/>
        <v>0</v>
      </c>
      <c r="K99" s="242">
        <f>IF(G99&gt;$C$10,0,IF((S98+L99)&lt;K98,(S98+L99),IF(T98=0,K98,MIN(K98,ROUNDUP(S98*$C$13/12/((1-(1+$C$13/12)^(0-($C$10-G99)))),0)))))</f>
        <v>0</v>
      </c>
      <c r="L99" s="242">
        <f t="shared" si="39"/>
        <v>0</v>
      </c>
      <c r="M99" s="24">
        <f t="shared" si="63"/>
        <v>0</v>
      </c>
      <c r="N99" s="24">
        <f>IF(P99-Q99&gt;$C$24,$C$24-L99,IF(V99=0,0,R99)+$AJ$51)</f>
        <v>0</v>
      </c>
      <c r="O99" s="24">
        <v>0</v>
      </c>
      <c r="P99" s="24">
        <f t="shared" si="61"/>
        <v>0</v>
      </c>
      <c r="Q99" s="24">
        <f t="shared" si="58"/>
        <v>0</v>
      </c>
      <c r="R99" s="24">
        <f t="shared" si="40"/>
        <v>0</v>
      </c>
      <c r="S99" s="24">
        <f t="shared" si="50"/>
        <v>0</v>
      </c>
      <c r="T99" s="24">
        <f>IF(G99=C41,'КЭШ, Реф (БВ_ОПТИ_Базовый)'!$C$26-'КЭШ, Реф (БВ_ОПТИ_Базовый)'!$C$27,0)</f>
        <v>0</v>
      </c>
      <c r="U99" s="36">
        <f t="shared" si="55"/>
        <v>0</v>
      </c>
      <c r="V99" s="36">
        <f t="shared" si="42"/>
        <v>0</v>
      </c>
      <c r="W99" s="36">
        <f t="shared" si="43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32"/>
        <v>14612</v>
      </c>
      <c r="Z99" s="57">
        <f t="shared" si="30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33"/>
        <v>14501</v>
      </c>
      <c r="AO99" s="57">
        <f t="shared" si="31"/>
        <v>64295</v>
      </c>
      <c r="AP99" s="130">
        <f t="shared" si="44"/>
        <v>0</v>
      </c>
      <c r="AQ99" s="109">
        <f t="shared" si="56"/>
        <v>91</v>
      </c>
      <c r="AR99" s="681">
        <f>IF((OR(DAY($AE$54)=29,DAY($AE$54)=30,DAY($AE$54)=31)),(EDATE($C$9-3,AQ99)),EDATE($C$9,AQ99))</f>
        <v>48084</v>
      </c>
      <c r="AS99" s="177">
        <f>IF($D$16="Да",$AN$40,$D$13)</f>
        <v>0.29899999999999999</v>
      </c>
      <c r="AT99" s="105">
        <f t="shared" si="45"/>
        <v>0</v>
      </c>
      <c r="AU99" s="105">
        <f t="shared" si="51"/>
        <v>0</v>
      </c>
      <c r="AV99" s="559">
        <f t="shared" si="46"/>
        <v>0</v>
      </c>
      <c r="AW99" s="105">
        <f t="shared" si="47"/>
        <v>0</v>
      </c>
      <c r="AX99" s="105">
        <f>IF(AZ99-BA99&gt;$D$24,$D$24-AV99,IF(BJ99=0,0,BB99)+BY147)</f>
        <v>0</v>
      </c>
      <c r="AY99" s="105">
        <v>0</v>
      </c>
      <c r="AZ99" s="105">
        <f t="shared" si="62"/>
        <v>0</v>
      </c>
      <c r="BA99" s="105">
        <f t="shared" si="60"/>
        <v>0</v>
      </c>
      <c r="BB99" s="105">
        <f t="shared" si="59"/>
        <v>0</v>
      </c>
      <c r="BC99" s="105"/>
      <c r="BD99" s="105"/>
      <c r="BE99" s="105"/>
      <c r="BF99" s="105"/>
      <c r="BG99" s="105"/>
      <c r="BH99" s="105">
        <f t="shared" si="48"/>
        <v>0</v>
      </c>
      <c r="BI99" s="108">
        <f t="shared" si="57"/>
        <v>0</v>
      </c>
      <c r="BJ99" s="108">
        <f t="shared" si="52"/>
        <v>0</v>
      </c>
      <c r="BK99" s="22">
        <f t="shared" si="53"/>
        <v>48084</v>
      </c>
      <c r="BL99" s="108">
        <f t="shared" si="37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54"/>
        <v>92</v>
      </c>
      <c r="H100" s="245">
        <f>IF((OR(DAY($AE$54)=29,DAY($AE$54)=30,DAY($AE$54)=31)),(EDATE($C$9-3,G100)),EDATE($C$9,G100))</f>
        <v>48115</v>
      </c>
      <c r="I100" s="246">
        <f>IF(AND($X$11=1,G100&gt;=$X$11,),0%,$C$13)</f>
        <v>0.29899999999999999</v>
      </c>
      <c r="J100" s="24">
        <f t="shared" si="38"/>
        <v>0</v>
      </c>
      <c r="K100" s="242">
        <f>IF(G100&gt;$C$10,0,IF((S99+L100)&lt;K99,(S99+L100),IF(T99=0,K99,MIN(K99,ROUNDUP(S99*$C$13/12/((1-(1+$C$13/12)^(0-($C$10-G100)))),0)))))</f>
        <v>0</v>
      </c>
      <c r="L100" s="242">
        <f t="shared" si="39"/>
        <v>0</v>
      </c>
      <c r="M100" s="24">
        <f t="shared" si="63"/>
        <v>0</v>
      </c>
      <c r="N100" s="24">
        <f>IF(P100-Q100&gt;$C$24,$C$24-L100,IF(V100=0,0,R100)+$AJ$51)</f>
        <v>0</v>
      </c>
      <c r="O100" s="24">
        <v>0</v>
      </c>
      <c r="P100" s="24">
        <f t="shared" si="61"/>
        <v>0</v>
      </c>
      <c r="Q100" s="24">
        <f t="shared" si="58"/>
        <v>0</v>
      </c>
      <c r="R100" s="24">
        <f t="shared" si="40"/>
        <v>0</v>
      </c>
      <c r="S100" s="24">
        <f t="shared" si="50"/>
        <v>0</v>
      </c>
      <c r="T100" s="24">
        <f>IF(G100=C42,'КЭШ, Реф (БВ_ОПТИ_Базовый)'!$C$26-'КЭШ, Реф (БВ_ОПТИ_Базовый)'!$C$27,0)</f>
        <v>0</v>
      </c>
      <c r="U100" s="36">
        <f t="shared" si="55"/>
        <v>0</v>
      </c>
      <c r="V100" s="36">
        <f t="shared" si="42"/>
        <v>0</v>
      </c>
      <c r="W100" s="36">
        <f t="shared" si="43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32"/>
        <v>14612</v>
      </c>
      <c r="Z100" s="57">
        <f t="shared" si="30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33"/>
        <v>14501</v>
      </c>
      <c r="AO100" s="57">
        <f t="shared" si="31"/>
        <v>64660</v>
      </c>
      <c r="AP100" s="130">
        <f t="shared" si="44"/>
        <v>0</v>
      </c>
      <c r="AQ100" s="109">
        <f t="shared" si="56"/>
        <v>92</v>
      </c>
      <c r="AR100" s="681">
        <f>IF((OR(DAY($AE$54)=29,DAY($AE$54)=30,DAY($AE$54)=31)),(EDATE($C$9-3,AQ100)),EDATE($C$9,AQ100))</f>
        <v>48115</v>
      </c>
      <c r="AS100" s="177">
        <f>IF($D$16="Да",$AN$40,$D$13)</f>
        <v>0.29899999999999999</v>
      </c>
      <c r="AT100" s="105">
        <f t="shared" si="45"/>
        <v>0</v>
      </c>
      <c r="AU100" s="105">
        <f t="shared" si="51"/>
        <v>0</v>
      </c>
      <c r="AV100" s="559">
        <f t="shared" si="46"/>
        <v>0</v>
      </c>
      <c r="AW100" s="105">
        <f t="shared" si="47"/>
        <v>0</v>
      </c>
      <c r="AX100" s="105">
        <f>IF(AZ100-BA100&gt;$D$24,$D$24-AV100,IF(BJ100=0,0,BB100)+BY148)</f>
        <v>0</v>
      </c>
      <c r="AY100" s="105">
        <v>0</v>
      </c>
      <c r="AZ100" s="105">
        <f t="shared" si="62"/>
        <v>0</v>
      </c>
      <c r="BA100" s="105">
        <f t="shared" si="60"/>
        <v>0</v>
      </c>
      <c r="BB100" s="105">
        <f t="shared" si="59"/>
        <v>0</v>
      </c>
      <c r="BC100" s="105"/>
      <c r="BD100" s="105"/>
      <c r="BE100" s="105"/>
      <c r="BF100" s="105"/>
      <c r="BG100" s="105"/>
      <c r="BH100" s="105">
        <f t="shared" si="48"/>
        <v>0</v>
      </c>
      <c r="BI100" s="108">
        <f t="shared" si="57"/>
        <v>0</v>
      </c>
      <c r="BJ100" s="108">
        <f t="shared" si="52"/>
        <v>0</v>
      </c>
      <c r="BK100" s="22">
        <f t="shared" si="53"/>
        <v>48115</v>
      </c>
      <c r="BL100" s="108">
        <f t="shared" si="37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54"/>
        <v>93</v>
      </c>
      <c r="H101" s="245">
        <f>IF((OR(DAY($AE$54)=29,DAY($AE$54)=30,DAY($AE$54)=31)),(EDATE($C$9-3,G101)),EDATE($C$9,G101))</f>
        <v>48145</v>
      </c>
      <c r="I101" s="246">
        <f>IF(AND($X$11=1,G101&gt;=$X$11,),0%,$C$13)</f>
        <v>0.29899999999999999</v>
      </c>
      <c r="J101" s="24">
        <f t="shared" si="38"/>
        <v>0</v>
      </c>
      <c r="K101" s="242">
        <f>IF(G101&gt;$C$10,0,IF((S100+L101)&lt;K100,(S100+L101),IF(T100=0,K100,MIN(K100,ROUNDUP(S100*$C$13/12/((1-(1+$C$13/12)^(0-($C$10-G101)))),0)))))</f>
        <v>0</v>
      </c>
      <c r="L101" s="242">
        <f t="shared" si="39"/>
        <v>0</v>
      </c>
      <c r="M101" s="24">
        <f t="shared" si="63"/>
        <v>0</v>
      </c>
      <c r="N101" s="24">
        <f>IF(P101-Q101&gt;$C$24,$C$24-L101,IF(V101=0,0,R101)+$AJ$51)</f>
        <v>0</v>
      </c>
      <c r="O101" s="24">
        <v>0</v>
      </c>
      <c r="P101" s="24">
        <f t="shared" si="61"/>
        <v>0</v>
      </c>
      <c r="Q101" s="24">
        <f t="shared" si="58"/>
        <v>0</v>
      </c>
      <c r="R101" s="24">
        <f t="shared" si="40"/>
        <v>0</v>
      </c>
      <c r="S101" s="24">
        <f t="shared" si="50"/>
        <v>0</v>
      </c>
      <c r="T101" s="24">
        <f>IF(G101=C43,'КЭШ, Реф (БВ_ОПТИ_Базовый)'!$C$26-'КЭШ, Реф (БВ_ОПТИ_Базовый)'!$C$27,0)</f>
        <v>0</v>
      </c>
      <c r="U101" s="36">
        <f t="shared" si="55"/>
        <v>0</v>
      </c>
      <c r="V101" s="36">
        <f t="shared" si="42"/>
        <v>0</v>
      </c>
      <c r="W101" s="36">
        <f t="shared" si="43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32"/>
        <v>14612</v>
      </c>
      <c r="Z101" s="57">
        <f t="shared" si="30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33"/>
        <v>14501</v>
      </c>
      <c r="AO101" s="57">
        <f t="shared" si="31"/>
        <v>65025</v>
      </c>
      <c r="AP101" s="130">
        <f t="shared" si="44"/>
        <v>0</v>
      </c>
      <c r="AQ101" s="109">
        <f t="shared" si="56"/>
        <v>93</v>
      </c>
      <c r="AR101" s="681">
        <f>IF((OR(DAY($AE$54)=29,DAY($AE$54)=30,DAY($AE$54)=31)),(EDATE($C$9-3,AQ101)),EDATE($C$9,AQ101))</f>
        <v>48145</v>
      </c>
      <c r="AS101" s="177">
        <f>IF($D$16="Да",$AN$40,$D$13)</f>
        <v>0.29899999999999999</v>
      </c>
      <c r="AT101" s="105">
        <f t="shared" si="45"/>
        <v>0</v>
      </c>
      <c r="AU101" s="105">
        <f t="shared" si="51"/>
        <v>0</v>
      </c>
      <c r="AV101" s="559">
        <f t="shared" si="46"/>
        <v>0</v>
      </c>
      <c r="AW101" s="105">
        <f t="shared" si="47"/>
        <v>0</v>
      </c>
      <c r="AX101" s="105">
        <f>IF(AZ101-BA101&gt;$D$24,$D$24-AV101,IF(BJ101=0,0,BB101)+BY149)</f>
        <v>0</v>
      </c>
      <c r="AY101" s="105">
        <v>0</v>
      </c>
      <c r="AZ101" s="105">
        <f t="shared" si="62"/>
        <v>0</v>
      </c>
      <c r="BA101" s="105">
        <f t="shared" si="60"/>
        <v>0</v>
      </c>
      <c r="BB101" s="105">
        <f t="shared" si="59"/>
        <v>0</v>
      </c>
      <c r="BC101" s="105"/>
      <c r="BD101" s="105"/>
      <c r="BE101" s="105"/>
      <c r="BF101" s="105"/>
      <c r="BG101" s="105"/>
      <c r="BH101" s="105">
        <f t="shared" si="48"/>
        <v>0</v>
      </c>
      <c r="BI101" s="108">
        <f t="shared" si="57"/>
        <v>0</v>
      </c>
      <c r="BJ101" s="108">
        <f t="shared" si="52"/>
        <v>0</v>
      </c>
      <c r="BK101" s="22">
        <f t="shared" si="53"/>
        <v>48145</v>
      </c>
      <c r="BL101" s="108">
        <f t="shared" si="37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  <c r="BZ101" s="2"/>
      <c r="CA101" s="2"/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54"/>
        <v>94</v>
      </c>
      <c r="H102" s="245">
        <f>IF((OR(DAY($AE$54)=29,DAY($AE$54)=30,DAY($AE$54)=31)),(EDATE($C$9-3,G102)),EDATE($C$9,G102))</f>
        <v>48176</v>
      </c>
      <c r="I102" s="246">
        <f>IF(AND($X$11=1,G102&gt;=$X$11,),0%,$C$13)</f>
        <v>0.29899999999999999</v>
      </c>
      <c r="J102" s="24">
        <f t="shared" si="38"/>
        <v>0</v>
      </c>
      <c r="K102" s="242">
        <f>IF(G102&gt;$C$10,0,IF((S101+L102)&lt;K101,(S101+L102),IF(T101=0,K101,MIN(K101,ROUNDUP(S101*$C$13/12/((1-(1+$C$13/12)^(0-($C$10-G102)))),0)))))</f>
        <v>0</v>
      </c>
      <c r="L102" s="242">
        <f t="shared" si="39"/>
        <v>0</v>
      </c>
      <c r="M102" s="24">
        <f t="shared" si="63"/>
        <v>0</v>
      </c>
      <c r="N102" s="24">
        <f>IF(P102-Q102&gt;$C$24,$C$24-L102,IF(V102=0,0,R102)+$AJ$51)</f>
        <v>0</v>
      </c>
      <c r="O102" s="24">
        <v>0</v>
      </c>
      <c r="P102" s="24">
        <f t="shared" si="61"/>
        <v>0</v>
      </c>
      <c r="Q102" s="24">
        <f t="shared" si="58"/>
        <v>0</v>
      </c>
      <c r="R102" s="24">
        <f t="shared" si="40"/>
        <v>0</v>
      </c>
      <c r="S102" s="24">
        <f t="shared" si="50"/>
        <v>0</v>
      </c>
      <c r="T102" s="24">
        <f>IF(G102=C44,'КЭШ, Реф (БВ_ОПТИ_Базовый)'!$C$26-'КЭШ, Реф (БВ_ОПТИ_Базовый)'!$C$27,0)</f>
        <v>0</v>
      </c>
      <c r="U102" s="36">
        <f t="shared" si="55"/>
        <v>0</v>
      </c>
      <c r="V102" s="36">
        <f t="shared" si="42"/>
        <v>0</v>
      </c>
      <c r="W102" s="36">
        <f t="shared" si="43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32"/>
        <v>14612</v>
      </c>
      <c r="Z102" s="57">
        <f t="shared" si="30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33"/>
        <v>14501</v>
      </c>
      <c r="AO102" s="57">
        <f t="shared" si="31"/>
        <v>65390</v>
      </c>
      <c r="AP102" s="130">
        <f t="shared" si="44"/>
        <v>0</v>
      </c>
      <c r="AQ102" s="109">
        <f t="shared" si="56"/>
        <v>94</v>
      </c>
      <c r="AR102" s="681">
        <f>IF((OR(DAY($AE$54)=29,DAY($AE$54)=30,DAY($AE$54)=31)),(EDATE($C$9-3,AQ102)),EDATE($C$9,AQ102))</f>
        <v>48176</v>
      </c>
      <c r="AS102" s="177">
        <f>IF($D$16="Да",$AN$40,$D$13)</f>
        <v>0.29899999999999999</v>
      </c>
      <c r="AT102" s="105">
        <f t="shared" si="45"/>
        <v>0</v>
      </c>
      <c r="AU102" s="105">
        <f t="shared" si="51"/>
        <v>0</v>
      </c>
      <c r="AV102" s="559">
        <f t="shared" si="46"/>
        <v>0</v>
      </c>
      <c r="AW102" s="105">
        <f t="shared" si="47"/>
        <v>0</v>
      </c>
      <c r="AX102" s="105">
        <f>IF(AZ102-BA102&gt;$D$24,$D$24-AV102,IF(BJ102=0,0,BB102)+BY150)</f>
        <v>0</v>
      </c>
      <c r="AY102" s="105">
        <v>0</v>
      </c>
      <c r="AZ102" s="105">
        <f t="shared" si="62"/>
        <v>0</v>
      </c>
      <c r="BA102" s="105">
        <f t="shared" si="60"/>
        <v>0</v>
      </c>
      <c r="BB102" s="105">
        <f t="shared" si="59"/>
        <v>0</v>
      </c>
      <c r="BC102" s="105"/>
      <c r="BD102" s="105"/>
      <c r="BE102" s="105"/>
      <c r="BF102" s="105"/>
      <c r="BG102" s="105"/>
      <c r="BH102" s="105">
        <f t="shared" si="48"/>
        <v>0</v>
      </c>
      <c r="BI102" s="108">
        <f t="shared" si="57"/>
        <v>0</v>
      </c>
      <c r="BJ102" s="108">
        <f t="shared" si="52"/>
        <v>0</v>
      </c>
      <c r="BK102" s="22">
        <f t="shared" si="53"/>
        <v>48176</v>
      </c>
      <c r="BL102" s="108">
        <f t="shared" si="37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54"/>
        <v>95</v>
      </c>
      <c r="H103" s="245">
        <f>IF((OR(DAY($AE$54)=29,DAY($AE$54)=30,DAY($AE$54)=31)),(EDATE($C$9-3,G103)),EDATE($C$9,G103))</f>
        <v>48206</v>
      </c>
      <c r="I103" s="246">
        <f>IF(AND($X$11=1,G103&gt;=$X$11,),0%,$C$13)</f>
        <v>0.29899999999999999</v>
      </c>
      <c r="J103" s="24">
        <f t="shared" si="38"/>
        <v>0</v>
      </c>
      <c r="K103" s="242">
        <f>IF(G103&gt;$C$10,0,IF((S102+L103)&lt;K102,(S102+L103),IF(T102=0,K102,MIN(K102,ROUNDUP(S102*$C$13/12/((1-(1+$C$13/12)^(0-($C$10-G103)))),0)))))</f>
        <v>0</v>
      </c>
      <c r="L103" s="242">
        <f t="shared" si="39"/>
        <v>0</v>
      </c>
      <c r="M103" s="24">
        <f t="shared" si="63"/>
        <v>0</v>
      </c>
      <c r="N103" s="24">
        <f>IF(P103-Q103&gt;$C$24,$C$24-L103,IF(V103=0,0,R103)+$AJ$51)</f>
        <v>0</v>
      </c>
      <c r="O103" s="24">
        <v>0</v>
      </c>
      <c r="P103" s="24">
        <f t="shared" si="61"/>
        <v>0</v>
      </c>
      <c r="Q103" s="24">
        <f t="shared" si="58"/>
        <v>0</v>
      </c>
      <c r="R103" s="24">
        <f t="shared" si="40"/>
        <v>0</v>
      </c>
      <c r="S103" s="24">
        <f t="shared" si="50"/>
        <v>0</v>
      </c>
      <c r="T103" s="24">
        <f>IF(G103=C45,'КЭШ, Реф (БВ_ОПТИ_Базовый)'!$C$26-'КЭШ, Реф (БВ_ОПТИ_Базовый)'!$C$27,0)</f>
        <v>0</v>
      </c>
      <c r="U103" s="36">
        <f t="shared" si="55"/>
        <v>0</v>
      </c>
      <c r="V103" s="36">
        <f t="shared" si="42"/>
        <v>0</v>
      </c>
      <c r="W103" s="36">
        <f t="shared" si="43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32"/>
        <v>14612</v>
      </c>
      <c r="Z103" s="57">
        <f t="shared" si="30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33"/>
        <v>14501</v>
      </c>
      <c r="AO103" s="57">
        <f t="shared" si="31"/>
        <v>65755</v>
      </c>
      <c r="AP103" s="130">
        <f t="shared" si="44"/>
        <v>0</v>
      </c>
      <c r="AQ103" s="109">
        <f t="shared" si="56"/>
        <v>95</v>
      </c>
      <c r="AR103" s="681">
        <f>IF((OR(DAY($AE$54)=29,DAY($AE$54)=30,DAY($AE$54)=31)),(EDATE($C$9-3,AQ103)),EDATE($C$9,AQ103))</f>
        <v>48206</v>
      </c>
      <c r="AS103" s="177">
        <f>IF($D$16="Да",$AN$40,$D$13)</f>
        <v>0.29899999999999999</v>
      </c>
      <c r="AT103" s="105">
        <f t="shared" si="45"/>
        <v>0</v>
      </c>
      <c r="AU103" s="105">
        <f t="shared" si="51"/>
        <v>0</v>
      </c>
      <c r="AV103" s="559">
        <f t="shared" si="46"/>
        <v>0</v>
      </c>
      <c r="AW103" s="105">
        <f t="shared" si="47"/>
        <v>0</v>
      </c>
      <c r="AX103" s="105">
        <f>IF(AZ103-BA103&gt;$D$24,$D$24-AV103,IF(BJ103=0,0,BB103)+BY151)</f>
        <v>0</v>
      </c>
      <c r="AY103" s="105">
        <v>0</v>
      </c>
      <c r="AZ103" s="105">
        <f t="shared" si="62"/>
        <v>0</v>
      </c>
      <c r="BA103" s="105">
        <f t="shared" si="60"/>
        <v>0</v>
      </c>
      <c r="BB103" s="105">
        <f t="shared" si="59"/>
        <v>0</v>
      </c>
      <c r="BC103" s="105"/>
      <c r="BD103" s="105"/>
      <c r="BE103" s="105"/>
      <c r="BF103" s="105"/>
      <c r="BG103" s="105"/>
      <c r="BH103" s="105">
        <f t="shared" si="48"/>
        <v>0</v>
      </c>
      <c r="BI103" s="108">
        <f t="shared" si="57"/>
        <v>0</v>
      </c>
      <c r="BJ103" s="108">
        <f t="shared" si="52"/>
        <v>0</v>
      </c>
      <c r="BK103" s="22">
        <f t="shared" si="53"/>
        <v>48206</v>
      </c>
      <c r="BL103" s="108">
        <f t="shared" si="37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54"/>
        <v>96</v>
      </c>
      <c r="H104" s="245">
        <f>IF((OR(DAY($AE$54)=29,DAY($AE$54)=30,DAY($AE$54)=31)),(EDATE($C$9-3,G104)),EDATE($C$9,G104))</f>
        <v>48237</v>
      </c>
      <c r="I104" s="246">
        <f>IF(AND($X$11=1,G104&gt;=$X$11,),0%,$C$13)</f>
        <v>0.29899999999999999</v>
      </c>
      <c r="J104" s="24">
        <f t="shared" si="38"/>
        <v>0</v>
      </c>
      <c r="K104" s="242">
        <f>IF(G104&gt;$C$10,0,IF((S103+L104)&lt;K103,(S103+L104),IF(T103=0,K103,MIN(K103,ROUNDUP(S103*$C$13/12/((1-(1+$C$13/12)^(0-($C$10-G104)))),0)))))</f>
        <v>0</v>
      </c>
      <c r="L104" s="242">
        <f t="shared" si="39"/>
        <v>0</v>
      </c>
      <c r="M104" s="24">
        <f t="shared" si="63"/>
        <v>0</v>
      </c>
      <c r="N104" s="24">
        <f>IF(P104-Q104&gt;$C$24,$C$24-L104,IF(V104=0,0,R104)+$AJ$51)</f>
        <v>0</v>
      </c>
      <c r="O104" s="24">
        <v>0</v>
      </c>
      <c r="P104" s="24">
        <f t="shared" si="61"/>
        <v>0</v>
      </c>
      <c r="Q104" s="24">
        <f t="shared" si="58"/>
        <v>0</v>
      </c>
      <c r="R104" s="24">
        <f t="shared" si="40"/>
        <v>0</v>
      </c>
      <c r="S104" s="24">
        <f t="shared" si="50"/>
        <v>0</v>
      </c>
      <c r="T104" s="24">
        <f>IF(G104=C46,'КЭШ, Реф (БВ_ОПТИ_Базовый)'!$C$26-'КЭШ, Реф (БВ_ОПТИ_Базовый)'!$C$27,0)</f>
        <v>0</v>
      </c>
      <c r="U104" s="36">
        <f t="shared" si="55"/>
        <v>0</v>
      </c>
      <c r="V104" s="36">
        <f t="shared" si="42"/>
        <v>0</v>
      </c>
      <c r="W104" s="36">
        <f t="shared" si="43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32"/>
        <v>14612</v>
      </c>
      <c r="Z104" s="57">
        <f t="shared" si="30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33"/>
        <v>14501</v>
      </c>
      <c r="AO104" s="57">
        <f t="shared" si="31"/>
        <v>66120</v>
      </c>
      <c r="AP104" s="130">
        <f t="shared" si="44"/>
        <v>0</v>
      </c>
      <c r="AQ104" s="109">
        <f t="shared" si="56"/>
        <v>96</v>
      </c>
      <c r="AR104" s="681">
        <f>IF((OR(DAY($AE$54)=29,DAY($AE$54)=30,DAY($AE$54)=31)),(EDATE($C$9-3,AQ104)),EDATE($C$9,AQ104))</f>
        <v>48237</v>
      </c>
      <c r="AS104" s="177">
        <f>IF($D$16="Да",$AN$40,$D$13)</f>
        <v>0.29899999999999999</v>
      </c>
      <c r="AT104" s="105">
        <f t="shared" si="45"/>
        <v>0</v>
      </c>
      <c r="AU104" s="105">
        <f t="shared" si="51"/>
        <v>0</v>
      </c>
      <c r="AV104" s="559">
        <f t="shared" si="46"/>
        <v>0</v>
      </c>
      <c r="AW104" s="105">
        <f t="shared" si="47"/>
        <v>0</v>
      </c>
      <c r="AX104" s="105">
        <f>IF(AZ104-BA104&gt;$D$24,$D$24-AV104,IF(BJ104=0,0,BB104)+BY152)</f>
        <v>0</v>
      </c>
      <c r="AY104" s="105">
        <v>0</v>
      </c>
      <c r="AZ104" s="105">
        <f t="shared" si="62"/>
        <v>0</v>
      </c>
      <c r="BA104" s="105">
        <f t="shared" si="60"/>
        <v>0</v>
      </c>
      <c r="BB104" s="105">
        <f t="shared" si="59"/>
        <v>0</v>
      </c>
      <c r="BC104" s="105"/>
      <c r="BD104" s="105"/>
      <c r="BE104" s="105"/>
      <c r="BF104" s="105"/>
      <c r="BG104" s="105"/>
      <c r="BH104" s="105">
        <f t="shared" si="48"/>
        <v>0</v>
      </c>
      <c r="BI104" s="108">
        <f t="shared" si="57"/>
        <v>0</v>
      </c>
      <c r="BJ104" s="108">
        <f t="shared" si="52"/>
        <v>0</v>
      </c>
      <c r="BK104" s="22">
        <f t="shared" si="53"/>
        <v>48237</v>
      </c>
      <c r="BL104" s="108">
        <f t="shared" si="37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54"/>
        <v>97</v>
      </c>
      <c r="H105" s="245">
        <f>IF((OR(DAY($AE$54)=29,DAY($AE$54)=30,DAY($AE$54)=31)),(EDATE($C$9-3,G105)),EDATE($C$9,G105))</f>
        <v>48268</v>
      </c>
      <c r="I105" s="246">
        <f>IF(AND($X$11=1,G105&gt;=$X$11,),0%,$C$13)</f>
        <v>0.29899999999999999</v>
      </c>
      <c r="J105" s="24">
        <f t="shared" si="38"/>
        <v>0</v>
      </c>
      <c r="K105" s="242">
        <f>IF(G105&gt;$C$10,0,IF((S104+L105)&lt;K104,(S104+L105),IF(T104=0,K104,MIN(K104,ROUNDUP(S104*$C$13/12/((1-(1+$C$13/12)^(0-($C$10-G105)))),0)))))</f>
        <v>0</v>
      </c>
      <c r="L105" s="242">
        <f t="shared" si="39"/>
        <v>0</v>
      </c>
      <c r="M105" s="24">
        <f t="shared" si="63"/>
        <v>0</v>
      </c>
      <c r="N105" s="24">
        <f>IF(P105-Q105&gt;$C$24,$C$24-L105,IF(V105=0,0,R105)+$AJ$51)</f>
        <v>0</v>
      </c>
      <c r="O105" s="24">
        <v>0</v>
      </c>
      <c r="P105" s="24">
        <f t="shared" si="61"/>
        <v>0</v>
      </c>
      <c r="Q105" s="24">
        <f t="shared" si="58"/>
        <v>0</v>
      </c>
      <c r="R105" s="24">
        <f t="shared" si="40"/>
        <v>0</v>
      </c>
      <c r="S105" s="24">
        <f t="shared" si="50"/>
        <v>0</v>
      </c>
      <c r="T105" s="24">
        <f>IF(G105=C47,'КЭШ, Реф (БВ_ОПТИ_Базовый)'!$C$26-'КЭШ, Реф (БВ_ОПТИ_Базовый)'!$C$27,0)</f>
        <v>0</v>
      </c>
      <c r="U105" s="36">
        <f t="shared" si="55"/>
        <v>0</v>
      </c>
      <c r="V105" s="36">
        <f t="shared" si="42"/>
        <v>0</v>
      </c>
      <c r="W105" s="36">
        <f t="shared" si="43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32"/>
        <v>14612</v>
      </c>
      <c r="Z105" s="57">
        <f t="shared" si="30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33"/>
        <v>14501</v>
      </c>
      <c r="AO105" s="57">
        <f t="shared" si="31"/>
        <v>66485</v>
      </c>
      <c r="AP105" s="130">
        <f t="shared" si="44"/>
        <v>0</v>
      </c>
      <c r="AQ105" s="109">
        <f t="shared" si="56"/>
        <v>97</v>
      </c>
      <c r="AR105" s="681">
        <f>IF((OR(DAY($AE$54)=29,DAY($AE$54)=30,DAY($AE$54)=31)),(EDATE($C$9-3,AQ105)),EDATE($C$9,AQ105))</f>
        <v>48268</v>
      </c>
      <c r="AS105" s="177">
        <f>IF($D$16="Да",$AN$40,$D$13)</f>
        <v>0.29899999999999999</v>
      </c>
      <c r="AT105" s="105">
        <f t="shared" si="45"/>
        <v>0</v>
      </c>
      <c r="AU105" s="105">
        <f t="shared" si="51"/>
        <v>0</v>
      </c>
      <c r="AV105" s="559">
        <f t="shared" si="46"/>
        <v>0</v>
      </c>
      <c r="AW105" s="105">
        <f t="shared" si="47"/>
        <v>0</v>
      </c>
      <c r="AX105" s="105">
        <f t="shared" ref="AX105:AX108" si="64">IF(AZ105-BA105&gt;$D$24,$D$24-AV105,IF(BJ105=0,0,BB105)+BY153)</f>
        <v>0</v>
      </c>
      <c r="AY105" s="105">
        <v>0</v>
      </c>
      <c r="AZ105" s="105">
        <f t="shared" si="62"/>
        <v>0</v>
      </c>
      <c r="BA105" s="105">
        <f t="shared" si="60"/>
        <v>0</v>
      </c>
      <c r="BB105" s="105">
        <f t="shared" si="59"/>
        <v>0</v>
      </c>
      <c r="BC105" s="105"/>
      <c r="BD105" s="105"/>
      <c r="BE105" s="105"/>
      <c r="BF105" s="105"/>
      <c r="BG105" s="105"/>
      <c r="BH105" s="105">
        <f t="shared" si="48"/>
        <v>0</v>
      </c>
      <c r="BI105" s="108">
        <f t="shared" si="57"/>
        <v>0</v>
      </c>
      <c r="BJ105" s="108">
        <f t="shared" si="52"/>
        <v>0</v>
      </c>
      <c r="BK105" s="22">
        <f t="shared" si="53"/>
        <v>48268</v>
      </c>
      <c r="BL105" s="108">
        <f t="shared" si="37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54"/>
        <v>98</v>
      </c>
      <c r="H106" s="245">
        <f>IF((OR(DAY($AE$54)=29,DAY($AE$54)=30,DAY($AE$54)=31)),(EDATE($C$9-3,G106)),EDATE($C$9,G106))</f>
        <v>48297</v>
      </c>
      <c r="I106" s="246">
        <f>IF(AND($X$11=1,G106&gt;=$X$11,),0%,$C$13)</f>
        <v>0.29899999999999999</v>
      </c>
      <c r="J106" s="24">
        <f t="shared" si="38"/>
        <v>0</v>
      </c>
      <c r="K106" s="242">
        <f>IF(G106&gt;$C$10,0,IF((S105+L106)&lt;K105,(S105+L106),IF(T105=0,K105,MIN(K105,ROUNDUP(S105*$C$13/12/((1-(1+$C$13/12)^(0-($C$10-G106)))),0)))))</f>
        <v>0</v>
      </c>
      <c r="L106" s="242">
        <f t="shared" si="39"/>
        <v>0</v>
      </c>
      <c r="M106" s="24">
        <f t="shared" si="63"/>
        <v>0</v>
      </c>
      <c r="N106" s="24">
        <f>IF(P106-Q106&gt;$C$24,$C$24-L106,IF(V106=0,0,R106)+$AJ$51)</f>
        <v>0</v>
      </c>
      <c r="O106" s="24">
        <v>0</v>
      </c>
      <c r="P106" s="24">
        <f t="shared" si="61"/>
        <v>0</v>
      </c>
      <c r="Q106" s="24">
        <f t="shared" si="58"/>
        <v>0</v>
      </c>
      <c r="R106" s="24">
        <f t="shared" si="40"/>
        <v>0</v>
      </c>
      <c r="S106" s="24">
        <f t="shared" si="50"/>
        <v>0</v>
      </c>
      <c r="T106" s="24">
        <f>IF(G106=C48,'КЭШ, Реф (БВ_ОПТИ_Базовый)'!$C$26-'КЭШ, Реф (БВ_ОПТИ_Базовый)'!$C$27,0)</f>
        <v>0</v>
      </c>
      <c r="U106" s="36">
        <f t="shared" si="55"/>
        <v>0</v>
      </c>
      <c r="V106" s="36">
        <f t="shared" si="42"/>
        <v>0</v>
      </c>
      <c r="W106" s="36">
        <f t="shared" si="43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32"/>
        <v>14612</v>
      </c>
      <c r="Z106" s="57">
        <f t="shared" si="30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33"/>
        <v>14501</v>
      </c>
      <c r="AO106" s="57">
        <f t="shared" si="31"/>
        <v>66850</v>
      </c>
      <c r="AP106" s="130">
        <f t="shared" si="44"/>
        <v>0</v>
      </c>
      <c r="AQ106" s="109">
        <f t="shared" si="56"/>
        <v>98</v>
      </c>
      <c r="AR106" s="681">
        <f>IF((OR(DAY($AE$54)=29,DAY($AE$54)=30,DAY($AE$54)=31)),(EDATE($C$9-3,AQ106)),EDATE($C$9,AQ106))</f>
        <v>48297</v>
      </c>
      <c r="AS106" s="177">
        <f>IF($D$16="Да",$AN$40,$D$13)</f>
        <v>0.29899999999999999</v>
      </c>
      <c r="AT106" s="105">
        <f t="shared" si="45"/>
        <v>0</v>
      </c>
      <c r="AU106" s="105">
        <f t="shared" si="51"/>
        <v>0</v>
      </c>
      <c r="AV106" s="559">
        <f t="shared" si="46"/>
        <v>0</v>
      </c>
      <c r="AW106" s="105">
        <f t="shared" si="47"/>
        <v>0</v>
      </c>
      <c r="AX106" s="105">
        <f t="shared" si="64"/>
        <v>0</v>
      </c>
      <c r="AY106" s="105">
        <v>0</v>
      </c>
      <c r="AZ106" s="105">
        <f t="shared" si="62"/>
        <v>0</v>
      </c>
      <c r="BA106" s="105">
        <f t="shared" si="60"/>
        <v>0</v>
      </c>
      <c r="BB106" s="105">
        <f t="shared" si="59"/>
        <v>0</v>
      </c>
      <c r="BC106" s="105"/>
      <c r="BD106" s="105"/>
      <c r="BE106" s="105"/>
      <c r="BF106" s="105"/>
      <c r="BG106" s="105"/>
      <c r="BH106" s="105">
        <f t="shared" si="48"/>
        <v>0</v>
      </c>
      <c r="BI106" s="108">
        <f t="shared" si="57"/>
        <v>0</v>
      </c>
      <c r="BJ106" s="108">
        <f t="shared" si="52"/>
        <v>0</v>
      </c>
      <c r="BK106" s="22">
        <f t="shared" si="53"/>
        <v>48297</v>
      </c>
      <c r="BL106" s="108">
        <f t="shared" si="37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54"/>
        <v>99</v>
      </c>
      <c r="H107" s="245">
        <f>IF((OR(DAY($AE$54)=29,DAY($AE$54)=30,DAY($AE$54)=31)),(EDATE($C$9-3,G107)),EDATE($C$9,G107))</f>
        <v>48328</v>
      </c>
      <c r="I107" s="246">
        <f>IF(AND($X$11=1,G107&gt;=$X$11,),0%,$C$13)</f>
        <v>0.29899999999999999</v>
      </c>
      <c r="J107" s="24">
        <f t="shared" si="38"/>
        <v>0</v>
      </c>
      <c r="K107" s="242">
        <f>IF(G107&gt;$C$10,0,IF((S106+L107)&lt;K106,(S106+L107),IF(T106=0,K106,MIN(K106,ROUNDUP(S106*$C$13/12/((1-(1+$C$13/12)^(0-($C$10-G107)))),0)))))</f>
        <v>0</v>
      </c>
      <c r="L107" s="242">
        <f t="shared" si="39"/>
        <v>0</v>
      </c>
      <c r="M107" s="24">
        <f t="shared" si="63"/>
        <v>0</v>
      </c>
      <c r="N107" s="24">
        <f>IF(P107-Q107&gt;$C$24,$C$24-L107,IF(V107=0,0,R107)+$AJ$51)</f>
        <v>0</v>
      </c>
      <c r="O107" s="24">
        <v>0</v>
      </c>
      <c r="P107" s="24">
        <f t="shared" si="61"/>
        <v>0</v>
      </c>
      <c r="Q107" s="24">
        <f t="shared" si="58"/>
        <v>0</v>
      </c>
      <c r="R107" s="24">
        <f t="shared" si="40"/>
        <v>0</v>
      </c>
      <c r="S107" s="24">
        <f t="shared" si="50"/>
        <v>0</v>
      </c>
      <c r="T107" s="24">
        <f>IF(G107=C49,'КЭШ, Реф (БВ_ОПТИ_Базовый)'!$C$26-'КЭШ, Реф (БВ_ОПТИ_Базовый)'!$C$27,0)</f>
        <v>0</v>
      </c>
      <c r="U107" s="36">
        <f t="shared" si="55"/>
        <v>0</v>
      </c>
      <c r="V107" s="36">
        <f t="shared" si="42"/>
        <v>0</v>
      </c>
      <c r="W107" s="36">
        <f t="shared" si="43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32"/>
        <v>14612</v>
      </c>
      <c r="Z107" s="57">
        <f t="shared" si="30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33"/>
        <v>14501</v>
      </c>
      <c r="AO107" s="57">
        <f t="shared" si="31"/>
        <v>67215</v>
      </c>
      <c r="AP107" s="130">
        <f t="shared" si="44"/>
        <v>0</v>
      </c>
      <c r="AQ107" s="109">
        <f t="shared" si="56"/>
        <v>99</v>
      </c>
      <c r="AR107" s="681">
        <f>IF((OR(DAY($AE$54)=29,DAY($AE$54)=30,DAY($AE$54)=31)),(EDATE($C$9-3,AQ107)),EDATE($C$9,AQ107))</f>
        <v>48328</v>
      </c>
      <c r="AS107" s="177">
        <f>IF($D$16="Да",$AN$40,$D$13)</f>
        <v>0.29899999999999999</v>
      </c>
      <c r="AT107" s="105">
        <f t="shared" si="45"/>
        <v>0</v>
      </c>
      <c r="AU107" s="105">
        <f t="shared" si="51"/>
        <v>0</v>
      </c>
      <c r="AV107" s="559">
        <f t="shared" si="46"/>
        <v>0</v>
      </c>
      <c r="AW107" s="105">
        <f t="shared" si="47"/>
        <v>0</v>
      </c>
      <c r="AX107" s="105">
        <f t="shared" si="64"/>
        <v>0</v>
      </c>
      <c r="AY107" s="105">
        <v>0</v>
      </c>
      <c r="AZ107" s="105">
        <f t="shared" si="62"/>
        <v>0</v>
      </c>
      <c r="BA107" s="105">
        <f t="shared" si="60"/>
        <v>0</v>
      </c>
      <c r="BB107" s="105">
        <f t="shared" si="59"/>
        <v>0</v>
      </c>
      <c r="BC107" s="105"/>
      <c r="BD107" s="105"/>
      <c r="BE107" s="105"/>
      <c r="BF107" s="105"/>
      <c r="BG107" s="105"/>
      <c r="BH107" s="105">
        <f t="shared" si="48"/>
        <v>0</v>
      </c>
      <c r="BI107" s="108">
        <f t="shared" si="57"/>
        <v>0</v>
      </c>
      <c r="BJ107" s="108">
        <f t="shared" si="52"/>
        <v>0</v>
      </c>
      <c r="BK107" s="22">
        <f t="shared" si="53"/>
        <v>48328</v>
      </c>
      <c r="BL107" s="108">
        <f t="shared" si="37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54"/>
        <v>100</v>
      </c>
      <c r="H108" s="245">
        <f>IF((OR(DAY($AE$54)=29,DAY($AE$54)=30,DAY($AE$54)=31)),(EDATE($C$9-3,G108)),EDATE($C$9,G108))</f>
        <v>48358</v>
      </c>
      <c r="I108" s="246">
        <f>IF(AND($X$11=1,G108&gt;=$X$11,),0%,$C$13)</f>
        <v>0.29899999999999999</v>
      </c>
      <c r="J108" s="24">
        <f t="shared" si="38"/>
        <v>0</v>
      </c>
      <c r="K108" s="242">
        <f>IF(G108&gt;$C$10,0,IF((S107+L108)&lt;K107,(S107+L108),IF(T107=0,K107,MIN(K107,ROUNDUP(S107*$C$13/12/((1-(1+$C$13/12)^(0-($C$10-G108)))),0)))))</f>
        <v>0</v>
      </c>
      <c r="L108" s="242">
        <f t="shared" si="39"/>
        <v>0</v>
      </c>
      <c r="M108" s="24">
        <f t="shared" si="63"/>
        <v>0</v>
      </c>
      <c r="N108" s="24">
        <f>IF(P108-Q108&gt;$C$24,$C$24-L108,IF(V108=0,0,R108)+$AJ$51)</f>
        <v>0</v>
      </c>
      <c r="O108" s="24">
        <v>0</v>
      </c>
      <c r="P108" s="24">
        <f t="shared" si="61"/>
        <v>0</v>
      </c>
      <c r="Q108" s="24">
        <f t="shared" si="58"/>
        <v>0</v>
      </c>
      <c r="R108" s="24">
        <f t="shared" si="40"/>
        <v>0</v>
      </c>
      <c r="S108" s="24">
        <f t="shared" si="50"/>
        <v>0</v>
      </c>
      <c r="T108" s="24">
        <f>IF(G108=C50,'КЭШ, Реф (БВ_ОПТИ_Базовый)'!$C$26-'КЭШ, Реф (БВ_ОПТИ_Базовый)'!$C$27,0)</f>
        <v>0</v>
      </c>
      <c r="U108" s="36">
        <f t="shared" si="55"/>
        <v>0</v>
      </c>
      <c r="V108" s="36">
        <f>IF(ISERR(CEILING(FLOOR(NPER($C$11/12,-$AE$55,S107),0.1),1))=TRUE,0,CEILING(FLOOR(NPER($C$11/12,-$AE$55,S107),0.1),1))</f>
        <v>0</v>
      </c>
      <c r="W108" s="36">
        <f t="shared" si="43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32"/>
        <v>14612</v>
      </c>
      <c r="Z108" s="57">
        <f t="shared" si="30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33"/>
        <v>14501</v>
      </c>
      <c r="AO108" s="57">
        <f t="shared" si="31"/>
        <v>67580</v>
      </c>
      <c r="AP108" s="130">
        <f t="shared" si="44"/>
        <v>0</v>
      </c>
      <c r="AQ108" s="109">
        <f t="shared" si="56"/>
        <v>100</v>
      </c>
      <c r="AR108" s="681">
        <f>IF((OR(DAY($AE$54)=29,DAY($AE$54)=30,DAY($AE$54)=31)),(EDATE($C$9-3,AQ108)),EDATE($C$9,AQ108))</f>
        <v>48358</v>
      </c>
      <c r="AS108" s="177">
        <f>IF($D$16="Да",$AN$40,$D$13)</f>
        <v>0.29899999999999999</v>
      </c>
      <c r="AT108" s="105">
        <f t="shared" si="45"/>
        <v>0</v>
      </c>
      <c r="AU108" s="105">
        <f t="shared" si="51"/>
        <v>0</v>
      </c>
      <c r="AV108" s="559">
        <f t="shared" si="46"/>
        <v>0</v>
      </c>
      <c r="AW108" s="105">
        <f t="shared" si="47"/>
        <v>0</v>
      </c>
      <c r="AX108" s="105">
        <f t="shared" si="64"/>
        <v>0</v>
      </c>
      <c r="AY108" s="105">
        <v>0</v>
      </c>
      <c r="AZ108" s="105">
        <f t="shared" si="62"/>
        <v>0</v>
      </c>
      <c r="BA108" s="105">
        <f t="shared" si="60"/>
        <v>0</v>
      </c>
      <c r="BB108" s="105">
        <f t="shared" si="59"/>
        <v>0</v>
      </c>
      <c r="BC108" s="105"/>
      <c r="BD108" s="105"/>
      <c r="BE108" s="105"/>
      <c r="BF108" s="105"/>
      <c r="BG108" s="105"/>
      <c r="BH108" s="105">
        <f t="shared" si="48"/>
        <v>0</v>
      </c>
      <c r="BI108" s="108">
        <f t="shared" si="57"/>
        <v>0</v>
      </c>
      <c r="BJ108" s="108">
        <f t="shared" si="52"/>
        <v>0</v>
      </c>
      <c r="BK108" s="22">
        <f t="shared" si="53"/>
        <v>48358</v>
      </c>
      <c r="BL108" s="108">
        <f t="shared" si="37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1227408</v>
      </c>
      <c r="K109" s="30">
        <f>(SUM(K9:K108)-IF(CODE(C12)=209,AJ51,0))</f>
        <v>1227408</v>
      </c>
      <c r="L109" s="30">
        <f>(SUM(L9:L108)-IF(CODE(D12)=209,AK51,0))</f>
        <v>849420.64727763925</v>
      </c>
      <c r="M109" s="30">
        <f>SUM(M9:M108)</f>
        <v>377987.35272236052</v>
      </c>
      <c r="N109" s="31">
        <f>SUM(N9:N108)</f>
        <v>0</v>
      </c>
      <c r="O109" s="31">
        <f>SUM(O9:O108)</f>
        <v>0</v>
      </c>
      <c r="P109" s="31">
        <f>SUM(P9:P108)</f>
        <v>849420.64727763925</v>
      </c>
      <c r="Q109" s="31">
        <f>SUM(Q9:Q108)</f>
        <v>0</v>
      </c>
      <c r="R109" s="31">
        <f>SUM(R9:R108)</f>
        <v>0</v>
      </c>
      <c r="S109" s="31"/>
      <c r="T109" s="31"/>
      <c r="U109" s="31"/>
      <c r="V109" s="31"/>
      <c r="W109" s="31">
        <f>SUM(W9:W108)</f>
        <v>154011.64727763954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32"/>
        <v>14612</v>
      </c>
      <c r="Z109" s="57">
        <f t="shared" ref="Z109:Z143" si="65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6999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33"/>
        <v>14501</v>
      </c>
      <c r="AO109" s="57">
        <f t="shared" si="31"/>
        <v>67945</v>
      </c>
      <c r="AP109" s="130"/>
      <c r="AQ109" s="28"/>
      <c r="AR109" s="29" t="s">
        <v>7</v>
      </c>
      <c r="AS109" s="29"/>
      <c r="AT109" s="30">
        <f>SUM(AT9:AT108)</f>
        <v>1218084</v>
      </c>
      <c r="AU109" s="30">
        <f>SUM(AU9:AU108)</f>
        <v>1218084</v>
      </c>
      <c r="AV109" s="30">
        <f>SUM(AV9:AV108)</f>
        <v>701540.05235761125</v>
      </c>
      <c r="AW109" s="30">
        <f>SUM(AW9:AW108)</f>
        <v>506999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57"/>
        <v>0</v>
      </c>
      <c r="BJ109" s="108">
        <f t="shared" si="52"/>
        <v>0</v>
      </c>
      <c r="BK109" s="22" t="str">
        <f t="shared" si="53"/>
        <v>Итого</v>
      </c>
      <c r="BL109" s="108">
        <f t="shared" si="37"/>
        <v>1227408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66">IF(K75 &gt; 0, K75, 0)</f>
        <v>14612</v>
      </c>
      <c r="Z110" s="57">
        <f t="shared" si="65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33"/>
        <v>14501</v>
      </c>
      <c r="AO110" s="57">
        <f t="shared" si="31"/>
        <v>68310</v>
      </c>
      <c r="AP110" s="130"/>
      <c r="BI110" s="108">
        <f t="shared" si="57"/>
        <v>0</v>
      </c>
      <c r="BJ110" s="108">
        <f t="shared" si="52"/>
        <v>0</v>
      </c>
      <c r="BK110" s="22">
        <f t="shared" si="53"/>
        <v>0</v>
      </c>
      <c r="BL110" s="108">
        <f t="shared" si="37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66"/>
        <v>14612</v>
      </c>
      <c r="Z111" s="57">
        <f t="shared" si="65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33"/>
        <v>14501</v>
      </c>
      <c r="AO111" s="57">
        <f t="shared" si="31"/>
        <v>68675</v>
      </c>
      <c r="AP111" s="130"/>
      <c r="BI111" s="108">
        <f t="shared" si="57"/>
        <v>0</v>
      </c>
      <c r="BJ111" s="108">
        <f t="shared" si="52"/>
        <v>0</v>
      </c>
      <c r="BK111" s="22">
        <f t="shared" si="53"/>
        <v>0</v>
      </c>
      <c r="BL111" s="108">
        <f t="shared" si="37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66"/>
        <v>14612</v>
      </c>
      <c r="Z112" s="57">
        <f t="shared" si="65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33"/>
        <v>14501</v>
      </c>
      <c r="AO112" s="57">
        <f t="shared" si="31"/>
        <v>69040</v>
      </c>
      <c r="AP112" s="130"/>
      <c r="BI112" s="108">
        <f t="shared" si="57"/>
        <v>0</v>
      </c>
      <c r="BJ112" s="108">
        <f t="shared" si="52"/>
        <v>0</v>
      </c>
      <c r="BK112" s="22">
        <f t="shared" si="53"/>
        <v>0</v>
      </c>
      <c r="BL112" s="108">
        <f t="shared" si="37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66"/>
        <v>14612</v>
      </c>
      <c r="Z113" s="57">
        <f t="shared" si="65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33"/>
        <v>14501</v>
      </c>
      <c r="AO113" s="57">
        <f t="shared" ref="AO113:AO147" si="67">AO112+365</f>
        <v>69405</v>
      </c>
      <c r="AP113" s="130"/>
      <c r="BI113" s="108">
        <f t="shared" si="57"/>
        <v>0</v>
      </c>
      <c r="BJ113" s="108">
        <f t="shared" si="52"/>
        <v>0</v>
      </c>
      <c r="BK113" s="22">
        <f t="shared" si="53"/>
        <v>0</v>
      </c>
      <c r="BL113" s="108">
        <f t="shared" si="37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66"/>
        <v>14612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68">AU75</f>
        <v>14501</v>
      </c>
      <c r="AO114" s="57">
        <f t="shared" si="67"/>
        <v>69770</v>
      </c>
      <c r="AP114" s="130"/>
      <c r="BI114" s="108">
        <f t="shared" si="57"/>
        <v>0</v>
      </c>
      <c r="BJ114" s="108">
        <f t="shared" si="52"/>
        <v>0</v>
      </c>
      <c r="BK114" s="22">
        <f t="shared" si="53"/>
        <v>0</v>
      </c>
      <c r="BL114" s="108">
        <f t="shared" si="37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66"/>
        <v>14612</v>
      </c>
      <c r="Z115" s="57">
        <f t="shared" si="65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68"/>
        <v>14501</v>
      </c>
      <c r="AO115" s="57">
        <f t="shared" si="67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66"/>
        <v>14612</v>
      </c>
      <c r="Z116" s="57">
        <f t="shared" si="65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68"/>
        <v>14501</v>
      </c>
      <c r="AO116" s="57">
        <f t="shared" si="67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66"/>
        <v>14612</v>
      </c>
      <c r="Z117" s="57">
        <f t="shared" si="65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68"/>
        <v>14501</v>
      </c>
      <c r="AO117" s="57">
        <f t="shared" si="67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66"/>
        <v>14612</v>
      </c>
      <c r="Z118" s="57">
        <f t="shared" si="65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68"/>
        <v>14501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66"/>
        <v>14612</v>
      </c>
      <c r="Z119" s="57">
        <f t="shared" si="65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68"/>
        <v>14501</v>
      </c>
      <c r="AO119" s="57">
        <f t="shared" si="67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66"/>
        <v>14612</v>
      </c>
      <c r="Z120" s="57">
        <f t="shared" si="65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68"/>
        <v>14501</v>
      </c>
      <c r="AO120" s="57">
        <f t="shared" si="67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66"/>
        <v>14612</v>
      </c>
      <c r="Z121" s="57">
        <f t="shared" si="65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68"/>
        <v>14501</v>
      </c>
      <c r="AO121" s="57">
        <f t="shared" si="67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66"/>
        <v>14612</v>
      </c>
      <c r="Z122" s="57">
        <f t="shared" si="65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68"/>
        <v>14501</v>
      </c>
      <c r="AO122" s="57">
        <f t="shared" si="67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66"/>
        <v>14612</v>
      </c>
      <c r="Z123" s="57">
        <f t="shared" si="65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68"/>
        <v>14501</v>
      </c>
      <c r="AO123" s="57">
        <f t="shared" si="67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66"/>
        <v>14612</v>
      </c>
      <c r="Z124" s="57">
        <f t="shared" si="65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68"/>
        <v>14501</v>
      </c>
      <c r="AO124" s="57">
        <f t="shared" si="67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66"/>
        <v>14612</v>
      </c>
      <c r="Z125" s="57">
        <f t="shared" si="65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68"/>
        <v>14501</v>
      </c>
      <c r="AO125" s="57">
        <f t="shared" si="67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66"/>
        <v>14612</v>
      </c>
      <c r="Z126" s="57">
        <f t="shared" si="65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68"/>
        <v>14501</v>
      </c>
      <c r="AO126" s="57">
        <f t="shared" si="67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66"/>
        <v>14612</v>
      </c>
      <c r="Z127" s="57">
        <f t="shared" si="65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68"/>
        <v>14501</v>
      </c>
      <c r="AO127" s="57">
        <f t="shared" si="67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66"/>
        <v>0</v>
      </c>
      <c r="Z128" s="57">
        <f t="shared" si="65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68"/>
        <v>14501</v>
      </c>
      <c r="AO128" s="57">
        <f t="shared" si="67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66"/>
        <v>0</v>
      </c>
      <c r="Z129" s="57">
        <f t="shared" si="65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68"/>
        <v>14501</v>
      </c>
      <c r="AO129" s="57">
        <f t="shared" si="67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66"/>
        <v>0</v>
      </c>
      <c r="Z130" s="57">
        <f t="shared" si="65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68"/>
        <v>14501</v>
      </c>
      <c r="AO130" s="57">
        <f t="shared" si="67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66"/>
        <v>0</v>
      </c>
      <c r="Z131" s="57">
        <f t="shared" si="65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68"/>
        <v>14501</v>
      </c>
      <c r="AO131" s="57">
        <f t="shared" si="67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66"/>
        <v>0</v>
      </c>
      <c r="Z132" s="57">
        <f t="shared" si="65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68"/>
        <v>0</v>
      </c>
      <c r="AO132" s="57">
        <f t="shared" si="67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66"/>
        <v>0</v>
      </c>
      <c r="Z133" s="57">
        <f t="shared" si="65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68"/>
        <v>0</v>
      </c>
      <c r="AO133" s="57">
        <f t="shared" si="67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66"/>
        <v>0</v>
      </c>
      <c r="Z134" s="57">
        <f t="shared" si="65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68"/>
        <v>0</v>
      </c>
      <c r="AO134" s="57">
        <f t="shared" si="67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66"/>
        <v>0</v>
      </c>
      <c r="Z135" s="57">
        <f t="shared" si="65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68"/>
        <v>0</v>
      </c>
      <c r="AO135" s="57">
        <f t="shared" si="67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66"/>
        <v>0</v>
      </c>
      <c r="Z136" s="57">
        <f t="shared" si="65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68"/>
        <v>0</v>
      </c>
      <c r="AO136" s="57">
        <f t="shared" si="67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66"/>
        <v>0</v>
      </c>
      <c r="Z137" s="57">
        <f t="shared" si="65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68"/>
        <v>0</v>
      </c>
      <c r="AO137" s="57">
        <f t="shared" si="67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66"/>
        <v>0</v>
      </c>
      <c r="Z138" s="57">
        <f t="shared" si="65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68"/>
        <v>0</v>
      </c>
      <c r="AO138" s="57">
        <f t="shared" si="67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66"/>
        <v>0</v>
      </c>
      <c r="Z139" s="57">
        <f t="shared" si="65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68"/>
        <v>0</v>
      </c>
      <c r="AO139" s="57">
        <f t="shared" si="67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66"/>
        <v>0</v>
      </c>
      <c r="Z140" s="57">
        <f t="shared" si="65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68"/>
        <v>0</v>
      </c>
      <c r="AO140" s="57">
        <f t="shared" si="67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66"/>
        <v>0</v>
      </c>
      <c r="Z141" s="57">
        <f t="shared" si="65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68"/>
        <v>0</v>
      </c>
      <c r="AO141" s="57">
        <f t="shared" si="67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66"/>
        <v>0</v>
      </c>
      <c r="Z142" s="57">
        <f t="shared" si="65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68"/>
        <v>0</v>
      </c>
      <c r="AO142" s="57">
        <f t="shared" si="67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65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68"/>
        <v>0</v>
      </c>
      <c r="AO143" s="57">
        <f t="shared" si="67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1227408</v>
      </c>
      <c r="Z144" s="154">
        <f>XIRR(Y42:Y143,Z42:Z143)*12</f>
        <v>0.30998693704605107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68"/>
        <v>0</v>
      </c>
      <c r="AO144" s="57">
        <f t="shared" si="67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68"/>
        <v>0</v>
      </c>
      <c r="AO145" s="57">
        <f t="shared" si="67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68"/>
        <v>0</v>
      </c>
      <c r="AO146" s="57">
        <f t="shared" si="67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68"/>
        <v>0</v>
      </c>
      <c r="AO147" s="57">
        <f t="shared" si="67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1218084</v>
      </c>
      <c r="AO148" s="154">
        <f>XIRR(AN46:AN147,AO46:AO147)*12</f>
        <v>0.32792741060256964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4">
    <mergeCell ref="L6:L7"/>
    <mergeCell ref="M6:M7"/>
    <mergeCell ref="S6:S7"/>
    <mergeCell ref="BO3:BU3"/>
    <mergeCell ref="A5:E5"/>
    <mergeCell ref="BS7:BS8"/>
    <mergeCell ref="BT7:BT8"/>
    <mergeCell ref="BU7:BU8"/>
    <mergeCell ref="I6:I7"/>
    <mergeCell ref="A1:E2"/>
    <mergeCell ref="A3:E3"/>
    <mergeCell ref="G3:U4"/>
    <mergeCell ref="AQ3:BI4"/>
    <mergeCell ref="BP7:BP8"/>
    <mergeCell ref="A8:B8"/>
    <mergeCell ref="AQ6:AQ7"/>
    <mergeCell ref="AR6:AR7"/>
    <mergeCell ref="AS6:AS7"/>
    <mergeCell ref="AU6:AU7"/>
    <mergeCell ref="AV6:AV7"/>
    <mergeCell ref="AW6:AW7"/>
    <mergeCell ref="A6:B6"/>
    <mergeCell ref="C6:D6"/>
    <mergeCell ref="G6:G7"/>
    <mergeCell ref="H6:H7"/>
    <mergeCell ref="BP13:BP14"/>
    <mergeCell ref="A14:A15"/>
    <mergeCell ref="A16:A18"/>
    <mergeCell ref="K6:K7"/>
    <mergeCell ref="A10:B10"/>
    <mergeCell ref="BO10:BO11"/>
    <mergeCell ref="BP10:BP11"/>
    <mergeCell ref="A11:B11"/>
    <mergeCell ref="C7:D7"/>
    <mergeCell ref="C9:D9"/>
    <mergeCell ref="C10:D10"/>
    <mergeCell ref="T6:T7"/>
    <mergeCell ref="BH6:BH7"/>
    <mergeCell ref="BO6:BU6"/>
    <mergeCell ref="A7:B7"/>
    <mergeCell ref="BO7:BO8"/>
    <mergeCell ref="BO13:BO14"/>
    <mergeCell ref="A36:B36"/>
    <mergeCell ref="A32:E32"/>
    <mergeCell ref="A33:A34"/>
    <mergeCell ref="A35:B35"/>
    <mergeCell ref="A31:B31"/>
    <mergeCell ref="BO33:BO35"/>
    <mergeCell ref="A27:B27"/>
    <mergeCell ref="A28:B28"/>
    <mergeCell ref="A29:B29"/>
    <mergeCell ref="A30:B30"/>
    <mergeCell ref="A21:B21"/>
    <mergeCell ref="C21:E21"/>
    <mergeCell ref="AD85:AJ85"/>
    <mergeCell ref="A26:B26"/>
    <mergeCell ref="A13:B13"/>
    <mergeCell ref="A9:B9"/>
    <mergeCell ref="A20:E20"/>
    <mergeCell ref="A22:C22"/>
    <mergeCell ref="A23:B23"/>
    <mergeCell ref="A24:B24"/>
    <mergeCell ref="A25:B25"/>
    <mergeCell ref="A12:B12"/>
  </mergeCells>
  <phoneticPr fontId="139" type="noConversion"/>
  <conditionalFormatting sqref="D17">
    <cfRule type="cellIs" dxfId="12" priority="1" operator="notEqual">
      <formula>""</formula>
    </cfRule>
  </conditionalFormatting>
  <dataValidations count="5">
    <dataValidation type="list" allowBlank="1" showInputMessage="1" showErrorMessage="1" sqref="C14">
      <formula1>$Z$28:$AA$28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6">
      <formula1>$AD$30:$AE$30</formula1>
    </dataValidation>
    <dataValidation type="list" allowBlank="1" showInputMessage="1" showErrorMessage="1" sqref="C11">
      <formula1>$CA$11:$CA$15</formula1>
    </dataValidation>
    <dataValidation type="list" allowBlank="1" showInputMessage="1" showErrorMessage="1" sqref="C8">
      <formula1>$CA$8:$CA$10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workbookViewId="0">
      <selection activeCell="A13" sqref="A13:D16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832" t="s">
        <v>41</v>
      </c>
      <c r="B1" s="832"/>
      <c r="C1" s="832"/>
      <c r="D1" s="832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32"/>
      <c r="B2" s="832"/>
      <c r="C2" s="832"/>
      <c r="D2" s="832"/>
      <c r="E2" s="2"/>
      <c r="F2" s="607">
        <f>AB81</f>
        <v>500000</v>
      </c>
      <c r="G2" s="607">
        <f>AD81</f>
        <v>500000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T2" s="1029"/>
      <c r="U2" s="1029"/>
      <c r="AB2" s="2"/>
      <c r="AC2" s="2"/>
      <c r="AD2" s="2"/>
      <c r="AE2" s="2"/>
      <c r="AZ2" s="2"/>
    </row>
    <row r="3" spans="1:67" ht="17.25" customHeight="1" x14ac:dyDescent="0.25">
      <c r="A3" s="833" t="s">
        <v>412</v>
      </c>
      <c r="B3" s="833"/>
      <c r="C3" s="833"/>
      <c r="D3" s="833"/>
      <c r="E3" s="834" t="str">
        <f>"График платежей - Максимум + ГС "</f>
        <v xml:space="preserve">График платежей - Максимум + ГС </v>
      </c>
      <c r="F3" s="834"/>
      <c r="G3" s="834"/>
      <c r="H3" s="834"/>
      <c r="I3" s="834"/>
      <c r="J3" s="834"/>
      <c r="K3" s="834"/>
      <c r="L3" s="834"/>
      <c r="M3" s="834"/>
      <c r="N3" s="834"/>
      <c r="O3" s="834"/>
      <c r="P3" s="834"/>
      <c r="Q3" s="834"/>
      <c r="R3" s="834"/>
      <c r="S3" s="146"/>
      <c r="T3" s="63" t="s">
        <v>33</v>
      </c>
      <c r="U3" s="63" t="s">
        <v>485</v>
      </c>
      <c r="V3" s="63" t="s">
        <v>486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1030"/>
      <c r="AD3" s="87"/>
      <c r="AE3" s="87"/>
      <c r="AF3" s="87"/>
      <c r="AG3" s="87"/>
      <c r="AH3" s="87"/>
      <c r="AI3" s="87"/>
      <c r="AJ3" s="63"/>
      <c r="AK3" s="63"/>
      <c r="AL3" s="63"/>
      <c r="AM3" s="835" t="str">
        <f>"График платежей - Оптимум"</f>
        <v>График платежей - Оптимум</v>
      </c>
      <c r="AN3" s="835"/>
      <c r="AO3" s="835"/>
      <c r="AP3" s="835"/>
      <c r="AQ3" s="835"/>
      <c r="AR3" s="835"/>
      <c r="AS3" s="835"/>
      <c r="AT3" s="835"/>
      <c r="AU3" s="835"/>
      <c r="AV3" s="835"/>
      <c r="AW3" s="835"/>
      <c r="AX3" s="835"/>
      <c r="AY3" s="102"/>
      <c r="AZ3" s="102"/>
      <c r="BA3" s="102"/>
      <c r="BD3" s="794" t="s">
        <v>94</v>
      </c>
      <c r="BE3" s="794"/>
      <c r="BF3" s="794"/>
      <c r="BG3" s="794"/>
      <c r="BH3" s="794"/>
      <c r="BI3" s="794"/>
      <c r="BJ3" s="794"/>
    </row>
    <row r="4" spans="1:67" ht="13.5" customHeight="1" x14ac:dyDescent="0.2">
      <c r="A4" s="311"/>
      <c r="B4" s="311"/>
      <c r="C4" s="311"/>
      <c r="D4" s="311"/>
      <c r="E4" s="834"/>
      <c r="F4" s="834"/>
      <c r="G4" s="834"/>
      <c r="H4" s="834"/>
      <c r="I4" s="834"/>
      <c r="J4" s="834"/>
      <c r="K4" s="834"/>
      <c r="L4" s="834"/>
      <c r="M4" s="834"/>
      <c r="N4" s="834"/>
      <c r="O4" s="834"/>
      <c r="P4" s="834"/>
      <c r="Q4" s="834"/>
      <c r="R4" s="834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1031"/>
      <c r="AD4" s="148"/>
      <c r="AE4" s="148"/>
      <c r="AF4" s="148"/>
      <c r="AG4" s="148"/>
      <c r="AH4" s="148"/>
      <c r="AI4" s="148"/>
      <c r="AJ4" s="147"/>
      <c r="AK4" s="147"/>
      <c r="AL4" s="147"/>
      <c r="AM4" s="835"/>
      <c r="AN4" s="835"/>
      <c r="AO4" s="835"/>
      <c r="AP4" s="835"/>
      <c r="AQ4" s="835"/>
      <c r="AR4" s="835"/>
      <c r="AS4" s="835"/>
      <c r="AT4" s="835"/>
      <c r="AU4" s="835"/>
      <c r="AV4" s="835"/>
      <c r="AW4" s="835"/>
      <c r="AX4" s="835"/>
      <c r="AY4" s="102"/>
      <c r="AZ4" s="102"/>
      <c r="BA4" s="102"/>
      <c r="BB4" s="57"/>
    </row>
    <row r="5" spans="1:67" ht="11.25" customHeight="1" thickBot="1" x14ac:dyDescent="0.25">
      <c r="A5" s="830"/>
      <c r="B5" s="830"/>
      <c r="C5" s="1032"/>
      <c r="D5" s="1032"/>
      <c r="E5" s="737"/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1033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737"/>
      <c r="BA5" s="102"/>
      <c r="BB5" s="57"/>
    </row>
    <row r="6" spans="1:67" ht="16.5" customHeight="1" thickBot="1" x14ac:dyDescent="0.25">
      <c r="A6" s="839" t="s">
        <v>413</v>
      </c>
      <c r="B6" s="840"/>
      <c r="C6" s="608" t="s">
        <v>414</v>
      </c>
      <c r="D6" s="608" t="s">
        <v>415</v>
      </c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033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737"/>
      <c r="BA6" s="102"/>
      <c r="BB6" s="57"/>
      <c r="BD6" s="795" t="s">
        <v>95</v>
      </c>
      <c r="BE6" s="795"/>
      <c r="BF6" s="795"/>
      <c r="BG6" s="795"/>
      <c r="BH6" s="795"/>
      <c r="BI6" s="795"/>
      <c r="BJ6" s="795"/>
      <c r="BM6" s="836" t="s">
        <v>416</v>
      </c>
      <c r="BN6" s="837"/>
      <c r="BO6" s="838"/>
    </row>
    <row r="7" spans="1:67" ht="37.5" customHeight="1" thickBot="1" x14ac:dyDescent="0.55000000000000004">
      <c r="A7" s="841" t="s">
        <v>417</v>
      </c>
      <c r="B7" s="842"/>
      <c r="C7" s="610">
        <f>Оптимистичный!C7</f>
        <v>500000</v>
      </c>
      <c r="D7" s="610">
        <f>C7</f>
        <v>500000</v>
      </c>
      <c r="E7" s="1034" t="s">
        <v>3</v>
      </c>
      <c r="F7" s="1035" t="s">
        <v>4</v>
      </c>
      <c r="G7" s="1035" t="s">
        <v>5</v>
      </c>
      <c r="H7" s="1036" t="s">
        <v>12</v>
      </c>
      <c r="I7" s="1036"/>
      <c r="J7" s="1036"/>
      <c r="K7" s="1036" t="s">
        <v>26</v>
      </c>
      <c r="L7" s="1036" t="s">
        <v>36</v>
      </c>
      <c r="M7" s="1036" t="s">
        <v>39</v>
      </c>
      <c r="N7" s="1036" t="s">
        <v>38</v>
      </c>
      <c r="O7" s="1036" t="s">
        <v>37</v>
      </c>
      <c r="P7" s="1036" t="s">
        <v>40</v>
      </c>
      <c r="Q7" s="1035" t="s">
        <v>6</v>
      </c>
      <c r="R7" s="1037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038" t="s">
        <v>3</v>
      </c>
      <c r="AN7" s="1039" t="s">
        <v>4</v>
      </c>
      <c r="AO7" s="1039" t="s">
        <v>5</v>
      </c>
      <c r="AP7" s="1040" t="s">
        <v>12</v>
      </c>
      <c r="AQ7" s="1040" t="s">
        <v>26</v>
      </c>
      <c r="AR7" s="1040" t="s">
        <v>36</v>
      </c>
      <c r="AS7" s="1040" t="s">
        <v>39</v>
      </c>
      <c r="AT7" s="1040" t="s">
        <v>38</v>
      </c>
      <c r="AU7" s="1040" t="s">
        <v>37</v>
      </c>
      <c r="AV7" s="1040" t="s">
        <v>40</v>
      </c>
      <c r="AW7" s="1039" t="s">
        <v>6</v>
      </c>
      <c r="AX7" s="1041" t="s">
        <v>32</v>
      </c>
      <c r="AY7" s="104" t="s">
        <v>31</v>
      </c>
      <c r="AZ7" s="1042">
        <f>AZ8</f>
        <v>45315</v>
      </c>
      <c r="BA7" s="108">
        <f>G8</f>
        <v>-531999</v>
      </c>
      <c r="BB7" s="1043"/>
      <c r="BD7" s="784" t="s">
        <v>84</v>
      </c>
      <c r="BE7" s="777" t="s">
        <v>85</v>
      </c>
      <c r="BF7" s="127" t="s">
        <v>86</v>
      </c>
      <c r="BG7" s="124" t="s">
        <v>88</v>
      </c>
      <c r="BH7" s="798" t="s">
        <v>9</v>
      </c>
      <c r="BI7" s="800" t="s">
        <v>89</v>
      </c>
      <c r="BJ7" s="796">
        <v>1</v>
      </c>
      <c r="BM7" s="1044" t="s">
        <v>418</v>
      </c>
      <c r="BN7" s="1045" t="s">
        <v>419</v>
      </c>
      <c r="BO7" s="1045" t="s">
        <v>420</v>
      </c>
    </row>
    <row r="8" spans="1:67" ht="16.5" customHeight="1" thickBot="1" x14ac:dyDescent="0.55000000000000004">
      <c r="A8" s="841" t="s">
        <v>421</v>
      </c>
      <c r="B8" s="842"/>
      <c r="C8" s="619" t="str">
        <f>Оптимистичный!C8</f>
        <v>нет</v>
      </c>
      <c r="D8" s="617" t="str">
        <f>IF(C10&lt;48,Z60,AA60)</f>
        <v>ОПТИ_ПакетБВ_48</v>
      </c>
      <c r="E8" s="1046"/>
      <c r="F8" s="1047">
        <f>C9</f>
        <v>45315</v>
      </c>
      <c r="G8" s="1048">
        <f>-C28</f>
        <v>-531999</v>
      </c>
      <c r="H8" s="24"/>
      <c r="I8" s="24"/>
      <c r="J8" s="24"/>
      <c r="K8" s="1049"/>
      <c r="L8" s="1049"/>
      <c r="M8" s="1049"/>
      <c r="N8" s="1049"/>
      <c r="O8" s="1049"/>
      <c r="P8" s="1049"/>
      <c r="Q8" s="56">
        <f>C28</f>
        <v>531999</v>
      </c>
      <c r="R8" s="1049"/>
      <c r="S8" s="36"/>
      <c r="T8" s="15">
        <v>0.22900000000000001</v>
      </c>
      <c r="U8" s="15">
        <v>0.17899999999999999</v>
      </c>
      <c r="V8" s="15">
        <v>0.11899999999999999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1033"/>
      <c r="AD8" s="15"/>
      <c r="AE8" s="15"/>
      <c r="AF8" s="15"/>
      <c r="AG8" s="15"/>
      <c r="AH8" s="15"/>
      <c r="AI8" s="15"/>
      <c r="AJ8" s="15"/>
      <c r="AK8" s="15"/>
      <c r="AL8" s="15"/>
      <c r="AM8" s="1050"/>
      <c r="AN8" s="1051">
        <f>C9</f>
        <v>45315</v>
      </c>
      <c r="AO8" s="1048">
        <f>-D28</f>
        <v>-578399</v>
      </c>
      <c r="AP8" s="105"/>
      <c r="AQ8" s="1052"/>
      <c r="AR8" s="1052"/>
      <c r="AS8" s="1052"/>
      <c r="AT8" s="1052"/>
      <c r="AU8" s="1052"/>
      <c r="AV8" s="1052"/>
      <c r="AW8" s="107">
        <f>D28</f>
        <v>578399</v>
      </c>
      <c r="AX8" s="1052"/>
      <c r="AY8" s="108"/>
      <c r="AZ8" s="1047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785"/>
      <c r="BE8" s="778"/>
      <c r="BF8" s="739" t="s">
        <v>87</v>
      </c>
      <c r="BG8" s="126" t="s">
        <v>88</v>
      </c>
      <c r="BH8" s="799"/>
      <c r="BI8" s="801"/>
      <c r="BJ8" s="797"/>
      <c r="BM8" s="1053" t="s">
        <v>360</v>
      </c>
      <c r="BN8" s="1054" t="s">
        <v>422</v>
      </c>
      <c r="BO8" s="1054" t="s">
        <v>423</v>
      </c>
    </row>
    <row r="9" spans="1:67" ht="16.5" customHeight="1" thickBot="1" x14ac:dyDescent="0.25">
      <c r="A9" s="841" t="s">
        <v>25</v>
      </c>
      <c r="B9" s="842"/>
      <c r="C9" s="617">
        <f>Оптимистичный!C9</f>
        <v>45315</v>
      </c>
      <c r="D9" s="617">
        <f>C9</f>
        <v>45315</v>
      </c>
      <c r="E9" s="1055">
        <f>1</f>
        <v>1</v>
      </c>
      <c r="F9" s="1056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>IF(AND(E9&gt;=$T$14,E9&lt;=$T$14+5),$T$15,IF(AND(Q8+L9+H9&gt;G8,G8&lt;&gt;0),$C$29,IF(Q8=0,0,Q8+L9+H9+H10)))+IF(AND(E9=$C$10,$C$22&lt;&gt;"Нет"),MIN((I9-I9/$C$19*$C$23),Q8+H9-G8),0)</f>
        <v>14612</v>
      </c>
      <c r="H9" s="24">
        <f>IF(AND(E9&gt;=$T$14,E9&lt;=$T$14+5),0,IF($C$9&gt;$AC$52,ROUND(Q8*$C$19*((F9-DATE(YEAR(F9),MONTH(F9),1)+1)/(DATE(YEAR(F9)+1,1,1)-DATE(YEAR(F9),1,1))+(EOMONTH(F8,0)-F8)/(DATE(YEAR(F8)+1,1,1)-DATE(YEAR(F8),1,1))),2),0))</f>
        <v>13472.95</v>
      </c>
      <c r="I9" s="24">
        <f>H9</f>
        <v>13472.95</v>
      </c>
      <c r="J9" s="24"/>
      <c r="K9" s="24">
        <f t="shared" ref="K9:K72" si="6">IF(S9=0,0,IF(S9=1,Q8,IF(Q8+L9+H9&gt;G8,G9-H9-L9,Q8)))</f>
        <v>1139.0499999999993</v>
      </c>
      <c r="L9" s="24">
        <f>IF(N9&gt;$C$29,$C$29-H9,IF(S9=0,0,P9)+AF52)</f>
        <v>0</v>
      </c>
      <c r="M9" s="24">
        <f>O8-L8</f>
        <v>0</v>
      </c>
      <c r="N9" s="24">
        <f>H9+O9</f>
        <v>13472.95</v>
      </c>
      <c r="O9" s="24">
        <f>IF(S9=0,0,0)</f>
        <v>0</v>
      </c>
      <c r="P9" s="24">
        <f>IF(S9=0,0,0)</f>
        <v>0</v>
      </c>
      <c r="Q9" s="24">
        <f t="shared" ref="Q9:Q72" si="7">IF(OR(S9=1,Q8=0),0,Q8-K9)</f>
        <v>530859.94999999995</v>
      </c>
      <c r="R9" s="36">
        <f>C10</f>
        <v>84</v>
      </c>
      <c r="S9" s="36">
        <f>IF(ISERR(CEILING(FLOOR(NPER($C$19/12,-$AA$56,Q8),0.1),1))=TRUE,0,CEILING(FLOOR(NPER($C$19/12,-$AA$56,Q8),0.1),1))</f>
        <v>84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1033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57">
        <f>1</f>
        <v>1</v>
      </c>
      <c r="AN9" s="1058">
        <f t="shared" ref="AN9:AN72" si="8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14612</v>
      </c>
      <c r="AP9" s="105">
        <f>IF(AND(E9&gt;=$T$14,E9&lt;=$T$14+5),0,IF($C$9&gt;$AC$52,ROUND(AW8*$D$19*((AN9-DATE(YEAR(AN9),MONTH(AN9),1)+1)/(DATE(YEAR(AN9)+1,1,1)-DATE(YEAR(AN9),1,1))+(EOMONTH(AN8,0)-AN8)/(DATE(YEAR(AN8)+1,1,1)-DATE(YEAR(AN8),1,1))),2),0))</f>
        <v>12198.53</v>
      </c>
      <c r="AQ9" s="105">
        <f t="shared" ref="AQ9:AQ46" si="9">IF(AY9=0,0,IF(AY9=1,AW8,IF(AW8+AR9+AP9&gt;AO8,AO9-AP9-AR9,AW8)))</f>
        <v>2413.4699999999993</v>
      </c>
      <c r="AR9" s="105">
        <f>IF(AT9&gt;$D$29,$D$29-AP9,IF(AY9=0,0,AV9)+BN58)</f>
        <v>0</v>
      </c>
      <c r="AS9" s="105"/>
      <c r="AT9" s="105">
        <f>AP9+AU9</f>
        <v>12198.53</v>
      </c>
      <c r="AU9" s="105">
        <f>IF(AY9=0,0,0)</f>
        <v>0</v>
      </c>
      <c r="AV9" s="105">
        <f>IF(AY9=0,0,0)</f>
        <v>0</v>
      </c>
      <c r="AW9" s="105">
        <f t="shared" ref="AW9:AW46" si="10">IF(OR(AY9=1,AW8=0),0,AW8-AQ9)</f>
        <v>575985.53</v>
      </c>
      <c r="AX9" s="108">
        <f>C10</f>
        <v>84</v>
      </c>
      <c r="AY9" s="108">
        <f>IF(ISERR(CEILING(FLOOR(NPER($D$19/12,-$AC$56,AW8),0.1),1))=TRUE,0,CEILING(FLOOR(NPER($D$19/12,-$AC$56,AW8),0.1),1))</f>
        <v>84</v>
      </c>
      <c r="AZ9" s="1047">
        <f t="shared" si="3"/>
        <v>45346</v>
      </c>
      <c r="BA9" s="108">
        <f t="shared" si="3"/>
        <v>14612</v>
      </c>
      <c r="BC9" s="118">
        <f t="shared" si="4"/>
        <v>590597.53</v>
      </c>
      <c r="BM9" s="1053" t="s">
        <v>424</v>
      </c>
      <c r="BN9" s="1059" t="s">
        <v>425</v>
      </c>
      <c r="BO9" s="1059" t="s">
        <v>426</v>
      </c>
    </row>
    <row r="10" spans="1:67" ht="16.5" customHeight="1" thickBot="1" x14ac:dyDescent="0.25">
      <c r="A10" s="843" t="s">
        <v>1</v>
      </c>
      <c r="B10" s="844"/>
      <c r="C10" s="619">
        <f>Оптимистичный!C10</f>
        <v>84</v>
      </c>
      <c r="D10" s="619">
        <f>C10</f>
        <v>84</v>
      </c>
      <c r="E10" s="1055">
        <f>E9+1</f>
        <v>2</v>
      </c>
      <c r="F10" s="1056">
        <f t="shared" si="5"/>
        <v>45375</v>
      </c>
      <c r="G10" s="24">
        <f>IF(AND(E10&gt;=$T$14,E10&lt;=$T$14+5),$T$15,IF(AND(Q9+L10+H10&gt;G9,G9&lt;&gt;0),$C$29,IF(Q9=0,0,Q9+L10+H10+H11)))+IF(AND(E10=$C$10,$C$22&lt;&gt;"Нет"),MIN((I10-I10/$C$19*$C$23),Q9+H10-G9),0)</f>
        <v>14612</v>
      </c>
      <c r="H10" s="24">
        <f>IF(AND(E10&gt;=$T$14,E10&lt;=$T$14+5),0,IF($C$9&gt;$AC$52,ROUND(Q9*$C$19*((F10-DATE(YEAR(F10),MONTH(F10),1)+1)/(DATE(YEAR(F10)+1,1,1)-DATE(YEAR(F10),1,1))+(EOMONTH(F9,0)-F9)/(DATE(YEAR(F9)+1,1,1)-DATE(YEAR(F9),1,1))),2),0))</f>
        <v>12576.74</v>
      </c>
      <c r="I10" s="24">
        <f>H10+I9</f>
        <v>26049.690000000002</v>
      </c>
      <c r="J10" s="24">
        <f>IF(E10=$C$10,MIN((I10-I10/$C$19*$C$23),Q9+H10-G9),0)</f>
        <v>0</v>
      </c>
      <c r="K10" s="24">
        <f t="shared" si="6"/>
        <v>2035.2600000000002</v>
      </c>
      <c r="L10" s="24">
        <f>IF(N10&gt;$C$29,$C$29-H10,IF(S10=0,0,O10))</f>
        <v>0</v>
      </c>
      <c r="M10" s="24">
        <f>O9-L9</f>
        <v>0</v>
      </c>
      <c r="N10" s="24">
        <f t="shared" ref="N10:N86" si="11">H10+O10</f>
        <v>12576.74</v>
      </c>
      <c r="O10" s="24">
        <f t="shared" ref="O10:O73" si="12">IF(S10=0,0,0)</f>
        <v>0</v>
      </c>
      <c r="P10" s="24">
        <f t="shared" ref="P10:P73" si="13">IF(S10=0,0,0)</f>
        <v>0</v>
      </c>
      <c r="Q10" s="24">
        <f t="shared" si="7"/>
        <v>528824.68999999994</v>
      </c>
      <c r="R10" s="36">
        <f>IF((R9-1)&lt;0,0,R9-1)</f>
        <v>83</v>
      </c>
      <c r="S10" s="36">
        <f>IF(ISERR(CEILING(FLOOR(NPER($C$19/12,-$AA$56,Q9),0.1),1))=TRUE,0,CEILING(FLOOR(NPER($C$19/12,-$AA$56,Q9),0.1),1))</f>
        <v>83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1033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14">IF(OR(AO10="",AO10=0),0,1)</f>
        <v>1</v>
      </c>
      <c r="AM10" s="1057">
        <f>AM9+1</f>
        <v>2</v>
      </c>
      <c r="AN10" s="1058">
        <f t="shared" si="8"/>
        <v>45375</v>
      </c>
      <c r="AO10" s="105">
        <f>IF(AND(E10&gt;=$T$14,E10&lt;=$T$14+5),$T$15,IF(AND(AW9+AR10+AP10&gt;AO9,AO9&lt;&gt;0),$D$29,IF(AW9=0,0,AW9+AR10+AP10+AP11)))</f>
        <v>14612</v>
      </c>
      <c r="AP10" s="105">
        <f>IF(AND(E10&gt;=$T$14,E10&lt;=$T$14+5),0,IF($C$9&gt;$AC$52,ROUND(AW9*$D$19*((AN10-DATE(YEAR(AN10),MONTH(AN10),1)+1)/(DATE(YEAR(AN10)+1,1,1)-DATE(YEAR(AN10),1,1))+(EOMONTH(AN9,0)-AN9)/(DATE(YEAR(AN9)+1,1,1)-DATE(YEAR(AN9),1,1))),2),0))</f>
        <v>11363.91</v>
      </c>
      <c r="AQ10" s="105">
        <f t="shared" si="9"/>
        <v>3248.09</v>
      </c>
      <c r="AR10" s="105">
        <f>IF(AT10&gt;$D$29,$D$29-AP10,IF(AY10=0,0,AV10)+BN59)</f>
        <v>0</v>
      </c>
      <c r="AS10" s="105">
        <f t="shared" ref="AS10:AS46" si="15">AU9-AR9</f>
        <v>0</v>
      </c>
      <c r="AT10" s="105">
        <f t="shared" ref="AT10:AT46" si="16">AP10+AU10</f>
        <v>11363.91</v>
      </c>
      <c r="AU10" s="105">
        <f t="shared" ref="AU10:AU46" si="17">IF(AY10=0,0,0)</f>
        <v>0</v>
      </c>
      <c r="AV10" s="105">
        <f t="shared" ref="AV10:AV46" si="18">IF(AY10=0,0,0)</f>
        <v>0</v>
      </c>
      <c r="AW10" s="105">
        <f t="shared" si="10"/>
        <v>572737.44000000006</v>
      </c>
      <c r="AX10" s="108">
        <f>IF((AX9-1)&lt;0,0,AX9-1)</f>
        <v>83</v>
      </c>
      <c r="AY10" s="108">
        <f>IF(ISERR(CEILING(FLOOR(NPER($D$19/12,-$AC$56,AW9),0.1),1))=TRUE,0,CEILING(FLOOR(NPER($D$19/12,-$AC$56,AW9),0.1),1))</f>
        <v>83</v>
      </c>
      <c r="AZ10" s="1047">
        <f t="shared" si="3"/>
        <v>45375</v>
      </c>
      <c r="BA10" s="108">
        <f t="shared" si="3"/>
        <v>14612</v>
      </c>
      <c r="BC10" s="118">
        <f t="shared" si="4"/>
        <v>587349.44000000006</v>
      </c>
      <c r="BD10" s="784" t="s">
        <v>90</v>
      </c>
      <c r="BE10" s="777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845" t="s">
        <v>427</v>
      </c>
      <c r="B11" s="621" t="s">
        <v>102</v>
      </c>
      <c r="C11" s="619" t="str">
        <f>Оптимистичный!C14</f>
        <v>Да</v>
      </c>
      <c r="D11" s="619" t="str">
        <f>C11</f>
        <v>Да</v>
      </c>
      <c r="E11" s="1055">
        <f>E10+1</f>
        <v>3</v>
      </c>
      <c r="F11" s="1056">
        <f t="shared" si="5"/>
        <v>45406</v>
      </c>
      <c r="G11" s="24">
        <f>IF(AND(E11&gt;=$T$14,E11&lt;=$T$14+5),$T$15,IF(AND(Q10+L11+H11&gt;G10,G10&lt;&gt;0),$C$29,IF(Q10=0,0,Q10+L11+H11+H12)))+IF(AND(E11=$C$10,$C$22&lt;&gt;"Нет"),MIN((I11-I11/$C$19*$C$23),Q10+H11-G10),0)</f>
        <v>14612</v>
      </c>
      <c r="H11" s="24">
        <f>IF(AND(E11&gt;=$T$14,E11&lt;=$T$14+5),0,IF($C$9&gt;$AC$52,ROUND(Q10*$C$19*((F11-DATE(YEAR(F11),MONTH(F11),1)+1)/(DATE(YEAR(F11)+1,1,1)-DATE(YEAR(F11),1,1))+(EOMONTH(F10,0)-F10)/(DATE(YEAR(F10)+1,1,1)-DATE(YEAR(F10),1,1))),2),0))</f>
        <v>13392.56</v>
      </c>
      <c r="I11" s="24">
        <f t="shared" ref="I11:I74" si="19">H11+I10</f>
        <v>39442.25</v>
      </c>
      <c r="J11" s="24">
        <f>IF(E11=$C$10,MIN((I11-I11/$C$19*$C$23),Q10+H11-G10),0)</f>
        <v>0</v>
      </c>
      <c r="K11" s="24">
        <f t="shared" si="6"/>
        <v>1219.4400000000005</v>
      </c>
      <c r="L11" s="24">
        <f>IF(N11&gt;$C$29,$C$29-H11,IF(S11=0,0,O11))</f>
        <v>0</v>
      </c>
      <c r="M11" s="24">
        <f>O10-L10</f>
        <v>0</v>
      </c>
      <c r="N11" s="24">
        <f t="shared" si="11"/>
        <v>13392.56</v>
      </c>
      <c r="O11" s="24">
        <f t="shared" si="12"/>
        <v>0</v>
      </c>
      <c r="P11" s="24">
        <f t="shared" si="13"/>
        <v>0</v>
      </c>
      <c r="Q11" s="24">
        <f t="shared" si="7"/>
        <v>527605.25</v>
      </c>
      <c r="R11" s="36">
        <f>IF((R10-1)&lt;0,0,R10-1)</f>
        <v>82</v>
      </c>
      <c r="S11" s="36">
        <f>IF(ISERR(CEILING(FLOOR(NPER($C$19/12,-$AA$56,Q10),0.1),1))=TRUE,0,CEILING(FLOOR(NPER($C$19/12,-$AA$56,Q10),0.1),1))</f>
        <v>82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1033"/>
      <c r="AD11" s="15"/>
      <c r="AE11" s="15"/>
      <c r="AF11" s="15"/>
      <c r="AG11" s="15"/>
      <c r="AH11" s="15"/>
      <c r="AI11" s="15"/>
      <c r="AJ11" s="3"/>
      <c r="AK11" s="3"/>
      <c r="AL11" s="130">
        <f t="shared" si="14"/>
        <v>1</v>
      </c>
      <c r="AM11" s="1057">
        <f>AM10+1</f>
        <v>3</v>
      </c>
      <c r="AN11" s="1058">
        <f t="shared" si="8"/>
        <v>45406</v>
      </c>
      <c r="AO11" s="105">
        <f>IF(AX10=1,AR11+AP11+AQ11,IF(AW10+AR11+AP11&gt;AO10,$D$29,IF(AW10=0,0,AW10+AR11+AP11+AP42)))</f>
        <v>14612</v>
      </c>
      <c r="AP11" s="105">
        <f>IF(AND(E11&gt;=$T$14,E11&lt;=$T$14+5),0,IF($C$9&gt;$AC$52,ROUND(AW10*$D$19*((AN11-DATE(YEAR(AN11),MONTH(AN11),1)+1)/(DATE(YEAR(AN11)+1,1,1)-DATE(YEAR(AN11),1,1))+(EOMONTH(AN10,0)-AN10)/(DATE(YEAR(AN10)+1,1,1)-DATE(YEAR(AN10),1,1))),2),0))</f>
        <v>12079.13</v>
      </c>
      <c r="AQ11" s="105">
        <f t="shared" si="9"/>
        <v>2532.8700000000008</v>
      </c>
      <c r="AR11" s="105">
        <f>IF(AT11&gt;$D$29,$D$29-AP11,IF(AY11=0,0,AV11)+BN60)</f>
        <v>0</v>
      </c>
      <c r="AS11" s="105">
        <f t="shared" si="15"/>
        <v>0</v>
      </c>
      <c r="AT11" s="105">
        <f t="shared" si="16"/>
        <v>12079.13</v>
      </c>
      <c r="AU11" s="105">
        <f t="shared" si="17"/>
        <v>0</v>
      </c>
      <c r="AV11" s="105">
        <f t="shared" si="18"/>
        <v>0</v>
      </c>
      <c r="AW11" s="105">
        <f t="shared" si="10"/>
        <v>570204.57000000007</v>
      </c>
      <c r="AX11" s="108">
        <f>IF((AX10-1)&lt;0,0,AX10-1)</f>
        <v>82</v>
      </c>
      <c r="AY11" s="108">
        <f>IF(ISERR(CEILING(FLOOR(NPER($D$19/12,-$AC$56,AW10),0.1),1))=TRUE,0,CEILING(FLOOR(NPER($D$19/12,-$AC$56,AW10),0.1),1))</f>
        <v>82</v>
      </c>
      <c r="AZ11" s="1047">
        <f t="shared" si="3"/>
        <v>45406</v>
      </c>
      <c r="BA11" s="108">
        <f t="shared" si="3"/>
        <v>14612</v>
      </c>
      <c r="BC11" s="118">
        <f t="shared" si="4"/>
        <v>584816.57000000007</v>
      </c>
      <c r="BD11" s="785"/>
      <c r="BE11" s="778"/>
      <c r="BF11" s="738" t="s">
        <v>91</v>
      </c>
      <c r="BM11" s="1061" t="s">
        <v>428</v>
      </c>
      <c r="BN11" s="1062"/>
      <c r="BO11" s="1063"/>
    </row>
    <row r="12" spans="1:67" ht="16.5" customHeight="1" thickBot="1" x14ac:dyDescent="0.25">
      <c r="A12" s="846"/>
      <c r="B12" s="621" t="s">
        <v>105</v>
      </c>
      <c r="C12" s="623">
        <f>Оптимистичный!C15</f>
        <v>6999</v>
      </c>
      <c r="D12" s="623">
        <f>C12</f>
        <v>6999</v>
      </c>
      <c r="E12" s="1055">
        <f t="shared" ref="E12:E75" si="20">E11+1</f>
        <v>4</v>
      </c>
      <c r="F12" s="1056">
        <f t="shared" si="5"/>
        <v>45436</v>
      </c>
      <c r="G12" s="24">
        <f>IF(AND(E12&gt;=$T$14,E12&lt;=$T$14+5),$T$15,IF(AND(Q11+L12+H12&gt;G11,G11&lt;&gt;0),$C$29,IF(Q11=0,0,Q11+L12+H12+H13)))+IF(AND(E12=$C$10,$C$22&lt;&gt;"Нет"),MIN((I12-I12/$C$19*$C$23),Q11+H12-G11),0)</f>
        <v>14612</v>
      </c>
      <c r="H12" s="24">
        <f>IF(AND(E12&gt;=$T$14,E12&lt;=$T$14+5),0,IF($C$9&gt;$AC$52,ROUND(Q11*$C$19*((F12-DATE(YEAR(F12),MONTH(F12),1)+1)/(DATE(YEAR(F12)+1,1,1)-DATE(YEAR(F12),1,1))+(EOMONTH(F11,0)-F11)/(DATE(YEAR(F11)+1,1,1)-DATE(YEAR(F11),1,1))),2),0))</f>
        <v>12930.65</v>
      </c>
      <c r="I12" s="24">
        <f t="shared" si="19"/>
        <v>52372.9</v>
      </c>
      <c r="J12" s="24">
        <f>IF(E12=$C$10,MIN((I12-I12/$C$19*$C$23),Q11+H12-G11),0)</f>
        <v>0</v>
      </c>
      <c r="K12" s="24">
        <f t="shared" si="6"/>
        <v>1681.3500000000004</v>
      </c>
      <c r="L12" s="24">
        <f>IF(N12&gt;$C$29,$C$29-H12,IF(S12=0,0,O12))</f>
        <v>0</v>
      </c>
      <c r="M12" s="24">
        <f t="shared" ref="M12:M86" si="21">O11-L11</f>
        <v>0</v>
      </c>
      <c r="N12" s="24">
        <f t="shared" si="11"/>
        <v>12930.65</v>
      </c>
      <c r="O12" s="24">
        <f t="shared" si="12"/>
        <v>0</v>
      </c>
      <c r="P12" s="24">
        <f t="shared" si="13"/>
        <v>0</v>
      </c>
      <c r="Q12" s="24">
        <f t="shared" si="7"/>
        <v>525923.9</v>
      </c>
      <c r="R12" s="36">
        <f t="shared" ref="R12:R75" si="22">IF((R11-1)&lt;0,0,R11-1)</f>
        <v>81</v>
      </c>
      <c r="S12" s="36">
        <f>IF(ISERR(CEILING(FLOOR(NPER($C$19/12,-$AA$56,Q11),0.1),1))=TRUE,0,CEILING(FLOOR(NPER($C$19/12,-$AA$56,Q11),0.1),1))</f>
        <v>81</v>
      </c>
      <c r="T12" s="15">
        <v>0.29899999999999999</v>
      </c>
      <c r="U12" s="15">
        <v>0.23899999999999999</v>
      </c>
      <c r="V12" s="15">
        <v>0.17899999999999999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1033"/>
      <c r="AD12" s="15"/>
      <c r="AE12" s="15"/>
      <c r="AF12" s="15"/>
      <c r="AG12" s="15"/>
      <c r="AH12" s="15"/>
      <c r="AI12" s="15"/>
      <c r="AK12" s="57"/>
      <c r="AL12" s="130">
        <f t="shared" si="14"/>
        <v>1</v>
      </c>
      <c r="AM12" s="1057">
        <f t="shared" ref="AM12:AM75" si="23">AM11+1</f>
        <v>4</v>
      </c>
      <c r="AN12" s="1058">
        <f t="shared" si="8"/>
        <v>45436</v>
      </c>
      <c r="AO12" s="105">
        <f>IF(AX11=1,AR12+AP12+AQ12,IF(AW11+AR12+AP12&gt;AO11,$D$29,IF(AW11=0,0,AW11+AR12+AP12+AP43)))</f>
        <v>14612</v>
      </c>
      <c r="AP12" s="105">
        <f>IF(AND(E12&gt;=$T$14,E12&lt;=$T$14+5),0,IF($C$9&gt;$AC$52,ROUND(AW11*$D$19*((AN12-DATE(YEAR(AN12),MONTH(AN12),1)+1)/(DATE(YEAR(AN12)+1,1,1)-DATE(YEAR(AN12),1,1))+(EOMONTH(AN11,0)-AN11)/(DATE(YEAR(AN11)+1,1,1)-DATE(YEAR(AN11),1,1))),2),0))</f>
        <v>11637.78</v>
      </c>
      <c r="AQ12" s="105">
        <f t="shared" si="9"/>
        <v>2974.2199999999993</v>
      </c>
      <c r="AR12" s="105">
        <f>IF(AT12&gt;$D$29,$D$29-AP12,IF(AY12=0,0,AV12)+BN61)</f>
        <v>0</v>
      </c>
      <c r="AS12" s="105">
        <f t="shared" si="15"/>
        <v>0</v>
      </c>
      <c r="AT12" s="105">
        <f t="shared" si="16"/>
        <v>11637.78</v>
      </c>
      <c r="AU12" s="105">
        <f t="shared" si="17"/>
        <v>0</v>
      </c>
      <c r="AV12" s="105">
        <f t="shared" si="18"/>
        <v>0</v>
      </c>
      <c r="AW12" s="105">
        <f t="shared" si="10"/>
        <v>567230.35000000009</v>
      </c>
      <c r="AX12" s="108">
        <f t="shared" ref="AX12:AX75" si="24">IF((AX11-1)&lt;0,0,AX11-1)</f>
        <v>81</v>
      </c>
      <c r="AY12" s="108">
        <f>IF(ISERR(CEILING(FLOOR(NPER($D$19/12,-$AC$56,AW11),0.1),1))=TRUE,0,CEILING(FLOOR(NPER($D$19/12,-$AC$56,AW11),0.1),1))</f>
        <v>81</v>
      </c>
      <c r="AZ12" s="1047">
        <f t="shared" si="3"/>
        <v>45436</v>
      </c>
      <c r="BA12" s="108">
        <f t="shared" si="3"/>
        <v>14612</v>
      </c>
      <c r="BC12" s="118">
        <f t="shared" si="4"/>
        <v>581842.35000000009</v>
      </c>
      <c r="BM12" s="1044" t="s">
        <v>418</v>
      </c>
      <c r="BN12" s="1045" t="s">
        <v>419</v>
      </c>
      <c r="BO12" s="1045" t="s">
        <v>420</v>
      </c>
    </row>
    <row r="13" spans="1:67" ht="16.5" customHeight="1" thickBot="1" x14ac:dyDescent="0.25">
      <c r="A13" s="1093" t="str">
        <f>IF(AND(C8=AD60,C10&gt;47),"Ошибка: при указанном сроке нужна страховка ОПТИ_ПакетБВ+ГС_48",IF(AND(C8=AE60,C10&lt;48),"Ошибка: при указанном сроке нужна страховка ОПТИ_ПакетБВ+ГС_36",""))</f>
        <v/>
      </c>
      <c r="B13" s="1093"/>
      <c r="C13" s="1093"/>
      <c r="D13" s="1093"/>
      <c r="E13" s="1055">
        <f>E12+1</f>
        <v>5</v>
      </c>
      <c r="F13" s="1056">
        <f t="shared" si="5"/>
        <v>45467</v>
      </c>
      <c r="G13" s="24">
        <f>IF(AND(E13&gt;=$T$14,E13&lt;=$T$14+5),$T$15,IF(AND(Q12+L13+H13&gt;G12,G12&lt;&gt;0),$C$29,IF(Q12=0,0,Q12+L13+H13+H14)))+IF(AND(E13=$C$10,$C$22&lt;&gt;"Нет"),MIN((I13-I13/$C$19*$C$23),Q12+H13-G12),0)</f>
        <v>14612</v>
      </c>
      <c r="H13" s="24">
        <f>IF(AND(E13&gt;=$T$14,E13&lt;=$T$14+5),0,IF($C$9&gt;$AC$52,ROUND(Q12*$C$19*((F13-DATE(YEAR(F13),MONTH(F13),1)+1)/(DATE(YEAR(F13)+1,1,1)-DATE(YEAR(F13),1,1))+(EOMONTH(F12,0)-F12)/(DATE(YEAR(F12)+1,1,1)-DATE(YEAR(F12),1,1))),2),0))</f>
        <v>13319.09</v>
      </c>
      <c r="I13" s="24">
        <f t="shared" si="19"/>
        <v>65691.990000000005</v>
      </c>
      <c r="J13" s="24">
        <f>IF(E13=$C$10,MIN((I13-I13/$C$19*$C$23),Q12+H13-G12),0)</f>
        <v>0</v>
      </c>
      <c r="K13" s="24">
        <f t="shared" si="6"/>
        <v>1292.9099999999999</v>
      </c>
      <c r="L13" s="24">
        <f>IF(N13&gt;$C$29,$C$29-H13,IF(S13=0,0,O13))</f>
        <v>0</v>
      </c>
      <c r="M13" s="24">
        <f t="shared" si="21"/>
        <v>0</v>
      </c>
      <c r="N13" s="24">
        <f t="shared" si="11"/>
        <v>13319.09</v>
      </c>
      <c r="O13" s="24">
        <f t="shared" si="12"/>
        <v>0</v>
      </c>
      <c r="P13" s="24">
        <f t="shared" si="13"/>
        <v>0</v>
      </c>
      <c r="Q13" s="24">
        <f t="shared" si="7"/>
        <v>524630.99</v>
      </c>
      <c r="R13" s="36">
        <f>IF((R12-1)&lt;0,0,R12-1)</f>
        <v>80</v>
      </c>
      <c r="S13" s="36">
        <f>IF(ISERR(CEILING(FLOOR(NPER($C$19/12,-$AA$56,Q12),0.1),1))=TRUE,0,CEILING(FLOOR(NPER($C$19/12,-$AA$56,Q12),0.1),1))</f>
        <v>81</v>
      </c>
      <c r="T13" s="15"/>
      <c r="U13" s="15">
        <f>IF($C$17=27.9%,U12,IF($C$17=21.9%,U11,IF($C$17=19.9%,U10,U9)))</f>
        <v>0.189</v>
      </c>
      <c r="V13" s="15">
        <f>IF($C$17=27.9%,V12,IF($C$17=21.9%,V11,IF($C$17=19.9%,V10,V9)))</f>
        <v>0.129</v>
      </c>
      <c r="W13" s="15"/>
      <c r="X13" s="15"/>
      <c r="Y13" s="15"/>
      <c r="Z13" s="15"/>
      <c r="AA13" s="62">
        <f>INDEX(AA4:AA12,MATCH(C17,$T$4:$T$12,0))</f>
        <v>0.29899999999999999</v>
      </c>
      <c r="AB13" s="62">
        <f>INDEX(AB4:AB12,MATCH(D17,$T$4:$T$12,0))</f>
        <v>0.29899999999999999</v>
      </c>
      <c r="AC13" s="1033"/>
      <c r="AD13" s="15"/>
      <c r="AE13" s="15"/>
      <c r="AF13" s="15"/>
      <c r="AG13" s="15"/>
      <c r="AH13" s="15"/>
      <c r="AI13" s="15"/>
      <c r="AL13" s="130">
        <f t="shared" si="14"/>
        <v>1</v>
      </c>
      <c r="AM13" s="1064">
        <f>AM12+1</f>
        <v>5</v>
      </c>
      <c r="AN13" s="1065">
        <f t="shared" si="8"/>
        <v>45467</v>
      </c>
      <c r="AO13" s="105">
        <f>IF(AX12=1,AR13+AP13+AQ13,IF(AW12+AR13+AP13&gt;AO12,$D$29,IF(AW12=0,0,AW12+AR13+AP13+AP44)))</f>
        <v>14612</v>
      </c>
      <c r="AP13" s="105">
        <f>IF(AND(E13&gt;=$T$14,E13&lt;=$T$14+5),0,IF($C$9&gt;$AC$52,ROUND(AW12*$D$19*((AN13-DATE(YEAR(AN13),MONTH(AN13),1)+1)/(DATE(YEAR(AN13)+1,1,1)-DATE(YEAR(AN13),1,1))+(EOMONTH(AN12,0)-AN12)/(DATE(YEAR(AN12)+1,1,1)-DATE(YEAR(AN12),1,1))),2),0))</f>
        <v>11962.98</v>
      </c>
      <c r="AQ13" s="105">
        <f t="shared" si="9"/>
        <v>2649.0200000000004</v>
      </c>
      <c r="AR13" s="105">
        <f>IF(AT13&gt;$D$29,$D$29-AP13,IF(AY13=0,0,AV13)+BN62)</f>
        <v>0</v>
      </c>
      <c r="AS13" s="105">
        <f t="shared" si="15"/>
        <v>0</v>
      </c>
      <c r="AT13" s="105">
        <f t="shared" si="16"/>
        <v>11962.98</v>
      </c>
      <c r="AU13" s="105">
        <f t="shared" si="17"/>
        <v>0</v>
      </c>
      <c r="AV13" s="105">
        <f t="shared" si="18"/>
        <v>0</v>
      </c>
      <c r="AW13" s="105">
        <f t="shared" si="10"/>
        <v>564581.33000000007</v>
      </c>
      <c r="AX13" s="108">
        <f>IF((AX12-1)&lt;0,0,AX12-1)</f>
        <v>80</v>
      </c>
      <c r="AY13" s="108">
        <f>IF(ISERR(CEILING(FLOOR(NPER($D$19/12,-$AC$56,AW12),0.1),1))=TRUE,0,CEILING(FLOOR(NPER($D$19/12,-$AC$56,AW12),0.1),1))</f>
        <v>80</v>
      </c>
      <c r="AZ13" s="1047">
        <f t="shared" si="3"/>
        <v>45467</v>
      </c>
      <c r="BA13" s="108">
        <f t="shared" si="3"/>
        <v>14612</v>
      </c>
      <c r="BC13" s="118">
        <f t="shared" si="4"/>
        <v>579193.33000000007</v>
      </c>
      <c r="BD13" s="784" t="s">
        <v>92</v>
      </c>
      <c r="BE13" s="777" t="s">
        <v>85</v>
      </c>
      <c r="BF13" s="129" t="s">
        <v>90</v>
      </c>
      <c r="BM13" s="1053" t="s">
        <v>360</v>
      </c>
      <c r="BN13" s="1054" t="s">
        <v>423</v>
      </c>
      <c r="BO13" s="1054" t="s">
        <v>429</v>
      </c>
    </row>
    <row r="14" spans="1:67" ht="19.5" customHeight="1" thickBot="1" x14ac:dyDescent="0.25">
      <c r="A14" s="1094"/>
      <c r="B14" s="1094"/>
      <c r="C14" s="1094"/>
      <c r="D14" s="1094"/>
      <c r="E14" s="1055">
        <f>E13+1</f>
        <v>6</v>
      </c>
      <c r="F14" s="1056">
        <f t="shared" si="5"/>
        <v>45497</v>
      </c>
      <c r="G14" s="24">
        <f>IF(AND(E14&gt;=$T$14,E14&lt;=$T$14+5),$T$15,IF(AND(Q13+L14+H14&gt;G13,G13&lt;&gt;0),$C$29,IF(Q13=0,0,Q13+L14+H14+H15)))+IF(AND(E14=$C$10,$C$22&lt;&gt;"Нет"),MIN((I14-I14/$C$19*$C$23),Q13+H14-G13),0)</f>
        <v>14612</v>
      </c>
      <c r="H14" s="24">
        <f>IF(AND(E14&gt;=$T$14,E14&lt;=$T$14+5),0,IF($C$9&gt;$AC$52,ROUND(Q13*$C$19*((F14-DATE(YEAR(F14),MONTH(F14),1)+1)/(DATE(YEAR(F14)+1,1,1)-DATE(YEAR(F14),1,1))+(EOMONTH(F13,0)-F13)/(DATE(YEAR(F13)+1,1,1)-DATE(YEAR(F13),1,1))),2),0))</f>
        <v>12857.76</v>
      </c>
      <c r="I14" s="24">
        <f t="shared" si="19"/>
        <v>78549.75</v>
      </c>
      <c r="J14" s="24">
        <f>IF(E14=$C$10,MIN((I14-I14/$C$19*$C$23),Q13+H14-G13),0)</f>
        <v>0</v>
      </c>
      <c r="K14" s="24">
        <f t="shared" si="6"/>
        <v>1754.2399999999998</v>
      </c>
      <c r="L14" s="24">
        <f>IF(N14&gt;$C$29,$C$29-H14,IF(S14=0,0,O14))</f>
        <v>0</v>
      </c>
      <c r="M14" s="24">
        <f>O13-L13</f>
        <v>0</v>
      </c>
      <c r="N14" s="24">
        <f t="shared" si="11"/>
        <v>12857.76</v>
      </c>
      <c r="O14" s="24">
        <f t="shared" si="12"/>
        <v>0</v>
      </c>
      <c r="P14" s="24">
        <f t="shared" si="13"/>
        <v>0</v>
      </c>
      <c r="Q14" s="24">
        <f t="shared" si="7"/>
        <v>522876.75</v>
      </c>
      <c r="R14" s="36">
        <f>IF((R13-1)&lt;0,0,R13-1)</f>
        <v>79</v>
      </c>
      <c r="S14" s="36">
        <f>IF(ISERR(CEILING(FLOOR(NPER($C$19/12,-$AA$56,Q13),0.1),1))=TRUE,0,CEILING(FLOOR(NPER($C$19/12,-$AA$56,Q13),0.1),1))</f>
        <v>80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0.29899999999999999</v>
      </c>
      <c r="AB14" s="15">
        <f>D19</f>
        <v>0.249</v>
      </c>
      <c r="AC14" s="1033"/>
      <c r="AD14" s="15"/>
      <c r="AE14" s="15"/>
      <c r="AF14" s="15"/>
      <c r="AG14" s="15"/>
      <c r="AH14" s="15"/>
      <c r="AI14" s="15"/>
      <c r="AK14" s="57"/>
      <c r="AL14" s="130">
        <f t="shared" si="14"/>
        <v>1</v>
      </c>
      <c r="AM14" s="1057">
        <f>AM13+1</f>
        <v>6</v>
      </c>
      <c r="AN14" s="1058">
        <f t="shared" si="8"/>
        <v>45497</v>
      </c>
      <c r="AO14" s="105">
        <f>IF(AX13=1,AR14+AP14+AQ14,IF(AW13+AR14+AP14&gt;AO13,$D$29,IF(AW13=0,0,AW13+AR14+AP14+AP45)))</f>
        <v>14612</v>
      </c>
      <c r="AP14" s="105">
        <f>IF(AND(E14&gt;=$T$14,E14&lt;=$T$14+5),0,IF($C$9&gt;$AC$52,ROUND(AW13*$D$19*((AN14-DATE(YEAR(AN14),MONTH(AN14),1)+1)/(DATE(YEAR(AN14)+1,1,1)-DATE(YEAR(AN14),1,1))+(EOMONTH(AN13,0)-AN13)/(DATE(YEAR(AN13)+1,1,1)-DATE(YEAR(AN13),1,1))),2),0))</f>
        <v>11523.01</v>
      </c>
      <c r="AQ14" s="105">
        <f t="shared" si="9"/>
        <v>3088.99</v>
      </c>
      <c r="AR14" s="105">
        <f>IF(AT14&gt;$D$29,$D$29-AP14,IF(AY14=0,0,AV14)+BN63)</f>
        <v>0</v>
      </c>
      <c r="AS14" s="105">
        <f t="shared" si="15"/>
        <v>0</v>
      </c>
      <c r="AT14" s="105">
        <f t="shared" si="16"/>
        <v>11523.01</v>
      </c>
      <c r="AU14" s="105">
        <f t="shared" si="17"/>
        <v>0</v>
      </c>
      <c r="AV14" s="105">
        <f t="shared" si="18"/>
        <v>0</v>
      </c>
      <c r="AW14" s="105">
        <f t="shared" si="10"/>
        <v>561492.34000000008</v>
      </c>
      <c r="AX14" s="108">
        <f>IF((AX13-1)&lt;0,0,AX13-1)</f>
        <v>79</v>
      </c>
      <c r="AY14" s="108">
        <f>IF(ISERR(CEILING(FLOOR(NPER($D$19/12,-$AC$56,AW13),0.1),1))=TRUE,0,CEILING(FLOOR(NPER($D$19/12,-$AC$56,AW13),0.1),1))</f>
        <v>79</v>
      </c>
      <c r="AZ14" s="1047">
        <f t="shared" si="3"/>
        <v>45497</v>
      </c>
      <c r="BA14" s="108">
        <f t="shared" si="3"/>
        <v>14612</v>
      </c>
      <c r="BC14" s="118">
        <f t="shared" si="4"/>
        <v>576104.34000000008</v>
      </c>
      <c r="BD14" s="785"/>
      <c r="BE14" s="778"/>
      <c r="BF14" s="738" t="s">
        <v>93</v>
      </c>
      <c r="BM14" s="1053" t="s">
        <v>424</v>
      </c>
      <c r="BN14" s="1059" t="s">
        <v>426</v>
      </c>
      <c r="BO14" s="1059" t="s">
        <v>431</v>
      </c>
    </row>
    <row r="15" spans="1:67" ht="33" customHeight="1" thickBot="1" x14ac:dyDescent="0.25">
      <c r="A15" s="1094"/>
      <c r="B15" s="1094"/>
      <c r="C15" s="1094"/>
      <c r="D15" s="1094"/>
      <c r="E15" s="1055">
        <f t="shared" si="20"/>
        <v>7</v>
      </c>
      <c r="F15" s="1056">
        <f t="shared" si="5"/>
        <v>45528</v>
      </c>
      <c r="G15" s="24">
        <f>IF(AND(E15&gt;=$T$14,E15&lt;=$T$14+5),$T$15,IF(AND(Q14+L15+H15&gt;G14,G14&lt;&gt;0),$C$29,IF(Q14=0,0,Q14+L15+H15+H16)))+IF(AND(E15=$C$10,$C$22&lt;&gt;"Нет"),MIN((I15-I15/$C$19*$C$23),Q14+H15-G14),0)</f>
        <v>14612</v>
      </c>
      <c r="H15" s="24">
        <f>IF(AND(E15&gt;=$T$14,E15&lt;=$T$14+5),0,IF($C$9&gt;$AC$52,ROUND(Q14*$C$19*((F15-DATE(YEAR(F15),MONTH(F15),1)+1)/(DATE(YEAR(F15)+1,1,1)-DATE(YEAR(F15),1,1))+(EOMONTH(F14,0)-F14)/(DATE(YEAR(F14)+1,1,1)-DATE(YEAR(F14),1,1))),2),0))</f>
        <v>13241.93</v>
      </c>
      <c r="I15" s="24">
        <f t="shared" si="19"/>
        <v>91791.679999999993</v>
      </c>
      <c r="J15" s="24">
        <f>IF(E15=$C$10,MIN((I15-I15/$C$19*$C$23),Q14+H15-G14),0)</f>
        <v>0</v>
      </c>
      <c r="K15" s="24">
        <f t="shared" si="6"/>
        <v>1370.0699999999997</v>
      </c>
      <c r="L15" s="24">
        <f>IF(N15&gt;$C$29,$C$29-H15,IF(S15=0,0,O15))</f>
        <v>0</v>
      </c>
      <c r="M15" s="24">
        <f t="shared" si="21"/>
        <v>0</v>
      </c>
      <c r="N15" s="24">
        <f t="shared" si="11"/>
        <v>13241.93</v>
      </c>
      <c r="O15" s="24">
        <f t="shared" si="12"/>
        <v>0</v>
      </c>
      <c r="P15" s="24">
        <f t="shared" si="13"/>
        <v>0</v>
      </c>
      <c r="Q15" s="24">
        <f t="shared" si="7"/>
        <v>521506.68</v>
      </c>
      <c r="R15" s="36">
        <f t="shared" si="22"/>
        <v>78</v>
      </c>
      <c r="S15" s="36">
        <f>IF(ISERR(CEILING(FLOOR(NPER($C$19/12,-$AA$56,Q14),0.1),1))=TRUE,0,CEILING(FLOOR(NPER($C$19/12,-$AA$56,Q14),0.1),1))</f>
        <v>79</v>
      </c>
      <c r="T15" s="54">
        <f>ROUND(Q8*0.5%,-2)</f>
        <v>2700</v>
      </c>
      <c r="U15" s="54">
        <f>ROUND(Q8*0.5%,0)</f>
        <v>2660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033"/>
      <c r="AD15" s="15"/>
      <c r="AE15" s="15"/>
      <c r="AF15" s="15"/>
      <c r="AG15" s="15"/>
      <c r="AH15" s="15"/>
      <c r="AI15" s="15"/>
      <c r="AL15" s="130">
        <f t="shared" si="14"/>
        <v>1</v>
      </c>
      <c r="AM15" s="1057">
        <f t="shared" si="23"/>
        <v>7</v>
      </c>
      <c r="AN15" s="1058">
        <f t="shared" si="8"/>
        <v>45528</v>
      </c>
      <c r="AO15" s="105">
        <f>IF(AX14=1,AR15+AP15+AQ15,IF(AW14+AR15+AP15&gt;AO14,$D$29,IF(AW14=0,0,AW14+AR15+AP15+AP46)))</f>
        <v>14612</v>
      </c>
      <c r="AP15" s="105">
        <f>IF(AND(E15&gt;=$T$14,E15&lt;=$T$14+5),0,IF($C$9&gt;$AC$52,ROUND(AW14*$D$19*((AN15-DATE(YEAR(AN15),MONTH(AN15),1)+1)/(DATE(YEAR(AN15)+1,1,1)-DATE(YEAR(AN15),1,1))+(EOMONTH(AN14,0)-AN14)/(DATE(YEAR(AN14)+1,1,1)-DATE(YEAR(AN14),1,1))),2),0))</f>
        <v>11841.97</v>
      </c>
      <c r="AQ15" s="105">
        <f t="shared" si="9"/>
        <v>2770.0300000000007</v>
      </c>
      <c r="AR15" s="105">
        <f>IF(AT15&gt;$D$29,$D$29-AP15,IF(AY15=0,0,AV15)+BN64)</f>
        <v>0</v>
      </c>
      <c r="AS15" s="105">
        <f t="shared" si="15"/>
        <v>0</v>
      </c>
      <c r="AT15" s="105">
        <f t="shared" si="16"/>
        <v>11841.97</v>
      </c>
      <c r="AU15" s="105">
        <f t="shared" si="17"/>
        <v>0</v>
      </c>
      <c r="AV15" s="105">
        <f t="shared" si="18"/>
        <v>0</v>
      </c>
      <c r="AW15" s="105">
        <f t="shared" si="10"/>
        <v>558722.31000000006</v>
      </c>
      <c r="AX15" s="108">
        <f t="shared" si="24"/>
        <v>78</v>
      </c>
      <c r="AY15" s="108">
        <f>IF(ISERR(CEILING(FLOOR(NPER($D$19/12,-$AC$56,AW14),0.1),1))=TRUE,0,CEILING(FLOOR(NPER($D$19/12,-$AC$56,AW14),0.1),1))</f>
        <v>78</v>
      </c>
      <c r="AZ15" s="1047">
        <f t="shared" si="3"/>
        <v>45528</v>
      </c>
      <c r="BA15" s="108">
        <f t="shared" si="3"/>
        <v>14612</v>
      </c>
      <c r="BC15" s="118">
        <f t="shared" si="4"/>
        <v>573334.31000000006</v>
      </c>
      <c r="BM15" s="620"/>
      <c r="BN15" s="620"/>
      <c r="BO15" s="620"/>
    </row>
    <row r="16" spans="1:67" ht="16.5" customHeight="1" thickBot="1" x14ac:dyDescent="0.25">
      <c r="A16" s="1066"/>
      <c r="B16" s="1066"/>
      <c r="C16" s="1066"/>
      <c r="D16" s="1066"/>
      <c r="E16" s="1055">
        <f t="shared" si="20"/>
        <v>8</v>
      </c>
      <c r="F16" s="1056">
        <f t="shared" si="5"/>
        <v>45559</v>
      </c>
      <c r="G16" s="24">
        <f>IF(AND(E16&gt;=$T$14,E16&lt;=$T$14+5),$T$15,IF(AND(Q15+L16+H16&gt;G15,G15&lt;&gt;0),$C$29,IF(Q15=0,0,Q15+L16+H16+H17)))+IF(AND(E16=$C$10,$C$22&lt;&gt;"Нет"),MIN((I16-I16/$C$19*$C$23),Q15+H16-G15),0)</f>
        <v>14612</v>
      </c>
      <c r="H16" s="24">
        <f>IF(AND(E16&gt;=$T$14,E16&lt;=$T$14+5),0,IF($C$9&gt;$AC$52,ROUND(Q15*$C$19*((F16-DATE(YEAR(F16),MONTH(F16),1)+1)/(DATE(YEAR(F16)+1,1,1)-DATE(YEAR(F16),1,1))+(EOMONTH(F15,0)-F15)/(DATE(YEAR(F15)+1,1,1)-DATE(YEAR(F15),1,1))),2),0))</f>
        <v>13207.23</v>
      </c>
      <c r="I16" s="24">
        <f t="shared" si="19"/>
        <v>104998.90999999999</v>
      </c>
      <c r="J16" s="24">
        <f>IF(E16=$C$10,MIN((I16-I16/$C$19*$C$23),Q15+H16-G15),0)</f>
        <v>0</v>
      </c>
      <c r="K16" s="24">
        <f t="shared" si="6"/>
        <v>1404.7700000000004</v>
      </c>
      <c r="L16" s="24">
        <f>IF(N16&gt;$C$29,$C$29-H16,IF(S16=0,0,O16))</f>
        <v>0</v>
      </c>
      <c r="M16" s="24">
        <f t="shared" si="21"/>
        <v>0</v>
      </c>
      <c r="N16" s="24">
        <f t="shared" si="11"/>
        <v>13207.23</v>
      </c>
      <c r="O16" s="24">
        <f t="shared" si="12"/>
        <v>0</v>
      </c>
      <c r="P16" s="24">
        <f t="shared" si="13"/>
        <v>0</v>
      </c>
      <c r="Q16" s="24">
        <f t="shared" si="7"/>
        <v>520101.91</v>
      </c>
      <c r="R16" s="36">
        <f t="shared" si="22"/>
        <v>77</v>
      </c>
      <c r="S16" s="36">
        <f>IF(ISERR(CEILING(FLOOR(NPER($C$19/12,-$AA$56,Q15),0.1),1))=TRUE,0,CEILING(FLOOR(NPER($C$19/12,-$AA$56,Q15),0.1),1))</f>
        <v>79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033"/>
      <c r="AD16" s="15"/>
      <c r="AE16" s="15"/>
      <c r="AF16" s="15"/>
      <c r="AG16" s="15"/>
      <c r="AH16" s="15"/>
      <c r="AI16" s="15"/>
      <c r="AL16" s="130">
        <f t="shared" si="14"/>
        <v>1</v>
      </c>
      <c r="AM16" s="1057">
        <f t="shared" si="23"/>
        <v>8</v>
      </c>
      <c r="AN16" s="1058">
        <f t="shared" si="8"/>
        <v>45559</v>
      </c>
      <c r="AO16" s="105">
        <f>IF(AX15=1,AR16+AP16+AQ16,IF(AW15+AR16+AP16&gt;AO15,$D$29,IF(AW15=0,0,AW15+AR16+AP16+AP48)))</f>
        <v>14612</v>
      </c>
      <c r="AP16" s="105">
        <f>IF(AND(E16&gt;=$T$14,E16&lt;=$T$14+5),0,IF($C$9&gt;$AC$52,ROUND(AW15*$D$19*((AN16-DATE(YEAR(AN16),MONTH(AN16),1)+1)/(DATE(YEAR(AN16)+1,1,1)-DATE(YEAR(AN16),1,1))+(EOMONTH(AN15,0)-AN15)/(DATE(YEAR(AN15)+1,1,1)-DATE(YEAR(AN15),1,1))),2),0))</f>
        <v>11783.55</v>
      </c>
      <c r="AQ16" s="105">
        <f t="shared" si="9"/>
        <v>2828.4500000000007</v>
      </c>
      <c r="AR16" s="105">
        <f>IF(AT16&gt;$D$29,$D$29-AP16,IF(AY16=0,0,AV16)+BN65)</f>
        <v>0</v>
      </c>
      <c r="AS16" s="105">
        <f t="shared" si="15"/>
        <v>0</v>
      </c>
      <c r="AT16" s="105">
        <f t="shared" si="16"/>
        <v>11783.55</v>
      </c>
      <c r="AU16" s="105">
        <f t="shared" si="17"/>
        <v>0</v>
      </c>
      <c r="AV16" s="105">
        <f t="shared" si="18"/>
        <v>0</v>
      </c>
      <c r="AW16" s="105">
        <f t="shared" si="10"/>
        <v>555893.8600000001</v>
      </c>
      <c r="AX16" s="108">
        <f t="shared" si="24"/>
        <v>77</v>
      </c>
      <c r="AY16" s="108">
        <f>IF(ISERR(CEILING(FLOOR(NPER($D$19/12,-$AC$56,AW15),0.1),1))=TRUE,0,CEILING(FLOOR(NPER($D$19/12,-$AC$56,AW15),0.1),1))</f>
        <v>77</v>
      </c>
      <c r="AZ16" s="1047">
        <f t="shared" si="3"/>
        <v>45559</v>
      </c>
      <c r="BA16" s="108">
        <f t="shared" si="3"/>
        <v>14612</v>
      </c>
      <c r="BC16" s="118">
        <f t="shared" si="4"/>
        <v>570505.8600000001</v>
      </c>
      <c r="BD16" s="575" t="s">
        <v>368</v>
      </c>
      <c r="BE16" s="571" t="s">
        <v>369</v>
      </c>
      <c r="BF16" s="576" t="s">
        <v>370</v>
      </c>
      <c r="BM16" s="1061" t="s">
        <v>432</v>
      </c>
      <c r="BN16" s="1062"/>
      <c r="BO16" s="1063"/>
    </row>
    <row r="17" spans="1:383" ht="16.5" customHeight="1" thickBot="1" x14ac:dyDescent="0.25">
      <c r="A17" s="851" t="s">
        <v>433</v>
      </c>
      <c r="B17" s="852"/>
      <c r="C17" s="630">
        <f>Оптимистичный!D11</f>
        <v>0.29899999999999999</v>
      </c>
      <c r="D17" s="630">
        <f>C17</f>
        <v>0.29899999999999999</v>
      </c>
      <c r="E17" s="1055">
        <f t="shared" si="20"/>
        <v>9</v>
      </c>
      <c r="F17" s="1056">
        <f t="shared" si="5"/>
        <v>45589</v>
      </c>
      <c r="G17" s="24">
        <f>IF(AND(E17&gt;=$T$14,E17&lt;=$T$14+5),$T$15,IF(AND(Q16+L17+H17&gt;G16,G16&lt;&gt;0),$C$29,IF(Q16=0,0,Q16+L17+H17+H18)))+IF(AND(E17=$C$10,$C$22&lt;&gt;"Нет"),MIN((I17-I17/$C$19*$C$23),Q16+H17-G16),0)</f>
        <v>14612</v>
      </c>
      <c r="H17" s="24">
        <f>IF(AND(E17&gt;=$T$14,E17&lt;=$T$14+5),0,IF($C$9&gt;$AC$52,ROUND(Q16*$C$19*((F17-DATE(YEAR(F17),MONTH(F17),1)+1)/(DATE(YEAR(F17)+1,1,1)-DATE(YEAR(F17),1,1))+(EOMONTH(F16,0)-F16)/(DATE(YEAR(F16)+1,1,1)-DATE(YEAR(F16),1,1))),2),0))</f>
        <v>12746.76</v>
      </c>
      <c r="I17" s="24">
        <f t="shared" si="19"/>
        <v>117745.66999999998</v>
      </c>
      <c r="J17" s="24">
        <f>IF(E17=$C$10,MIN((I17-I17/$C$19*$C$23),Q16+H17-G16),0)</f>
        <v>0</v>
      </c>
      <c r="K17" s="24">
        <f t="shared" si="6"/>
        <v>1865.2399999999998</v>
      </c>
      <c r="L17" s="24">
        <f>IF(N17&gt;$C$29,$C$29-H17,IF(S17=0,0,O17))</f>
        <v>0</v>
      </c>
      <c r="M17" s="24">
        <f t="shared" si="21"/>
        <v>0</v>
      </c>
      <c r="N17" s="24">
        <f t="shared" si="11"/>
        <v>12746.76</v>
      </c>
      <c r="O17" s="24">
        <f t="shared" si="12"/>
        <v>0</v>
      </c>
      <c r="P17" s="24">
        <f t="shared" si="13"/>
        <v>0</v>
      </c>
      <c r="Q17" s="24">
        <f t="shared" si="7"/>
        <v>518236.67</v>
      </c>
      <c r="R17" s="36">
        <f t="shared" si="22"/>
        <v>76</v>
      </c>
      <c r="S17" s="36">
        <f>IF(ISERR(CEILING(FLOOR(NPER($C$19/12,-$AA$56,Q16),0.1),1))=TRUE,0,CEILING(FLOOR(NPER($C$19/12,-$AA$56,Q16),0.1),1))</f>
        <v>78</v>
      </c>
      <c r="T17" s="64">
        <f>Z81/100</f>
        <v>5000</v>
      </c>
      <c r="U17" s="15"/>
      <c r="V17" s="15"/>
      <c r="W17" s="15"/>
      <c r="X17" s="15"/>
      <c r="Y17" s="15"/>
      <c r="Z17" s="15"/>
      <c r="AA17" s="15"/>
      <c r="AB17" s="15"/>
      <c r="AC17" s="1033"/>
      <c r="AD17" s="15"/>
      <c r="AE17" s="15"/>
      <c r="AF17" s="15"/>
      <c r="AG17" s="15"/>
      <c r="AH17" s="15"/>
      <c r="AI17" s="15"/>
      <c r="AL17" s="130">
        <f t="shared" si="14"/>
        <v>1</v>
      </c>
      <c r="AM17" s="1057">
        <f t="shared" si="23"/>
        <v>9</v>
      </c>
      <c r="AN17" s="1058">
        <f t="shared" si="8"/>
        <v>45589</v>
      </c>
      <c r="AO17" s="105">
        <f>IF(AX16=1,AR17+AP17+AQ17,IF(AW16+AR17+AP17&gt;AO16,$D$29,IF(AW16=0,0,AW16+AR17+AP17+AP49)))</f>
        <v>14612</v>
      </c>
      <c r="AP17" s="105">
        <f>IF(AND(E17&gt;=$T$14,E17&lt;=$T$14+5),0,IF($C$9&gt;$AC$52,ROUND(AW16*$D$19*((AN17-DATE(YEAR(AN17),MONTH(AN17),1)+1)/(DATE(YEAR(AN17)+1,1,1)-DATE(YEAR(AN17),1,1))+(EOMONTH(AN16,0)-AN16)/(DATE(YEAR(AN16)+1,1,1)-DATE(YEAR(AN16),1,1))),2),0))</f>
        <v>11345.7</v>
      </c>
      <c r="AQ17" s="105">
        <f t="shared" si="9"/>
        <v>3266.2999999999993</v>
      </c>
      <c r="AR17" s="105">
        <f>IF(AT17&gt;$D$29,$D$29-AP17,IF(AY17=0,0,AV17)+BN66)</f>
        <v>0</v>
      </c>
      <c r="AS17" s="105">
        <f t="shared" si="15"/>
        <v>0</v>
      </c>
      <c r="AT17" s="105">
        <f t="shared" si="16"/>
        <v>11345.7</v>
      </c>
      <c r="AU17" s="105">
        <f t="shared" si="17"/>
        <v>0</v>
      </c>
      <c r="AV17" s="105">
        <f t="shared" si="18"/>
        <v>0</v>
      </c>
      <c r="AW17" s="105">
        <f t="shared" si="10"/>
        <v>552627.56000000006</v>
      </c>
      <c r="AX17" s="108">
        <f t="shared" si="24"/>
        <v>76</v>
      </c>
      <c r="AY17" s="108">
        <f>IF(ISERR(CEILING(FLOOR(NPER($D$19/12,-$AC$56,AW16),0.1),1))=TRUE,0,CEILING(FLOOR(NPER($D$19/12,-$AC$56,AW16),0.1),1))</f>
        <v>76</v>
      </c>
      <c r="AZ17" s="1047">
        <f t="shared" si="3"/>
        <v>45589</v>
      </c>
      <c r="BA17" s="108">
        <f t="shared" si="3"/>
        <v>14612</v>
      </c>
      <c r="BC17" s="118">
        <f t="shared" si="4"/>
        <v>567239.56000000006</v>
      </c>
      <c r="BD17" s="583" t="s">
        <v>434</v>
      </c>
      <c r="BE17" s="572" t="s">
        <v>371</v>
      </c>
      <c r="BF17" s="573">
        <v>1.2E-2</v>
      </c>
      <c r="BM17" s="1044" t="s">
        <v>418</v>
      </c>
      <c r="BN17" s="1045" t="s">
        <v>419</v>
      </c>
      <c r="BO17" s="1045" t="s">
        <v>435</v>
      </c>
    </row>
    <row r="18" spans="1:383" ht="16.5" customHeight="1" thickBot="1" x14ac:dyDescent="0.25">
      <c r="A18" s="853" t="s">
        <v>436</v>
      </c>
      <c r="B18" s="854"/>
      <c r="C18" s="632" t="s">
        <v>33</v>
      </c>
      <c r="D18" s="632" t="str">
        <f>C18</f>
        <v>Базовый</v>
      </c>
      <c r="E18" s="1055">
        <f t="shared" si="20"/>
        <v>10</v>
      </c>
      <c r="F18" s="1056">
        <f t="shared" si="5"/>
        <v>45620</v>
      </c>
      <c r="G18" s="24">
        <f>IF(AND(E18&gt;=$T$14,E18&lt;=$T$14+5),$T$15,IF(AND(Q17+L18+H18&gt;G17,G17&lt;&gt;0),$C$29,IF(Q17=0,0,Q17+L18+H18+H19)))+IF(AND(E18=$C$10,$C$22&lt;&gt;"Нет"),MIN((I18-I18/$C$19*$C$23),Q17+H18-G17),0)</f>
        <v>14612</v>
      </c>
      <c r="H18" s="24">
        <f>IF(AND(E18&gt;=$T$14,E18&lt;=$T$14+5),0,IF($C$9&gt;$AC$52,ROUND(Q17*$C$19*((F18-DATE(YEAR(F18),MONTH(F18),1)+1)/(DATE(YEAR(F18)+1,1,1)-DATE(YEAR(F18),1,1))+(EOMONTH(F17,0)-F17)/(DATE(YEAR(F17)+1,1,1)-DATE(YEAR(F17),1,1))),2),0))</f>
        <v>13124.41</v>
      </c>
      <c r="I18" s="24">
        <f t="shared" si="19"/>
        <v>130870.07999999999</v>
      </c>
      <c r="J18" s="24">
        <f>IF(E18=$C$10,MIN((I18-I18/$C$19*$C$23),Q17+H18-G17),0)</f>
        <v>0</v>
      </c>
      <c r="K18" s="24">
        <f t="shared" si="6"/>
        <v>1487.5900000000001</v>
      </c>
      <c r="L18" s="24">
        <f>IF(N18&gt;$C$29,$C$29-H18,IF(S18=0,0,O18))</f>
        <v>0</v>
      </c>
      <c r="M18" s="24">
        <f t="shared" si="21"/>
        <v>0</v>
      </c>
      <c r="N18" s="24">
        <f t="shared" si="11"/>
        <v>13124.41</v>
      </c>
      <c r="O18" s="24">
        <f t="shared" si="12"/>
        <v>0</v>
      </c>
      <c r="P18" s="24">
        <f t="shared" si="13"/>
        <v>0</v>
      </c>
      <c r="Q18" s="24">
        <f t="shared" si="7"/>
        <v>516749.07999999996</v>
      </c>
      <c r="R18" s="36">
        <f t="shared" si="22"/>
        <v>75</v>
      </c>
      <c r="S18" s="36">
        <f>IF(ISERR(CEILING(FLOOR(NPER($C$19/12,-$AA$56,Q17),0.1),1))=TRUE,0,CEILING(FLOOR(NPER($C$19/12,-$AA$56,Q17),0.1),1))</f>
        <v>77</v>
      </c>
      <c r="T18" s="15"/>
      <c r="U18" s="15"/>
      <c r="V18" s="15"/>
      <c r="W18" s="15"/>
      <c r="X18" s="15"/>
      <c r="Y18" s="15"/>
      <c r="Z18" s="15"/>
      <c r="AA18" s="15"/>
      <c r="AB18" s="15"/>
      <c r="AC18" s="1033"/>
      <c r="AD18" s="15"/>
      <c r="AE18" s="15"/>
      <c r="AF18" s="15"/>
      <c r="AG18" s="15"/>
      <c r="AH18" s="15"/>
      <c r="AI18" s="15"/>
      <c r="AL18" s="130">
        <f t="shared" si="14"/>
        <v>1</v>
      </c>
      <c r="AM18" s="1057">
        <f t="shared" si="23"/>
        <v>10</v>
      </c>
      <c r="AN18" s="1058">
        <f t="shared" si="8"/>
        <v>45620</v>
      </c>
      <c r="AO18" s="105">
        <f>IF(AX17=1,AR18+AP18+AQ18,IF(AW17+AR18+AP18&gt;AO17,$D$29,IF(AW17=0,0,AW17+AR18+AP18+AP50)))</f>
        <v>14612</v>
      </c>
      <c r="AP18" s="105">
        <f>IF(AND(E18&gt;=$T$14,E18&lt;=$T$14+5),0,IF($C$9&gt;$AC$52,ROUND(AW17*$D$19*((AN18-DATE(YEAR(AN18),MONTH(AN18),1)+1)/(DATE(YEAR(AN18)+1,1,1)-DATE(YEAR(AN18),1,1))+(EOMONTH(AN17,0)-AN17)/(DATE(YEAR(AN17)+1,1,1)-DATE(YEAR(AN17),1,1))),2),0))</f>
        <v>11655.01</v>
      </c>
      <c r="AQ18" s="105">
        <f t="shared" si="9"/>
        <v>2956.99</v>
      </c>
      <c r="AR18" s="105">
        <f>IF(AT18&gt;$D$29,$D$29-AP18,IF(AY18=0,0,AV18)+BN67)</f>
        <v>0</v>
      </c>
      <c r="AS18" s="105">
        <f t="shared" si="15"/>
        <v>0</v>
      </c>
      <c r="AT18" s="105">
        <f t="shared" si="16"/>
        <v>11655.01</v>
      </c>
      <c r="AU18" s="105">
        <f t="shared" si="17"/>
        <v>0</v>
      </c>
      <c r="AV18" s="105">
        <f t="shared" si="18"/>
        <v>0</v>
      </c>
      <c r="AW18" s="105">
        <f t="shared" si="10"/>
        <v>549670.57000000007</v>
      </c>
      <c r="AX18" s="108">
        <f t="shared" si="24"/>
        <v>75</v>
      </c>
      <c r="AY18" s="108">
        <f>IF(ISERR(CEILING(FLOOR(NPER($D$19/12,-$AC$56,AW17),0.1),1))=TRUE,0,CEILING(FLOOR(NPER($D$19/12,-$AC$56,AW17),0.1),1))</f>
        <v>75</v>
      </c>
      <c r="AZ18" s="1047">
        <f t="shared" si="3"/>
        <v>45620</v>
      </c>
      <c r="BA18" s="108">
        <f t="shared" si="3"/>
        <v>14612</v>
      </c>
      <c r="BC18" s="118">
        <f t="shared" si="4"/>
        <v>564282.57000000007</v>
      </c>
      <c r="BD18" s="574" t="s">
        <v>114</v>
      </c>
      <c r="BE18" s="572" t="s">
        <v>372</v>
      </c>
      <c r="BF18" s="573">
        <v>1.2E-2</v>
      </c>
      <c r="BM18" s="1053" t="s">
        <v>360</v>
      </c>
      <c r="BN18" s="1054" t="s">
        <v>423</v>
      </c>
      <c r="BO18" s="1054" t="s">
        <v>429</v>
      </c>
    </row>
    <row r="19" spans="1:383" ht="12.75" customHeight="1" thickBot="1" x14ac:dyDescent="0.25">
      <c r="A19" s="855" t="s">
        <v>437</v>
      </c>
      <c r="B19" s="856"/>
      <c r="C19" s="630">
        <f>IF(C8&lt;&gt;"Нет",C17-6%,C17)</f>
        <v>0.29899999999999999</v>
      </c>
      <c r="D19" s="630">
        <f>D17-5%</f>
        <v>0.249</v>
      </c>
      <c r="E19" s="1055">
        <f>E18+1</f>
        <v>11</v>
      </c>
      <c r="F19" s="1056">
        <f t="shared" si="5"/>
        <v>45650</v>
      </c>
      <c r="G19" s="24">
        <f>IF(AND(E19&gt;=$T$14,E19&lt;=$T$14+5),$T$15,IF(AND(Q18+L19+H19&gt;G18,G18&lt;&gt;0),$C$29,IF(Q18=0,0,Q18+L19+H19+H20)))+IF(AND(E19=$C$10,$C$22&lt;&gt;"Нет"),MIN((I19-I19/$C$19*$C$23),Q18+H19-G18),0)</f>
        <v>14612</v>
      </c>
      <c r="H19" s="24">
        <f>IF(AND(E19&gt;=$T$14,E19&lt;=$T$14+5),0,IF($C$9&gt;$AC$52,ROUND(Q18*$C$19*((F19-DATE(YEAR(F19),MONTH(F19),1)+1)/(DATE(YEAR(F19)+1,1,1)-DATE(YEAR(F19),1,1))+(EOMONTH(F18,0)-F18)/(DATE(YEAR(F18)+1,1,1)-DATE(YEAR(F18),1,1))),2),0))</f>
        <v>12664.59</v>
      </c>
      <c r="I19" s="24">
        <f t="shared" si="19"/>
        <v>143534.66999999998</v>
      </c>
      <c r="J19" s="24">
        <f>IF(E19=$C$10,MIN((I19-I19/$C$19*$C$23),Q18+H19-G18),0)</f>
        <v>0</v>
      </c>
      <c r="K19" s="24">
        <f t="shared" si="6"/>
        <v>1947.4099999999999</v>
      </c>
      <c r="L19" s="24">
        <f>IF(N19&gt;$C$29,$C$29-H19,IF(S19=0,0,O19))</f>
        <v>0</v>
      </c>
      <c r="M19" s="24">
        <f>O18-L18</f>
        <v>0</v>
      </c>
      <c r="N19" s="24">
        <f t="shared" si="11"/>
        <v>12664.59</v>
      </c>
      <c r="O19" s="24">
        <f t="shared" si="12"/>
        <v>0</v>
      </c>
      <c r="P19" s="24">
        <f t="shared" si="13"/>
        <v>0</v>
      </c>
      <c r="Q19" s="24">
        <f t="shared" si="7"/>
        <v>514801.67</v>
      </c>
      <c r="R19" s="36">
        <f>IF((R18-1)&lt;0,0,R18-1)</f>
        <v>74</v>
      </c>
      <c r="S19" s="36">
        <f>IF(ISERR(CEILING(FLOOR(NPER($C$19/12,-$AA$56,Q18),0.1),1))=TRUE,0,CEILING(FLOOR(NPER($C$19/12,-$AA$56,Q18),0.1),1))</f>
        <v>76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033"/>
      <c r="AD19" s="15"/>
      <c r="AE19" s="15"/>
      <c r="AF19" s="15"/>
      <c r="AG19" s="15"/>
      <c r="AH19" s="15"/>
      <c r="AI19" s="15"/>
      <c r="AL19" s="130">
        <f t="shared" si="14"/>
        <v>1</v>
      </c>
      <c r="AM19" s="1057">
        <f>AM18+1</f>
        <v>11</v>
      </c>
      <c r="AN19" s="1058">
        <f t="shared" si="8"/>
        <v>45650</v>
      </c>
      <c r="AO19" s="105">
        <f>IF(AX18=1,AR19+AP19+AQ19,IF(AW18+AR19+AP19&gt;AO18,$D$29,IF(AW18=0,0,AW18+AR19+AP19+AP51)))</f>
        <v>14612</v>
      </c>
      <c r="AP19" s="105">
        <f>IF(AND(E19&gt;=$T$14,E19&lt;=$T$14+5),0,IF($C$9&gt;$AC$52,ROUND(AW18*$D$19*((AN19-DATE(YEAR(AN19),MONTH(AN19),1)+1)/(DATE(YEAR(AN19)+1,1,1)-DATE(YEAR(AN19),1,1))+(EOMONTH(AN18,0)-AN18)/(DATE(YEAR(AN18)+1,1,1)-DATE(YEAR(AN18),1,1))),2),0))</f>
        <v>11218.69</v>
      </c>
      <c r="AQ19" s="105">
        <f t="shared" si="9"/>
        <v>3393.3099999999995</v>
      </c>
      <c r="AR19" s="105">
        <f>IF(AT19&gt;$D$29,$D$29-AP19,IF(AY19=0,0,AV19)+BN68)</f>
        <v>0</v>
      </c>
      <c r="AS19" s="105">
        <f t="shared" si="15"/>
        <v>0</v>
      </c>
      <c r="AT19" s="105">
        <f t="shared" si="16"/>
        <v>11218.69</v>
      </c>
      <c r="AU19" s="105">
        <f t="shared" si="17"/>
        <v>0</v>
      </c>
      <c r="AV19" s="105">
        <f t="shared" si="18"/>
        <v>0</v>
      </c>
      <c r="AW19" s="105">
        <f t="shared" si="10"/>
        <v>546277.26</v>
      </c>
      <c r="AX19" s="108">
        <f t="shared" si="24"/>
        <v>74</v>
      </c>
      <c r="AY19" s="108">
        <f>IF(ISERR(CEILING(FLOOR(NPER($D$19/12,-$AC$56,AW18),0.1),1))=TRUE,0,CEILING(FLOOR(NPER($D$19/12,-$AC$56,AW18),0.1),1))</f>
        <v>74</v>
      </c>
      <c r="AZ19" s="1047">
        <f t="shared" si="3"/>
        <v>45650</v>
      </c>
      <c r="BA19" s="108">
        <f t="shared" si="3"/>
        <v>14612</v>
      </c>
      <c r="BC19" s="118">
        <f t="shared" si="4"/>
        <v>560889.26</v>
      </c>
      <c r="BD19" s="574" t="s">
        <v>360</v>
      </c>
      <c r="BE19" s="572" t="s">
        <v>372</v>
      </c>
      <c r="BF19" s="573">
        <v>1.14E-2</v>
      </c>
      <c r="BM19" s="1053" t="s">
        <v>424</v>
      </c>
      <c r="BN19" s="1059" t="s">
        <v>426</v>
      </c>
      <c r="BO19" s="1059" t="s">
        <v>431</v>
      </c>
    </row>
    <row r="20" spans="1:383" ht="21.75" customHeight="1" thickBot="1" x14ac:dyDescent="0.25">
      <c r="A20" s="857" t="s">
        <v>421</v>
      </c>
      <c r="B20" s="858"/>
      <c r="C20" s="630" t="str">
        <f>C8</f>
        <v>нет</v>
      </c>
      <c r="D20" s="630" t="str">
        <f>D8</f>
        <v>ОПТИ_ПакетБВ_48</v>
      </c>
      <c r="E20" s="1055">
        <f>E19+1</f>
        <v>12</v>
      </c>
      <c r="F20" s="1056">
        <f t="shared" si="5"/>
        <v>45681</v>
      </c>
      <c r="G20" s="24">
        <f>IF(AND(E20&gt;=$T$14,E20&lt;=$T$14+5),$T$15,IF(AND(Q19+L20+H20&gt;G19,G19&lt;&gt;0),$C$29,IF(Q19=0,0,Q19+L20+H20+H21)))+IF(AND(E20=$C$10,$C$22&lt;&gt;"Нет"),MIN((I20-I20/$C$19*$C$23),Q19+H20-G19),0)</f>
        <v>14612</v>
      </c>
      <c r="H20" s="24">
        <f>IF(AND(E20&gt;=$T$14,E20&lt;=$T$14+5),0,IF($C$9&gt;$AC$52,ROUND(Q19*$C$19*((F20-DATE(YEAR(F20),MONTH(F20),1)+1)/(DATE(YEAR(F20)+1,1,1)-DATE(YEAR(F20),1,1))+(EOMONTH(F19,0)-F19)/(DATE(YEAR(F19)+1,1,1)-DATE(YEAR(F19),1,1))),2),0))</f>
        <v>13065.08</v>
      </c>
      <c r="I20" s="24">
        <f t="shared" si="19"/>
        <v>156599.74999999997</v>
      </c>
      <c r="J20" s="24">
        <f>IF(E20=$C$10,MIN((I20-I20/$C$19*$C$23),Q19+H20-G19),0)</f>
        <v>0</v>
      </c>
      <c r="K20" s="24">
        <f t="shared" si="6"/>
        <v>1546.92</v>
      </c>
      <c r="L20" s="24">
        <f>IF(N20&gt;$C$29,$C$29-H20,IF(S20=0,0,O20))</f>
        <v>0</v>
      </c>
      <c r="M20" s="24">
        <f>O19-L19</f>
        <v>0</v>
      </c>
      <c r="N20" s="24">
        <f t="shared" si="11"/>
        <v>13065.08</v>
      </c>
      <c r="O20" s="24">
        <f t="shared" si="12"/>
        <v>0</v>
      </c>
      <c r="P20" s="24">
        <f t="shared" si="13"/>
        <v>0</v>
      </c>
      <c r="Q20" s="24">
        <f t="shared" si="7"/>
        <v>513254.75</v>
      </c>
      <c r="R20" s="36">
        <f>IF((R19-1)&lt;0,0,R19-1)</f>
        <v>73</v>
      </c>
      <c r="S20" s="36">
        <f>IF(ISERR(CEILING(FLOOR(NPER($C$19/12,-$AA$56,Q19),0.1),1))=TRUE,0,CEILING(FLOOR(NPER($C$19/12,-$AA$56,Q19),0.1),1))</f>
        <v>76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067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14"/>
        <v>1</v>
      </c>
      <c r="AM20" s="1064">
        <f>AM19+1</f>
        <v>12</v>
      </c>
      <c r="AN20" s="1065">
        <f t="shared" si="8"/>
        <v>45681</v>
      </c>
      <c r="AO20" s="105">
        <f>IF(AX19=1,AR20+AP20+AQ20,IF(AW19+AR20+AP20&gt;AO19,$D$29,IF(AW19=0,0,AW19+AR20+AP20+AP52)))</f>
        <v>14612</v>
      </c>
      <c r="AP20" s="105">
        <f>IF(AND(E20&gt;=$T$14,E20&lt;=$T$14+5),0,IF($C$9&gt;$AC$52,ROUND(AW19*$D$19*((AN20-DATE(YEAR(AN20),MONTH(AN20),1)+1)/(DATE(YEAR(AN20)+1,1,1)-DATE(YEAR(AN20),1,1))+(EOMONTH(AN19,0)-AN19)/(DATE(YEAR(AN19)+1,1,1)-DATE(YEAR(AN19),1,1))),2),0))</f>
        <v>11545.51</v>
      </c>
      <c r="AQ20" s="105">
        <f t="shared" si="9"/>
        <v>3066.49</v>
      </c>
      <c r="AR20" s="105">
        <f>IF(AT20&gt;$D$29,$D$29-AP20,IF(AY20=0,0,AV20)+BN69)</f>
        <v>0</v>
      </c>
      <c r="AS20" s="105">
        <f t="shared" si="15"/>
        <v>0</v>
      </c>
      <c r="AT20" s="105">
        <f t="shared" si="16"/>
        <v>11545.51</v>
      </c>
      <c r="AU20" s="105">
        <f t="shared" si="17"/>
        <v>0</v>
      </c>
      <c r="AV20" s="105">
        <f t="shared" si="18"/>
        <v>0</v>
      </c>
      <c r="AW20" s="105">
        <f t="shared" si="10"/>
        <v>543210.77</v>
      </c>
      <c r="AX20" s="108">
        <f t="shared" si="24"/>
        <v>73</v>
      </c>
      <c r="AY20" s="108">
        <f>IF(ISERR(CEILING(FLOOR(NPER($D$19/12,-$AC$56,AW19),0.1),1))=TRUE,0,CEILING(FLOOR(NPER($D$19/12,-$AC$56,AW19),0.1),1))</f>
        <v>73</v>
      </c>
      <c r="AZ20" s="1047">
        <f t="shared" si="3"/>
        <v>45681</v>
      </c>
      <c r="BA20" s="108">
        <f t="shared" si="3"/>
        <v>14612</v>
      </c>
      <c r="BC20" s="118">
        <f t="shared" si="4"/>
        <v>557822.77</v>
      </c>
      <c r="BF20" s="62"/>
      <c r="BM20" s="620"/>
      <c r="BN20" s="620"/>
      <c r="BO20" s="620"/>
    </row>
    <row r="21" spans="1:383" ht="16.5" customHeight="1" thickBot="1" x14ac:dyDescent="0.25">
      <c r="A21" s="855"/>
      <c r="B21" s="859"/>
      <c r="C21" s="633"/>
      <c r="D21" s="633"/>
      <c r="E21" s="1055">
        <f t="shared" si="20"/>
        <v>13</v>
      </c>
      <c r="F21" s="1056">
        <f t="shared" si="5"/>
        <v>45712</v>
      </c>
      <c r="G21" s="24">
        <f>IF(AND(E21&gt;=$T$14,E21&lt;=$T$14+5),$T$15,IF(AND(Q20+L21+H21&gt;G20,G20&lt;&gt;0),$C$29,IF(Q20=0,0,Q20+L21+H21+H22)))+IF(AND(E21=$C$10,$C$22&lt;&gt;"Нет"),MIN((I21-I21/$C$19*$C$23),Q20+H21-G20),0)</f>
        <v>14612</v>
      </c>
      <c r="H21" s="24">
        <f>IF(AND(E21&gt;=$T$14,E21&lt;=$T$14+5),0,IF($C$9&gt;$AC$52,ROUND(Q20*$C$19*((F21-DATE(YEAR(F21),MONTH(F21),1)+1)/(DATE(YEAR(F21)+1,1,1)-DATE(YEAR(F21),1,1))+(EOMONTH(F20,0)-F20)/(DATE(YEAR(F20)+1,1,1)-DATE(YEAR(F20),1,1))),2),0))</f>
        <v>13033.86</v>
      </c>
      <c r="I21" s="24">
        <f t="shared" si="19"/>
        <v>169633.61</v>
      </c>
      <c r="J21" s="24">
        <f>IF(E21=$C$10,MIN((I21-I21/$C$19*$C$23),Q20+H21-G20),0)</f>
        <v>0</v>
      </c>
      <c r="K21" s="24">
        <f t="shared" si="6"/>
        <v>1578.1399999999994</v>
      </c>
      <c r="L21" s="24">
        <f>IF(N21&gt;$C$29,$C$29-H21,IF(S21=0,0,O21))</f>
        <v>0</v>
      </c>
      <c r="M21" s="24">
        <f t="shared" si="21"/>
        <v>0</v>
      </c>
      <c r="N21" s="24">
        <f t="shared" si="11"/>
        <v>13033.86</v>
      </c>
      <c r="O21" s="24">
        <f t="shared" si="12"/>
        <v>0</v>
      </c>
      <c r="P21" s="24">
        <f t="shared" si="13"/>
        <v>0</v>
      </c>
      <c r="Q21" s="24">
        <f t="shared" si="7"/>
        <v>511676.61</v>
      </c>
      <c r="R21" s="36">
        <f t="shared" si="22"/>
        <v>72</v>
      </c>
      <c r="S21" s="36">
        <f>IF(ISERR(CEILING(FLOOR(NPER($C$19/12,-$AA$56,Q20),0.1),1))=TRUE,0,CEILING(FLOOR(NPER($C$19/12,-$AA$56,Q20),0.1),1))</f>
        <v>75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14"/>
        <v>1</v>
      </c>
      <c r="AM21" s="1057">
        <f t="shared" si="23"/>
        <v>13</v>
      </c>
      <c r="AN21" s="1058">
        <f t="shared" si="8"/>
        <v>45712</v>
      </c>
      <c r="AO21" s="105">
        <f>IF(AX20=1,AR21+AP21+AQ21,IF(AW20+AR21+AP21&gt;AO20,$D$29,IF(AW20=0,0,AW20+AR21+AP21+AP53)))</f>
        <v>14612</v>
      </c>
      <c r="AP21" s="105">
        <f>IF(AND(E21&gt;=$T$14,E21&lt;=$T$14+5),0,IF($C$9&gt;$AC$52,ROUND(AW20*$D$19*((AN21-DATE(YEAR(AN21),MONTH(AN21),1)+1)/(DATE(YEAR(AN21)+1,1,1)-DATE(YEAR(AN21),1,1))+(EOMONTH(AN20,0)-AN20)/(DATE(YEAR(AN20)+1,1,1)-DATE(YEAR(AN20),1,1))),2),0))</f>
        <v>11487.79</v>
      </c>
      <c r="AQ21" s="105">
        <f t="shared" si="9"/>
        <v>3124.2099999999991</v>
      </c>
      <c r="AR21" s="105">
        <f>IF(AT21&gt;$D$29,$D$29-AP21,IF(AY21=0,0,AV21)+BN70)</f>
        <v>0</v>
      </c>
      <c r="AS21" s="105">
        <f t="shared" si="15"/>
        <v>0</v>
      </c>
      <c r="AT21" s="105">
        <f t="shared" si="16"/>
        <v>11487.79</v>
      </c>
      <c r="AU21" s="105">
        <f t="shared" si="17"/>
        <v>0</v>
      </c>
      <c r="AV21" s="105">
        <f t="shared" si="18"/>
        <v>0</v>
      </c>
      <c r="AW21" s="105">
        <f t="shared" si="10"/>
        <v>540086.56000000006</v>
      </c>
      <c r="AX21" s="108">
        <f t="shared" si="24"/>
        <v>72</v>
      </c>
      <c r="AY21" s="108">
        <f>IF(ISERR(CEILING(FLOOR(NPER($D$19/12,-$AC$56,AW20),0.1),1))=TRUE,0,CEILING(FLOOR(NPER($D$19/12,-$AC$56,AW20),0.1),1))</f>
        <v>72</v>
      </c>
      <c r="AZ21" s="1047">
        <f t="shared" si="3"/>
        <v>45712</v>
      </c>
      <c r="BA21" s="108">
        <f t="shared" si="3"/>
        <v>14612</v>
      </c>
      <c r="BD21" s="2" t="s">
        <v>377</v>
      </c>
      <c r="BK21" s="116"/>
      <c r="BM21" s="1061" t="s">
        <v>439</v>
      </c>
      <c r="BN21" s="1062"/>
      <c r="BO21" s="1063"/>
    </row>
    <row r="22" spans="1:383" ht="16.5" customHeight="1" thickBot="1" x14ac:dyDescent="0.25">
      <c r="A22" s="847" t="s">
        <v>76</v>
      </c>
      <c r="B22" s="634" t="s">
        <v>102</v>
      </c>
      <c r="C22" s="619" t="str">
        <f>Оптимистичный!C16</f>
        <v>Да</v>
      </c>
      <c r="D22" s="1068" t="s">
        <v>35</v>
      </c>
      <c r="E22" s="1055">
        <f t="shared" si="20"/>
        <v>14</v>
      </c>
      <c r="F22" s="1056">
        <f t="shared" si="5"/>
        <v>45740</v>
      </c>
      <c r="G22" s="24">
        <f>IF(AND(E22&gt;=$T$14,E22&lt;=$T$14+5),$T$15,IF(AND(Q21+L22+H22&gt;G21,G21&lt;&gt;0),$C$29,IF(Q21=0,0,Q21+L22+H22+H23)))+IF(AND(E22=$C$10,$C$22&lt;&gt;"Нет"),MIN((I22-I22/$C$19*$C$23),Q21+H22-G21),0)</f>
        <v>14612</v>
      </c>
      <c r="H22" s="24">
        <f>IF(AND(E22&gt;=$T$14,E22&lt;=$T$14+5),0,IF($C$9&gt;$AC$52,ROUND(Q21*$C$19*((F22-DATE(YEAR(F22),MONTH(F22),1)+1)/(DATE(YEAR(F22)+1,1,1)-DATE(YEAR(F22),1,1))+(EOMONTH(F21,0)-F21)/(DATE(YEAR(F21)+1,1,1)-DATE(YEAR(F21),1,1))),2),0))</f>
        <v>11736.32</v>
      </c>
      <c r="I22" s="24">
        <f t="shared" si="19"/>
        <v>181369.93</v>
      </c>
      <c r="J22" s="24">
        <f>IF(E22=$C$10,MIN((I22-I22/$C$19*$C$23),Q21+H22-G21),0)</f>
        <v>0</v>
      </c>
      <c r="K22" s="24">
        <f t="shared" si="6"/>
        <v>2875.6800000000003</v>
      </c>
      <c r="L22" s="24">
        <f>IF(N22&gt;$C$29,$C$29-H22,IF(S22=0,0,O22))</f>
        <v>0</v>
      </c>
      <c r="M22" s="24">
        <f t="shared" si="21"/>
        <v>0</v>
      </c>
      <c r="N22" s="24">
        <f t="shared" si="11"/>
        <v>11736.32</v>
      </c>
      <c r="O22" s="24">
        <f t="shared" si="12"/>
        <v>0</v>
      </c>
      <c r="P22" s="24">
        <f t="shared" si="13"/>
        <v>0</v>
      </c>
      <c r="Q22" s="24">
        <f t="shared" si="7"/>
        <v>508800.93</v>
      </c>
      <c r="R22" s="36">
        <f t="shared" si="22"/>
        <v>71</v>
      </c>
      <c r="S22" s="36">
        <f>IF(ISERR(CEILING(FLOOR(NPER($C$19/12,-$AA$56,Q21),0.1),1))=TRUE,0,CEILING(FLOOR(NPER($C$19/12,-$AA$56,Q21),0.1),1))</f>
        <v>74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6.9000000000000006E-2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1033"/>
      <c r="Z22" s="1033"/>
      <c r="AA22" s="1033"/>
      <c r="AB22" s="1033"/>
      <c r="AC22" s="1033"/>
      <c r="AD22" s="1033"/>
      <c r="AE22" s="1033"/>
      <c r="AF22" s="1033"/>
      <c r="AG22" s="1033"/>
      <c r="AH22" s="1033"/>
      <c r="AI22" s="1033"/>
      <c r="AL22" s="130">
        <f t="shared" si="14"/>
        <v>1</v>
      </c>
      <c r="AM22" s="1057">
        <f t="shared" si="23"/>
        <v>14</v>
      </c>
      <c r="AN22" s="1058">
        <f t="shared" si="8"/>
        <v>45740</v>
      </c>
      <c r="AO22" s="105">
        <f>IF(AX21=1,AR22+AP22+AQ22,IF(AW21+AR22+AP22&gt;AO21,$D$29,IF(AW21=0,0,AW21+AR22+AP22+AP54)))</f>
        <v>14612</v>
      </c>
      <c r="AP22" s="105">
        <f>IF(AND(E22&gt;=$T$14,E22&lt;=$T$14+5),0,IF($C$9&gt;$AC$52,ROUND(AW21*$D$19*((AN22-DATE(YEAR(AN22),MONTH(AN22),1)+1)/(DATE(YEAR(AN22)+1,1,1)-DATE(YEAR(AN22),1,1))+(EOMONTH(AN21,0)-AN21)/(DATE(YEAR(AN21)+1,1,1)-DATE(YEAR(AN21),1,1))),2),0))</f>
        <v>10316.39</v>
      </c>
      <c r="AQ22" s="105">
        <f t="shared" si="9"/>
        <v>4295.6100000000006</v>
      </c>
      <c r="AR22" s="105">
        <f>IF(AT22&gt;$D$29,$D$29-AP22,IF(AY22=0,0,AV22)+BN71)</f>
        <v>0</v>
      </c>
      <c r="AS22" s="105">
        <f t="shared" si="15"/>
        <v>0</v>
      </c>
      <c r="AT22" s="105">
        <f t="shared" si="16"/>
        <v>10316.39</v>
      </c>
      <c r="AU22" s="105">
        <f t="shared" si="17"/>
        <v>0</v>
      </c>
      <c r="AV22" s="105">
        <f t="shared" si="18"/>
        <v>0</v>
      </c>
      <c r="AW22" s="105">
        <f t="shared" si="10"/>
        <v>535790.95000000007</v>
      </c>
      <c r="AX22" s="108">
        <f t="shared" si="24"/>
        <v>71</v>
      </c>
      <c r="AY22" s="108">
        <f>IF(ISERR(CEILING(FLOOR(NPER($D$19/12,-$AC$56,AW21),0.1),1))=TRUE,0,CEILING(FLOOR(NPER($D$19/12,-$AC$56,AW21),0.1),1))</f>
        <v>71</v>
      </c>
      <c r="AZ22" s="1047">
        <f t="shared" si="3"/>
        <v>45740</v>
      </c>
      <c r="BA22" s="108">
        <f t="shared" si="3"/>
        <v>14612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1044" t="s">
        <v>418</v>
      </c>
      <c r="BN22" s="1045" t="s">
        <v>419</v>
      </c>
      <c r="BO22" s="1045" t="s">
        <v>435</v>
      </c>
    </row>
    <row r="23" spans="1:383" ht="13.5" thickBot="1" x14ac:dyDescent="0.25">
      <c r="A23" s="847"/>
      <c r="B23" s="634" t="s">
        <v>440</v>
      </c>
      <c r="C23" s="636">
        <f>IF(C22="Нет",$X$60,IF(C8&lt;&gt;"Нет",$V$13,$U$13))</f>
        <v>0.189</v>
      </c>
      <c r="D23" s="636" t="str">
        <f>IF(D22="Нет",$X$60,IF(D8="Максимум",$V$13,$U$13))</f>
        <v>Услуга не подключается</v>
      </c>
      <c r="E23" s="1055">
        <f t="shared" si="20"/>
        <v>15</v>
      </c>
      <c r="F23" s="1056">
        <f t="shared" si="5"/>
        <v>45771</v>
      </c>
      <c r="G23" s="24">
        <f>IF(AND(E23&gt;=$T$14,E23&lt;=$T$14+5),$T$15,IF(AND(Q22+L23+H23&gt;G22,G22&lt;&gt;0),$C$29,IF(Q22=0,0,Q22+L23+H23+H24)))+IF(AND(E23=$C$10,$C$22&lt;&gt;"Нет"),MIN((I23-I23/$C$19*$C$23),Q22+H23-G22),0)</f>
        <v>14612</v>
      </c>
      <c r="H23" s="24">
        <f>IF(AND(E23&gt;=$T$14,E23&lt;=$T$14+5),0,IF($C$9&gt;$AC$52,ROUND(Q22*$C$19*((F23-DATE(YEAR(F23),MONTH(F23),1)+1)/(DATE(YEAR(F23)+1,1,1)-DATE(YEAR(F23),1,1))+(EOMONTH(F22,0)-F22)/(DATE(YEAR(F22)+1,1,1)-DATE(YEAR(F22),1,1))),2),0))</f>
        <v>12920.76</v>
      </c>
      <c r="I23" s="24">
        <f t="shared" si="19"/>
        <v>194290.69</v>
      </c>
      <c r="J23" s="24">
        <f>IF(E23=$C$10,MIN((I23-I23/$C$19*$C$23),Q22+H23-G22),0)</f>
        <v>0</v>
      </c>
      <c r="K23" s="24">
        <f t="shared" si="6"/>
        <v>1691.2399999999998</v>
      </c>
      <c r="L23" s="24">
        <f>IF(N23&gt;$C$29,$C$29-H23,IF(S23=0,0,O23))</f>
        <v>0</v>
      </c>
      <c r="M23" s="24">
        <f t="shared" si="21"/>
        <v>0</v>
      </c>
      <c r="N23" s="24">
        <f t="shared" si="11"/>
        <v>12920.76</v>
      </c>
      <c r="O23" s="24">
        <f t="shared" si="12"/>
        <v>0</v>
      </c>
      <c r="P23" s="24">
        <f t="shared" si="13"/>
        <v>0</v>
      </c>
      <c r="Q23" s="24">
        <f t="shared" si="7"/>
        <v>507109.69</v>
      </c>
      <c r="R23" s="36">
        <f t="shared" si="22"/>
        <v>70</v>
      </c>
      <c r="S23" s="36">
        <f>IF(ISERR(CEILING(FLOOR(NPER($C$19/12,-$AA$56,Q22),0.1),1))=TRUE,0,CEILING(FLOOR(NPER($C$19/12,-$AA$56,Q22),0.1),1))</f>
        <v>73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033"/>
      <c r="Z23" s="1033"/>
      <c r="AA23" s="1033"/>
      <c r="AB23" s="1033"/>
      <c r="AC23" s="1033"/>
      <c r="AD23" s="1033"/>
      <c r="AE23" s="1033"/>
      <c r="AF23" s="1033"/>
      <c r="AG23" s="1033"/>
      <c r="AH23" s="1033"/>
      <c r="AI23" s="1033"/>
      <c r="AL23" s="130">
        <f t="shared" si="14"/>
        <v>1</v>
      </c>
      <c r="AM23" s="1057">
        <f t="shared" si="23"/>
        <v>15</v>
      </c>
      <c r="AN23" s="1058">
        <f t="shared" si="8"/>
        <v>45771</v>
      </c>
      <c r="AO23" s="105">
        <f>IF(AX22=1,AR23+AP23+AQ23,IF(AW22+AR23+AP23&gt;AO22,$D$29,IF(AW22=0,0,AW22+AR23+AP23+AP55)))</f>
        <v>14612</v>
      </c>
      <c r="AP23" s="105">
        <f>IF(AND(E23&gt;=$T$14,E23&lt;=$T$14+5),0,IF($C$9&gt;$AC$52,ROUND(AW22*$D$19*((AN23-DATE(YEAR(AN23),MONTH(AN23),1)+1)/(DATE(YEAR(AN23)+1,1,1)-DATE(YEAR(AN23),1,1))+(EOMONTH(AN22,0)-AN22)/(DATE(YEAR(AN22)+1,1,1)-DATE(YEAR(AN22),1,1))),2),0))</f>
        <v>11330.88</v>
      </c>
      <c r="AQ23" s="105">
        <f t="shared" si="9"/>
        <v>3281.1200000000008</v>
      </c>
      <c r="AR23" s="105">
        <f>IF(AT23&gt;$D$29,$D$29-AP23,IF(AY23=0,0,AV23)+BN72)</f>
        <v>0</v>
      </c>
      <c r="AS23" s="105">
        <f t="shared" si="15"/>
        <v>0</v>
      </c>
      <c r="AT23" s="105">
        <f t="shared" si="16"/>
        <v>11330.88</v>
      </c>
      <c r="AU23" s="105">
        <f t="shared" si="17"/>
        <v>0</v>
      </c>
      <c r="AV23" s="105">
        <f t="shared" si="18"/>
        <v>0</v>
      </c>
      <c r="AW23" s="105">
        <f t="shared" si="10"/>
        <v>532509.83000000007</v>
      </c>
      <c r="AX23" s="108">
        <f t="shared" si="24"/>
        <v>70</v>
      </c>
      <c r="AY23" s="108">
        <f>IF(ISERR(CEILING(FLOOR(NPER($D$19/12,-$AC$56,AW22),0.1),1))=TRUE,0,CEILING(FLOOR(NPER($D$19/12,-$AC$56,AW22),0.1),1))</f>
        <v>70</v>
      </c>
      <c r="AZ23" s="1047">
        <f t="shared" si="3"/>
        <v>45771</v>
      </c>
      <c r="BA23" s="108">
        <f t="shared" si="3"/>
        <v>14612</v>
      </c>
      <c r="BD23" s="16" t="s">
        <v>373</v>
      </c>
      <c r="BE23" s="637">
        <f>(C7+C12+C25)/(1-BF17*BE22)</f>
        <v>604544.31818181823</v>
      </c>
      <c r="BF23" s="16"/>
      <c r="BG23" s="16"/>
      <c r="BH23" s="16" t="s">
        <v>373</v>
      </c>
      <c r="BI23" s="143">
        <f>(C7+C12)/(1-BF19*BI22)</f>
        <v>550966.09432732011</v>
      </c>
      <c r="BM23" s="1053" t="s">
        <v>360</v>
      </c>
      <c r="BN23" s="1054" t="s">
        <v>423</v>
      </c>
      <c r="BO23" s="1054" t="s">
        <v>429</v>
      </c>
    </row>
    <row r="24" spans="1:383" ht="16.5" customHeight="1" thickBot="1" x14ac:dyDescent="0.25">
      <c r="A24" s="847"/>
      <c r="B24" s="634" t="s">
        <v>441</v>
      </c>
      <c r="C24" s="638">
        <v>0.05</v>
      </c>
      <c r="D24" s="638"/>
      <c r="E24" s="1055">
        <f t="shared" si="20"/>
        <v>16</v>
      </c>
      <c r="F24" s="1056">
        <f t="shared" si="5"/>
        <v>45801</v>
      </c>
      <c r="G24" s="24">
        <f>IF(AND(E24&gt;=$T$14,E24&lt;=$T$14+5),$T$15,IF(AND(Q23+L24+H24&gt;G23,G23&lt;&gt;0),$C$29,IF(Q23=0,0,Q23+L24+H24+H25)))+IF(AND(E24=$C$10,$C$22&lt;&gt;"Нет"),MIN((I24-I24/$C$19*$C$23),Q23+H24-G23),0)</f>
        <v>14612</v>
      </c>
      <c r="H24" s="24">
        <f>IF(AND(E24&gt;=$T$14,E24&lt;=$T$14+5),0,IF($C$9&gt;$AC$52,ROUND(Q23*$C$19*((F24-DATE(YEAR(F24),MONTH(F24),1)+1)/(DATE(YEAR(F24)+1,1,1)-DATE(YEAR(F24),1,1))+(EOMONTH(F23,0)-F23)/(DATE(YEAR(F23)+1,1,1)-DATE(YEAR(F23),1,1))),2),0))</f>
        <v>12462.39</v>
      </c>
      <c r="I24" s="24">
        <f t="shared" si="19"/>
        <v>206753.08000000002</v>
      </c>
      <c r="J24" s="24">
        <f>IF(E24=$C$10,MIN((I24-I24/$C$19*$C$23),Q23+H24-G23),0)</f>
        <v>0</v>
      </c>
      <c r="K24" s="24">
        <f t="shared" si="6"/>
        <v>2149.6100000000006</v>
      </c>
      <c r="L24" s="24">
        <f>IF(N24&gt;$C$29,$C$29-H24,IF(S24=0,0,O24))</f>
        <v>0</v>
      </c>
      <c r="M24" s="24">
        <f t="shared" si="21"/>
        <v>0</v>
      </c>
      <c r="N24" s="24">
        <f t="shared" si="11"/>
        <v>12462.39</v>
      </c>
      <c r="O24" s="24">
        <f t="shared" si="12"/>
        <v>0</v>
      </c>
      <c r="P24" s="24">
        <f t="shared" si="13"/>
        <v>0</v>
      </c>
      <c r="Q24" s="24">
        <f t="shared" si="7"/>
        <v>504960.08</v>
      </c>
      <c r="R24" s="36">
        <f t="shared" si="22"/>
        <v>69</v>
      </c>
      <c r="S24" s="36">
        <f>IF(ISERR(CEILING(FLOOR(NPER($C$19/12,-$AA$56,Q23),0.1),1))=TRUE,0,CEILING(FLOOR(NPER($C$19/12,-$AA$56,Q23),0.1),1))</f>
        <v>73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14"/>
        <v>1</v>
      </c>
      <c r="AM24" s="1057">
        <f t="shared" si="23"/>
        <v>16</v>
      </c>
      <c r="AN24" s="1058">
        <f t="shared" si="8"/>
        <v>45801</v>
      </c>
      <c r="AO24" s="105">
        <f>IF(AX23=1,AR24+AP24+AQ24,IF(AW23+AR24+AP24&gt;AO23,$D$29,IF(AW23=0,0,AW23+AR24+AP24+AP56)))</f>
        <v>14612</v>
      </c>
      <c r="AP24" s="105">
        <f>IF(AND(E24&gt;=$T$14,E24&lt;=$T$14+5),0,IF($C$9&gt;$AC$52,ROUND(AW23*$D$19*((AN24-DATE(YEAR(AN24),MONTH(AN24),1)+1)/(DATE(YEAR(AN24)+1,1,1)-DATE(YEAR(AN24),1,1))+(EOMONTH(AN23,0)-AN23)/(DATE(YEAR(AN23)+1,1,1)-DATE(YEAR(AN23),1,1))),2),0))</f>
        <v>10898.21</v>
      </c>
      <c r="AQ24" s="105">
        <f t="shared" si="9"/>
        <v>3713.7900000000009</v>
      </c>
      <c r="AR24" s="105">
        <f>IF(AT24&gt;$D$29,$D$29-AP24,IF(AY24=0,0,AV24)+BN73)</f>
        <v>0</v>
      </c>
      <c r="AS24" s="105">
        <f t="shared" si="15"/>
        <v>0</v>
      </c>
      <c r="AT24" s="105">
        <f t="shared" si="16"/>
        <v>10898.21</v>
      </c>
      <c r="AU24" s="105">
        <f t="shared" si="17"/>
        <v>0</v>
      </c>
      <c r="AV24" s="105">
        <f t="shared" si="18"/>
        <v>0</v>
      </c>
      <c r="AW24" s="105">
        <f t="shared" si="10"/>
        <v>528796.04</v>
      </c>
      <c r="AX24" s="108">
        <f t="shared" si="24"/>
        <v>69</v>
      </c>
      <c r="AY24" s="108">
        <f>IF(ISERR(CEILING(FLOOR(NPER($D$19/12,-$AC$56,AW23),0.1),1))=TRUE,0,CEILING(FLOOR(NPER($D$19/12,-$AC$56,AW23),0.1),1))</f>
        <v>69</v>
      </c>
      <c r="AZ24" s="1047">
        <f t="shared" si="3"/>
        <v>45801</v>
      </c>
      <c r="BA24" s="108">
        <f t="shared" si="3"/>
        <v>14612</v>
      </c>
      <c r="BD24" s="16" t="s">
        <v>374</v>
      </c>
      <c r="BE24" s="143">
        <f>BE23*BF17*BE22</f>
        <v>72545.318181818191</v>
      </c>
      <c r="BF24" s="16"/>
      <c r="BG24" s="16"/>
      <c r="BH24" s="16" t="s">
        <v>374</v>
      </c>
      <c r="BI24" s="143">
        <f>BI23*BF19*BI22</f>
        <v>43967.094327320148</v>
      </c>
      <c r="BM24" s="1053" t="s">
        <v>424</v>
      </c>
      <c r="BN24" s="1059" t="s">
        <v>426</v>
      </c>
      <c r="BO24" s="1059" t="s">
        <v>431</v>
      </c>
    </row>
    <row r="25" spans="1:383" ht="16.5" customHeight="1" x14ac:dyDescent="0.2">
      <c r="A25" s="847"/>
      <c r="B25" s="634" t="s">
        <v>442</v>
      </c>
      <c r="C25" s="639">
        <f>IF(C23&lt;&gt;X60,IF(C22="Нет",0,ROUND($C$7*C24,2)),0)</f>
        <v>25000</v>
      </c>
      <c r="D25" s="639"/>
      <c r="E25" s="1055">
        <f t="shared" si="20"/>
        <v>17</v>
      </c>
      <c r="F25" s="1056">
        <f t="shared" si="5"/>
        <v>45832</v>
      </c>
      <c r="G25" s="24">
        <f>IF(AND(E25&gt;=$T$14,E25&lt;=$T$14+5),$T$15,IF(AND(Q24+L25+H25&gt;G24,G24&lt;&gt;0),$C$29,IF(Q24=0,0,Q24+L25+H25+H26)))+IF(AND(E25=$C$10,$C$22&lt;&gt;"Нет"),MIN((I25-I25/$C$19*$C$23),Q24+H25-G24),0)</f>
        <v>14612</v>
      </c>
      <c r="H25" s="24">
        <f>IF(AND(E25&gt;=$T$14,E25&lt;=$T$14+5),0,IF($C$9&gt;$AC$52,ROUND(Q24*$C$19*((F25-DATE(YEAR(F25),MONTH(F25),1)+1)/(DATE(YEAR(F25)+1,1,1)-DATE(YEAR(F25),1,1))+(EOMONTH(F24,0)-F24)/(DATE(YEAR(F24)+1,1,1)-DATE(YEAR(F24),1,1))),2),0))</f>
        <v>12823.22</v>
      </c>
      <c r="I25" s="24">
        <f t="shared" si="19"/>
        <v>219576.30000000002</v>
      </c>
      <c r="J25" s="24">
        <f>IF(E25=$C$10,MIN((I25-I25/$C$19*$C$23),Q24+H25-G24),0)</f>
        <v>0</v>
      </c>
      <c r="K25" s="24">
        <f t="shared" si="6"/>
        <v>1788.7800000000007</v>
      </c>
      <c r="L25" s="24">
        <f>IF(N25&gt;$C$29,$C$29-H25,IF(S25=0,0,O25))</f>
        <v>0</v>
      </c>
      <c r="M25" s="24">
        <f t="shared" si="21"/>
        <v>0</v>
      </c>
      <c r="N25" s="24">
        <f t="shared" si="11"/>
        <v>12823.22</v>
      </c>
      <c r="O25" s="24">
        <f t="shared" si="12"/>
        <v>0</v>
      </c>
      <c r="P25" s="24">
        <f t="shared" si="13"/>
        <v>0</v>
      </c>
      <c r="Q25" s="24">
        <f t="shared" si="7"/>
        <v>503171.3</v>
      </c>
      <c r="R25" s="36">
        <f t="shared" si="22"/>
        <v>68</v>
      </c>
      <c r="S25" s="36">
        <f>IF(ISERR(CEILING(FLOOR(NPER($C$19/12,-$AA$56,Q24),0.1),1))=TRUE,0,CEILING(FLOOR(NPER($C$19/12,-$AA$56,Q24),0.1),1))</f>
        <v>72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069"/>
      <c r="Z25" s="1069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16"/>
      <c r="AK25" s="116"/>
      <c r="AL25" s="130">
        <f t="shared" si="14"/>
        <v>1</v>
      </c>
      <c r="AM25" s="1070">
        <f t="shared" si="23"/>
        <v>17</v>
      </c>
      <c r="AN25" s="1065">
        <f t="shared" si="8"/>
        <v>45832</v>
      </c>
      <c r="AO25" s="105">
        <f>IF(AX24=1,AR25+AP25+AQ25,IF(AW24+AR25+AP25&gt;AO24,$D$29,IF(AW24=0,0,AW24+AR25+AP25+AP57)))</f>
        <v>14612</v>
      </c>
      <c r="AP25" s="105">
        <f>IF(AND(E25&gt;=$T$14,E25&lt;=$T$14+5),0,IF($C$9&gt;$AC$52,ROUND(AW24*$D$19*((AN25-DATE(YEAR(AN25),MONTH(AN25),1)+1)/(DATE(YEAR(AN25)+1,1,1)-DATE(YEAR(AN25),1,1))+(EOMONTH(AN24,0)-AN24)/(DATE(YEAR(AN24)+1,1,1)-DATE(YEAR(AN24),1,1))),2),0))</f>
        <v>11182.95</v>
      </c>
      <c r="AQ25" s="105">
        <f t="shared" si="9"/>
        <v>3429.0499999999993</v>
      </c>
      <c r="AR25" s="105">
        <f>IF(AT25&gt;$D$29,$D$29-AP25,IF(AY25=0,0,AV25)+BN74)</f>
        <v>0</v>
      </c>
      <c r="AS25" s="105">
        <f t="shared" si="15"/>
        <v>0</v>
      </c>
      <c r="AT25" s="105">
        <f t="shared" si="16"/>
        <v>11182.95</v>
      </c>
      <c r="AU25" s="105">
        <f t="shared" si="17"/>
        <v>0</v>
      </c>
      <c r="AV25" s="105">
        <f t="shared" si="18"/>
        <v>0</v>
      </c>
      <c r="AW25" s="105">
        <f t="shared" si="10"/>
        <v>525366.99</v>
      </c>
      <c r="AX25" s="108">
        <f t="shared" si="24"/>
        <v>68</v>
      </c>
      <c r="AY25" s="108">
        <f>IF(ISERR(CEILING(FLOOR(NPER($D$19/12,-$AC$56,AW24),0.1),1))=TRUE,0,CEILING(FLOOR(NPER($D$19/12,-$AC$56,AW24),0.1),1))</f>
        <v>68</v>
      </c>
      <c r="AZ25" s="1047">
        <f t="shared" si="3"/>
        <v>45832</v>
      </c>
      <c r="BA25" s="108">
        <f t="shared" si="3"/>
        <v>14612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47"/>
      <c r="B26" s="634" t="s">
        <v>443</v>
      </c>
      <c r="C26" s="639">
        <f>IF(AND($C$23&lt;&gt;X60,C22="Да"),H160-H160/C19*C23,0)</f>
        <v>312548.52575250831</v>
      </c>
      <c r="D26" s="640"/>
      <c r="E26" s="1055">
        <f t="shared" si="20"/>
        <v>18</v>
      </c>
      <c r="F26" s="1056">
        <f t="shared" si="5"/>
        <v>45862</v>
      </c>
      <c r="G26" s="24">
        <f>IF(AND(E26&gt;=$T$14,E26&lt;=$T$14+5),$T$15,IF(AND(Q25+L26+H26&gt;G25,G25&lt;&gt;0),$C$29,IF(Q25=0,0,Q25+L26+H26+H27)))+IF(AND(E26=$C$10,$C$22&lt;&gt;"Нет"),MIN((I26-I26/$C$19*$C$23),Q25+H26-G25),0)</f>
        <v>14612</v>
      </c>
      <c r="H26" s="24">
        <f>IF(AND(E26&gt;=$T$14,E26&lt;=$T$14+5),0,IF($C$9&gt;$AC$52,ROUND(Q25*$C$19*((F26-DATE(YEAR(F26),MONTH(F26),1)+1)/(DATE(YEAR(F26)+1,1,1)-DATE(YEAR(F26),1,1))+(EOMONTH(F25,0)-F25)/(DATE(YEAR(F25)+1,1,1)-DATE(YEAR(F25),1,1))),2),0))</f>
        <v>12365.61</v>
      </c>
      <c r="I26" s="24">
        <f t="shared" si="19"/>
        <v>231941.91000000003</v>
      </c>
      <c r="J26" s="24">
        <f>IF(E26=$C$10,MIN((I26-I26/$C$19*$C$23),Q25+H26-G25),0)</f>
        <v>0</v>
      </c>
      <c r="K26" s="24">
        <f t="shared" si="6"/>
        <v>2246.3899999999994</v>
      </c>
      <c r="L26" s="24">
        <f>IF(N26&gt;$C$29,$C$29-H26,IF(S26=0,0,O26))</f>
        <v>0</v>
      </c>
      <c r="M26" s="24">
        <f t="shared" si="21"/>
        <v>0</v>
      </c>
      <c r="N26" s="24">
        <f t="shared" si="11"/>
        <v>12365.61</v>
      </c>
      <c r="O26" s="24">
        <f t="shared" si="12"/>
        <v>0</v>
      </c>
      <c r="P26" s="24">
        <f t="shared" si="13"/>
        <v>0</v>
      </c>
      <c r="Q26" s="24">
        <f t="shared" si="7"/>
        <v>500924.91</v>
      </c>
      <c r="R26" s="36">
        <f t="shared" si="22"/>
        <v>67</v>
      </c>
      <c r="S26" s="36">
        <f>IF(ISERR(CEILING(FLOOR(NPER($C$19/12,-$AA$56,Q25),0.1),1))=TRUE,0,CEILING(FLOOR(NPER($C$19/12,-$AA$56,Q25),0.1),1))</f>
        <v>71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L26" s="130">
        <f t="shared" si="14"/>
        <v>1</v>
      </c>
      <c r="AM26" s="1057">
        <f t="shared" si="23"/>
        <v>18</v>
      </c>
      <c r="AN26" s="1058">
        <f t="shared" si="8"/>
        <v>45862</v>
      </c>
      <c r="AO26" s="105">
        <f>IF(AX25=1,AR26+AP26+AQ26,IF(AW25+AR26+AP26&gt;AO25,$D$29,IF(AW25=0,0,AW25+AR26+AP26+AP58)))</f>
        <v>14612</v>
      </c>
      <c r="AP26" s="105">
        <f>IF(AND(E26&gt;=$T$14,E26&lt;=$T$14+5),0,IF($C$9&gt;$AC$52,ROUND(AW25*$D$19*((AN26-DATE(YEAR(AN26),MONTH(AN26),1)+1)/(DATE(YEAR(AN26)+1,1,1)-DATE(YEAR(AN26),1,1))+(EOMONTH(AN25,0)-AN25)/(DATE(YEAR(AN25)+1,1,1)-DATE(YEAR(AN25),1,1))),2),0))</f>
        <v>10752.03</v>
      </c>
      <c r="AQ26" s="105">
        <f t="shared" si="9"/>
        <v>3859.9699999999993</v>
      </c>
      <c r="AR26" s="105">
        <f>IF(AT26&gt;$D$29,$D$29-AP26,IF(AY26=0,0,AV26)+BN75)</f>
        <v>0</v>
      </c>
      <c r="AS26" s="105">
        <f t="shared" si="15"/>
        <v>0</v>
      </c>
      <c r="AT26" s="105">
        <f t="shared" si="16"/>
        <v>10752.03</v>
      </c>
      <c r="AU26" s="105">
        <f t="shared" si="17"/>
        <v>0</v>
      </c>
      <c r="AV26" s="105">
        <f t="shared" si="18"/>
        <v>0</v>
      </c>
      <c r="AW26" s="105">
        <f t="shared" si="10"/>
        <v>521507.02</v>
      </c>
      <c r="AX26" s="108">
        <f t="shared" si="24"/>
        <v>67</v>
      </c>
      <c r="AY26" s="108">
        <f>IF(ISERR(CEILING(FLOOR(NPER($D$19/12,-$AC$56,AW25),0.1),1))=TRUE,0,CEILING(FLOOR(NPER($D$19/12,-$AC$56,AW25),0.1),1))</f>
        <v>67</v>
      </c>
      <c r="AZ26" s="1047">
        <f t="shared" si="3"/>
        <v>45862</v>
      </c>
      <c r="BA26" s="108">
        <f t="shared" si="3"/>
        <v>14612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47"/>
      <c r="B27" s="641" t="s">
        <v>444</v>
      </c>
      <c r="C27" s="642">
        <f>IF(AND($C$23&lt;&gt;X60,J160&gt;0),C26-J160,C26)</f>
        <v>158393.80575250837</v>
      </c>
      <c r="D27" s="643"/>
      <c r="E27" s="1055">
        <f t="shared" si="20"/>
        <v>19</v>
      </c>
      <c r="F27" s="1056">
        <f t="shared" si="5"/>
        <v>45893</v>
      </c>
      <c r="G27" s="24">
        <f>IF(AND(E27&gt;=$T$14,E27&lt;=$T$14+5),$T$15,IF(AND(Q26+L27+H27&gt;G26,G26&lt;&gt;0),$C$29,IF(Q26=0,0,Q26+L27+H27+H28)))+IF(AND(E27=$C$10,$C$22&lt;&gt;"Нет"),MIN((I27-I27/$C$19*$C$23),Q26+H27-G26),0)</f>
        <v>14612</v>
      </c>
      <c r="H27" s="24">
        <f>IF(AND(E27&gt;=$T$14,E27&lt;=$T$14+5),0,IF($C$9&gt;$AC$52,ROUND(Q26*$C$19*((F27-DATE(YEAR(F27),MONTH(F27),1)+1)/(DATE(YEAR(F27)+1,1,1)-DATE(YEAR(F27),1,1))+(EOMONTH(F26,0)-F26)/(DATE(YEAR(F26)+1,1,1)-DATE(YEAR(F26),1,1))),2),0))</f>
        <v>12720.75</v>
      </c>
      <c r="I27" s="24">
        <f t="shared" si="19"/>
        <v>244662.66000000003</v>
      </c>
      <c r="J27" s="24">
        <f>IF(E27=$C$10,MIN((I27-I27/$C$19*$C$23),Q26+H27-G26),0)</f>
        <v>0</v>
      </c>
      <c r="K27" s="24">
        <f t="shared" si="6"/>
        <v>1891.25</v>
      </c>
      <c r="L27" s="24">
        <f>IF(N27&gt;$C$29,$C$29-H27,IF(S27=0,0,O27))</f>
        <v>0</v>
      </c>
      <c r="M27" s="24">
        <f t="shared" si="21"/>
        <v>0</v>
      </c>
      <c r="N27" s="24">
        <f t="shared" si="11"/>
        <v>12720.75</v>
      </c>
      <c r="O27" s="24">
        <f t="shared" si="12"/>
        <v>0</v>
      </c>
      <c r="P27" s="24">
        <f t="shared" si="13"/>
        <v>0</v>
      </c>
      <c r="Q27" s="24">
        <f t="shared" si="7"/>
        <v>499033.66</v>
      </c>
      <c r="R27" s="36">
        <f t="shared" si="22"/>
        <v>66</v>
      </c>
      <c r="S27" s="36">
        <f>IF(ISERR(CEILING(FLOOR(NPER($C$19/12,-$AA$56,Q26),0.1),1))=TRUE,0,CEILING(FLOOR(NPER($C$19/12,-$AA$56,Q26),0.1),1))</f>
        <v>70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L27" s="130">
        <f t="shared" si="14"/>
        <v>1</v>
      </c>
      <c r="AM27" s="1057">
        <f t="shared" si="23"/>
        <v>19</v>
      </c>
      <c r="AN27" s="1058">
        <f t="shared" si="8"/>
        <v>45893</v>
      </c>
      <c r="AO27" s="105">
        <f>IF(AX26=1,AR27+AP27+AQ27,IF(AW26+AR27+AP27&gt;AO26,$D$29,IF(AW26=0,0,AW26+AR27+AP27+AP59)))</f>
        <v>14612</v>
      </c>
      <c r="AP27" s="105">
        <f>IF(AND(E27&gt;=$T$14,E27&lt;=$T$14+5),0,IF($C$9&gt;$AC$52,ROUND(AW26*$D$19*((AN27-DATE(YEAR(AN27),MONTH(AN27),1)+1)/(DATE(YEAR(AN27)+1,1,1)-DATE(YEAR(AN27),1,1))+(EOMONTH(AN26,0)-AN26)/(DATE(YEAR(AN26)+1,1,1)-DATE(YEAR(AN26),1,1))),2),0))</f>
        <v>11028.8</v>
      </c>
      <c r="AQ27" s="105">
        <f t="shared" si="9"/>
        <v>3583.2000000000007</v>
      </c>
      <c r="AR27" s="105">
        <f>IF(AT27&gt;$D$29,$D$29-AP27,IF(AY27=0,0,AV27)+BN76)</f>
        <v>0</v>
      </c>
      <c r="AS27" s="105">
        <f t="shared" si="15"/>
        <v>0</v>
      </c>
      <c r="AT27" s="105">
        <f t="shared" si="16"/>
        <v>11028.8</v>
      </c>
      <c r="AU27" s="105">
        <f t="shared" si="17"/>
        <v>0</v>
      </c>
      <c r="AV27" s="105">
        <f t="shared" si="18"/>
        <v>0</v>
      </c>
      <c r="AW27" s="105">
        <f t="shared" si="10"/>
        <v>517923.82</v>
      </c>
      <c r="AX27" s="108">
        <f t="shared" si="24"/>
        <v>66</v>
      </c>
      <c r="AY27" s="108">
        <f>IF(ISERR(CEILING(FLOOR(NPER($D$19/12,-$AC$56,AW26),0.1),1))=TRUE,0,CEILING(FLOOR(NPER($D$19/12,-$AC$56,AW26),0.1),1))</f>
        <v>66</v>
      </c>
      <c r="AZ27" s="1047">
        <f t="shared" si="3"/>
        <v>45893</v>
      </c>
      <c r="BA27" s="108">
        <f t="shared" si="3"/>
        <v>14612</v>
      </c>
      <c r="BF27" s="16"/>
      <c r="BG27" s="16"/>
      <c r="BJ27" s="16"/>
    </row>
    <row r="28" spans="1:383" ht="22.5" customHeight="1" x14ac:dyDescent="0.2">
      <c r="A28" s="861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комиссии за пакет услуг Всё под контролем, руб.</v>
      </c>
      <c r="B28" s="862"/>
      <c r="C28" s="644">
        <f>C7+C32+IF(C22="Да",C25,0)+IF(C11="Да",C12,0)</f>
        <v>531999</v>
      </c>
      <c r="D28" s="644">
        <f>D7+D32+IF(D11="Да",D12,0)</f>
        <v>578399</v>
      </c>
      <c r="E28" s="1055">
        <f t="shared" si="20"/>
        <v>20</v>
      </c>
      <c r="F28" s="1056">
        <f t="shared" si="5"/>
        <v>45924</v>
      </c>
      <c r="G28" s="24">
        <f>IF(AND(E28&gt;=$T$14,E28&lt;=$T$14+5),$T$15,IF(AND(Q27+L28+H28&gt;G27,G27&lt;&gt;0),$C$29,IF(Q27=0,0,Q27+L28+H28+H29)))+IF(AND(E28=$C$10,$C$22&lt;&gt;"Нет"),MIN((I28-I28/$C$19*$C$23),Q27+H28-G27),0)</f>
        <v>14612</v>
      </c>
      <c r="H28" s="24">
        <f>IF(AND(E28&gt;=$T$14,E28&lt;=$T$14+5),0,IF($C$9&gt;$AC$52,ROUND(Q27*$C$19*((F28-DATE(YEAR(F28),MONTH(F28),1)+1)/(DATE(YEAR(F28)+1,1,1)-DATE(YEAR(F28),1,1))+(EOMONTH(F27,0)-F27)/(DATE(YEAR(F27)+1,1,1)-DATE(YEAR(F27),1,1))),2),0))</f>
        <v>12672.72</v>
      </c>
      <c r="I28" s="24">
        <f t="shared" si="19"/>
        <v>257335.38000000003</v>
      </c>
      <c r="J28" s="24">
        <f>IF(E28=$C$10,MIN((I28-I28/$C$19*$C$23),Q27+H28-G27),0)</f>
        <v>0</v>
      </c>
      <c r="K28" s="24">
        <f t="shared" si="6"/>
        <v>1939.2800000000007</v>
      </c>
      <c r="L28" s="24">
        <f>IF(N28&gt;$C$29,$C$29-H28,IF(S28=0,0,O28))</f>
        <v>0</v>
      </c>
      <c r="M28" s="24">
        <f t="shared" si="21"/>
        <v>0</v>
      </c>
      <c r="N28" s="24">
        <f t="shared" si="11"/>
        <v>12672.72</v>
      </c>
      <c r="O28" s="24">
        <f t="shared" si="12"/>
        <v>0</v>
      </c>
      <c r="P28" s="24">
        <f t="shared" si="13"/>
        <v>0</v>
      </c>
      <c r="Q28" s="24">
        <f t="shared" si="7"/>
        <v>497094.37999999995</v>
      </c>
      <c r="R28" s="36">
        <f t="shared" si="22"/>
        <v>65</v>
      </c>
      <c r="S28" s="36">
        <f>IF(ISERR(CEILING(FLOOR(NPER($C$19/12,-$AA$56,Q27),0.1),1))=TRUE,0,CEILING(FLOOR(NPER($C$19/12,-$AA$56,Q27),0.1),1))</f>
        <v>69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14"/>
        <v>1</v>
      </c>
      <c r="AM28" s="1057">
        <f t="shared" si="23"/>
        <v>20</v>
      </c>
      <c r="AN28" s="1058">
        <f t="shared" si="8"/>
        <v>45924</v>
      </c>
      <c r="AO28" s="105">
        <f>IF(AX27=1,AR28+AP28+AQ28,IF(AW27+AR28+AP28&gt;AO27,$D$29,IF(AW27=0,0,AW27+AR28+AP28+AP60)))</f>
        <v>14612</v>
      </c>
      <c r="AP28" s="105">
        <f>IF(AND(E28&gt;=$T$14,E28&lt;=$T$14+5),0,IF($C$9&gt;$AC$52,ROUND(AW27*$D$19*((AN28-DATE(YEAR(AN28),MONTH(AN28),1)+1)/(DATE(YEAR(AN28)+1,1,1)-DATE(YEAR(AN28),1,1))+(EOMONTH(AN27,0)-AN27)/(DATE(YEAR(AN27)+1,1,1)-DATE(YEAR(AN27),1,1))),2),0))</f>
        <v>10953.02</v>
      </c>
      <c r="AQ28" s="105">
        <f t="shared" si="9"/>
        <v>3658.9799999999996</v>
      </c>
      <c r="AR28" s="105">
        <f>IF(AT28&gt;$D$29,$D$29-AP28,IF(AY28=0,0,AV28)+BN77)</f>
        <v>0</v>
      </c>
      <c r="AS28" s="105">
        <f t="shared" si="15"/>
        <v>0</v>
      </c>
      <c r="AT28" s="105">
        <f t="shared" si="16"/>
        <v>10953.02</v>
      </c>
      <c r="AU28" s="105">
        <f t="shared" si="17"/>
        <v>0</v>
      </c>
      <c r="AV28" s="105">
        <f t="shared" si="18"/>
        <v>0</v>
      </c>
      <c r="AW28" s="105">
        <f t="shared" si="10"/>
        <v>514264.84</v>
      </c>
      <c r="AX28" s="108">
        <f t="shared" si="24"/>
        <v>65</v>
      </c>
      <c r="AY28" s="108">
        <f>IF(ISERR(CEILING(FLOOR(NPER($D$19/12,-$AC$56,AW27),0.1),1))=TRUE,0,CEILING(FLOOR(NPER($D$19/12,-$AC$56,AW27),0.1),1))</f>
        <v>65</v>
      </c>
      <c r="AZ28" s="1047">
        <f t="shared" si="3"/>
        <v>45924</v>
      </c>
      <c r="BA28" s="108">
        <f t="shared" si="3"/>
        <v>14612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61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 комиссии за пакет услуг Всё под контролем, руб.</v>
      </c>
      <c r="B29" s="862"/>
      <c r="C29" s="645">
        <f>IF(AND(C8="Нет",C22="Нет"),ROUNDUP(AB55/$AE$47,0)*$AE$47,D29)</f>
        <v>14612</v>
      </c>
      <c r="D29" s="646">
        <f>ROUNDUP(AD$55/$AE$47,0)*$AE$47</f>
        <v>14612</v>
      </c>
      <c r="E29" s="1055">
        <f t="shared" si="20"/>
        <v>21</v>
      </c>
      <c r="F29" s="1056">
        <f t="shared" si="5"/>
        <v>45954</v>
      </c>
      <c r="G29" s="24">
        <f>IF(AND(E29&gt;=$T$14,E29&lt;=$T$14+5),$T$15,IF(AND(Q28+L29+H29&gt;G28,G28&lt;&gt;0),$C$29,IF(Q28=0,0,Q28+L29+H29+H30)))+IF(AND(E29=$C$10,$C$22&lt;&gt;"Нет"),MIN((I29-I29/$C$19*$C$23),Q28+H29-G28),0)</f>
        <v>14612</v>
      </c>
      <c r="H29" s="24">
        <f>IF(AND(E29&gt;=$T$14,E29&lt;=$T$14+5),0,IF($C$9&gt;$AC$52,ROUND(Q28*$C$19*((F29-DATE(YEAR(F29),MONTH(F29),1)+1)/(DATE(YEAR(F29)+1,1,1)-DATE(YEAR(F29),1,1))+(EOMONTH(F28,0)-F28)/(DATE(YEAR(F28)+1,1,1)-DATE(YEAR(F28),1,1))),2),0))</f>
        <v>12216.26</v>
      </c>
      <c r="I29" s="24">
        <f t="shared" si="19"/>
        <v>269551.64</v>
      </c>
      <c r="J29" s="24">
        <f>IF(E29=$C$10,MIN((I29-I29/$C$19*$C$23),Q28+H29-G28),0)</f>
        <v>0</v>
      </c>
      <c r="K29" s="24">
        <f t="shared" si="6"/>
        <v>2395.7399999999998</v>
      </c>
      <c r="L29" s="24">
        <f>IF(N29&gt;$C$29,$C$29-H29,IF(S29=0,0,O29))</f>
        <v>0</v>
      </c>
      <c r="M29" s="24">
        <f t="shared" si="21"/>
        <v>0</v>
      </c>
      <c r="N29" s="24">
        <f t="shared" si="11"/>
        <v>12216.26</v>
      </c>
      <c r="O29" s="24">
        <f t="shared" si="12"/>
        <v>0</v>
      </c>
      <c r="P29" s="24">
        <f t="shared" si="13"/>
        <v>0</v>
      </c>
      <c r="Q29" s="24">
        <f t="shared" si="7"/>
        <v>494698.63999999996</v>
      </c>
      <c r="R29" s="36">
        <f t="shared" si="22"/>
        <v>64</v>
      </c>
      <c r="S29" s="36">
        <f>IF(ISERR(CEILING(FLOOR(NPER($C$19/12,-$AA$56,Q28),0.1),1))=TRUE,0,CEILING(FLOOR(NPER($C$19/12,-$AA$56,Q28),0.1),1))</f>
        <v>69</v>
      </c>
      <c r="AB29" s="82"/>
      <c r="AC29" s="2"/>
      <c r="AD29" s="2"/>
      <c r="AE29" s="2"/>
      <c r="AF29" s="3"/>
      <c r="AG29" s="3"/>
      <c r="AH29" s="3"/>
      <c r="AI29" s="3"/>
      <c r="AL29" s="130">
        <f t="shared" si="14"/>
        <v>1</v>
      </c>
      <c r="AM29" s="1057">
        <f t="shared" si="23"/>
        <v>21</v>
      </c>
      <c r="AN29" s="1058">
        <f t="shared" si="8"/>
        <v>45954</v>
      </c>
      <c r="AO29" s="105">
        <f>IF(AX28=1,AR29+AP29+AQ29,IF(AW28+AR29+AP29&gt;AO28,$D$29,IF(AW28=0,0,AW28+AR29+AP29+AP61)))</f>
        <v>14612</v>
      </c>
      <c r="AP29" s="105">
        <f>IF(AND(E29&gt;=$T$14,E29&lt;=$T$14+5),0,IF($C$9&gt;$AC$52,ROUND(AW28*$D$19*((AN29-DATE(YEAR(AN29),MONTH(AN29),1)+1)/(DATE(YEAR(AN29)+1,1,1)-DATE(YEAR(AN29),1,1))+(EOMONTH(AN28,0)-AN28)/(DATE(YEAR(AN28)+1,1,1)-DATE(YEAR(AN28),1,1))),2),0))</f>
        <v>10524.82</v>
      </c>
      <c r="AQ29" s="105">
        <f t="shared" si="9"/>
        <v>4087.1800000000003</v>
      </c>
      <c r="AR29" s="105">
        <f>IF(AT29&gt;$D$29,$D$29-AP29,IF(AY29=0,0,AV29)+BN78)</f>
        <v>0</v>
      </c>
      <c r="AS29" s="105">
        <f t="shared" si="15"/>
        <v>0</v>
      </c>
      <c r="AT29" s="105">
        <f t="shared" si="16"/>
        <v>10524.82</v>
      </c>
      <c r="AU29" s="105">
        <f t="shared" si="17"/>
        <v>0</v>
      </c>
      <c r="AV29" s="105">
        <f t="shared" si="18"/>
        <v>0</v>
      </c>
      <c r="AW29" s="105">
        <f t="shared" si="10"/>
        <v>510177.66000000003</v>
      </c>
      <c r="AX29" s="108">
        <f t="shared" si="24"/>
        <v>64</v>
      </c>
      <c r="AY29" s="108">
        <f>IF(ISERR(CEILING(FLOOR(NPER($D$19/12,-$AC$56,AW28),0.1),1))=TRUE,0,CEILING(FLOOR(NPER($D$19/12,-$AC$56,AW28),0.1),1))</f>
        <v>64</v>
      </c>
      <c r="AZ29" s="1047">
        <f t="shared" si="3"/>
        <v>45954</v>
      </c>
      <c r="BA29" s="108">
        <f t="shared" si="3"/>
        <v>14612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41" t="s">
        <v>445</v>
      </c>
      <c r="B30" s="863"/>
      <c r="C30" s="647">
        <v>12</v>
      </c>
      <c r="D30" s="647">
        <f>IF(D8="нет",0,12)</f>
        <v>12</v>
      </c>
      <c r="E30" s="1055">
        <f t="shared" si="20"/>
        <v>22</v>
      </c>
      <c r="F30" s="1056">
        <f t="shared" si="5"/>
        <v>45985</v>
      </c>
      <c r="G30" s="24">
        <f>IF(AND(E30&gt;=$T$14,E30&lt;=$T$14+5),$T$15,IF(AND(Q29+L30+H30&gt;G29,G29&lt;&gt;0),$C$29,IF(Q29=0,0,Q29+L30+H30+H31)))+IF(AND(E30=$C$10,$C$22&lt;&gt;"Нет"),MIN((I30-I30/$C$19*$C$23),Q29+H30-G29),0)</f>
        <v>14612</v>
      </c>
      <c r="H30" s="24">
        <f>IF(AND(E30&gt;=$T$14,E30&lt;=$T$14+5),0,IF($C$9&gt;$AC$52,ROUND(Q29*$C$19*((F30-DATE(YEAR(F30),MONTH(F30),1)+1)/(DATE(YEAR(F30)+1,1,1)-DATE(YEAR(F30),1,1))+(EOMONTH(F29,0)-F29)/(DATE(YEAR(F29)+1,1,1)-DATE(YEAR(F29),1,1))),2),0))</f>
        <v>12562.63</v>
      </c>
      <c r="I30" s="24">
        <f t="shared" si="19"/>
        <v>282114.27</v>
      </c>
      <c r="J30" s="24">
        <f>IF(E30=$C$10,MIN((I30-I30/$C$19*$C$23),Q29+H30-G29),0)</f>
        <v>0</v>
      </c>
      <c r="K30" s="24">
        <f t="shared" si="6"/>
        <v>2049.3700000000008</v>
      </c>
      <c r="L30" s="24">
        <f>IF(N30&gt;$C$29,$C$29-H30,IF(S30=0,0,O30))</f>
        <v>0</v>
      </c>
      <c r="M30" s="24">
        <f t="shared" si="21"/>
        <v>0</v>
      </c>
      <c r="N30" s="24">
        <f t="shared" si="11"/>
        <v>12562.63</v>
      </c>
      <c r="O30" s="24">
        <f t="shared" si="12"/>
        <v>0</v>
      </c>
      <c r="P30" s="24">
        <f t="shared" si="13"/>
        <v>0</v>
      </c>
      <c r="Q30" s="24">
        <f t="shared" si="7"/>
        <v>492649.26999999996</v>
      </c>
      <c r="R30" s="36">
        <f t="shared" si="22"/>
        <v>63</v>
      </c>
      <c r="S30" s="36">
        <f>IF(ISERR(CEILING(FLOOR(NPER($C$19/12,-$AA$56,Q29),0.1),1))=TRUE,0,CEILING(FLOOR(NPER($C$19/12,-$AA$56,Q29),0.1),1))</f>
        <v>68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14"/>
        <v>1</v>
      </c>
      <c r="AM30" s="1057">
        <f t="shared" si="23"/>
        <v>22</v>
      </c>
      <c r="AN30" s="1058">
        <f t="shared" si="8"/>
        <v>45985</v>
      </c>
      <c r="AO30" s="105">
        <f>IF(AX29=1,AR30+AP30+AQ30,IF(AW29+AR30+AP30&gt;AO29,$D$29,IF(AW29=0,0,AW29+AR30+AP30+AP62)))</f>
        <v>14612</v>
      </c>
      <c r="AP30" s="105">
        <f>IF(AND(E30&gt;=$T$14,E30&lt;=$T$14+5),0,IF($C$9&gt;$AC$52,ROUND(AW29*$D$19*((AN30-DATE(YEAR(AN30),MONTH(AN30),1)+1)/(DATE(YEAR(AN30)+1,1,1)-DATE(YEAR(AN30),1,1))+(EOMONTH(AN29,0)-AN29)/(DATE(YEAR(AN29)+1,1,1)-DATE(YEAR(AN29),1,1))),2),0))</f>
        <v>10789.21</v>
      </c>
      <c r="AQ30" s="105">
        <f t="shared" si="9"/>
        <v>3822.7900000000009</v>
      </c>
      <c r="AR30" s="105">
        <f>IF(AT30&gt;$D$29,$D$29-AP30,IF(AY30=0,0,AV30)+BN79)</f>
        <v>0</v>
      </c>
      <c r="AS30" s="105">
        <f t="shared" si="15"/>
        <v>0</v>
      </c>
      <c r="AT30" s="105">
        <f t="shared" si="16"/>
        <v>10789.21</v>
      </c>
      <c r="AU30" s="105">
        <f t="shared" si="17"/>
        <v>0</v>
      </c>
      <c r="AV30" s="105">
        <f t="shared" si="18"/>
        <v>0</v>
      </c>
      <c r="AW30" s="105">
        <f t="shared" si="10"/>
        <v>506354.87000000005</v>
      </c>
      <c r="AX30" s="108">
        <f t="shared" si="24"/>
        <v>63</v>
      </c>
      <c r="AY30" s="108">
        <f>IF(ISERR(CEILING(FLOOR(NPER($D$19/12,-$AC$56,AW29),0.1),1))=TRUE,0,CEILING(FLOOR(NPER($D$19/12,-$AC$56,AW29),0.1),1))</f>
        <v>63</v>
      </c>
      <c r="AZ30" s="1047">
        <f t="shared" si="3"/>
        <v>45985</v>
      </c>
      <c r="BA30" s="108">
        <f t="shared" si="3"/>
        <v>14612</v>
      </c>
    </row>
    <row r="31" spans="1:383" ht="21" customHeight="1" x14ac:dyDescent="0.2">
      <c r="A31" s="841" t="s">
        <v>100</v>
      </c>
      <c r="B31" s="842"/>
      <c r="C31" s="649">
        <f>AH66</f>
        <v>1.1900000000000001E-2</v>
      </c>
      <c r="D31" s="649"/>
      <c r="E31" s="1055">
        <f t="shared" si="20"/>
        <v>23</v>
      </c>
      <c r="F31" s="1056">
        <f t="shared" si="5"/>
        <v>46015</v>
      </c>
      <c r="G31" s="24">
        <f>IF(AND(E31&gt;=$T$14,E31&lt;=$T$14+5),$T$15,IF(AND(Q30+L31+H31&gt;G30,G30&lt;&gt;0),$C$29,IF(Q30=0,0,Q30+L31+H31+H32)))+IF(AND(E31=$C$10,$C$22&lt;&gt;"Нет"),MIN((I31-I31/$C$19*$C$23),Q30+H31-G30),0)</f>
        <v>14612</v>
      </c>
      <c r="H31" s="24">
        <f>IF(AND(E31&gt;=$T$14,E31&lt;=$T$14+5),0,IF($C$9&gt;$AC$52,ROUND(Q30*$C$19*((F31-DATE(YEAR(F31),MONTH(F31),1)+1)/(DATE(YEAR(F31)+1,1,1)-DATE(YEAR(F31),1,1))+(EOMONTH(F30,0)-F30)/(DATE(YEAR(F30)+1,1,1)-DATE(YEAR(F30),1,1))),2),0))</f>
        <v>12107.02</v>
      </c>
      <c r="I31" s="24">
        <f t="shared" si="19"/>
        <v>294221.29000000004</v>
      </c>
      <c r="J31" s="24">
        <f>IF(E31=$C$10,MIN((I31-I31/$C$19*$C$23),Q30+H31-G30),0)</f>
        <v>0</v>
      </c>
      <c r="K31" s="24">
        <f t="shared" si="6"/>
        <v>2504.9799999999996</v>
      </c>
      <c r="L31" s="24">
        <f>IF(N31&gt;$C$29,$C$29-H31,IF(S31=0,0,O31))</f>
        <v>0</v>
      </c>
      <c r="M31" s="24">
        <f t="shared" si="21"/>
        <v>0</v>
      </c>
      <c r="N31" s="24">
        <f t="shared" si="11"/>
        <v>12107.02</v>
      </c>
      <c r="O31" s="24">
        <f t="shared" si="12"/>
        <v>0</v>
      </c>
      <c r="P31" s="24">
        <f t="shared" si="13"/>
        <v>0</v>
      </c>
      <c r="Q31" s="24">
        <f t="shared" si="7"/>
        <v>490144.29</v>
      </c>
      <c r="R31" s="36">
        <f t="shared" si="22"/>
        <v>62</v>
      </c>
      <c r="S31" s="36">
        <f>IF(ISERR(CEILING(FLOOR(NPER($C$19/12,-$AA$56,Q30),0.1),1))=TRUE,0,CEILING(FLOOR(NPER($C$19/12,-$AA$56,Q30),0.1),1))</f>
        <v>67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14"/>
        <v>1</v>
      </c>
      <c r="AM31" s="1057">
        <f t="shared" si="23"/>
        <v>23</v>
      </c>
      <c r="AN31" s="1058">
        <f t="shared" si="8"/>
        <v>46015</v>
      </c>
      <c r="AO31" s="105">
        <f>IF(AX30=1,AR31+AP31+AQ31,IF(AW30+AR31+AP31&gt;AO30,$D$29,IF(AW30=0,0,AW30+AR31+AP31+AP63)))</f>
        <v>14612</v>
      </c>
      <c r="AP31" s="105">
        <f>IF(AND(E31&gt;=$T$14,E31&lt;=$T$14+5),0,IF($C$9&gt;$AC$52,ROUND(AW30*$D$19*((AN31-DATE(YEAR(AN31),MONTH(AN31),1)+1)/(DATE(YEAR(AN31)+1,1,1)-DATE(YEAR(AN31),1,1))+(EOMONTH(AN30,0)-AN30)/(DATE(YEAR(AN30)+1,1,1)-DATE(YEAR(AN30),1,1))),2),0))</f>
        <v>10362.93</v>
      </c>
      <c r="AQ31" s="105">
        <f t="shared" si="9"/>
        <v>4249.07</v>
      </c>
      <c r="AR31" s="105">
        <f>IF(AT31&gt;$D$29,$D$29-AP31,IF(AY31=0,0,AV31)+BN80)</f>
        <v>0</v>
      </c>
      <c r="AS31" s="105">
        <f t="shared" si="15"/>
        <v>0</v>
      </c>
      <c r="AT31" s="105">
        <f t="shared" si="16"/>
        <v>10362.93</v>
      </c>
      <c r="AU31" s="105">
        <f t="shared" si="17"/>
        <v>0</v>
      </c>
      <c r="AV31" s="105">
        <f t="shared" si="18"/>
        <v>0</v>
      </c>
      <c r="AW31" s="105">
        <f t="shared" si="10"/>
        <v>502105.80000000005</v>
      </c>
      <c r="AX31" s="108">
        <f t="shared" si="24"/>
        <v>62</v>
      </c>
      <c r="AY31" s="108">
        <f>IF(ISERR(CEILING(FLOOR(NPER($D$19/12,-$AC$56,AW30),0.1),1))=TRUE,0,CEILING(FLOOR(NPER($D$19/12,-$AC$56,AW30),0.1),1))</f>
        <v>62</v>
      </c>
      <c r="AZ31" s="1047">
        <f t="shared" si="3"/>
        <v>46015</v>
      </c>
      <c r="BA31" s="108">
        <f t="shared" si="3"/>
        <v>14612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41" t="s">
        <v>446</v>
      </c>
      <c r="B32" s="842"/>
      <c r="C32" s="650">
        <f>IF(C8="нет",0,AH67)</f>
        <v>0</v>
      </c>
      <c r="D32" s="650">
        <f>AH67</f>
        <v>71400</v>
      </c>
      <c r="E32" s="1055">
        <f t="shared" si="20"/>
        <v>24</v>
      </c>
      <c r="F32" s="1056">
        <f t="shared" si="5"/>
        <v>46046</v>
      </c>
      <c r="G32" s="24">
        <f>IF(AND(E32&gt;=$T$14,E32&lt;=$T$14+5),$T$15,IF(AND(Q31+L32+H32&gt;G31,G31&lt;&gt;0),$C$29,IF(Q31=0,0,Q31+L32+H32+H33)))+IF(AND(E32=$C$10,$C$22&lt;&gt;"Нет"),MIN((I32-I32/$C$19*$C$23),Q31+H32-G31),0)</f>
        <v>14612</v>
      </c>
      <c r="H32" s="24">
        <f>IF(AND(E32&gt;=$T$14,E32&lt;=$T$14+5),0,IF($C$9&gt;$AC$52,ROUND(Q31*$C$19*((F32-DATE(YEAR(F32),MONTH(F32),1)+1)/(DATE(YEAR(F32)+1,1,1)-DATE(YEAR(F32),1,1))+(EOMONTH(F31,0)-F31)/(DATE(YEAR(F31)+1,1,1)-DATE(YEAR(F31),1,1))),2),0))</f>
        <v>12446.98</v>
      </c>
      <c r="I32" s="24">
        <f t="shared" si="19"/>
        <v>306668.27</v>
      </c>
      <c r="J32" s="24">
        <f>IF(E32=$C$10,MIN((I32-I32/$C$19*$C$23),Q31+H32-G31),0)</f>
        <v>0</v>
      </c>
      <c r="K32" s="24">
        <f t="shared" si="6"/>
        <v>2165.0200000000004</v>
      </c>
      <c r="L32" s="24">
        <f>IF(N32&gt;$C$29,$C$29-H32,IF(S32=0,0,O32))</f>
        <v>0</v>
      </c>
      <c r="M32" s="24">
        <f t="shared" si="21"/>
        <v>0</v>
      </c>
      <c r="N32" s="24">
        <f t="shared" si="11"/>
        <v>12446.98</v>
      </c>
      <c r="O32" s="24">
        <f t="shared" si="12"/>
        <v>0</v>
      </c>
      <c r="P32" s="24">
        <f t="shared" si="13"/>
        <v>0</v>
      </c>
      <c r="Q32" s="24">
        <f t="shared" si="7"/>
        <v>487979.26999999996</v>
      </c>
      <c r="R32" s="36">
        <f t="shared" si="22"/>
        <v>61</v>
      </c>
      <c r="S32" s="36">
        <f>IF(ISERR(CEILING(FLOOR(NPER($C$19/12,-$AA$56,Q31),0.1),1))=TRUE,0,CEILING(FLOOR(NPER($C$19/12,-$AA$56,Q31),0.1),1))</f>
        <v>66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6.9000000000000006E-2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14"/>
        <v>1</v>
      </c>
      <c r="AM32" s="1057">
        <f t="shared" si="23"/>
        <v>24</v>
      </c>
      <c r="AN32" s="1058">
        <f t="shared" si="8"/>
        <v>46046</v>
      </c>
      <c r="AO32" s="105">
        <f>IF(AX31=1,AR32+AP32+AQ32,IF(AW31+AR32+AP32&gt;AO31,$D$29,IF(AW31=0,0,AW31+AR32+AP32+AP64)))</f>
        <v>14612</v>
      </c>
      <c r="AP32" s="105">
        <f>IF(AND(E32&gt;=$T$14,E32&lt;=$T$14+5),0,IF($C$9&gt;$AC$52,ROUND(AW31*$D$19*((AN32-DATE(YEAR(AN32),MONTH(AN32),1)+1)/(DATE(YEAR(AN32)+1,1,1)-DATE(YEAR(AN32),1,1))+(EOMONTH(AN31,0)-AN31)/(DATE(YEAR(AN31)+1,1,1)-DATE(YEAR(AN31),1,1))),2),0))</f>
        <v>10618.51</v>
      </c>
      <c r="AQ32" s="105">
        <f t="shared" si="9"/>
        <v>3993.49</v>
      </c>
      <c r="AR32" s="105">
        <f>IF(AT32&gt;$D$29,$D$29-AP32,IF(AY32=0,0,AV32)+BN81)</f>
        <v>0</v>
      </c>
      <c r="AS32" s="105">
        <f t="shared" si="15"/>
        <v>0</v>
      </c>
      <c r="AT32" s="105">
        <f t="shared" si="16"/>
        <v>10618.51</v>
      </c>
      <c r="AU32" s="105">
        <f t="shared" si="17"/>
        <v>0</v>
      </c>
      <c r="AV32" s="105">
        <f t="shared" si="18"/>
        <v>0</v>
      </c>
      <c r="AW32" s="105">
        <f t="shared" si="10"/>
        <v>498112.31000000006</v>
      </c>
      <c r="AX32" s="108">
        <f t="shared" si="24"/>
        <v>61</v>
      </c>
      <c r="AY32" s="108">
        <f>IF(ISERR(CEILING(FLOOR(NPER($D$19/12,-$AC$56,AW31),0.1),1))=TRUE,0,CEILING(FLOOR(NPER($D$19/12,-$AC$56,AW31),0.1),1))</f>
        <v>61</v>
      </c>
      <c r="AZ32" s="1047">
        <f t="shared" si="3"/>
        <v>46046</v>
      </c>
      <c r="BA32" s="108">
        <f t="shared" si="3"/>
        <v>14612</v>
      </c>
    </row>
    <row r="33" spans="1:1207" ht="19.5" customHeight="1" x14ac:dyDescent="0.2">
      <c r="A33" s="2" t="s">
        <v>447</v>
      </c>
      <c r="B33" s="1060" t="s">
        <v>35</v>
      </c>
      <c r="C33" s="2"/>
      <c r="D33" s="2"/>
      <c r="E33" s="1055">
        <f t="shared" si="20"/>
        <v>25</v>
      </c>
      <c r="F33" s="1056">
        <f t="shared" si="5"/>
        <v>46077</v>
      </c>
      <c r="G33" s="24">
        <f>IF(AND(E33&gt;=$T$14,E33&lt;=$T$14+5),$T$15,IF(AND(Q32+L33+H33&gt;G32,G32&lt;&gt;0),$C$29,IF(Q32=0,0,Q32+L33+H33+H34)))+IF(AND(E33=$C$10,$C$22&lt;&gt;"Нет"),MIN((I33-I33/$C$19*$C$23),Q32+H33-G32),0)</f>
        <v>14612</v>
      </c>
      <c r="H33" s="24">
        <f>IF(AND(E33&gt;=$T$14,E33&lt;=$T$14+5),0,IF($C$9&gt;$AC$52,ROUND(Q32*$C$19*((F33-DATE(YEAR(F33),MONTH(F33),1)+1)/(DATE(YEAR(F33)+1,1,1)-DATE(YEAR(F33),1,1))+(EOMONTH(F32,0)-F32)/(DATE(YEAR(F32)+1,1,1)-DATE(YEAR(F32),1,1))),2),0))</f>
        <v>12392</v>
      </c>
      <c r="I33" s="24">
        <f t="shared" si="19"/>
        <v>319060.27</v>
      </c>
      <c r="J33" s="24">
        <f>IF(E33=$C$10,MIN((I33-I33/$C$19*$C$23),Q32+H33-G32),0)</f>
        <v>0</v>
      </c>
      <c r="K33" s="24">
        <f t="shared" si="6"/>
        <v>2220</v>
      </c>
      <c r="L33" s="24">
        <f>IF(N33&gt;$C$29,$C$29-H33,IF(S33=0,0,O33))</f>
        <v>0</v>
      </c>
      <c r="M33" s="24">
        <f t="shared" si="21"/>
        <v>0</v>
      </c>
      <c r="N33" s="24">
        <f t="shared" si="11"/>
        <v>12392</v>
      </c>
      <c r="O33" s="24">
        <f t="shared" si="12"/>
        <v>0</v>
      </c>
      <c r="P33" s="24">
        <f t="shared" si="13"/>
        <v>0</v>
      </c>
      <c r="Q33" s="24">
        <f t="shared" si="7"/>
        <v>485759.26999999996</v>
      </c>
      <c r="R33" s="36">
        <f t="shared" si="22"/>
        <v>60</v>
      </c>
      <c r="S33" s="36">
        <f>IF(ISERR(CEILING(FLOOR(NPER($C$19/12,-$AA$56,Q32),0.1),1))=TRUE,0,CEILING(FLOOR(NPER($C$19/12,-$AA$56,Q32),0.1),1))</f>
        <v>66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14"/>
        <v>1</v>
      </c>
      <c r="AM33" s="1057">
        <f t="shared" si="23"/>
        <v>25</v>
      </c>
      <c r="AN33" s="1058">
        <f t="shared" si="8"/>
        <v>46077</v>
      </c>
      <c r="AO33" s="105">
        <f>IF(AX32=1,AR33+AP33+AQ33,IF(AW32+AR33+AP33&gt;AO32,$D$29,IF(AW32=0,0,AW32+AR33+AP33+AP65)))</f>
        <v>14612</v>
      </c>
      <c r="AP33" s="105">
        <f>IF(AND(E33&gt;=$T$14,E33&lt;=$T$14+5),0,IF($C$9&gt;$AC$52,ROUND(AW32*$D$19*((AN33-DATE(YEAR(AN33),MONTH(AN33),1)+1)/(DATE(YEAR(AN33)+1,1,1)-DATE(YEAR(AN33),1,1))+(EOMONTH(AN32,0)-AN32)/(DATE(YEAR(AN32)+1,1,1)-DATE(YEAR(AN32),1,1))),2),0))</f>
        <v>10534.05</v>
      </c>
      <c r="AQ33" s="105">
        <f t="shared" si="9"/>
        <v>4077.9500000000007</v>
      </c>
      <c r="AR33" s="105">
        <f>IF(AT33&gt;$D$29,$D$29-AP33,IF(AY33=0,0,AV33)+BN82)</f>
        <v>0</v>
      </c>
      <c r="AS33" s="105">
        <f t="shared" si="15"/>
        <v>0</v>
      </c>
      <c r="AT33" s="105">
        <f t="shared" si="16"/>
        <v>10534.05</v>
      </c>
      <c r="AU33" s="105">
        <f t="shared" si="17"/>
        <v>0</v>
      </c>
      <c r="AV33" s="105">
        <f t="shared" si="18"/>
        <v>0</v>
      </c>
      <c r="AW33" s="105">
        <f t="shared" si="10"/>
        <v>494034.36000000004</v>
      </c>
      <c r="AX33" s="108">
        <f t="shared" si="24"/>
        <v>60</v>
      </c>
      <c r="AY33" s="108">
        <f>IF(ISERR(CEILING(FLOOR(NPER($D$19/12,-$AC$56,AW32),0.1),1))=TRUE,0,CEILING(FLOOR(NPER($D$19/12,-$AC$56,AW32),0.1),1))</f>
        <v>60</v>
      </c>
      <c r="AZ33" s="1047">
        <f t="shared" si="3"/>
        <v>46077</v>
      </c>
      <c r="BA33" s="108">
        <f t="shared" si="3"/>
        <v>14612</v>
      </c>
      <c r="BD33" s="782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1060" t="s">
        <v>47</v>
      </c>
      <c r="C34" s="16"/>
      <c r="D34" s="16"/>
      <c r="E34" s="1055">
        <f t="shared" si="20"/>
        <v>26</v>
      </c>
      <c r="F34" s="1056">
        <f t="shared" si="5"/>
        <v>46105</v>
      </c>
      <c r="G34" s="24">
        <f>IF(AND(E34&gt;=$T$14,E34&lt;=$T$14+5),$T$15,IF(AND(Q33+L34+H34&gt;G33,G33&lt;&gt;0),$C$29,IF(Q33=0,0,Q33+L34+H34+H35)))+IF(AND(E34=$C$10,$C$22&lt;&gt;"Нет"),MIN((I34-I34/$C$19*$C$23),Q33+H34-G33),0)</f>
        <v>14612</v>
      </c>
      <c r="H34" s="24">
        <f>IF(AND(E34&gt;=$T$14,E34&lt;=$T$14+5),0,IF($C$9&gt;$AC$52,ROUND(Q33*$C$19*((F34-DATE(YEAR(F34),MONTH(F34),1)+1)/(DATE(YEAR(F34)+1,1,1)-DATE(YEAR(F34),1,1))+(EOMONTH(F33,0)-F33)/(DATE(YEAR(F33)+1,1,1)-DATE(YEAR(F33),1,1))),2),0))</f>
        <v>11141.85</v>
      </c>
      <c r="I34" s="24">
        <f t="shared" si="19"/>
        <v>330202.12</v>
      </c>
      <c r="J34" s="24">
        <f>IF(E34=$C$10,MIN((I34-I34/$C$19*$C$23),Q33+H34-G33),0)</f>
        <v>0</v>
      </c>
      <c r="K34" s="24">
        <f t="shared" si="6"/>
        <v>3470.1499999999996</v>
      </c>
      <c r="L34" s="24">
        <f>IF(N34&gt;$C$29,$C$29-H34,IF(S34=0,0,O34))</f>
        <v>0</v>
      </c>
      <c r="M34" s="24">
        <f t="shared" si="21"/>
        <v>0</v>
      </c>
      <c r="N34" s="24">
        <f t="shared" si="11"/>
        <v>11141.85</v>
      </c>
      <c r="O34" s="24">
        <f t="shared" si="12"/>
        <v>0</v>
      </c>
      <c r="P34" s="24">
        <f t="shared" si="13"/>
        <v>0</v>
      </c>
      <c r="Q34" s="24">
        <f t="shared" si="7"/>
        <v>482289.11999999994</v>
      </c>
      <c r="R34" s="36">
        <f t="shared" si="22"/>
        <v>59</v>
      </c>
      <c r="S34" s="36">
        <f>IF(ISERR(CEILING(FLOOR(NPER($C$19/12,-$AA$56,Q33),0.1),1))=TRUE,0,CEILING(FLOOR(NPER($C$19/12,-$AA$56,Q33),0.1),1))</f>
        <v>65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14"/>
        <v>1</v>
      </c>
      <c r="AM34" s="1057">
        <f t="shared" si="23"/>
        <v>26</v>
      </c>
      <c r="AN34" s="1058">
        <f t="shared" si="8"/>
        <v>46105</v>
      </c>
      <c r="AO34" s="105">
        <f>IF(AX33=1,AR34+AP34+AQ34,IF(AW33+AR34+AP34&gt;AO33,$D$29,IF(AW33=0,0,AW33+AR34+AP34+AP66)))</f>
        <v>14612</v>
      </c>
      <c r="AP34" s="105">
        <f>IF(AND(E34&gt;=$T$14,E34&lt;=$T$14+5),0,IF($C$9&gt;$AC$52,ROUND(AW33*$D$19*((AN34-DATE(YEAR(AN34),MONTH(AN34),1)+1)/(DATE(YEAR(AN34)+1,1,1)-DATE(YEAR(AN34),1,1))+(EOMONTH(AN33,0)-AN33)/(DATE(YEAR(AN33)+1,1,1)-DATE(YEAR(AN33),1,1))),2),0))</f>
        <v>9436.73</v>
      </c>
      <c r="AQ34" s="105">
        <f t="shared" si="9"/>
        <v>5175.2700000000004</v>
      </c>
      <c r="AR34" s="105">
        <f>IF(AT34&gt;$D$29,$D$29-AP34,IF(AY34=0,0,AV34)+BN83)</f>
        <v>0</v>
      </c>
      <c r="AS34" s="105">
        <f t="shared" si="15"/>
        <v>0</v>
      </c>
      <c r="AT34" s="105">
        <f t="shared" si="16"/>
        <v>9436.73</v>
      </c>
      <c r="AU34" s="105">
        <f t="shared" si="17"/>
        <v>0</v>
      </c>
      <c r="AV34" s="105">
        <f t="shared" si="18"/>
        <v>0</v>
      </c>
      <c r="AW34" s="105">
        <f t="shared" si="10"/>
        <v>488859.09</v>
      </c>
      <c r="AX34" s="108">
        <f t="shared" si="24"/>
        <v>59</v>
      </c>
      <c r="AY34" s="108">
        <f>IF(ISERR(CEILING(FLOOR(NPER($D$19/12,-$AC$56,AW33),0.1),1))=TRUE,0,CEILING(FLOOR(NPER($D$19/12,-$AC$56,AW33),0.1),1))</f>
        <v>59</v>
      </c>
      <c r="AZ34" s="1047">
        <f t="shared" si="3"/>
        <v>46105</v>
      </c>
      <c r="BA34" s="108">
        <f t="shared" si="3"/>
        <v>14612</v>
      </c>
      <c r="BD34" s="782"/>
    </row>
    <row r="35" spans="1:1207" ht="25.5" customHeight="1" x14ac:dyDescent="0.25">
      <c r="A35" s="2" t="s">
        <v>451</v>
      </c>
      <c r="B35" s="1060" t="s">
        <v>47</v>
      </c>
      <c r="C35" s="16"/>
      <c r="D35" s="16"/>
      <c r="E35" s="1055">
        <f t="shared" si="20"/>
        <v>27</v>
      </c>
      <c r="F35" s="1056">
        <f t="shared" si="5"/>
        <v>46136</v>
      </c>
      <c r="G35" s="24">
        <f>IF(AND(E35&gt;=$T$14,E35&lt;=$T$14+5),$T$15,IF(AND(Q34+L35+H35&gt;G34,G34&lt;&gt;0),$C$29,IF(Q34=0,0,Q34+L35+H35+H36)))+IF(AND(E35=$C$10,$C$22&lt;&gt;"Нет"),MIN((I35-I35/$C$19*$C$23),Q34+H35-G34),0)</f>
        <v>14612</v>
      </c>
      <c r="H35" s="24">
        <f>IF(AND(E35&gt;=$T$14,E35&lt;=$T$14+5),0,IF($C$9&gt;$AC$52,ROUND(Q34*$C$19*((F35-DATE(YEAR(F35),MONTH(F35),1)+1)/(DATE(YEAR(F35)+1,1,1)-DATE(YEAR(F35),1,1))+(EOMONTH(F34,0)-F34)/(DATE(YEAR(F34)+1,1,1)-DATE(YEAR(F34),1,1))),2),0))</f>
        <v>12247.5</v>
      </c>
      <c r="I35" s="24">
        <f t="shared" si="19"/>
        <v>342449.62</v>
      </c>
      <c r="J35" s="24">
        <f>IF(E35=$C$10,MIN((I35-I35/$C$19*$C$23),Q34+H35-G34),0)</f>
        <v>0</v>
      </c>
      <c r="K35" s="24">
        <f t="shared" si="6"/>
        <v>2364.5</v>
      </c>
      <c r="L35" s="24">
        <f>IF(N35&gt;$C$29,$C$29-H35,IF(S35=0,0,O35))</f>
        <v>0</v>
      </c>
      <c r="M35" s="24">
        <f t="shared" si="21"/>
        <v>0</v>
      </c>
      <c r="N35" s="24">
        <f t="shared" si="11"/>
        <v>12247.5</v>
      </c>
      <c r="O35" s="24">
        <f t="shared" si="12"/>
        <v>0</v>
      </c>
      <c r="P35" s="24">
        <f t="shared" si="13"/>
        <v>0</v>
      </c>
      <c r="Q35" s="24">
        <f t="shared" si="7"/>
        <v>479924.61999999994</v>
      </c>
      <c r="R35" s="36">
        <f t="shared" si="22"/>
        <v>58</v>
      </c>
      <c r="S35" s="36">
        <f>IF(ISERR(CEILING(FLOOR(NPER($C$19/12,-$AA$56,Q34),0.1),1))=TRUE,0,CEILING(FLOOR(NPER($C$19/12,-$AA$56,Q34),0.1),1))</f>
        <v>64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14"/>
        <v>1</v>
      </c>
      <c r="AM35" s="1057">
        <f t="shared" si="23"/>
        <v>27</v>
      </c>
      <c r="AN35" s="1058">
        <f t="shared" si="8"/>
        <v>46136</v>
      </c>
      <c r="AO35" s="105">
        <f>IF(AX34=1,AR35+AP35+AQ35,IF(AW34+AR35+AP35&gt;AO34,$D$29,IF(AW34=0,0,AW34+AR35+AP35+AP67)))</f>
        <v>14612</v>
      </c>
      <c r="AP35" s="105">
        <f>IF(AND(E35&gt;=$T$14,E35&lt;=$T$14+5),0,IF($C$9&gt;$AC$52,ROUND(AW34*$D$19*((AN35-DATE(YEAR(AN35),MONTH(AN35),1)+1)/(DATE(YEAR(AN35)+1,1,1)-DATE(YEAR(AN35),1,1))+(EOMONTH(AN34,0)-AN34)/(DATE(YEAR(AN34)+1,1,1)-DATE(YEAR(AN34),1,1))),2),0))</f>
        <v>10338.370000000001</v>
      </c>
      <c r="AQ35" s="105">
        <f t="shared" si="9"/>
        <v>4273.6299999999992</v>
      </c>
      <c r="AR35" s="105">
        <f>IF(AT35&gt;$D$29,$D$29-AP35,IF(AY35=0,0,AV35)+BN84)</f>
        <v>0</v>
      </c>
      <c r="AS35" s="105">
        <f t="shared" si="15"/>
        <v>0</v>
      </c>
      <c r="AT35" s="105">
        <f t="shared" si="16"/>
        <v>10338.370000000001</v>
      </c>
      <c r="AU35" s="105">
        <f t="shared" si="17"/>
        <v>0</v>
      </c>
      <c r="AV35" s="105">
        <f t="shared" si="18"/>
        <v>0</v>
      </c>
      <c r="AW35" s="105">
        <f t="shared" si="10"/>
        <v>484585.46</v>
      </c>
      <c r="AX35" s="108">
        <f t="shared" si="24"/>
        <v>58</v>
      </c>
      <c r="AY35" s="108">
        <f>IF(ISERR(CEILING(FLOOR(NPER($D$19/12,-$AC$56,AW34),0.1),1))=TRUE,0,CEILING(FLOOR(NPER($D$19/12,-$AC$56,AW34),0.1),1))</f>
        <v>58</v>
      </c>
      <c r="AZ35" s="1047">
        <f t="shared" si="3"/>
        <v>46136</v>
      </c>
      <c r="BA35" s="108">
        <f t="shared" si="3"/>
        <v>14612</v>
      </c>
      <c r="BD35" s="782"/>
    </row>
    <row r="36" spans="1:1207" ht="16.5" customHeight="1" x14ac:dyDescent="0.2">
      <c r="B36" s="16"/>
      <c r="C36" s="15"/>
      <c r="D36" s="15"/>
      <c r="E36" s="1055">
        <f t="shared" si="20"/>
        <v>28</v>
      </c>
      <c r="F36" s="1056">
        <f t="shared" si="5"/>
        <v>46166</v>
      </c>
      <c r="G36" s="24">
        <f>IF(AND(E36&gt;=$T$14,E36&lt;=$T$14+5),$T$15,IF(AND(Q35+L36+H36&gt;G35,G35&lt;&gt;0),$C$29,IF(Q35=0,0,Q35+L36+H36+H37)))+IF(AND(E36=$C$10,$C$22&lt;&gt;"Нет"),MIN((I36-I36/$C$19*$C$23),Q35+H36-G35),0)</f>
        <v>14612</v>
      </c>
      <c r="H36" s="24">
        <f>IF(AND(E36&gt;=$T$14,E36&lt;=$T$14+5),0,IF($C$9&gt;$AC$52,ROUND(Q35*$C$19*((F36-DATE(YEAR(F36),MONTH(F36),1)+1)/(DATE(YEAR(F36)+1,1,1)-DATE(YEAR(F36),1,1))+(EOMONTH(F35,0)-F35)/(DATE(YEAR(F35)+1,1,1)-DATE(YEAR(F35),1,1))),2),0))</f>
        <v>11794.31</v>
      </c>
      <c r="I36" s="24">
        <f t="shared" si="19"/>
        <v>354243.93</v>
      </c>
      <c r="J36" s="24">
        <f>IF(E36=$C$10,MIN((I36-I36/$C$19*$C$23),Q35+H36-G35),0)</f>
        <v>0</v>
      </c>
      <c r="K36" s="24">
        <f t="shared" si="6"/>
        <v>2817.6900000000005</v>
      </c>
      <c r="L36" s="24">
        <f>IF(N36&gt;$C$29,$C$29-H36,IF(S36=0,0,O36))</f>
        <v>0</v>
      </c>
      <c r="M36" s="24">
        <f t="shared" si="21"/>
        <v>0</v>
      </c>
      <c r="N36" s="24">
        <f t="shared" si="11"/>
        <v>11794.31</v>
      </c>
      <c r="O36" s="24">
        <f t="shared" si="12"/>
        <v>0</v>
      </c>
      <c r="P36" s="24">
        <f t="shared" si="13"/>
        <v>0</v>
      </c>
      <c r="Q36" s="24">
        <f t="shared" si="7"/>
        <v>477106.92999999993</v>
      </c>
      <c r="R36" s="36">
        <f t="shared" si="22"/>
        <v>57</v>
      </c>
      <c r="S36" s="36">
        <f>IF(ISERR(CEILING(FLOOR(NPER($C$19/12,-$AA$56,Q35),0.1),1))=TRUE,0,CEILING(FLOOR(NPER($C$19/12,-$AA$56,Q35),0.1),1))</f>
        <v>63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14"/>
        <v>1</v>
      </c>
      <c r="AM36" s="1057">
        <f t="shared" si="23"/>
        <v>28</v>
      </c>
      <c r="AN36" s="1058">
        <f t="shared" si="8"/>
        <v>46166</v>
      </c>
      <c r="AO36" s="105">
        <f>IF(AX35=1,AR36+AP36+AQ36,IF(AW35+AR36+AP36&gt;AO35,$D$29,IF(AW35=0,0,AW35+AR36+AP36+AP68)))</f>
        <v>14612</v>
      </c>
      <c r="AP36" s="105">
        <f>IF(AND(E36&gt;=$T$14,E36&lt;=$T$14+5),0,IF($C$9&gt;$AC$52,ROUND(AW35*$D$19*((AN36-DATE(YEAR(AN36),MONTH(AN36),1)+1)/(DATE(YEAR(AN36)+1,1,1)-DATE(YEAR(AN36),1,1))+(EOMONTH(AN35,0)-AN35)/(DATE(YEAR(AN35)+1,1,1)-DATE(YEAR(AN35),1,1))),2),0))</f>
        <v>9917.41</v>
      </c>
      <c r="AQ36" s="105">
        <f t="shared" si="9"/>
        <v>4694.59</v>
      </c>
      <c r="AR36" s="105">
        <f>IF(AT36&gt;$D$29,$D$29-AP36,IF(AY36=0,0,AV36)+BN85)</f>
        <v>0</v>
      </c>
      <c r="AS36" s="105">
        <f t="shared" si="15"/>
        <v>0</v>
      </c>
      <c r="AT36" s="105">
        <f t="shared" si="16"/>
        <v>9917.41</v>
      </c>
      <c r="AU36" s="105">
        <f t="shared" si="17"/>
        <v>0</v>
      </c>
      <c r="AV36" s="105">
        <f t="shared" si="18"/>
        <v>0</v>
      </c>
      <c r="AW36" s="105">
        <f t="shared" si="10"/>
        <v>479890.87</v>
      </c>
      <c r="AX36" s="108">
        <f t="shared" si="24"/>
        <v>57</v>
      </c>
      <c r="AY36" s="108">
        <f>IF(ISERR(CEILING(FLOOR(NPER($D$19/12,-$AC$56,AW35),0.1),1))=TRUE,0,CEILING(FLOOR(NPER($D$19/12,-$AC$56,AW35),0.1),1))</f>
        <v>57</v>
      </c>
      <c r="AZ36" s="1047">
        <f t="shared" si="3"/>
        <v>46166</v>
      </c>
      <c r="BA36" s="108">
        <f t="shared" si="3"/>
        <v>14612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055">
        <f t="shared" si="20"/>
        <v>29</v>
      </c>
      <c r="F37" s="1056">
        <f t="shared" si="5"/>
        <v>46197</v>
      </c>
      <c r="G37" s="24">
        <f>IF(AND(E37&gt;=$T$14,E37&lt;=$T$14+5),$T$15,IF(AND(Q36+L37+H37&gt;G36,G36&lt;&gt;0),$C$29,IF(Q36=0,0,Q36+L37+H37+H38)))+IF(AND(E37=$C$10,$C$22&lt;&gt;"Нет"),MIN((I37-I37/$C$19*$C$23),Q36+H37-G36),0)</f>
        <v>14612</v>
      </c>
      <c r="H37" s="24">
        <f>IF(AND(E37&gt;=$T$14,E37&lt;=$T$14+5),0,IF($C$9&gt;$AC$52,ROUND(Q36*$C$19*((F37-DATE(YEAR(F37),MONTH(F37),1)+1)/(DATE(YEAR(F37)+1,1,1)-DATE(YEAR(F37),1,1))+(EOMONTH(F36,0)-F36)/(DATE(YEAR(F36)+1,1,1)-DATE(YEAR(F36),1,1))),2),0))</f>
        <v>12115.9</v>
      </c>
      <c r="I37" s="24">
        <f t="shared" si="19"/>
        <v>366359.83</v>
      </c>
      <c r="J37" s="24">
        <f>IF(E37=$C$10,MIN((I37-I37/$C$19*$C$23),Q36+H37-G36),0)</f>
        <v>0</v>
      </c>
      <c r="K37" s="24">
        <f t="shared" si="6"/>
        <v>2496.1000000000004</v>
      </c>
      <c r="L37" s="24">
        <f>IF(N37&gt;$C$29,$C$29-H37,IF(S37=0,0,O37))</f>
        <v>0</v>
      </c>
      <c r="M37" s="24">
        <f t="shared" si="21"/>
        <v>0</v>
      </c>
      <c r="N37" s="24">
        <f t="shared" si="11"/>
        <v>12115.9</v>
      </c>
      <c r="O37" s="24">
        <f t="shared" si="12"/>
        <v>0</v>
      </c>
      <c r="P37" s="24">
        <f t="shared" si="13"/>
        <v>0</v>
      </c>
      <c r="Q37" s="24">
        <f t="shared" si="7"/>
        <v>474610.82999999996</v>
      </c>
      <c r="R37" s="36">
        <f t="shared" si="22"/>
        <v>56</v>
      </c>
      <c r="S37" s="36">
        <f>IF(ISERR(CEILING(FLOOR(NPER($C$19/12,-$AA$56,Q36),0.1),1))=TRUE,0,CEILING(FLOOR(NPER($C$19/12,-$AA$56,Q36),0.1),1))</f>
        <v>62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14"/>
        <v>1</v>
      </c>
      <c r="AM37" s="1057">
        <f t="shared" si="23"/>
        <v>29</v>
      </c>
      <c r="AN37" s="1058">
        <f t="shared" si="8"/>
        <v>46197</v>
      </c>
      <c r="AO37" s="105">
        <f>IF(AX36=1,AR37+AP37+AQ37,IF(AW36+AR37+AP37&gt;AO36,$D$29,IF(AW36=0,0,AW36+AR37+AP37+AP69)))</f>
        <v>14612</v>
      </c>
      <c r="AP37" s="105">
        <f>IF(AND(E37&gt;=$T$14,E37&lt;=$T$14+5),0,IF($C$9&gt;$AC$52,ROUND(AW36*$D$19*((AN37-DATE(YEAR(AN37),MONTH(AN37),1)+1)/(DATE(YEAR(AN37)+1,1,1)-DATE(YEAR(AN37),1,1))+(EOMONTH(AN36,0)-AN36)/(DATE(YEAR(AN36)+1,1,1)-DATE(YEAR(AN36),1,1))),2),0))</f>
        <v>10148.709999999999</v>
      </c>
      <c r="AQ37" s="105">
        <f t="shared" si="9"/>
        <v>4463.2900000000009</v>
      </c>
      <c r="AR37" s="105">
        <f>IF(AT37&gt;$D$29,$D$29-AP37,IF(AY37=0,0,AV37)+BN86)</f>
        <v>0</v>
      </c>
      <c r="AS37" s="105">
        <f t="shared" si="15"/>
        <v>0</v>
      </c>
      <c r="AT37" s="105">
        <f t="shared" si="16"/>
        <v>10148.709999999999</v>
      </c>
      <c r="AU37" s="105">
        <f t="shared" si="17"/>
        <v>0</v>
      </c>
      <c r="AV37" s="105">
        <f t="shared" si="18"/>
        <v>0</v>
      </c>
      <c r="AW37" s="105">
        <f t="shared" si="10"/>
        <v>475427.58</v>
      </c>
      <c r="AX37" s="108">
        <f t="shared" si="24"/>
        <v>56</v>
      </c>
      <c r="AY37" s="108">
        <f>IF(ISERR(CEILING(FLOOR(NPER($D$19/12,-$AC$56,AW36),0.1),1))=TRUE,0,CEILING(FLOOR(NPER($D$19/12,-$AC$56,AW36),0.1),1))</f>
        <v>56</v>
      </c>
      <c r="AZ37" s="1047">
        <f t="shared" si="3"/>
        <v>46197</v>
      </c>
      <c r="BA37" s="108">
        <f t="shared" si="3"/>
        <v>14612</v>
      </c>
    </row>
    <row r="38" spans="1:1207" s="16" customFormat="1" ht="16.5" customHeight="1" x14ac:dyDescent="0.2">
      <c r="A38" s="2"/>
      <c r="B38" s="2"/>
      <c r="C38" s="2"/>
      <c r="D38" s="2"/>
      <c r="E38" s="1055">
        <f t="shared" si="20"/>
        <v>30</v>
      </c>
      <c r="F38" s="1056">
        <f t="shared" si="5"/>
        <v>46227</v>
      </c>
      <c r="G38" s="24">
        <f>IF(AND(E38&gt;=$T$14,E38&lt;=$T$14+5),$T$15,IF(AND(Q37+L38+H38&gt;G37,G37&lt;&gt;0),$C$29,IF(Q37=0,0,Q37+L38+H38+H39)))+IF(AND(E38=$C$10,$C$22&lt;&gt;"Нет"),MIN((I38-I38/$C$19*$C$23),Q37+H38-G37),0)</f>
        <v>14612</v>
      </c>
      <c r="H38" s="24">
        <f>IF(AND(E38&gt;=$T$14,E38&lt;=$T$14+5),0,IF($C$9&gt;$AC$52,ROUND(Q37*$C$19*((F38-DATE(YEAR(F38),MONTH(F38),1)+1)/(DATE(YEAR(F38)+1,1,1)-DATE(YEAR(F38),1,1))+(EOMONTH(F37,0)-F37)/(DATE(YEAR(F37)+1,1,1)-DATE(YEAR(F37),1,1))),2),0))</f>
        <v>11663.72</v>
      </c>
      <c r="I38" s="24">
        <f t="shared" si="19"/>
        <v>378023.55</v>
      </c>
      <c r="J38" s="24">
        <f>IF(E38=$C$10,MIN((I38-I38/$C$19*$C$23),Q37+H38-G37),0)</f>
        <v>0</v>
      </c>
      <c r="K38" s="24">
        <f t="shared" si="6"/>
        <v>2948.2800000000007</v>
      </c>
      <c r="L38" s="24">
        <f>IF(N38&gt;$C$29,$C$29-H38,IF(S38=0,0,O38))</f>
        <v>0</v>
      </c>
      <c r="M38" s="24">
        <f t="shared" si="21"/>
        <v>0</v>
      </c>
      <c r="N38" s="24">
        <f t="shared" si="11"/>
        <v>11663.72</v>
      </c>
      <c r="O38" s="24">
        <f t="shared" si="12"/>
        <v>0</v>
      </c>
      <c r="P38" s="24">
        <f t="shared" si="13"/>
        <v>0</v>
      </c>
      <c r="Q38" s="24">
        <f t="shared" si="7"/>
        <v>471662.54999999993</v>
      </c>
      <c r="R38" s="36">
        <f t="shared" si="22"/>
        <v>55</v>
      </c>
      <c r="S38" s="36">
        <f>IF(ISERR(CEILING(FLOOR(NPER($C$19/12,-$AA$56,Q37),0.1),1))=TRUE,0,CEILING(FLOOR(NPER($C$19/12,-$AA$56,Q37),0.1),1))</f>
        <v>61</v>
      </c>
      <c r="T38" s="142">
        <v>199001</v>
      </c>
      <c r="U38" s="1071">
        <v>500000</v>
      </c>
      <c r="V38" s="142">
        <v>3499</v>
      </c>
      <c r="W38" s="1071">
        <v>4999</v>
      </c>
      <c r="X38" s="1071">
        <v>6999</v>
      </c>
      <c r="Y38" s="1071"/>
      <c r="Z38" s="1071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14"/>
        <v>1</v>
      </c>
      <c r="AM38" s="1057">
        <f t="shared" si="23"/>
        <v>30</v>
      </c>
      <c r="AN38" s="1058">
        <f t="shared" si="8"/>
        <v>46227</v>
      </c>
      <c r="AO38" s="105">
        <f>IF(AX37=1,AR38+AP38+AQ38,IF(AW37+AR38+AP38&gt;AO37,$D$29,IF(AW37=0,0,AW37+AR38+AP38+AP70)))</f>
        <v>14612</v>
      </c>
      <c r="AP38" s="105">
        <f>IF(AND(E38&gt;=$T$14,E38&lt;=$T$14+5),0,IF($C$9&gt;$AC$52,ROUND(AW37*$D$19*((AN38-DATE(YEAR(AN38),MONTH(AN38),1)+1)/(DATE(YEAR(AN38)+1,1,1)-DATE(YEAR(AN38),1,1))+(EOMONTH(AN37,0)-AN37)/(DATE(YEAR(AN37)+1,1,1)-DATE(YEAR(AN37),1,1))),2),0))</f>
        <v>9729.98</v>
      </c>
      <c r="AQ38" s="105">
        <f t="shared" si="9"/>
        <v>4882.0200000000004</v>
      </c>
      <c r="AR38" s="105">
        <f>IF(AT38&gt;$D$29,$D$29-AP38,IF(AY38=0,0,AV38)+BN87)</f>
        <v>0</v>
      </c>
      <c r="AS38" s="105">
        <f t="shared" si="15"/>
        <v>0</v>
      </c>
      <c r="AT38" s="105">
        <f t="shared" si="16"/>
        <v>9729.98</v>
      </c>
      <c r="AU38" s="105">
        <f t="shared" si="17"/>
        <v>0</v>
      </c>
      <c r="AV38" s="105">
        <f t="shared" si="18"/>
        <v>0</v>
      </c>
      <c r="AW38" s="105">
        <f t="shared" si="10"/>
        <v>470545.56</v>
      </c>
      <c r="AX38" s="108">
        <f t="shared" si="24"/>
        <v>55</v>
      </c>
      <c r="AY38" s="108">
        <f>IF(ISERR(CEILING(FLOOR(NPER($D$19/12,-$AC$56,AW37),0.1),1))=TRUE,0,CEILING(FLOOR(NPER($D$19/12,-$AC$56,AW37),0.1),1))</f>
        <v>55</v>
      </c>
      <c r="AZ38" s="1047">
        <f t="shared" si="3"/>
        <v>46227</v>
      </c>
      <c r="BA38" s="108">
        <f t="shared" si="3"/>
        <v>14612</v>
      </c>
    </row>
    <row r="39" spans="1:1207" s="16" customFormat="1" x14ac:dyDescent="0.2">
      <c r="A39" s="2"/>
      <c r="B39" s="2"/>
      <c r="C39" s="2"/>
      <c r="D39" s="2"/>
      <c r="E39" s="1055">
        <f t="shared" si="20"/>
        <v>31</v>
      </c>
      <c r="F39" s="1056">
        <f t="shared" si="5"/>
        <v>46258</v>
      </c>
      <c r="G39" s="24">
        <f>IF(AND(E39&gt;=$T$14,E39&lt;=$T$14+5),$T$15,IF(AND(Q38+L39+H39&gt;G38,G38&lt;&gt;0),$C$29,IF(Q38=0,0,Q38+L39+H39+H40)))+IF(AND(E39=$C$10,$C$22&lt;&gt;"Нет"),MIN((I39-I39/$C$19*$C$23),Q38+H39-G38),0)</f>
        <v>14612</v>
      </c>
      <c r="H39" s="24">
        <f>IF(AND(E39&gt;=$T$14,E39&lt;=$T$14+5),0,IF($C$9&gt;$AC$52,ROUND(Q38*$C$19*((F39-DATE(YEAR(F39),MONTH(F39),1)+1)/(DATE(YEAR(F39)+1,1,1)-DATE(YEAR(F39),1,1))+(EOMONTH(F38,0)-F38)/(DATE(YEAR(F38)+1,1,1)-DATE(YEAR(F38),1,1))),2),0))</f>
        <v>11977.64</v>
      </c>
      <c r="I39" s="24">
        <f t="shared" si="19"/>
        <v>390001.19</v>
      </c>
      <c r="J39" s="24">
        <f>IF(E39=$C$10,MIN((I39-I39/$C$19*$C$23),Q38+H39-G38),0)</f>
        <v>0</v>
      </c>
      <c r="K39" s="24">
        <f t="shared" si="6"/>
        <v>2634.3600000000006</v>
      </c>
      <c r="L39" s="24">
        <f>IF(N39&gt;$C$29,$C$29-H39,IF(S39=0,0,O39))</f>
        <v>0</v>
      </c>
      <c r="M39" s="24">
        <f t="shared" si="21"/>
        <v>0</v>
      </c>
      <c r="N39" s="24">
        <f t="shared" si="11"/>
        <v>11977.64</v>
      </c>
      <c r="O39" s="24">
        <f t="shared" si="12"/>
        <v>0</v>
      </c>
      <c r="P39" s="24">
        <f t="shared" si="13"/>
        <v>0</v>
      </c>
      <c r="Q39" s="24">
        <f t="shared" si="7"/>
        <v>469028.18999999994</v>
      </c>
      <c r="R39" s="36">
        <f t="shared" si="22"/>
        <v>54</v>
      </c>
      <c r="S39" s="36">
        <f>IF(ISERR(CEILING(FLOOR(NPER($C$19/12,-$AA$56,Q38),0.1),1))=TRUE,0,CEILING(FLOOR(NPER($C$19/12,-$AA$56,Q38),0.1),1))</f>
        <v>61</v>
      </c>
      <c r="T39" s="1071">
        <v>500001</v>
      </c>
      <c r="U39" s="142">
        <v>1000000</v>
      </c>
      <c r="V39" s="1071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14"/>
        <v>1</v>
      </c>
      <c r="AM39" s="1057">
        <f t="shared" si="23"/>
        <v>31</v>
      </c>
      <c r="AN39" s="1058">
        <f t="shared" si="8"/>
        <v>46258</v>
      </c>
      <c r="AO39" s="105">
        <f>IF(AX38=1,AR39+AP39+AQ39,IF(AW38+AR39+AP39&gt;AO38,$D$29,IF(AW38=0,0,AW38+AR39+AP39+AP71)))</f>
        <v>14612</v>
      </c>
      <c r="AP39" s="105">
        <f>IF(AND(E39&gt;=$T$14,E39&lt;=$T$14+5),0,IF($C$9&gt;$AC$52,ROUND(AW38*$D$19*((AN39-DATE(YEAR(AN39),MONTH(AN39),1)+1)/(DATE(YEAR(AN39)+1,1,1)-DATE(YEAR(AN39),1,1))+(EOMONTH(AN38,0)-AN38)/(DATE(YEAR(AN38)+1,1,1)-DATE(YEAR(AN38),1,1))),2),0))</f>
        <v>9951.07</v>
      </c>
      <c r="AQ39" s="105">
        <f t="shared" si="9"/>
        <v>4660.93</v>
      </c>
      <c r="AR39" s="105">
        <f>IF(AT39&gt;$D$29,$D$29-AP39,IF(AY39=0,0,AV39)+BN88)</f>
        <v>0</v>
      </c>
      <c r="AS39" s="105">
        <f t="shared" si="15"/>
        <v>0</v>
      </c>
      <c r="AT39" s="105">
        <f t="shared" si="16"/>
        <v>9951.07</v>
      </c>
      <c r="AU39" s="105">
        <f t="shared" si="17"/>
        <v>0</v>
      </c>
      <c r="AV39" s="105">
        <f t="shared" si="18"/>
        <v>0</v>
      </c>
      <c r="AW39" s="105">
        <f t="shared" si="10"/>
        <v>465884.63</v>
      </c>
      <c r="AX39" s="108">
        <f t="shared" si="24"/>
        <v>54</v>
      </c>
      <c r="AY39" s="108">
        <f>IF(ISERR(CEILING(FLOOR(NPER($D$19/12,-$AC$56,AW38),0.1),1))=TRUE,0,CEILING(FLOOR(NPER($D$19/12,-$AC$56,AW38),0.1),1))</f>
        <v>54</v>
      </c>
      <c r="AZ39" s="1047">
        <f t="shared" si="3"/>
        <v>46258</v>
      </c>
      <c r="BA39" s="108">
        <f t="shared" si="3"/>
        <v>14612</v>
      </c>
    </row>
    <row r="40" spans="1:1207" s="16" customFormat="1" x14ac:dyDescent="0.2">
      <c r="A40" s="2"/>
      <c r="B40" s="2"/>
      <c r="C40" s="2"/>
      <c r="D40" s="2"/>
      <c r="E40" s="1055">
        <f t="shared" si="20"/>
        <v>32</v>
      </c>
      <c r="F40" s="1056">
        <f t="shared" si="5"/>
        <v>46289</v>
      </c>
      <c r="G40" s="24">
        <f>IF(AND(E40&gt;=$T$14,E40&lt;=$T$14+5),$T$15,IF(AND(Q39+L40+H40&gt;G39,G39&lt;&gt;0),$C$29,IF(Q39=0,0,Q39+L40+H40+H41)))+IF(AND(E40=$C$10,$C$22&lt;&gt;"Нет"),MIN((I40-I40/$C$19*$C$23),Q39+H40-G39),0)</f>
        <v>14612</v>
      </c>
      <c r="H40" s="24">
        <f>IF(AND(E40&gt;=$T$14,E40&lt;=$T$14+5),0,IF($C$9&gt;$AC$52,ROUND(Q39*$C$19*((F40-DATE(YEAR(F40),MONTH(F40),1)+1)/(DATE(YEAR(F40)+1,1,1)-DATE(YEAR(F40),1,1))+(EOMONTH(F39,0)-F39)/(DATE(YEAR(F39)+1,1,1)-DATE(YEAR(F39),1,1))),2),0))</f>
        <v>11910.75</v>
      </c>
      <c r="I40" s="24">
        <f t="shared" si="19"/>
        <v>401911.94</v>
      </c>
      <c r="J40" s="24">
        <f>IF(E40=$C$10,MIN((I40-I40/$C$19*$C$23),Q39+H40-G39),0)</f>
        <v>0</v>
      </c>
      <c r="K40" s="24">
        <f t="shared" si="6"/>
        <v>2701.25</v>
      </c>
      <c r="L40" s="24">
        <f>IF(N40&gt;$C$29,$C$29-H40,IF(S40=0,0,O40))</f>
        <v>0</v>
      </c>
      <c r="M40" s="24">
        <f t="shared" si="21"/>
        <v>0</v>
      </c>
      <c r="N40" s="24">
        <f t="shared" si="11"/>
        <v>11910.75</v>
      </c>
      <c r="O40" s="24">
        <f t="shared" si="12"/>
        <v>0</v>
      </c>
      <c r="P40" s="24">
        <f t="shared" si="13"/>
        <v>0</v>
      </c>
      <c r="Q40" s="24">
        <f t="shared" si="7"/>
        <v>466326.93999999994</v>
      </c>
      <c r="R40" s="36">
        <f t="shared" si="22"/>
        <v>53</v>
      </c>
      <c r="S40" s="36">
        <f>IF(ISERR(CEILING(FLOOR(NPER($C$19/12,-$AA$56,Q39),0.1),1))=TRUE,0,CEILING(FLOOR(NPER($C$19/12,-$AA$56,Q39),0.1),1))</f>
        <v>60</v>
      </c>
      <c r="T40" s="142">
        <v>1000001</v>
      </c>
      <c r="U40" s="1071">
        <v>5000000</v>
      </c>
      <c r="V40" s="142">
        <v>6499</v>
      </c>
      <c r="W40" s="142">
        <v>8499</v>
      </c>
      <c r="X40" s="1071">
        <v>9999</v>
      </c>
      <c r="Y40" s="1071">
        <v>10999</v>
      </c>
      <c r="Z40" s="1071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14"/>
        <v>1</v>
      </c>
      <c r="AM40" s="1057">
        <f t="shared" si="23"/>
        <v>32</v>
      </c>
      <c r="AN40" s="1058">
        <f t="shared" si="8"/>
        <v>46289</v>
      </c>
      <c r="AO40" s="105">
        <f>IF(AX39=1,AR40+AP40+AQ40,IF(AW39+AR40+AP40&gt;AO39,$D$29,IF(AW39=0,0,AW39+AR40+AP40+AP72)))</f>
        <v>14612</v>
      </c>
      <c r="AP40" s="105">
        <f>IF(AND(E40&gt;=$T$14,E40&lt;=$T$14+5),0,IF($C$9&gt;$AC$52,ROUND(AW39*$D$19*((AN40-DATE(YEAR(AN40),MONTH(AN40),1)+1)/(DATE(YEAR(AN40)+1,1,1)-DATE(YEAR(AN40),1,1))+(EOMONTH(AN39,0)-AN39)/(DATE(YEAR(AN39)+1,1,1)-DATE(YEAR(AN39),1,1))),2),0))</f>
        <v>9852.5</v>
      </c>
      <c r="AQ40" s="105">
        <f t="shared" si="9"/>
        <v>4759.5</v>
      </c>
      <c r="AR40" s="105">
        <f>IF(AT40&gt;$D$29,$D$29-AP40,IF(AY40=0,0,AV40)+BN89)</f>
        <v>0</v>
      </c>
      <c r="AS40" s="105">
        <f t="shared" si="15"/>
        <v>0</v>
      </c>
      <c r="AT40" s="105">
        <f t="shared" si="16"/>
        <v>9852.5</v>
      </c>
      <c r="AU40" s="105">
        <f t="shared" si="17"/>
        <v>0</v>
      </c>
      <c r="AV40" s="105">
        <f t="shared" si="18"/>
        <v>0</v>
      </c>
      <c r="AW40" s="105">
        <f t="shared" si="10"/>
        <v>461125.13</v>
      </c>
      <c r="AX40" s="108">
        <f t="shared" si="24"/>
        <v>53</v>
      </c>
      <c r="AY40" s="108">
        <f>IF(ISERR(CEILING(FLOOR(NPER($D$19/12,-$AC$56,AW39),0.1),1))=TRUE,0,CEILING(FLOOR(NPER($D$19/12,-$AC$56,AW39),0.1),1))</f>
        <v>53</v>
      </c>
      <c r="AZ40" s="1047">
        <f t="shared" ref="AZ40:BA71" si="25">F40</f>
        <v>46289</v>
      </c>
      <c r="BA40" s="108">
        <f t="shared" si="25"/>
        <v>14612</v>
      </c>
    </row>
    <row r="41" spans="1:1207" s="16" customFormat="1" ht="28.5" customHeight="1" x14ac:dyDescent="0.2">
      <c r="A41" s="2"/>
      <c r="B41" s="2"/>
      <c r="C41" s="2"/>
      <c r="D41" s="2"/>
      <c r="E41" s="1055">
        <f t="shared" si="20"/>
        <v>33</v>
      </c>
      <c r="F41" s="1056">
        <f t="shared" si="5"/>
        <v>46319</v>
      </c>
      <c r="G41" s="24">
        <f>IF(AND(E41&gt;=$T$14,E41&lt;=$T$14+5),$T$15,IF(AND(Q40+L41+H41&gt;G40,G40&lt;&gt;0),$C$29,IF(Q40=0,0,Q40+L41+H41+H42)))+IF(AND(E41=$C$10,$C$22&lt;&gt;"Нет"),MIN((I41-I41/$C$19*$C$23),Q40+H41-G40),0)</f>
        <v>14612</v>
      </c>
      <c r="H41" s="24">
        <f>IF(AND(E41&gt;=$T$14,E41&lt;=$T$14+5),0,IF($C$9&gt;$AC$52,ROUND(Q40*$C$19*((F41-DATE(YEAR(F41),MONTH(F41),1)+1)/(DATE(YEAR(F41)+1,1,1)-DATE(YEAR(F41),1,1))+(EOMONTH(F40,0)-F40)/(DATE(YEAR(F40)+1,1,1)-DATE(YEAR(F40),1,1))),2),0))</f>
        <v>11460.14</v>
      </c>
      <c r="I41" s="24">
        <f t="shared" si="19"/>
        <v>413372.08</v>
      </c>
      <c r="J41" s="24">
        <f>IF(E41=$C$10,MIN((I41-I41/$C$19*$C$23),Q40+H41-G40),0)</f>
        <v>0</v>
      </c>
      <c r="K41" s="24">
        <f t="shared" si="6"/>
        <v>3151.8600000000006</v>
      </c>
      <c r="L41" s="24">
        <f>IF(N41&gt;$C$29,$C$29-H41,IF(S41=0,0,O41))</f>
        <v>0</v>
      </c>
      <c r="M41" s="24">
        <f t="shared" si="21"/>
        <v>0</v>
      </c>
      <c r="N41" s="24">
        <f t="shared" si="11"/>
        <v>11460.14</v>
      </c>
      <c r="O41" s="24">
        <f t="shared" si="12"/>
        <v>0</v>
      </c>
      <c r="P41" s="24">
        <f t="shared" si="13"/>
        <v>0</v>
      </c>
      <c r="Q41" s="24">
        <f t="shared" si="7"/>
        <v>463175.07999999996</v>
      </c>
      <c r="R41" s="36">
        <f t="shared" si="22"/>
        <v>52</v>
      </c>
      <c r="S41" s="36">
        <f>IF(ISERR(CEILING(FLOOR(NPER($C$19/12,-$AA$56,Q40),0.1),1))=TRUE,0,CEILING(FLOOR(NPER($C$19/12,-$AA$56,Q40),0.1),1))</f>
        <v>59</v>
      </c>
      <c r="T41" s="2">
        <f>IF(C11="Да",IF($C$10&gt;=Z35,Z41,IF($C$10&gt;=Y35,Y41,IF($C$10&gt;=X35,X41,IF($C$10&gt;=W35,W41,IF($C$10&gt;=W35,W41,V41))))),"")</f>
        <v>10999</v>
      </c>
      <c r="U41" s="2"/>
      <c r="V41" s="2">
        <f>IF($C$7&lt;$U$37,V37,IF($C$7&lt;$U$38,V38,IF($C$7&lt;$U$39,V39,V40)))</f>
        <v>4999</v>
      </c>
      <c r="W41" s="2">
        <f>IF($C$7&lt;$U$37,W37,IF($C$7&lt;$U$38,W38,IF($C$7&lt;$U$39,W39,W40)))</f>
        <v>6499</v>
      </c>
      <c r="X41" s="2">
        <f>IF($C$7&lt;$U$37,X37,IF($C$7&lt;$U$38,X38,IF($C$7&lt;$U$39,X39,X40)))</f>
        <v>8499</v>
      </c>
      <c r="Y41" s="2">
        <f>IF($C$7&lt;$U$37,Y37,IF($C$7&lt;$U$38,Y38,IF($C$7&lt;$U$39,Y39,Y40)))</f>
        <v>9499</v>
      </c>
      <c r="Z41" s="2">
        <f>IF($C$7&lt;$U$37,Z37,IF($C$7&lt;$U$38,Z38,IF($C$7&lt;$U$39,Z39,Z40)))</f>
        <v>10999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14"/>
        <v>1</v>
      </c>
      <c r="AM41" s="1057">
        <f t="shared" si="23"/>
        <v>33</v>
      </c>
      <c r="AN41" s="1058">
        <f t="shared" si="8"/>
        <v>46319</v>
      </c>
      <c r="AO41" s="105">
        <f>IF(AX40=1,AR41+AP41+AQ41,IF(AW40+AR41+AP41&gt;AO40,$D$29,IF(AW40=0,0,AW40+AR41+AP41+AP73)))</f>
        <v>14612</v>
      </c>
      <c r="AP41" s="105">
        <f>IF(AND(E41&gt;=$T$14,E41&lt;=$T$14+5),0,IF($C$9&gt;$AC$52,ROUND(AW40*$D$19*((AN41-DATE(YEAR(AN41),MONTH(AN41),1)+1)/(DATE(YEAR(AN41)+1,1,1)-DATE(YEAR(AN41),1,1))+(EOMONTH(AN40,0)-AN40)/(DATE(YEAR(AN40)+1,1,1)-DATE(YEAR(AN40),1,1))),2),0))</f>
        <v>9437.27</v>
      </c>
      <c r="AQ41" s="105">
        <f t="shared" si="9"/>
        <v>5174.7299999999996</v>
      </c>
      <c r="AR41" s="105">
        <f>IF(AT41&gt;$D$29,$D$29-AP41,IF(AY41=0,0,AV41)+BN90)</f>
        <v>0</v>
      </c>
      <c r="AS41" s="105">
        <f t="shared" si="15"/>
        <v>0</v>
      </c>
      <c r="AT41" s="105">
        <f t="shared" si="16"/>
        <v>9437.27</v>
      </c>
      <c r="AU41" s="105">
        <f t="shared" si="17"/>
        <v>0</v>
      </c>
      <c r="AV41" s="105">
        <f t="shared" si="18"/>
        <v>0</v>
      </c>
      <c r="AW41" s="105">
        <f t="shared" si="10"/>
        <v>455950.4</v>
      </c>
      <c r="AX41" s="108">
        <f t="shared" si="24"/>
        <v>52</v>
      </c>
      <c r="AY41" s="108">
        <f>IF(ISERR(CEILING(FLOOR(NPER($D$19/12,-$AC$56,AW40),0.1),1))=TRUE,0,CEILING(FLOOR(NPER($D$19/12,-$AC$56,AW40),0.1),1))</f>
        <v>52</v>
      </c>
      <c r="AZ41" s="1047">
        <f t="shared" si="25"/>
        <v>46319</v>
      </c>
      <c r="BA41" s="108">
        <f t="shared" si="25"/>
        <v>14612</v>
      </c>
    </row>
    <row r="42" spans="1:1207" s="16" customFormat="1" ht="12" x14ac:dyDescent="0.2">
      <c r="A42" s="2"/>
      <c r="B42" s="2"/>
      <c r="C42" s="130"/>
      <c r="D42" s="2"/>
      <c r="E42" s="1055">
        <f t="shared" si="20"/>
        <v>34</v>
      </c>
      <c r="F42" s="1056">
        <f t="shared" si="5"/>
        <v>46350</v>
      </c>
      <c r="G42" s="24">
        <f>IF(AND(E42&gt;=$T$14,E42&lt;=$T$14+5),$T$15,IF(AND(Q41+L42+H42&gt;G41,G41&lt;&gt;0),$C$29,IF(Q41=0,0,Q41+L42+H42+H43)))+IF(AND(E42=$C$10,$C$22&lt;&gt;"Нет"),MIN((I42-I42/$C$19*$C$23),Q41+H42-G41),0)</f>
        <v>14612</v>
      </c>
      <c r="H42" s="24">
        <f>IF(AND(E42&gt;=$T$14,E42&lt;=$T$14+5),0,IF($C$9&gt;$AC$52,ROUND(Q41*$C$19*((F42-DATE(YEAR(F42),MONTH(F42),1)+1)/(DATE(YEAR(F42)+1,1,1)-DATE(YEAR(F42),1,1))+(EOMONTH(F41,0)-F41)/(DATE(YEAR(F41)+1,1,1)-DATE(YEAR(F41),1,1))),2),0))</f>
        <v>11762.11</v>
      </c>
      <c r="I42" s="24">
        <f t="shared" si="19"/>
        <v>425134.19</v>
      </c>
      <c r="J42" s="24">
        <f>IF(E42=$C$10,MIN((I42-I42/$C$19*$C$23),Q41+H42-G41),0)</f>
        <v>0</v>
      </c>
      <c r="K42" s="24">
        <f t="shared" si="6"/>
        <v>2849.8899999999994</v>
      </c>
      <c r="L42" s="24">
        <f>IF(N42&gt;$C$29,$C$29-H42,IF(S42=0,0,O42))</f>
        <v>0</v>
      </c>
      <c r="M42" s="24">
        <f t="shared" si="21"/>
        <v>0</v>
      </c>
      <c r="N42" s="24">
        <f t="shared" si="11"/>
        <v>11762.11</v>
      </c>
      <c r="O42" s="24">
        <f t="shared" si="12"/>
        <v>0</v>
      </c>
      <c r="P42" s="24">
        <f t="shared" si="13"/>
        <v>0</v>
      </c>
      <c r="Q42" s="24">
        <f t="shared" si="7"/>
        <v>460325.18999999994</v>
      </c>
      <c r="R42" s="36">
        <f t="shared" si="22"/>
        <v>51</v>
      </c>
      <c r="S42" s="36">
        <f>IF(ISERR(CEILING(FLOOR(NPER($C$19/12,-$AA$56,Q41),0.1),1))=TRUE,0,CEILING(FLOOR(NPER($C$19/12,-$AA$56,Q41),0.1),1))</f>
        <v>58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14"/>
        <v>1</v>
      </c>
      <c r="AM42" s="1057">
        <f t="shared" si="23"/>
        <v>34</v>
      </c>
      <c r="AN42" s="1058">
        <f t="shared" si="8"/>
        <v>46350</v>
      </c>
      <c r="AO42" s="105">
        <f>IF(AX41=1,AR42+AP42+AQ42,IF(AW41+AR42+AP42&gt;AO41,$D$29,IF(AW41=0,0,AW41+AR42+AP42+AP74)))</f>
        <v>14612</v>
      </c>
      <c r="AP42" s="105">
        <f>IF(AND(E42&gt;=$T$14,E42&lt;=$T$14+5),0,IF($C$9&gt;$AC$52,ROUND(AW41*$D$19*((AN42-DATE(YEAR(AN42),MONTH(AN42),1)+1)/(DATE(YEAR(AN42)+1,1,1)-DATE(YEAR(AN42),1,1))+(EOMONTH(AN41,0)-AN41)/(DATE(YEAR(AN41)+1,1,1)-DATE(YEAR(AN41),1,1))),2),0))</f>
        <v>9642.41</v>
      </c>
      <c r="AQ42" s="105">
        <f t="shared" si="9"/>
        <v>4969.59</v>
      </c>
      <c r="AR42" s="105">
        <f>IF(AT42&gt;$D$29,$D$29-AP42,IF(AY42=0,0,AV42)+BN91)</f>
        <v>0</v>
      </c>
      <c r="AS42" s="105">
        <f t="shared" si="15"/>
        <v>0</v>
      </c>
      <c r="AT42" s="105">
        <f t="shared" si="16"/>
        <v>9642.41</v>
      </c>
      <c r="AU42" s="105">
        <f t="shared" si="17"/>
        <v>0</v>
      </c>
      <c r="AV42" s="105">
        <f t="shared" si="18"/>
        <v>0</v>
      </c>
      <c r="AW42" s="105">
        <f t="shared" si="10"/>
        <v>450980.81</v>
      </c>
      <c r="AX42" s="108">
        <f t="shared" si="24"/>
        <v>51</v>
      </c>
      <c r="AY42" s="108">
        <f>IF(ISERR(CEILING(FLOOR(NPER($D$19/12,-$AC$56,AW41),0.1),1))=TRUE,0,CEILING(FLOOR(NPER($D$19/12,-$AC$56,AW41),0.1),1))</f>
        <v>51</v>
      </c>
      <c r="AZ42" s="1047">
        <f t="shared" si="25"/>
        <v>46350</v>
      </c>
      <c r="BA42" s="108">
        <f t="shared" si="25"/>
        <v>14612</v>
      </c>
    </row>
    <row r="43" spans="1:1207" s="16" customFormat="1" ht="12" x14ac:dyDescent="0.2">
      <c r="A43" s="2"/>
      <c r="B43" s="2"/>
      <c r="C43" s="2"/>
      <c r="D43" s="2"/>
      <c r="E43" s="1055">
        <f t="shared" si="20"/>
        <v>35</v>
      </c>
      <c r="F43" s="1056">
        <f t="shared" si="5"/>
        <v>46380</v>
      </c>
      <c r="G43" s="24">
        <f>IF(AND(E43&gt;=$T$14,E43&lt;=$T$14+5),$T$15,IF(AND(Q42+L43+H43&gt;G42,G42&lt;&gt;0),$C$29,IF(Q42=0,0,Q42+L43+H43+H44)))+IF(AND(E43=$C$10,$C$22&lt;&gt;"Нет"),MIN((I43-I43/$C$19*$C$23),Q42+H43-G42),0)</f>
        <v>14612</v>
      </c>
      <c r="H43" s="24">
        <f>IF(AND(E43&gt;=$T$14,E43&lt;=$T$14+5),0,IF($C$9&gt;$AC$52,ROUND(Q42*$C$19*((F43-DATE(YEAR(F43),MONTH(F43),1)+1)/(DATE(YEAR(F43)+1,1,1)-DATE(YEAR(F43),1,1))+(EOMONTH(F42,0)-F42)/(DATE(YEAR(F42)+1,1,1)-DATE(YEAR(F42),1,1))),2),0))</f>
        <v>11312.65</v>
      </c>
      <c r="I43" s="24">
        <f t="shared" si="19"/>
        <v>436446.84</v>
      </c>
      <c r="J43" s="24">
        <f>IF(E43=$C$10,MIN((I43-I43/$C$19*$C$23),Q42+H43-G42),0)</f>
        <v>0</v>
      </c>
      <c r="K43" s="24">
        <f t="shared" si="6"/>
        <v>3299.3500000000004</v>
      </c>
      <c r="L43" s="24">
        <f>IF(N43&gt;$C$29,$C$29-H43,IF(S43=0,0,O43))</f>
        <v>0</v>
      </c>
      <c r="M43" s="24">
        <f t="shared" si="21"/>
        <v>0</v>
      </c>
      <c r="N43" s="24">
        <f t="shared" si="11"/>
        <v>11312.65</v>
      </c>
      <c r="O43" s="24">
        <f t="shared" si="12"/>
        <v>0</v>
      </c>
      <c r="P43" s="24">
        <f t="shared" si="13"/>
        <v>0</v>
      </c>
      <c r="Q43" s="24">
        <f t="shared" si="7"/>
        <v>457025.83999999997</v>
      </c>
      <c r="R43" s="36">
        <f t="shared" si="22"/>
        <v>50</v>
      </c>
      <c r="S43" s="36">
        <f>IF(ISERR(CEILING(FLOOR(NPER($C$19/12,-$AA$56,Q42),0.1),1))=TRUE,0,CEILING(FLOOR(NPER($C$19/12,-$AA$56,Q42),0.1),1))</f>
        <v>57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14"/>
        <v>1</v>
      </c>
      <c r="AM43" s="1057">
        <f t="shared" si="23"/>
        <v>35</v>
      </c>
      <c r="AN43" s="1058">
        <f t="shared" si="8"/>
        <v>46380</v>
      </c>
      <c r="AO43" s="105">
        <f>IF(AX42=1,AR43+AP43+AQ43,IF(AW42+AR43+AP43&gt;AO42,$D$29,IF(AW42=0,0,AW42+AR43+AP43+AP75)))</f>
        <v>14612</v>
      </c>
      <c r="AP43" s="105">
        <f>IF(AND(E43&gt;=$T$14,E43&lt;=$T$14+5),0,IF($C$9&gt;$AC$52,ROUND(AW42*$D$19*((AN43-DATE(YEAR(AN43),MONTH(AN43),1)+1)/(DATE(YEAR(AN43)+1,1,1)-DATE(YEAR(AN43),1,1))+(EOMONTH(AN42,0)-AN42)/(DATE(YEAR(AN42)+1,1,1)-DATE(YEAR(AN42),1,1))),2),0))</f>
        <v>9229.66</v>
      </c>
      <c r="AQ43" s="105">
        <f t="shared" si="9"/>
        <v>5382.34</v>
      </c>
      <c r="AR43" s="105">
        <f>IF(AT43&gt;$D$29,$D$29-AP43,IF(AY43=0,0,AV43)+BN92)</f>
        <v>0</v>
      </c>
      <c r="AS43" s="105">
        <f t="shared" si="15"/>
        <v>0</v>
      </c>
      <c r="AT43" s="105">
        <f t="shared" si="16"/>
        <v>9229.66</v>
      </c>
      <c r="AU43" s="105">
        <f t="shared" si="17"/>
        <v>0</v>
      </c>
      <c r="AV43" s="105">
        <f t="shared" si="18"/>
        <v>0</v>
      </c>
      <c r="AW43" s="105">
        <f t="shared" si="10"/>
        <v>445598.47</v>
      </c>
      <c r="AX43" s="108">
        <f t="shared" si="24"/>
        <v>50</v>
      </c>
      <c r="AY43" s="108">
        <f>IF(ISERR(CEILING(FLOOR(NPER($D$19/12,-$AC$56,AW42),0.1),1))=TRUE,0,CEILING(FLOOR(NPER($D$19/12,-$AC$56,AW42),0.1),1))</f>
        <v>50</v>
      </c>
      <c r="AZ43" s="1047">
        <f t="shared" si="25"/>
        <v>46380</v>
      </c>
      <c r="BA43" s="108">
        <f t="shared" si="25"/>
        <v>14612</v>
      </c>
    </row>
    <row r="44" spans="1:1207" s="16" customFormat="1" x14ac:dyDescent="0.2">
      <c r="A44" s="2"/>
      <c r="B44" s="2"/>
      <c r="C44" s="13"/>
      <c r="D44" s="13"/>
      <c r="E44" s="1055">
        <f t="shared" si="20"/>
        <v>36</v>
      </c>
      <c r="F44" s="1056">
        <f t="shared" si="5"/>
        <v>46411</v>
      </c>
      <c r="G44" s="24">
        <f>IF(AND(E44&gt;=$T$14,E44&lt;=$T$14+5),$T$15,IF(AND(Q43+L44+H44&gt;G43,G43&lt;&gt;0),$C$29,IF(Q43=0,0,Q43+L44+H44+H45)))+IF(AND(E44=$C$10,$C$22&lt;&gt;"Нет"),MIN((I44-I44/$C$19*$C$23),Q43+H44-G43),0)</f>
        <v>14612</v>
      </c>
      <c r="H44" s="24">
        <f>IF(AND(E44&gt;=$T$14,E44&lt;=$T$14+5),0,IF($C$9&gt;$AC$52,ROUND(Q43*$C$19*((F44-DATE(YEAR(F44),MONTH(F44),1)+1)/(DATE(YEAR(F44)+1,1,1)-DATE(YEAR(F44),1,1))+(EOMONTH(F43,0)-F43)/(DATE(YEAR(F43)+1,1,1)-DATE(YEAR(F43),1,1))),2),0))</f>
        <v>11605.95</v>
      </c>
      <c r="I44" s="24">
        <f t="shared" si="19"/>
        <v>448052.79000000004</v>
      </c>
      <c r="J44" s="24">
        <f>IF(E44=$C$10,MIN((I44-I44/$C$19*$C$23),Q43+H44-G43),0)</f>
        <v>0</v>
      </c>
      <c r="K44" s="24">
        <f t="shared" si="6"/>
        <v>3006.0499999999993</v>
      </c>
      <c r="L44" s="24">
        <f>IF(N44&gt;$C$29,$C$29-H44,IF(S44=0,0,O44))</f>
        <v>0</v>
      </c>
      <c r="M44" s="24">
        <f t="shared" si="21"/>
        <v>0</v>
      </c>
      <c r="N44" s="24">
        <f t="shared" si="11"/>
        <v>11605.95</v>
      </c>
      <c r="O44" s="24">
        <f t="shared" si="12"/>
        <v>0</v>
      </c>
      <c r="P44" s="24">
        <f t="shared" si="13"/>
        <v>0</v>
      </c>
      <c r="Q44" s="24">
        <f t="shared" si="7"/>
        <v>454019.79</v>
      </c>
      <c r="R44" s="36">
        <f t="shared" si="22"/>
        <v>49</v>
      </c>
      <c r="S44" s="36">
        <f>IF(ISERR(CEILING(FLOOR(NPER($C$19/12,-$AA$56,Q43),0.1),1))=TRUE,0,CEILING(FLOOR(NPER($C$19/12,-$AA$56,Q43),0.1),1))</f>
        <v>56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14"/>
        <v>1</v>
      </c>
      <c r="AM44" s="1057">
        <f t="shared" si="23"/>
        <v>36</v>
      </c>
      <c r="AN44" s="1058">
        <f t="shared" si="8"/>
        <v>46411</v>
      </c>
      <c r="AO44" s="105">
        <f>IF(AX43=1,AR44+AP44+AQ44,IF(AW43+AR44+AP44&gt;AO43,$D$29,IF(AW43=0,0,AW43+AR44+AP44+AP76)))</f>
        <v>14612</v>
      </c>
      <c r="AP44" s="105">
        <f>IF(AND(E44&gt;=$T$14,E44&lt;=$T$14+5),0,IF($C$9&gt;$AC$52,ROUND(AW43*$D$19*((AN44-DATE(YEAR(AN44),MONTH(AN44),1)+1)/(DATE(YEAR(AN44)+1,1,1)-DATE(YEAR(AN44),1,1))+(EOMONTH(AN43,0)-AN43)/(DATE(YEAR(AN43)+1,1,1)-DATE(YEAR(AN43),1,1))),2),0))</f>
        <v>9423.49</v>
      </c>
      <c r="AQ44" s="105">
        <f t="shared" si="9"/>
        <v>5188.51</v>
      </c>
      <c r="AR44" s="105">
        <f>IF(AT44&gt;$D$29,$D$29-AP44,IF(AY44=0,0,AV44)+BN93)</f>
        <v>0</v>
      </c>
      <c r="AS44" s="105">
        <f t="shared" si="15"/>
        <v>0</v>
      </c>
      <c r="AT44" s="105">
        <f t="shared" si="16"/>
        <v>9423.49</v>
      </c>
      <c r="AU44" s="105">
        <f t="shared" si="17"/>
        <v>0</v>
      </c>
      <c r="AV44" s="105">
        <f t="shared" si="18"/>
        <v>0</v>
      </c>
      <c r="AW44" s="105">
        <f t="shared" si="10"/>
        <v>440409.95999999996</v>
      </c>
      <c r="AX44" s="108">
        <f t="shared" si="24"/>
        <v>49</v>
      </c>
      <c r="AY44" s="108">
        <f>IF(ISERR(CEILING(FLOOR(NPER($D$19/12,-$AC$56,AW43),0.1),1))=TRUE,0,CEILING(FLOOR(NPER($D$19/12,-$AC$56,AW43),0.1),1))</f>
        <v>49</v>
      </c>
      <c r="AZ44" s="1047">
        <f t="shared" si="25"/>
        <v>46411</v>
      </c>
      <c r="BA44" s="108">
        <f t="shared" si="25"/>
        <v>14612</v>
      </c>
    </row>
    <row r="45" spans="1:1207" s="16" customFormat="1" x14ac:dyDescent="0.2">
      <c r="A45" s="2"/>
      <c r="B45" s="46"/>
      <c r="C45" s="13"/>
      <c r="D45" s="13"/>
      <c r="E45" s="1055">
        <f t="shared" si="20"/>
        <v>37</v>
      </c>
      <c r="F45" s="1056">
        <f t="shared" si="5"/>
        <v>46442</v>
      </c>
      <c r="G45" s="24">
        <f>IF(AND(E45&gt;=$T$14,E45&lt;=$T$14+5),$T$15,IF(AND(Q44+L45+H45&gt;G44,G44&lt;&gt;0),$C$29,IF(Q44=0,0,Q44+L45+H45+H46)))+IF(AND(E45=$C$10,$C$22&lt;&gt;"Нет"),MIN((I45-I45/$C$19*$C$23),Q44+H45-G44),0)</f>
        <v>14612</v>
      </c>
      <c r="H45" s="24">
        <f>IF(AND(E45&gt;=$T$14,E45&lt;=$T$14+5),0,IF($C$9&gt;$AC$52,ROUND(Q44*$C$19*((F45-DATE(YEAR(F45),MONTH(F45),1)+1)/(DATE(YEAR(F45)+1,1,1)-DATE(YEAR(F45),1,1))+(EOMONTH(F44,0)-F44)/(DATE(YEAR(F44)+1,1,1)-DATE(YEAR(F44),1,1))),2),0))</f>
        <v>11529.61</v>
      </c>
      <c r="I45" s="24">
        <f t="shared" si="19"/>
        <v>459582.4</v>
      </c>
      <c r="J45" s="24">
        <f>IF(E45=$C$10,MIN((I45-I45/$C$19*$C$23),Q44+H45-G44),0)</f>
        <v>0</v>
      </c>
      <c r="K45" s="24">
        <f t="shared" si="6"/>
        <v>3082.3899999999994</v>
      </c>
      <c r="L45" s="24">
        <f>IF(N45&gt;$C$29,$C$29-H45,IF(S45=0,0,O45))</f>
        <v>0</v>
      </c>
      <c r="M45" s="24">
        <f t="shared" si="21"/>
        <v>0</v>
      </c>
      <c r="N45" s="24">
        <f t="shared" si="11"/>
        <v>11529.61</v>
      </c>
      <c r="O45" s="24">
        <f t="shared" si="12"/>
        <v>0</v>
      </c>
      <c r="P45" s="24">
        <f t="shared" si="13"/>
        <v>0</v>
      </c>
      <c r="Q45" s="24">
        <f t="shared" si="7"/>
        <v>450937.39999999997</v>
      </c>
      <c r="R45" s="36">
        <f t="shared" si="22"/>
        <v>48</v>
      </c>
      <c r="S45" s="36">
        <f>IF(ISERR(CEILING(FLOOR(NPER($C$19/12,-$AA$56,Q44),0.1),1))=TRUE,0,CEILING(FLOOR(NPER($C$19/12,-$AA$56,Q44),0.1),1))</f>
        <v>56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14"/>
        <v>1</v>
      </c>
      <c r="AM45" s="1057">
        <f t="shared" si="23"/>
        <v>37</v>
      </c>
      <c r="AN45" s="1058">
        <f t="shared" si="8"/>
        <v>46442</v>
      </c>
      <c r="AO45" s="105">
        <f>IF(AX44=1,AR45+AP45+AQ45,IF(AW44+AR45+AP45&gt;AO44,$D$29,IF(AW44=0,0,AW44+AR45+AP45+AP77)))</f>
        <v>14612</v>
      </c>
      <c r="AP45" s="105">
        <f>IF(AND(E45&gt;=$T$14,E45&lt;=$T$14+5),0,IF($C$9&gt;$AC$52,ROUND(AW44*$D$19*((AN45-DATE(YEAR(AN45),MONTH(AN45),1)+1)/(DATE(YEAR(AN45)+1,1,1)-DATE(YEAR(AN45),1,1))+(EOMONTH(AN44,0)-AN44)/(DATE(YEAR(AN44)+1,1,1)-DATE(YEAR(AN44),1,1))),2),0))</f>
        <v>9313.77</v>
      </c>
      <c r="AQ45" s="105">
        <f t="shared" si="9"/>
        <v>5298.23</v>
      </c>
      <c r="AR45" s="105">
        <f>IF(AT45&gt;$D$29,$D$29-AP45,IF(AY45=0,0,AV45)+BN94)</f>
        <v>0</v>
      </c>
      <c r="AS45" s="105">
        <f t="shared" si="15"/>
        <v>0</v>
      </c>
      <c r="AT45" s="105">
        <f t="shared" si="16"/>
        <v>9313.77</v>
      </c>
      <c r="AU45" s="105">
        <f t="shared" si="17"/>
        <v>0</v>
      </c>
      <c r="AV45" s="105">
        <f t="shared" si="18"/>
        <v>0</v>
      </c>
      <c r="AW45" s="105">
        <f t="shared" si="10"/>
        <v>435111.73</v>
      </c>
      <c r="AX45" s="108">
        <f t="shared" si="24"/>
        <v>48</v>
      </c>
      <c r="AY45" s="108">
        <f>IF(ISERR(CEILING(FLOOR(NPER($D$19/12,-$AC$56,AW44),0.1),1))=TRUE,0,CEILING(FLOOR(NPER($D$19/12,-$AC$56,AW44),0.1),1))</f>
        <v>48</v>
      </c>
      <c r="AZ45" s="1047">
        <f t="shared" si="25"/>
        <v>46442</v>
      </c>
      <c r="BA45" s="108">
        <f t="shared" si="25"/>
        <v>14612</v>
      </c>
    </row>
    <row r="46" spans="1:1207" s="16" customFormat="1" x14ac:dyDescent="0.2">
      <c r="A46" s="2"/>
      <c r="B46" s="607"/>
      <c r="C46" s="13"/>
      <c r="D46" s="13"/>
      <c r="E46" s="1055">
        <f t="shared" si="20"/>
        <v>38</v>
      </c>
      <c r="F46" s="1056">
        <f t="shared" si="5"/>
        <v>46470</v>
      </c>
      <c r="G46" s="24">
        <f>IF(AND(E46&gt;=$T$14,E46&lt;=$T$14+5),$T$15,IF(AND(Q45+L46+H46&gt;G45,G45&lt;&gt;0),$C$29,IF(Q45=0,0,Q45+L46+H46+H47)))+IF(AND(E46=$C$10,$C$22&lt;&gt;"Нет"),MIN((I46-I46/$C$19*$C$23),Q45+H46-G45),0)</f>
        <v>14612</v>
      </c>
      <c r="H46" s="24">
        <f>IF(AND(E46&gt;=$T$14,E46&lt;=$T$14+5),0,IF($C$9&gt;$AC$52,ROUND(Q45*$C$19*((F46-DATE(YEAR(F46),MONTH(F46),1)+1)/(DATE(YEAR(F46)+1,1,1)-DATE(YEAR(F46),1,1))+(EOMONTH(F45,0)-F45)/(DATE(YEAR(F45)+1,1,1)-DATE(YEAR(F45),1,1))),2),0))</f>
        <v>10343.14</v>
      </c>
      <c r="I46" s="24">
        <f t="shared" si="19"/>
        <v>469925.54000000004</v>
      </c>
      <c r="J46" s="24">
        <f>IF(E46=$C$10,MIN((I46-I46/$C$19*$C$23),Q45+H46-G45),0)</f>
        <v>0</v>
      </c>
      <c r="K46" s="24">
        <f t="shared" si="6"/>
        <v>4268.8600000000006</v>
      </c>
      <c r="L46" s="24">
        <f>IF(N46&gt;$C$29,$C$29-H46,IF(S46=0,0,O46))</f>
        <v>0</v>
      </c>
      <c r="M46" s="24">
        <f t="shared" si="21"/>
        <v>0</v>
      </c>
      <c r="N46" s="24">
        <f t="shared" si="11"/>
        <v>10343.14</v>
      </c>
      <c r="O46" s="24">
        <f t="shared" si="12"/>
        <v>0</v>
      </c>
      <c r="P46" s="24">
        <f t="shared" si="13"/>
        <v>0</v>
      </c>
      <c r="Q46" s="24">
        <f t="shared" si="7"/>
        <v>446668.54</v>
      </c>
      <c r="R46" s="36">
        <f t="shared" si="22"/>
        <v>47</v>
      </c>
      <c r="S46" s="36">
        <f>IF(ISERR(CEILING(FLOOR(NPER($C$19/12,-$AA$56,Q45),0.1),1))=TRUE,0,CEILING(FLOOR(NPER($C$19/12,-$AA$56,Q45),0.1),1))</f>
        <v>55</v>
      </c>
      <c r="T46" s="62">
        <f>IF(C23&lt;&gt;X60, C23,AA14)</f>
        <v>0.189</v>
      </c>
      <c r="U46" s="2">
        <f>IF(OR($C$26=0,B34="Нет"),0,-$C$26)</f>
        <v>-312548.52575250831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0.249</v>
      </c>
      <c r="AJ46" s="2">
        <f>IF($D$26=0,0,-$D$26)</f>
        <v>0</v>
      </c>
      <c r="AK46" s="57">
        <f>AK49+365*$C$10</f>
        <v>75975</v>
      </c>
      <c r="AL46" s="130">
        <f t="shared" si="14"/>
        <v>1</v>
      </c>
      <c r="AM46" s="1057">
        <f t="shared" si="23"/>
        <v>38</v>
      </c>
      <c r="AN46" s="1058">
        <f t="shared" si="8"/>
        <v>46470</v>
      </c>
      <c r="AO46" s="105">
        <f>IF(AX45=1,AR46+AP46+AQ46,IF(AW45+AR46+AP46&gt;AO45,$D$29,IF(AW45=0,0,AW45+AR46+AP46+AP78)))</f>
        <v>14612</v>
      </c>
      <c r="AP46" s="105">
        <f>IF(AND(E46&gt;=$T$14,E46&lt;=$T$14+5),0,IF($C$9&gt;$AC$52,ROUND(AW45*$D$19*((AN46-DATE(YEAR(AN46),MONTH(AN46),1)+1)/(DATE(YEAR(AN46)+1,1,1)-DATE(YEAR(AN46),1,1))+(EOMONTH(AN45,0)-AN45)/(DATE(YEAR(AN45)+1,1,1)-DATE(YEAR(AN45),1,1))),2),0))</f>
        <v>8311.23</v>
      </c>
      <c r="AQ46" s="105">
        <f t="shared" si="9"/>
        <v>6300.77</v>
      </c>
      <c r="AR46" s="105">
        <f>IF(AT46&gt;$D$29,$D$29-AP46,IF(AY46=0,0,AV46)+BN95)</f>
        <v>0</v>
      </c>
      <c r="AS46" s="105">
        <f t="shared" si="15"/>
        <v>0</v>
      </c>
      <c r="AT46" s="105">
        <f t="shared" si="16"/>
        <v>8311.23</v>
      </c>
      <c r="AU46" s="105">
        <f t="shared" si="17"/>
        <v>0</v>
      </c>
      <c r="AV46" s="105">
        <f t="shared" si="18"/>
        <v>0</v>
      </c>
      <c r="AW46" s="105">
        <f t="shared" si="10"/>
        <v>428810.95999999996</v>
      </c>
      <c r="AX46" s="108">
        <f t="shared" si="24"/>
        <v>47</v>
      </c>
      <c r="AY46" s="108">
        <f>IF(ISERR(CEILING(FLOOR(NPER($D$19/12,-$AC$56,AW45),0.1),1))=TRUE,0,CEILING(FLOOR(NPER($D$19/12,-$AC$56,AW45),0.1),1))</f>
        <v>47</v>
      </c>
      <c r="AZ46" s="1047">
        <f t="shared" si="25"/>
        <v>46470</v>
      </c>
      <c r="BA46" s="108">
        <f t="shared" si="25"/>
        <v>14612</v>
      </c>
    </row>
    <row r="47" spans="1:1207" s="16" customFormat="1" x14ac:dyDescent="0.2">
      <c r="A47" s="2"/>
      <c r="B47" s="2"/>
      <c r="C47" s="2"/>
      <c r="D47" s="2"/>
      <c r="E47" s="1055">
        <f t="shared" si="20"/>
        <v>39</v>
      </c>
      <c r="F47" s="1056">
        <f t="shared" si="5"/>
        <v>46501</v>
      </c>
      <c r="G47" s="24">
        <f>IF(AND(E47&gt;=$T$14,E47&lt;=$T$14+5),$T$15,IF(AND(Q46+L47+H47&gt;G46,G46&lt;&gt;0),$C$29,IF(Q46=0,0,Q46+L47+H47+H48)))+IF(AND(E47=$C$10,$C$22&lt;&gt;"Нет"),MIN((I47-I47/$C$19*$C$23),Q46+H47-G46),0)</f>
        <v>14612</v>
      </c>
      <c r="H47" s="24">
        <f>IF(AND(E47&gt;=$T$14,E47&lt;=$T$14+5),0,IF($C$9&gt;$AC$52,ROUND(Q46*$C$19*((F47-DATE(YEAR(F47),MONTH(F47),1)+1)/(DATE(YEAR(F47)+1,1,1)-DATE(YEAR(F47),1,1))+(EOMONTH(F46,0)-F46)/(DATE(YEAR(F46)+1,1,1)-DATE(YEAR(F46),1,1))),2),0))</f>
        <v>11342.93</v>
      </c>
      <c r="I47" s="24">
        <f t="shared" si="19"/>
        <v>481268.47000000003</v>
      </c>
      <c r="J47" s="24">
        <f>IF(E47=$C$10,MIN((I47-I47/$C$19*$C$23),Q46+H47-G46),0)</f>
        <v>0</v>
      </c>
      <c r="K47" s="24">
        <f t="shared" si="6"/>
        <v>3269.0699999999997</v>
      </c>
      <c r="L47" s="24">
        <f>IF(N47&gt;$C$29,$C$29-H47,IF(S47=0,0,O47))</f>
        <v>0</v>
      </c>
      <c r="M47" s="24">
        <f>O46-L46</f>
        <v>0</v>
      </c>
      <c r="N47" s="24">
        <f>H47+O47</f>
        <v>11342.93</v>
      </c>
      <c r="O47" s="24">
        <f>IF(S47=0,0,0)</f>
        <v>0</v>
      </c>
      <c r="P47" s="24">
        <f>IF(S47=0,0,0)</f>
        <v>0</v>
      </c>
      <c r="Q47" s="24">
        <f t="shared" si="7"/>
        <v>443399.47</v>
      </c>
      <c r="R47" s="36">
        <f t="shared" si="22"/>
        <v>46</v>
      </c>
      <c r="S47" s="36">
        <f>IF(ISERR(CEILING(FLOOR(NPER($C$19/12,-$AA$56,Q46),0.1),1))=TRUE,0,CEILING(FLOOR(NPER($C$19/12,-$AA$56,Q46),0.1),1))</f>
        <v>54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57">
        <f t="shared" si="23"/>
        <v>39</v>
      </c>
      <c r="AN47" s="1058">
        <f t="shared" si="8"/>
        <v>46501</v>
      </c>
      <c r="AO47" s="105">
        <f>IF(AX46=1,AR47+AP47+AQ47,IF(AW46+AR47+AP47&gt;AO46,$D$29,IF(AW46=0,0,AW46+AR47+AP47+AP79)))</f>
        <v>14612</v>
      </c>
      <c r="AP47" s="105">
        <f>IF(AND(E47&gt;=$T$14,E47&lt;=$T$14+5),0,IF($C$9&gt;$AC$52,ROUND(AW46*$D$19*((AN47-DATE(YEAR(AN47),MONTH(AN47),1)+1)/(DATE(YEAR(AN47)+1,1,1)-DATE(YEAR(AN47),1,1))+(EOMONTH(AN46,0)-AN46)/(DATE(YEAR(AN46)+1,1,1)-DATE(YEAR(AN46),1,1))),2),0))</f>
        <v>9068.4699999999993</v>
      </c>
      <c r="AQ47" s="105">
        <f>IF(AY47=0,0,IF(AY47=1,AW46,IF(AW46+AR47+AP47&gt;AO46,AO47-AP47-AR47,AW46)))</f>
        <v>5543.5300000000007</v>
      </c>
      <c r="AR47" s="105">
        <f>IF(AT47&gt;$D$29,$D$29-AP47,IF(AY47=0,0,AV47)+BN96)</f>
        <v>0</v>
      </c>
      <c r="AS47" s="105">
        <f>AU46-AR46</f>
        <v>0</v>
      </c>
      <c r="AT47" s="105">
        <f>AP47+AU47</f>
        <v>9068.4699999999993</v>
      </c>
      <c r="AU47" s="105">
        <f>IF(AY47=0,0,0)</f>
        <v>0</v>
      </c>
      <c r="AV47" s="105">
        <f>IF(AY47=0,0,0)</f>
        <v>0</v>
      </c>
      <c r="AW47" s="105">
        <f>IF(OR(AY47=1,AW46=0),0,AW46-AQ47)</f>
        <v>423267.42999999993</v>
      </c>
      <c r="AX47" s="108">
        <f t="shared" si="24"/>
        <v>46</v>
      </c>
      <c r="AY47" s="108">
        <f>IF(ISERR(CEILING(FLOOR(NPER($D$19/12,-$AC$56,AW46),0.1),1))=TRUE,0,CEILING(FLOOR(NPER($D$19/12,-$AC$56,AW46),0.1),1))</f>
        <v>46</v>
      </c>
      <c r="AZ47" s="1047">
        <f t="shared" si="25"/>
        <v>46501</v>
      </c>
      <c r="BA47" s="108">
        <f t="shared" si="25"/>
        <v>14612</v>
      </c>
    </row>
    <row r="48" spans="1:1207" s="16" customFormat="1" ht="12" customHeight="1" x14ac:dyDescent="0.2">
      <c r="A48" s="2"/>
      <c r="B48" s="2"/>
      <c r="C48" s="2"/>
      <c r="D48" s="13"/>
      <c r="E48" s="1055">
        <f t="shared" si="20"/>
        <v>40</v>
      </c>
      <c r="F48" s="1056">
        <f t="shared" si="5"/>
        <v>46531</v>
      </c>
      <c r="G48" s="24">
        <f>IF(AND(E48&gt;=$T$14,E48&lt;=$T$14+5),$T$15,IF(AND(Q47+L48+H48&gt;G47,G47&lt;&gt;0),$C$29,IF(Q47=0,0,Q47+L48+H48+H49)))+IF(AND(E48=$C$10,$C$22&lt;&gt;"Нет"),MIN((I48-I48/$C$19*$C$23),Q47+H48-G47),0)</f>
        <v>14612</v>
      </c>
      <c r="H48" s="24">
        <f>IF(AND(E48&gt;=$T$14,E48&lt;=$T$14+5),0,IF($C$9&gt;$AC$52,ROUND(Q47*$C$19*((F48-DATE(YEAR(F48),MONTH(F48),1)+1)/(DATE(YEAR(F48)+1,1,1)-DATE(YEAR(F48),1,1))+(EOMONTH(F47,0)-F47)/(DATE(YEAR(F47)+1,1,1)-DATE(YEAR(F47),1,1))),2),0))</f>
        <v>10896.69</v>
      </c>
      <c r="I48" s="24">
        <f t="shared" si="19"/>
        <v>492165.16000000003</v>
      </c>
      <c r="J48" s="24">
        <f>IF(E48=$C$10,MIN((I48-I48/$C$19*$C$23),Q47+H48-G47),0)</f>
        <v>0</v>
      </c>
      <c r="K48" s="24">
        <f t="shared" si="6"/>
        <v>3715.3099999999995</v>
      </c>
      <c r="L48" s="24">
        <f>IF(N48&gt;$C$29,$C$29-H48,IF(S48=0,0,O48))</f>
        <v>0</v>
      </c>
      <c r="M48" s="24">
        <f t="shared" ref="M48:M63" si="26">O47-L47</f>
        <v>0</v>
      </c>
      <c r="N48" s="24">
        <f t="shared" ref="N48:N63" si="27">H48+O48</f>
        <v>10896.69</v>
      </c>
      <c r="O48" s="24">
        <f t="shared" ref="O48:O63" si="28">IF(S48=0,0,0)</f>
        <v>0</v>
      </c>
      <c r="P48" s="24">
        <f t="shared" ref="P48:P63" si="29">IF(S48=0,0,0)</f>
        <v>0</v>
      </c>
      <c r="Q48" s="24">
        <f t="shared" si="7"/>
        <v>439684.16</v>
      </c>
      <c r="R48" s="36">
        <f t="shared" si="22"/>
        <v>45</v>
      </c>
      <c r="S48" s="36">
        <f>IF(ISERR(CEILING(FLOOR(NPER($C$19/12,-$AA$56,Q47),0.1),1))=TRUE,0,CEILING(FLOOR(NPER($C$19/12,-$AA$56,Q47),0.1),1))</f>
        <v>53</v>
      </c>
      <c r="T48" s="2"/>
      <c r="U48" s="18">
        <f>G8</f>
        <v>-531999</v>
      </c>
      <c r="V48" s="57">
        <f>F8</f>
        <v>45315</v>
      </c>
      <c r="W48" s="2"/>
      <c r="X48" s="2"/>
      <c r="Y48" s="1072"/>
      <c r="Z48" s="1073">
        <v>0</v>
      </c>
      <c r="AA48" s="1074" t="s">
        <v>20</v>
      </c>
      <c r="AB48" s="1075" t="s">
        <v>15</v>
      </c>
      <c r="AC48" s="1075"/>
      <c r="AD48" s="1075">
        <v>10</v>
      </c>
      <c r="AE48" s="1076">
        <v>41274</v>
      </c>
      <c r="AF48" s="2">
        <v>6</v>
      </c>
      <c r="AG48" s="2"/>
      <c r="AH48" s="2"/>
      <c r="AI48" s="2"/>
      <c r="AJ48" s="18">
        <f>AO8</f>
        <v>-578399</v>
      </c>
      <c r="AK48" s="57">
        <f>AN8</f>
        <v>45315</v>
      </c>
      <c r="AL48" s="130">
        <f t="shared" si="14"/>
        <v>1</v>
      </c>
      <c r="AM48" s="1057">
        <f t="shared" si="23"/>
        <v>40</v>
      </c>
      <c r="AN48" s="1058">
        <f t="shared" si="8"/>
        <v>46531</v>
      </c>
      <c r="AO48" s="105">
        <f>IF(AX47=1,AR48+AP48+AQ48,IF(AW47+AR48+AP48&gt;AO47,$D$29,IF(AW47=0,0,AW47+AR48+AP48+AP80)))</f>
        <v>14612</v>
      </c>
      <c r="AP48" s="105">
        <f>IF(AND(E48&gt;=$T$14,E48&lt;=$T$14+5),0,IF($C$9&gt;$AC$52,ROUND(AW47*$D$19*((AN48-DATE(YEAR(AN48),MONTH(AN48),1)+1)/(DATE(YEAR(AN48)+1,1,1)-DATE(YEAR(AN48),1,1))+(EOMONTH(AN47,0)-AN47)/(DATE(YEAR(AN47)+1,1,1)-DATE(YEAR(AN47),1,1))),2),0))</f>
        <v>8662.49</v>
      </c>
      <c r="AQ48" s="105">
        <f t="shared" ref="AQ48:AQ111" si="30">IF(AY48=0,0,IF(AY48=1,AW47,IF(AW47+AR48+AP48&gt;AO47,AO48-AP48-AR48,AW47)))</f>
        <v>5949.51</v>
      </c>
      <c r="AR48" s="105">
        <f>IF(AT48&gt;$D$29,$D$29-AP48,IF(AY48=0,0,AV48)+BN97)</f>
        <v>0</v>
      </c>
      <c r="AS48" s="105">
        <f t="shared" ref="AS48:AS111" si="31">AU47-AR47</f>
        <v>0</v>
      </c>
      <c r="AT48" s="105">
        <f t="shared" ref="AT48:AT111" si="32">AP48+AU48</f>
        <v>8662.49</v>
      </c>
      <c r="AU48" s="105">
        <f t="shared" ref="AU48:AU111" si="33">IF(AY48=0,0,0)</f>
        <v>0</v>
      </c>
      <c r="AV48" s="105">
        <f t="shared" ref="AV48:AV111" si="34">IF(AY48=0,0,0)</f>
        <v>0</v>
      </c>
      <c r="AW48" s="105">
        <f t="shared" ref="AW48:AW111" si="35">IF(OR(AY48=1,AW47=0),0,AW47-AQ48)</f>
        <v>417317.91999999993</v>
      </c>
      <c r="AX48" s="108">
        <f t="shared" si="24"/>
        <v>45</v>
      </c>
      <c r="AY48" s="108">
        <f>IF(ISERR(CEILING(FLOOR(NPER($D$19/12,-$AC$56,AW47),0.1),1))=TRUE,0,CEILING(FLOOR(NPER($D$19/12,-$AC$56,AW47),0.1),1))</f>
        <v>45</v>
      </c>
      <c r="AZ48" s="1047">
        <f t="shared" si="25"/>
        <v>46531</v>
      </c>
      <c r="BA48" s="108">
        <f t="shared" si="25"/>
        <v>14612</v>
      </c>
    </row>
    <row r="49" spans="1:54" s="16" customFormat="1" ht="12" customHeight="1" x14ac:dyDescent="0.2">
      <c r="A49" s="2"/>
      <c r="B49" s="2"/>
      <c r="C49" s="2"/>
      <c r="D49" s="2"/>
      <c r="E49" s="1055">
        <f t="shared" si="20"/>
        <v>41</v>
      </c>
      <c r="F49" s="1056">
        <f t="shared" si="5"/>
        <v>46562</v>
      </c>
      <c r="G49" s="24">
        <f>IF(AND(E49&gt;=$T$14,E49&lt;=$T$14+5),$T$15,IF(AND(Q48+L49+H49&gt;G48,G48&lt;&gt;0),$C$29,IF(Q48=0,0,Q48+L49+H49+H50)))+IF(AND(E49=$C$10,$C$22&lt;&gt;"Нет"),MIN((I49-I49/$C$19*$C$23),Q48+H49-G48),0)</f>
        <v>14612</v>
      </c>
      <c r="H49" s="24">
        <f>IF(AND(E49&gt;=$T$14,E49&lt;=$T$14+5),0,IF($C$9&gt;$AC$52,ROUND(Q48*$C$19*((F49-DATE(YEAR(F49),MONTH(F49),1)+1)/(DATE(YEAR(F49)+1,1,1)-DATE(YEAR(F49),1,1))+(EOMONTH(F48,0)-F48)/(DATE(YEAR(F48)+1,1,1)-DATE(YEAR(F48),1,1))),2),0))</f>
        <v>11165.57</v>
      </c>
      <c r="I49" s="24">
        <f t="shared" si="19"/>
        <v>503330.73000000004</v>
      </c>
      <c r="J49" s="24">
        <f>IF(E49=$C$10,MIN((I49-I49/$C$19*$C$23),Q48+H49-G48),0)</f>
        <v>0</v>
      </c>
      <c r="K49" s="24">
        <f t="shared" si="6"/>
        <v>3446.4300000000003</v>
      </c>
      <c r="L49" s="24">
        <f>IF(N49&gt;$C$29,$C$29-H49,IF(S49=0,0,O49))</f>
        <v>0</v>
      </c>
      <c r="M49" s="24">
        <f t="shared" si="26"/>
        <v>0</v>
      </c>
      <c r="N49" s="24">
        <f t="shared" si="27"/>
        <v>11165.57</v>
      </c>
      <c r="O49" s="24">
        <f t="shared" si="28"/>
        <v>0</v>
      </c>
      <c r="P49" s="24">
        <f t="shared" si="29"/>
        <v>0</v>
      </c>
      <c r="Q49" s="24">
        <f t="shared" si="7"/>
        <v>436237.73</v>
      </c>
      <c r="R49" s="36">
        <f t="shared" si="22"/>
        <v>44</v>
      </c>
      <c r="S49" s="36">
        <f>IF(ISERR(CEILING(FLOOR(NPER($C$19/12,-$AA$56,Q48),0.1),1))=TRUE,0,CEILING(FLOOR(NPER($C$19/12,-$AA$56,Q48),0.1),1))</f>
        <v>52</v>
      </c>
      <c r="U49" s="34">
        <f>IF(B35="Да",C32,0)+IF(AND(C22="Да",B34="Да"),C25,0)</f>
        <v>25000</v>
      </c>
      <c r="V49" s="57">
        <f>F8</f>
        <v>45315</v>
      </c>
      <c r="X49" s="1077" t="s">
        <v>11</v>
      </c>
      <c r="Y49" s="1072"/>
      <c r="Z49" s="1078">
        <f>C7*(1-Z48)</f>
        <v>500000</v>
      </c>
      <c r="AA49" s="107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78399</v>
      </c>
      <c r="AK49" s="57">
        <f>AN8</f>
        <v>45315</v>
      </c>
      <c r="AL49" s="130">
        <f t="shared" si="14"/>
        <v>1</v>
      </c>
      <c r="AM49" s="1057">
        <f t="shared" si="23"/>
        <v>41</v>
      </c>
      <c r="AN49" s="1058">
        <f t="shared" si="8"/>
        <v>46562</v>
      </c>
      <c r="AO49" s="105">
        <f>IF(AX48=1,AR49+AP49+AQ49,IF(AW48+AR49+AP49&gt;AO48,$D$29,IF(AW48=0,0,AW48+AR49+AP49+AP81)))</f>
        <v>14612</v>
      </c>
      <c r="AP49" s="105">
        <f>IF(AND(E49&gt;=$T$14,E49&lt;=$T$14+5),0,IF($C$9&gt;$AC$52,ROUND(AW48*$D$19*((AN49-DATE(YEAR(AN49),MONTH(AN49),1)+1)/(DATE(YEAR(AN49)+1,1,1)-DATE(YEAR(AN49),1,1))+(EOMONTH(AN48,0)-AN48)/(DATE(YEAR(AN48)+1,1,1)-DATE(YEAR(AN48),1,1))),2),0))</f>
        <v>8825.42</v>
      </c>
      <c r="AQ49" s="105">
        <f t="shared" si="30"/>
        <v>5786.58</v>
      </c>
      <c r="AR49" s="105">
        <f>IF(AT49&gt;$D$29,$D$29-AP49,IF(AY49=0,0,AV49)+BN98)</f>
        <v>0</v>
      </c>
      <c r="AS49" s="105">
        <f t="shared" si="31"/>
        <v>0</v>
      </c>
      <c r="AT49" s="105">
        <f t="shared" si="32"/>
        <v>8825.42</v>
      </c>
      <c r="AU49" s="105">
        <f t="shared" si="33"/>
        <v>0</v>
      </c>
      <c r="AV49" s="105">
        <f t="shared" si="34"/>
        <v>0</v>
      </c>
      <c r="AW49" s="105">
        <f t="shared" si="35"/>
        <v>411531.33999999991</v>
      </c>
      <c r="AX49" s="108">
        <f t="shared" si="24"/>
        <v>44</v>
      </c>
      <c r="AY49" s="108">
        <f>IF(ISERR(CEILING(FLOOR(NPER($D$19/12,-$AC$56,AW48),0.1),1))=TRUE,0,CEILING(FLOOR(NPER($D$19/12,-$AC$56,AW48),0.1),1))</f>
        <v>44</v>
      </c>
      <c r="AZ49" s="1047">
        <f t="shared" si="25"/>
        <v>46562</v>
      </c>
      <c r="BA49" s="108">
        <f t="shared" si="25"/>
        <v>14612</v>
      </c>
    </row>
    <row r="50" spans="1:54" s="16" customFormat="1" ht="12" customHeight="1" x14ac:dyDescent="0.2">
      <c r="A50" s="2"/>
      <c r="B50" s="2"/>
      <c r="C50" s="2"/>
      <c r="D50" s="2"/>
      <c r="E50" s="1055">
        <f t="shared" si="20"/>
        <v>42</v>
      </c>
      <c r="F50" s="1056">
        <f t="shared" si="5"/>
        <v>46592</v>
      </c>
      <c r="G50" s="24">
        <f>IF(AND(E50&gt;=$T$14,E50&lt;=$T$14+5),$T$15,IF(AND(Q49+L50+H50&gt;G49,G49&lt;&gt;0),$C$29,IF(Q49=0,0,Q49+L50+H50+H51)))+IF(AND(E50=$C$10,$C$22&lt;&gt;"Нет"),MIN((I50-I50/$C$19*$C$23),Q49+H50-G49),0)</f>
        <v>14612</v>
      </c>
      <c r="H50" s="24">
        <f>IF(AND(E50&gt;=$T$14,E50&lt;=$T$14+5),0,IF($C$9&gt;$AC$52,ROUND(Q49*$C$19*((F50-DATE(YEAR(F50),MONTH(F50),1)+1)/(DATE(YEAR(F50)+1,1,1)-DATE(YEAR(F50),1,1))+(EOMONTH(F49,0)-F49)/(DATE(YEAR(F49)+1,1,1)-DATE(YEAR(F49),1,1))),2),0))</f>
        <v>10720.69</v>
      </c>
      <c r="I50" s="24">
        <f t="shared" si="19"/>
        <v>514051.42000000004</v>
      </c>
      <c r="J50" s="24">
        <f>IF(E50=$C$10,MIN((I50-I50/$C$19*$C$23),Q49+H50-G49),0)</f>
        <v>0</v>
      </c>
      <c r="K50" s="24">
        <f t="shared" si="6"/>
        <v>3891.3099999999995</v>
      </c>
      <c r="L50" s="24">
        <f>IF(N50&gt;$C$29,$C$29-H50,IF(S50=0,0,O50))</f>
        <v>0</v>
      </c>
      <c r="M50" s="24">
        <f t="shared" si="26"/>
        <v>0</v>
      </c>
      <c r="N50" s="24">
        <f t="shared" si="27"/>
        <v>10720.69</v>
      </c>
      <c r="O50" s="24">
        <f t="shared" si="28"/>
        <v>0</v>
      </c>
      <c r="P50" s="24">
        <f t="shared" si="29"/>
        <v>0</v>
      </c>
      <c r="Q50" s="24">
        <f t="shared" si="7"/>
        <v>432346.42</v>
      </c>
      <c r="R50" s="36">
        <f t="shared" si="22"/>
        <v>43</v>
      </c>
      <c r="S50" s="36">
        <f>IF(ISERR(CEILING(FLOOR(NPER($C$19/12,-$AA$56,Q49),0.1),1))=TRUE,0,CEILING(FLOOR(NPER($C$19/12,-$AA$56,Q49),0.1),1))</f>
        <v>51</v>
      </c>
      <c r="T50" s="2">
        <f t="shared" ref="T50:T113" si="36">IF(AND(E9&gt;=$T$14,E9&lt;=$T$14+5),0,IF($C$9&gt;$AC$52,ROUND(Q8*$T$46/(DATEVALUE(CONCATENATE("01/01/",YEAR(F9)+1))-DATEVALUE(CONCATENATE("01/01/",YEAR(F9))))*(F9-F8),2),0))</f>
        <v>8516.34</v>
      </c>
      <c r="U50" s="34">
        <f>IF(U49&lt;0,0,IF(T50=0,IF(T49=0,0,$U$46),G9)-IF(AND(T50&gt;0,T51=0),$C$26,0))</f>
        <v>14612</v>
      </c>
      <c r="V50" s="57">
        <f>V49+365</f>
        <v>45680</v>
      </c>
      <c r="W50" s="16">
        <v>1</v>
      </c>
      <c r="X50" s="1080" t="s">
        <v>10</v>
      </c>
      <c r="Y50" s="1072"/>
      <c r="Z50" s="108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15220</v>
      </c>
      <c r="AF50" s="2"/>
      <c r="AG50" s="2"/>
      <c r="AH50" s="2"/>
      <c r="AI50" s="2">
        <f t="shared" ref="AI50:AI87" si="37">IF(AND(AM9&gt;=$T$14,AM9&lt;=$T$14+5),0,IF($C$9&gt;$AC$52,ROUND(AW8*$AI$46/(DATEVALUE(CONCATENATE("01/01/",YEAR(AN9)+1))-DATEVALUE(CONCATENATE("01/01/",YEAR(AN9))))*(AN9-AN8),2),0))</f>
        <v>12198.53</v>
      </c>
      <c r="AJ50" s="34">
        <f t="shared" ref="AJ50:AJ69" si="38">IF(AI50=0,IF(AI49=0,0,$AJ$46),AO9)</f>
        <v>14612</v>
      </c>
      <c r="AK50" s="57">
        <f>AK49+365</f>
        <v>45680</v>
      </c>
      <c r="AL50" s="130">
        <f t="shared" si="14"/>
        <v>1</v>
      </c>
      <c r="AM50" s="1057">
        <f t="shared" si="23"/>
        <v>42</v>
      </c>
      <c r="AN50" s="1058">
        <f t="shared" si="8"/>
        <v>46592</v>
      </c>
      <c r="AO50" s="105">
        <f>IF(AX49=1,AR50+AP50+AQ50,IF(AW49+AR50+AP50&gt;AO49,$D$29,IF(AW49=0,0,AW49+AR50+AP50+AP82)))</f>
        <v>14612</v>
      </c>
      <c r="AP50" s="105">
        <f>IF(AND(E50&gt;=$T$14,E50&lt;=$T$14+5),0,IF($C$9&gt;$AC$52,ROUND(AW49*$D$19*((AN50-DATE(YEAR(AN50),MONTH(AN50),1)+1)/(DATE(YEAR(AN50)+1,1,1)-DATE(YEAR(AN50),1,1))+(EOMONTH(AN49,0)-AN49)/(DATE(YEAR(AN49)+1,1,1)-DATE(YEAR(AN49),1,1))),2),0))</f>
        <v>8422.2999999999993</v>
      </c>
      <c r="AQ50" s="105">
        <f t="shared" si="30"/>
        <v>6189.7000000000007</v>
      </c>
      <c r="AR50" s="105">
        <f>IF(AT50&gt;$D$29,$D$29-AP50,IF(AY50=0,0,AV50)+BN99)</f>
        <v>0</v>
      </c>
      <c r="AS50" s="105">
        <f t="shared" si="31"/>
        <v>0</v>
      </c>
      <c r="AT50" s="105">
        <f t="shared" si="32"/>
        <v>8422.2999999999993</v>
      </c>
      <c r="AU50" s="105">
        <f t="shared" si="33"/>
        <v>0</v>
      </c>
      <c r="AV50" s="105">
        <f t="shared" si="34"/>
        <v>0</v>
      </c>
      <c r="AW50" s="105">
        <f t="shared" si="35"/>
        <v>405341.6399999999</v>
      </c>
      <c r="AX50" s="108">
        <f t="shared" si="24"/>
        <v>43</v>
      </c>
      <c r="AY50" s="108">
        <f>IF(ISERR(CEILING(FLOOR(NPER($D$19/12,-$AC$56,AW49),0.1),1))=TRUE,0,CEILING(FLOOR(NPER($D$19/12,-$AC$56,AW49),0.1),1))</f>
        <v>43</v>
      </c>
      <c r="AZ50" s="1047">
        <f t="shared" si="25"/>
        <v>46592</v>
      </c>
      <c r="BA50" s="108">
        <f t="shared" si="25"/>
        <v>14612</v>
      </c>
    </row>
    <row r="51" spans="1:54" s="16" customFormat="1" ht="12.75" customHeight="1" thickBot="1" x14ac:dyDescent="0.25">
      <c r="A51" s="2"/>
      <c r="B51" s="2"/>
      <c r="C51" s="2"/>
      <c r="D51" s="2"/>
      <c r="E51" s="1055">
        <f t="shared" si="20"/>
        <v>43</v>
      </c>
      <c r="F51" s="1056">
        <f t="shared" si="5"/>
        <v>46623</v>
      </c>
      <c r="G51" s="24">
        <f>IF(AND(E51&gt;=$T$14,E51&lt;=$T$14+5),$T$15,IF(AND(Q50+L51+H51&gt;G50,G50&lt;&gt;0),$C$29,IF(Q50=0,0,Q50+L51+H51+H52)))+IF(AND(E51=$C$10,$C$22&lt;&gt;"Нет"),MIN((I51-I51/$C$19*$C$23),Q50+H51-G50),0)</f>
        <v>14612</v>
      </c>
      <c r="H51" s="24">
        <f>IF(AND(E51&gt;=$T$14,E51&lt;=$T$14+5),0,IF($C$9&gt;$AC$52,ROUND(Q50*$C$19*((F51-DATE(YEAR(F51),MONTH(F51),1)+1)/(DATE(YEAR(F51)+1,1,1)-DATE(YEAR(F51),1,1))+(EOMONTH(F50,0)-F50)/(DATE(YEAR(F50)+1,1,1)-DATE(YEAR(F50),1,1))),2),0))</f>
        <v>10979.23</v>
      </c>
      <c r="I51" s="24">
        <f t="shared" si="19"/>
        <v>525030.65</v>
      </c>
      <c r="J51" s="24">
        <f>IF(E51=$C$10,MIN((I51-I51/$C$19*$C$23),Q50+H51-G50),0)</f>
        <v>0</v>
      </c>
      <c r="K51" s="24">
        <f t="shared" si="6"/>
        <v>3632.7700000000004</v>
      </c>
      <c r="L51" s="24">
        <f>IF(N51&gt;$C$29,$C$29-H51,IF(S51=0,0,O51))</f>
        <v>0</v>
      </c>
      <c r="M51" s="24">
        <f t="shared" si="26"/>
        <v>0</v>
      </c>
      <c r="N51" s="24">
        <f t="shared" si="27"/>
        <v>10979.23</v>
      </c>
      <c r="O51" s="24">
        <f t="shared" si="28"/>
        <v>0</v>
      </c>
      <c r="P51" s="24">
        <f t="shared" si="29"/>
        <v>0</v>
      </c>
      <c r="Q51" s="24">
        <f t="shared" si="7"/>
        <v>428713.64999999997</v>
      </c>
      <c r="R51" s="36">
        <f t="shared" si="22"/>
        <v>42</v>
      </c>
      <c r="S51" s="36">
        <f>IF(ISERR(CEILING(FLOOR(NPER($C$19/12,-$AA$56,Q50),0.1),1))=TRUE,0,CEILING(FLOOR(NPER($C$19/12,-$AA$56,Q50),0.1),1))</f>
        <v>50</v>
      </c>
      <c r="T51" s="2">
        <f t="shared" si="36"/>
        <v>7949.85</v>
      </c>
      <c r="U51" s="34">
        <f>IF(U50&lt;0,0,IF(T51=0,IF(T50=0,0,$U$46),G10)-IF(AND(T51&gt;0,T52=0),$C$26,0))</f>
        <v>14612</v>
      </c>
      <c r="V51" s="57">
        <f t="shared" ref="V51:V114" si="39">IF(T51=0,V50,V50+365)</f>
        <v>46045</v>
      </c>
      <c r="W51" s="16">
        <f>W50+1</f>
        <v>2</v>
      </c>
      <c r="X51" s="1080" t="s">
        <v>8</v>
      </c>
      <c r="Y51" s="1082"/>
      <c r="Z51" s="1083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37"/>
        <v>11363.91</v>
      </c>
      <c r="AJ51" s="34">
        <f t="shared" si="38"/>
        <v>14612</v>
      </c>
      <c r="AK51" s="57">
        <f t="shared" ref="AK51:AK108" si="40">IF(AI51=0,AK50,AK50+365)</f>
        <v>46045</v>
      </c>
      <c r="AL51" s="130">
        <f t="shared" si="14"/>
        <v>1</v>
      </c>
      <c r="AM51" s="1057">
        <f t="shared" si="23"/>
        <v>43</v>
      </c>
      <c r="AN51" s="1058">
        <f t="shared" si="8"/>
        <v>46623</v>
      </c>
      <c r="AO51" s="105">
        <f>IF(AX50=1,AR51+AP51+AQ51,IF(AW50+AR51+AP51&gt;AO50,$D$29,IF(AW50=0,0,AW50+AR51+AP51+AP83)))</f>
        <v>14612</v>
      </c>
      <c r="AP51" s="105">
        <f>IF(AND(E51&gt;=$T$14,E51&lt;=$T$14+5),0,IF($C$9&gt;$AC$52,ROUND(AW50*$D$19*((AN51-DATE(YEAR(AN51),MONTH(AN51),1)+1)/(DATE(YEAR(AN51)+1,1,1)-DATE(YEAR(AN51),1,1))+(EOMONTH(AN50,0)-AN50)/(DATE(YEAR(AN50)+1,1,1)-DATE(YEAR(AN50),1,1))),2),0))</f>
        <v>8572.14</v>
      </c>
      <c r="AQ51" s="105">
        <f t="shared" si="30"/>
        <v>6039.8600000000006</v>
      </c>
      <c r="AR51" s="105">
        <f>IF(AT51&gt;$D$29,$D$29-AP51,IF(AY51=0,0,AV51)+BN100)</f>
        <v>0</v>
      </c>
      <c r="AS51" s="105">
        <f t="shared" si="31"/>
        <v>0</v>
      </c>
      <c r="AT51" s="105">
        <f t="shared" si="32"/>
        <v>8572.14</v>
      </c>
      <c r="AU51" s="105">
        <f t="shared" si="33"/>
        <v>0</v>
      </c>
      <c r="AV51" s="105">
        <f t="shared" si="34"/>
        <v>0</v>
      </c>
      <c r="AW51" s="105">
        <f t="shared" si="35"/>
        <v>399301.77999999991</v>
      </c>
      <c r="AX51" s="108">
        <f t="shared" si="24"/>
        <v>42</v>
      </c>
      <c r="AY51" s="108">
        <f>IF(ISERR(CEILING(FLOOR(NPER($D$19/12,-$AC$56,AW50),0.1),1))=TRUE,0,CEILING(FLOOR(NPER($D$19/12,-$AC$56,AW50),0.1),1))</f>
        <v>42</v>
      </c>
      <c r="AZ51" s="1047">
        <f t="shared" si="25"/>
        <v>46623</v>
      </c>
      <c r="BA51" s="108">
        <f t="shared" si="25"/>
        <v>14612</v>
      </c>
    </row>
    <row r="52" spans="1:54" s="16" customFormat="1" ht="12.75" customHeight="1" x14ac:dyDescent="0.2">
      <c r="A52" s="2"/>
      <c r="B52" s="2"/>
      <c r="C52" s="2"/>
      <c r="D52" s="2"/>
      <c r="E52" s="1055">
        <f t="shared" si="20"/>
        <v>44</v>
      </c>
      <c r="F52" s="1056">
        <f t="shared" si="5"/>
        <v>46654</v>
      </c>
      <c r="G52" s="24">
        <f>IF(AND(E52&gt;=$T$14,E52&lt;=$T$14+5),$T$15,IF(AND(Q51+L52+H52&gt;G51,G51&lt;&gt;0),$C$29,IF(Q51=0,0,Q51+L52+H52+H53)))+IF(AND(E52=$C$10,$C$22&lt;&gt;"Нет"),MIN((I52-I52/$C$19*$C$23),Q51+H52-G51),0)</f>
        <v>14612</v>
      </c>
      <c r="H52" s="24">
        <f>IF(AND(E52&gt;=$T$14,E52&lt;=$T$14+5),0,IF($C$9&gt;$AC$52,ROUND(Q51*$C$19*((F52-DATE(YEAR(F52),MONTH(F52),1)+1)/(DATE(YEAR(F52)+1,1,1)-DATE(YEAR(F52),1,1))+(EOMONTH(F51,0)-F51)/(DATE(YEAR(F51)+1,1,1)-DATE(YEAR(F51),1,1))),2),0))</f>
        <v>10886.98</v>
      </c>
      <c r="I52" s="24">
        <f t="shared" si="19"/>
        <v>535917.63</v>
      </c>
      <c r="J52" s="24">
        <f>IF(E52=$C$10,MIN((I52-I52/$C$19*$C$23),Q51+H52-G51),0)</f>
        <v>0</v>
      </c>
      <c r="K52" s="24">
        <f t="shared" si="6"/>
        <v>3725.0200000000004</v>
      </c>
      <c r="L52" s="24">
        <f>IF(N52&gt;$C$29,$C$29-H52,IF(S52=0,0,O52))</f>
        <v>0</v>
      </c>
      <c r="M52" s="24">
        <f t="shared" si="26"/>
        <v>0</v>
      </c>
      <c r="N52" s="24">
        <f t="shared" si="27"/>
        <v>10886.98</v>
      </c>
      <c r="O52" s="24">
        <f t="shared" si="28"/>
        <v>0</v>
      </c>
      <c r="P52" s="24">
        <f t="shared" si="29"/>
        <v>0</v>
      </c>
      <c r="Q52" s="24">
        <f t="shared" si="7"/>
        <v>424988.62999999995</v>
      </c>
      <c r="R52" s="36">
        <f t="shared" si="22"/>
        <v>41</v>
      </c>
      <c r="S52" s="36">
        <f>IF(ISERR(CEILING(FLOOR(NPER($C$19/12,-$AA$56,Q51),0.1),1))=TRUE,0,CEILING(FLOOR(NPER($C$19/12,-$AA$56,Q51),0.1),1))</f>
        <v>50</v>
      </c>
      <c r="T52" s="2">
        <f t="shared" si="36"/>
        <v>8465.5300000000007</v>
      </c>
      <c r="U52" s="34">
        <f>IF(U51&lt;0,0,IF(T52=0,IF(T51=0,0,$U$46),G11)-IF(AND(T52&gt;0,T53=0),$C$26,0))</f>
        <v>14612</v>
      </c>
      <c r="V52" s="57">
        <f t="shared" si="39"/>
        <v>46410</v>
      </c>
      <c r="W52" s="16">
        <f t="shared" ref="W52:W115" si="41">W51+1</f>
        <v>3</v>
      </c>
      <c r="X52" s="1077" t="s">
        <v>1</v>
      </c>
      <c r="Y52" s="17" t="e">
        <f>Z52/C7</f>
        <v>#REF!</v>
      </c>
      <c r="Z52" s="1083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37"/>
        <v>12079.13</v>
      </c>
      <c r="AJ52" s="34">
        <f t="shared" si="38"/>
        <v>14612</v>
      </c>
      <c r="AK52" s="57">
        <f t="shared" si="40"/>
        <v>46410</v>
      </c>
      <c r="AL52" s="130">
        <f t="shared" si="14"/>
        <v>1</v>
      </c>
      <c r="AM52" s="1057">
        <f t="shared" si="23"/>
        <v>44</v>
      </c>
      <c r="AN52" s="1058">
        <f t="shared" si="8"/>
        <v>46654</v>
      </c>
      <c r="AO52" s="105">
        <f>IF(AX51=1,AR52+AP52+AQ52,IF(AW51+AR52+AP52&gt;AO51,$D$29,IF(AW51=0,0,AW51+AR52+AP52+AP84)))</f>
        <v>14612</v>
      </c>
      <c r="AP52" s="105">
        <f>IF(AND(E52&gt;=$T$14,E52&lt;=$T$14+5),0,IF($C$9&gt;$AC$52,ROUND(AW51*$D$19*((AN52-DATE(YEAR(AN52),MONTH(AN52),1)+1)/(DATE(YEAR(AN52)+1,1,1)-DATE(YEAR(AN52),1,1))+(EOMONTH(AN51,0)-AN51)/(DATE(YEAR(AN51)+1,1,1)-DATE(YEAR(AN51),1,1))),2),0))</f>
        <v>8444.41</v>
      </c>
      <c r="AQ52" s="105">
        <f t="shared" si="30"/>
        <v>6167.59</v>
      </c>
      <c r="AR52" s="105">
        <f>IF(AT52&gt;$D$29,$D$29-AP52,IF(AY52=0,0,AV52)+BN101)</f>
        <v>0</v>
      </c>
      <c r="AS52" s="105">
        <f t="shared" si="31"/>
        <v>0</v>
      </c>
      <c r="AT52" s="105">
        <f t="shared" si="32"/>
        <v>8444.41</v>
      </c>
      <c r="AU52" s="105">
        <f t="shared" si="33"/>
        <v>0</v>
      </c>
      <c r="AV52" s="105">
        <f t="shared" si="34"/>
        <v>0</v>
      </c>
      <c r="AW52" s="105">
        <f t="shared" si="35"/>
        <v>393134.18999999989</v>
      </c>
      <c r="AX52" s="108">
        <f t="shared" si="24"/>
        <v>41</v>
      </c>
      <c r="AY52" s="108">
        <f>IF(ISERR(CEILING(FLOOR(NPER($D$19/12,-$AC$56,AW51),0.1),1))=TRUE,0,CEILING(FLOOR(NPER($D$19/12,-$AC$56,AW51),0.1),1))</f>
        <v>41</v>
      </c>
      <c r="AZ52" s="1047">
        <f t="shared" si="25"/>
        <v>46654</v>
      </c>
      <c r="BA52" s="108">
        <f t="shared" si="25"/>
        <v>14612</v>
      </c>
    </row>
    <row r="53" spans="1:54" s="16" customFormat="1" ht="12.75" customHeight="1" x14ac:dyDescent="0.2">
      <c r="A53" s="2"/>
      <c r="B53" s="2"/>
      <c r="C53" s="2"/>
      <c r="D53" s="2"/>
      <c r="E53" s="1055">
        <f t="shared" si="20"/>
        <v>45</v>
      </c>
      <c r="F53" s="1056">
        <f t="shared" si="5"/>
        <v>46684</v>
      </c>
      <c r="G53" s="24">
        <f>IF(AND(E53&gt;=$T$14,E53&lt;=$T$14+5),$T$15,IF(AND(Q52+L53+H53&gt;G52,G52&lt;&gt;0),$C$29,IF(Q52=0,0,Q52+L53+H53+H54)))+IF(AND(E53=$C$10,$C$22&lt;&gt;"Нет"),MIN((I53-I53/$C$19*$C$23),Q52+H53-G52),0)</f>
        <v>14612</v>
      </c>
      <c r="H53" s="24">
        <f>IF(AND(E53&gt;=$T$14,E53&lt;=$T$14+5),0,IF($C$9&gt;$AC$52,ROUND(Q52*$C$19*((F53-DATE(YEAR(F53),MONTH(F53),1)+1)/(DATE(YEAR(F53)+1,1,1)-DATE(YEAR(F53),1,1))+(EOMONTH(F52,0)-F52)/(DATE(YEAR(F52)+1,1,1)-DATE(YEAR(F52),1,1))),2),0))</f>
        <v>10444.24</v>
      </c>
      <c r="I53" s="24">
        <f t="shared" si="19"/>
        <v>546361.87</v>
      </c>
      <c r="J53" s="24">
        <f>IF(E53=$C$10,MIN((I53-I53/$C$19*$C$23),Q52+H53-G52),0)</f>
        <v>0</v>
      </c>
      <c r="K53" s="24">
        <f t="shared" si="6"/>
        <v>4167.76</v>
      </c>
      <c r="L53" s="24">
        <f>IF(N53&gt;$C$29,$C$29-H53,IF(S53=0,0,O53))</f>
        <v>0</v>
      </c>
      <c r="M53" s="24">
        <f t="shared" si="26"/>
        <v>0</v>
      </c>
      <c r="N53" s="24">
        <f t="shared" si="27"/>
        <v>10444.24</v>
      </c>
      <c r="O53" s="24">
        <f t="shared" si="28"/>
        <v>0</v>
      </c>
      <c r="P53" s="24">
        <f t="shared" si="29"/>
        <v>0</v>
      </c>
      <c r="Q53" s="24">
        <f t="shared" si="7"/>
        <v>420820.86999999994</v>
      </c>
      <c r="R53" s="36">
        <f t="shared" si="22"/>
        <v>40</v>
      </c>
      <c r="S53" s="36">
        <f>IF(ISERR(CEILING(FLOOR(NPER($C$19/12,-$AA$56,Q52),0.1),1))=TRUE,0,CEILING(FLOOR(NPER($C$19/12,-$AA$56,Q52),0.1),1))</f>
        <v>49</v>
      </c>
      <c r="T53" s="2">
        <f t="shared" si="36"/>
        <v>8173.56</v>
      </c>
      <c r="U53" s="34">
        <f>IF(U52&lt;0,0,IF(T53=0,IF(T52=0,0,$U$46),G12)-IF(AND(T53&gt;0,T54=0),$C$26,0))</f>
        <v>14612</v>
      </c>
      <c r="V53" s="57">
        <f t="shared" si="39"/>
        <v>46775</v>
      </c>
      <c r="W53" s="16">
        <f t="shared" si="41"/>
        <v>4</v>
      </c>
      <c r="X53" s="1077" t="s">
        <v>42</v>
      </c>
      <c r="Y53" s="17" t="e">
        <f>IF(C8=AA60,AA66,IF(C8=AD60,AB66,IF(C8=AF60,AD66,IF(C8=AG60,AE66,IF(C8=AE60,AC66,IF(C8=#REF!,AF66,IF(C8=AH60,AG66,IF(C8=#REF!,AH66,V28))))))))</f>
        <v>#REF!</v>
      </c>
      <c r="Z53" s="1083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37"/>
        <v>11637.78</v>
      </c>
      <c r="AJ53" s="34">
        <f t="shared" si="38"/>
        <v>14612</v>
      </c>
      <c r="AK53" s="57">
        <f t="shared" si="40"/>
        <v>46775</v>
      </c>
      <c r="AL53" s="130">
        <f t="shared" si="14"/>
        <v>1</v>
      </c>
      <c r="AM53" s="1057">
        <f t="shared" si="23"/>
        <v>45</v>
      </c>
      <c r="AN53" s="1058">
        <f t="shared" si="8"/>
        <v>46684</v>
      </c>
      <c r="AO53" s="105">
        <f>IF(AX52=1,AR53+AP53+AQ53,IF(AW52+AR53+AP53&gt;AO52,$D$29,IF(AW52=0,0,AW52+AR53+AP53+AP85)))</f>
        <v>14612</v>
      </c>
      <c r="AP53" s="105">
        <f>IF(AND(E53&gt;=$T$14,E53&lt;=$T$14+5),0,IF($C$9&gt;$AC$52,ROUND(AW52*$D$19*((AN53-DATE(YEAR(AN53),MONTH(AN53),1)+1)/(DATE(YEAR(AN53)+1,1,1)-DATE(YEAR(AN53),1,1))+(EOMONTH(AN52,0)-AN52)/(DATE(YEAR(AN52)+1,1,1)-DATE(YEAR(AN52),1,1))),2),0))</f>
        <v>8045.79</v>
      </c>
      <c r="AQ53" s="105">
        <f t="shared" si="30"/>
        <v>6566.21</v>
      </c>
      <c r="AR53" s="105">
        <f>IF(AT53&gt;$D$29,$D$29-AP53,IF(AY53=0,0,AV53)+BN102)</f>
        <v>0</v>
      </c>
      <c r="AS53" s="105">
        <f t="shared" si="31"/>
        <v>0</v>
      </c>
      <c r="AT53" s="105">
        <f t="shared" si="32"/>
        <v>8045.79</v>
      </c>
      <c r="AU53" s="105">
        <f t="shared" si="33"/>
        <v>0</v>
      </c>
      <c r="AV53" s="105">
        <f t="shared" si="34"/>
        <v>0</v>
      </c>
      <c r="AW53" s="105">
        <f t="shared" si="35"/>
        <v>386567.97999999986</v>
      </c>
      <c r="AX53" s="108">
        <f t="shared" si="24"/>
        <v>40</v>
      </c>
      <c r="AY53" s="108">
        <f>IF(ISERR(CEILING(FLOOR(NPER($D$19/12,-$AC$56,AW52),0.1),1))=TRUE,0,CEILING(FLOOR(NPER($D$19/12,-$AC$56,AW52),0.1),1))</f>
        <v>40</v>
      </c>
      <c r="AZ53" s="1047">
        <f t="shared" si="25"/>
        <v>46684</v>
      </c>
      <c r="BA53" s="108">
        <f t="shared" si="25"/>
        <v>14612</v>
      </c>
    </row>
    <row r="54" spans="1:54" s="16" customFormat="1" ht="12" customHeight="1" x14ac:dyDescent="0.2">
      <c r="A54" s="2"/>
      <c r="B54" s="2"/>
      <c r="C54" s="2"/>
      <c r="D54" s="2"/>
      <c r="E54" s="1055">
        <f t="shared" si="20"/>
        <v>46</v>
      </c>
      <c r="F54" s="1056">
        <f t="shared" si="5"/>
        <v>46715</v>
      </c>
      <c r="G54" s="24">
        <f>IF(AND(E54&gt;=$T$14,E54&lt;=$T$14+5),$T$15,IF(AND(Q53+L54+H54&gt;G53,G53&lt;&gt;0),$C$29,IF(Q53=0,0,Q53+L54+H54+H55)))+IF(AND(E54=$C$10,$C$22&lt;&gt;"Нет"),MIN((I54-I54/$C$19*$C$23),Q53+H54-G53),0)</f>
        <v>14612</v>
      </c>
      <c r="H54" s="24">
        <f>IF(AND(E54&gt;=$T$14,E54&lt;=$T$14+5),0,IF($C$9&gt;$AC$52,ROUND(Q53*$C$19*((F54-DATE(YEAR(F54),MONTH(F54),1)+1)/(DATE(YEAR(F54)+1,1,1)-DATE(YEAR(F54),1,1))+(EOMONTH(F53,0)-F53)/(DATE(YEAR(F53)+1,1,1)-DATE(YEAR(F53),1,1))),2),0))</f>
        <v>10686.54</v>
      </c>
      <c r="I54" s="24">
        <f t="shared" si="19"/>
        <v>557048.41</v>
      </c>
      <c r="J54" s="24">
        <f>IF(E54=$C$10,MIN((I54-I54/$C$19*$C$23),Q53+H54-G53),0)</f>
        <v>0</v>
      </c>
      <c r="K54" s="24">
        <f t="shared" si="6"/>
        <v>3925.4599999999991</v>
      </c>
      <c r="L54" s="24">
        <f>IF(N54&gt;$C$29,$C$29-H54,IF(S54=0,0,O54))</f>
        <v>0</v>
      </c>
      <c r="M54" s="24">
        <f t="shared" si="26"/>
        <v>0</v>
      </c>
      <c r="N54" s="24">
        <f t="shared" si="27"/>
        <v>10686.54</v>
      </c>
      <c r="O54" s="24">
        <f t="shared" si="28"/>
        <v>0</v>
      </c>
      <c r="P54" s="24">
        <f t="shared" si="29"/>
        <v>0</v>
      </c>
      <c r="Q54" s="24">
        <f t="shared" si="7"/>
        <v>416895.40999999992</v>
      </c>
      <c r="R54" s="36">
        <f t="shared" si="22"/>
        <v>39</v>
      </c>
      <c r="S54" s="36">
        <f>IF(ISERR(CEILING(FLOOR(NPER($C$19/12,-$AA$56,Q53),0.1),1))=TRUE,0,CEILING(FLOOR(NPER($C$19/12,-$AA$56,Q53),0.1),1))</f>
        <v>48</v>
      </c>
      <c r="T54" s="2">
        <f t="shared" si="36"/>
        <v>8419.09</v>
      </c>
      <c r="U54" s="34">
        <f>IF(U53&lt;0,0,IF(T54=0,IF(T53=0,0,$U$46),G13)-IF(AND(T54&gt;0,T55=0),$C$26,0))</f>
        <v>14612</v>
      </c>
      <c r="V54" s="57">
        <f t="shared" si="39"/>
        <v>47140</v>
      </c>
      <c r="W54" s="16">
        <f t="shared" si="41"/>
        <v>5</v>
      </c>
      <c r="X54" s="1077"/>
      <c r="Y54" s="15">
        <f>IF(D8=AA60,AA66,IF(D8=AD60,AB66,IF(D8=AF60,AD66,IF(D8=AG60,AE66,IF(D8=AE60,AC66,IF(D8=#REF!,AF66,IF(D8=AH60,AG66,V28)))))))</f>
        <v>1.1900000000000001E-2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37"/>
        <v>11962.98</v>
      </c>
      <c r="AJ54" s="34">
        <f t="shared" si="38"/>
        <v>14612</v>
      </c>
      <c r="AK54" s="57">
        <f t="shared" si="40"/>
        <v>47140</v>
      </c>
      <c r="AL54" s="130">
        <f t="shared" si="14"/>
        <v>1</v>
      </c>
      <c r="AM54" s="1057">
        <f t="shared" si="23"/>
        <v>46</v>
      </c>
      <c r="AN54" s="1058">
        <f t="shared" si="8"/>
        <v>46715</v>
      </c>
      <c r="AO54" s="105">
        <f>IF(AX53=1,AR54+AP54+AQ54,IF(AW53+AR54+AP54&gt;AO53,$D$29,IF(AW53=0,0,AW53+AR54+AP54+AP86)))</f>
        <v>14612</v>
      </c>
      <c r="AP54" s="105">
        <f>IF(AND(E54&gt;=$T$14,E54&lt;=$T$14+5),0,IF($C$9&gt;$AC$52,ROUND(AW53*$D$19*((AN54-DATE(YEAR(AN54),MONTH(AN54),1)+1)/(DATE(YEAR(AN54)+1,1,1)-DATE(YEAR(AN54),1,1))+(EOMONTH(AN53,0)-AN53)/(DATE(YEAR(AN53)+1,1,1)-DATE(YEAR(AN53),1,1))),2),0))</f>
        <v>8175.12</v>
      </c>
      <c r="AQ54" s="105">
        <f t="shared" si="30"/>
        <v>6436.88</v>
      </c>
      <c r="AR54" s="105">
        <f>IF(AT54&gt;$D$29,$D$29-AP54,IF(AY54=0,0,AV54)+BN103)</f>
        <v>0</v>
      </c>
      <c r="AS54" s="105">
        <f t="shared" si="31"/>
        <v>0</v>
      </c>
      <c r="AT54" s="105">
        <f t="shared" si="32"/>
        <v>8175.12</v>
      </c>
      <c r="AU54" s="105">
        <f t="shared" si="33"/>
        <v>0</v>
      </c>
      <c r="AV54" s="105">
        <f t="shared" si="34"/>
        <v>0</v>
      </c>
      <c r="AW54" s="105">
        <f t="shared" si="35"/>
        <v>380131.09999999986</v>
      </c>
      <c r="AX54" s="108">
        <f t="shared" si="24"/>
        <v>39</v>
      </c>
      <c r="AY54" s="108">
        <f>IF(ISERR(CEILING(FLOOR(NPER($D$19/12,-$AC$56,AW53),0.1),1))=TRUE,0,CEILING(FLOOR(NPER($D$19/12,-$AC$56,AW53),0.1),1))</f>
        <v>39</v>
      </c>
      <c r="AZ54" s="1047">
        <f t="shared" si="25"/>
        <v>46715</v>
      </c>
      <c r="BA54" s="108">
        <f t="shared" si="25"/>
        <v>14612</v>
      </c>
    </row>
    <row r="55" spans="1:54" s="16" customFormat="1" ht="12" customHeight="1" x14ac:dyDescent="0.2">
      <c r="A55" s="2"/>
      <c r="B55" s="2"/>
      <c r="C55" s="2"/>
      <c r="D55" s="2"/>
      <c r="E55" s="1055">
        <f t="shared" si="20"/>
        <v>47</v>
      </c>
      <c r="F55" s="1056">
        <f t="shared" si="5"/>
        <v>46745</v>
      </c>
      <c r="G55" s="24">
        <f>IF(AND(E55&gt;=$T$14,E55&lt;=$T$14+5),$T$15,IF(AND(Q54+L55+H55&gt;G54,G54&lt;&gt;0),$C$29,IF(Q54=0,0,Q54+L55+H55+H56)))+IF(AND(E55=$C$10,$C$22&lt;&gt;"Нет"),MIN((I55-I55/$C$19*$C$23),Q54+H55-G54),0)</f>
        <v>14612</v>
      </c>
      <c r="H55" s="24">
        <f>IF(AND(E55&gt;=$T$14,E55&lt;=$T$14+5),0,IF($C$9&gt;$AC$52,ROUND(Q54*$C$19*((F55-DATE(YEAR(F55),MONTH(F55),1)+1)/(DATE(YEAR(F55)+1,1,1)-DATE(YEAR(F55),1,1))+(EOMONTH(F54,0)-F54)/(DATE(YEAR(F54)+1,1,1)-DATE(YEAR(F54),1,1))),2),0))</f>
        <v>10245.35</v>
      </c>
      <c r="I55" s="24">
        <f t="shared" si="19"/>
        <v>567293.76</v>
      </c>
      <c r="J55" s="24">
        <f>IF(E55=$C$10,MIN((I55-I55/$C$19*$C$23),Q54+H55-G54),0)</f>
        <v>0</v>
      </c>
      <c r="K55" s="24">
        <f t="shared" si="6"/>
        <v>4366.6499999999996</v>
      </c>
      <c r="L55" s="24">
        <f>IF(N55&gt;$C$29,$C$29-H55,IF(S55=0,0,O55))</f>
        <v>0</v>
      </c>
      <c r="M55" s="24">
        <f t="shared" si="26"/>
        <v>0</v>
      </c>
      <c r="N55" s="24">
        <f t="shared" si="27"/>
        <v>10245.35</v>
      </c>
      <c r="O55" s="24">
        <f t="shared" si="28"/>
        <v>0</v>
      </c>
      <c r="P55" s="24">
        <f t="shared" si="29"/>
        <v>0</v>
      </c>
      <c r="Q55" s="24">
        <f t="shared" si="7"/>
        <v>412528.75999999989</v>
      </c>
      <c r="R55" s="36">
        <f t="shared" si="22"/>
        <v>38</v>
      </c>
      <c r="S55" s="36">
        <f>IF(ISERR(CEILING(FLOOR(NPER($C$19/12,-$AA$56,Q54),0.1),1))=TRUE,0,CEILING(FLOOR(NPER($C$19/12,-$AA$56,Q54),0.1),1))</f>
        <v>47</v>
      </c>
      <c r="T55" s="2">
        <f t="shared" si="36"/>
        <v>8127.48</v>
      </c>
      <c r="U55" s="34">
        <f>IF(U54&lt;0,0,IF(T55=0,IF(T54=0,0,$U$46),G14)-IF(AND(T55&gt;0,T56=0),$C$26,0))</f>
        <v>14612</v>
      </c>
      <c r="V55" s="57">
        <f t="shared" si="39"/>
        <v>47505</v>
      </c>
      <c r="W55" s="16">
        <f t="shared" si="41"/>
        <v>6</v>
      </c>
      <c r="X55" s="2"/>
      <c r="Y55" s="1075"/>
      <c r="Z55" s="1"/>
      <c r="AA55" s="1084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15215.445006481863</v>
      </c>
      <c r="AC55" s="2"/>
      <c r="AD55" s="47">
        <f>IF(DAY(C9)&lt;29,AD56,AD57)</f>
        <v>14611.911139023463</v>
      </c>
      <c r="AE55" s="2"/>
      <c r="AF55" s="2"/>
      <c r="AG55" s="2"/>
      <c r="AH55" s="2"/>
      <c r="AI55" s="2">
        <f t="shared" si="37"/>
        <v>11523.01</v>
      </c>
      <c r="AJ55" s="34">
        <f t="shared" si="38"/>
        <v>14612</v>
      </c>
      <c r="AK55" s="57">
        <f t="shared" si="40"/>
        <v>47505</v>
      </c>
      <c r="AL55" s="130">
        <f t="shared" si="14"/>
        <v>1</v>
      </c>
      <c r="AM55" s="1057">
        <f t="shared" si="23"/>
        <v>47</v>
      </c>
      <c r="AN55" s="1058">
        <f t="shared" si="8"/>
        <v>46745</v>
      </c>
      <c r="AO55" s="105">
        <f>IF(AX54=1,AR55+AP55+AQ55,IF(AW54+AR55+AP55&gt;AO54,$D$29,IF(AW54=0,0,AW54+AR55+AP55+AP87)))</f>
        <v>14612</v>
      </c>
      <c r="AP55" s="105">
        <f>IF(AND(E55&gt;=$T$14,E55&lt;=$T$14+5),0,IF($C$9&gt;$AC$52,ROUND(AW54*$D$19*((AN55-DATE(YEAR(AN55),MONTH(AN55),1)+1)/(DATE(YEAR(AN55)+1,1,1)-DATE(YEAR(AN55),1,1))+(EOMONTH(AN54,0)-AN54)/(DATE(YEAR(AN54)+1,1,1)-DATE(YEAR(AN54),1,1))),2),0))</f>
        <v>7779.67</v>
      </c>
      <c r="AQ55" s="105">
        <f t="shared" si="30"/>
        <v>6832.33</v>
      </c>
      <c r="AR55" s="105">
        <f>IF(AT55&gt;$D$29,$D$29-AP55,IF(AY55=0,0,AV55)+BN104)</f>
        <v>0</v>
      </c>
      <c r="AS55" s="105">
        <f t="shared" si="31"/>
        <v>0</v>
      </c>
      <c r="AT55" s="105">
        <f t="shared" si="32"/>
        <v>7779.67</v>
      </c>
      <c r="AU55" s="105">
        <f t="shared" si="33"/>
        <v>0</v>
      </c>
      <c r="AV55" s="105">
        <f t="shared" si="34"/>
        <v>0</v>
      </c>
      <c r="AW55" s="105">
        <f t="shared" si="35"/>
        <v>373298.76999999984</v>
      </c>
      <c r="AX55" s="108">
        <f t="shared" si="24"/>
        <v>38</v>
      </c>
      <c r="AY55" s="108">
        <f>IF(ISERR(CEILING(FLOOR(NPER($D$19/12,-$AC$56,AW54),0.1),1))=TRUE,0,CEILING(FLOOR(NPER($D$19/12,-$AC$56,AW54),0.1),1))</f>
        <v>38</v>
      </c>
      <c r="AZ55" s="1047">
        <f t="shared" si="25"/>
        <v>46745</v>
      </c>
      <c r="BA55" s="108">
        <f t="shared" si="25"/>
        <v>14612</v>
      </c>
      <c r="BB55" s="2" t="e">
        <f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055">
        <f t="shared" si="20"/>
        <v>48</v>
      </c>
      <c r="F56" s="1056">
        <f t="shared" si="5"/>
        <v>46776</v>
      </c>
      <c r="G56" s="24">
        <f>IF(AND(E56&gt;=$T$14,E56&lt;=$T$14+5),$T$15,IF(AND(Q55+L56+H56&gt;G55,G55&lt;&gt;0),$C$29,IF(Q55=0,0,Q55+L56+H56+H57)))+IF(AND(E56=$C$10,$C$22&lt;&gt;"Нет"),MIN((I56-I56/$C$19*$C$23),Q55+H56-G55),0)</f>
        <v>14612</v>
      </c>
      <c r="H56" s="24">
        <f>IF(AND(E56&gt;=$T$14,E56&lt;=$T$14+5),0,IF($C$9&gt;$AC$52,ROUND(Q55*$C$19*((F56-DATE(YEAR(F56),MONTH(F56),1)+1)/(DATE(YEAR(F56)+1,1,1)-DATE(YEAR(F56),1,1))+(EOMONTH(F55,0)-F55)/(DATE(YEAR(F55)+1,1,1)-DATE(YEAR(F55),1,1))),2),0))</f>
        <v>10453.81</v>
      </c>
      <c r="I56" s="24">
        <f t="shared" si="19"/>
        <v>577747.57000000007</v>
      </c>
      <c r="J56" s="24">
        <f>IF(E56=$C$10,MIN((I56-I56/$C$19*$C$23),Q55+H56-G55),0)</f>
        <v>0</v>
      </c>
      <c r="K56" s="24">
        <f t="shared" si="6"/>
        <v>4158.1900000000005</v>
      </c>
      <c r="L56" s="24">
        <f>IF(N56&gt;$C$29,$C$29-H56,IF(S56=0,0,O56))</f>
        <v>0</v>
      </c>
      <c r="M56" s="24">
        <f t="shared" si="26"/>
        <v>0</v>
      </c>
      <c r="N56" s="24">
        <f t="shared" si="27"/>
        <v>10453.81</v>
      </c>
      <c r="O56" s="24">
        <f t="shared" si="28"/>
        <v>0</v>
      </c>
      <c r="P56" s="24">
        <f t="shared" si="29"/>
        <v>0</v>
      </c>
      <c r="Q56" s="24">
        <f t="shared" si="7"/>
        <v>408370.56999999989</v>
      </c>
      <c r="R56" s="36">
        <f t="shared" si="22"/>
        <v>37</v>
      </c>
      <c r="S56" s="36">
        <f>IF(ISERR(CEILING(FLOOR(NPER($C$19/12,-$AA$56,Q55),0.1),1))=TRUE,0,CEILING(FLOOR(NPER($C$19/12,-$AA$56,Q55),0.1),1))</f>
        <v>46</v>
      </c>
      <c r="T56" s="2">
        <f t="shared" si="36"/>
        <v>8370.31</v>
      </c>
      <c r="U56" s="34">
        <f>IF(U55&lt;0,0,IF(T56=0,IF(T55=0,0,$U$46),G15)-IF(AND(T56&gt;0,T57=0),$C$26,0))</f>
        <v>14612</v>
      </c>
      <c r="V56" s="57">
        <f t="shared" si="39"/>
        <v>47870</v>
      </c>
      <c r="W56" s="16">
        <f t="shared" si="41"/>
        <v>7</v>
      </c>
      <c r="X56" s="1075" t="s">
        <v>0</v>
      </c>
      <c r="Y56" s="1085"/>
      <c r="Z56" s="10"/>
      <c r="AA56" s="13">
        <f>AB56</f>
        <v>15215.445006481863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15215.445006481863</v>
      </c>
      <c r="AC56" s="13">
        <f>IF(DAY(C9)&lt;4,AD55,IF(DAY(C9)&gt;28,AD57,AD56))</f>
        <v>14611.911139023463</v>
      </c>
      <c r="AD56" s="47">
        <f>(D28)*AB14/12*(1+AB14/12)^(D10)/((1+AB14/12)^(D10)-1)+D28/10000*IF(C10&lt;11,20,IF(C10&lt;34,0.7,IF(C10&lt;64,0.3,IF(C10&lt;261,0.1,-0.02))))*IF(AA14&lt;0.3,AA14/0.2,AA14/0.1)</f>
        <v>14611.911139023463</v>
      </c>
      <c r="AE56" s="2"/>
      <c r="AF56" s="2"/>
      <c r="AG56" s="2"/>
      <c r="AH56" s="2"/>
      <c r="AI56" s="2">
        <f t="shared" si="37"/>
        <v>11841.97</v>
      </c>
      <c r="AJ56" s="34">
        <f t="shared" si="38"/>
        <v>14612</v>
      </c>
      <c r="AK56" s="57">
        <f t="shared" si="40"/>
        <v>47870</v>
      </c>
      <c r="AL56" s="130">
        <f t="shared" si="14"/>
        <v>1</v>
      </c>
      <c r="AM56" s="1057">
        <f t="shared" si="23"/>
        <v>48</v>
      </c>
      <c r="AN56" s="1058">
        <f t="shared" si="8"/>
        <v>46776</v>
      </c>
      <c r="AO56" s="105">
        <f>IF(AX55=1,AR56+AP56+AQ56,IF(AW55+AR56+AP56&gt;AO55,$D$29,IF(AW55=0,0,AW55+AR56+AP56+AP88)))</f>
        <v>14612</v>
      </c>
      <c r="AP56" s="105">
        <f>IF(AND(E56&gt;=$T$14,E56&lt;=$T$14+5),0,IF($C$9&gt;$AC$52,ROUND(AW55*$D$19*((AN56-DATE(YEAR(AN56),MONTH(AN56),1)+1)/(DATE(YEAR(AN56)+1,1,1)-DATE(YEAR(AN56),1,1))+(EOMONTH(AN55,0)-AN55)/(DATE(YEAR(AN55)+1,1,1)-DATE(YEAR(AN55),1,1))),2),0))</f>
        <v>7877.8</v>
      </c>
      <c r="AQ56" s="105">
        <f t="shared" si="30"/>
        <v>6734.2</v>
      </c>
      <c r="AR56" s="105">
        <f>IF(AT56&gt;$D$29,$D$29-AP56,IF(AY56=0,0,AV56)+BN105)</f>
        <v>0</v>
      </c>
      <c r="AS56" s="105">
        <f t="shared" si="31"/>
        <v>0</v>
      </c>
      <c r="AT56" s="105">
        <f t="shared" si="32"/>
        <v>7877.8</v>
      </c>
      <c r="AU56" s="105">
        <f t="shared" si="33"/>
        <v>0</v>
      </c>
      <c r="AV56" s="105">
        <f t="shared" si="34"/>
        <v>0</v>
      </c>
      <c r="AW56" s="105">
        <f t="shared" si="35"/>
        <v>366564.56999999983</v>
      </c>
      <c r="AX56" s="108">
        <f t="shared" si="24"/>
        <v>37</v>
      </c>
      <c r="AY56" s="108">
        <f>IF(ISERR(CEILING(FLOOR(NPER($D$19/12,-$AC$56,AW55),0.1),1))=TRUE,0,CEILING(FLOOR(NPER($D$19/12,-$AC$56,AW55),0.1),1))</f>
        <v>37</v>
      </c>
      <c r="AZ56" s="1047">
        <f t="shared" si="25"/>
        <v>46776</v>
      </c>
      <c r="BA56" s="108">
        <f t="shared" si="25"/>
        <v>14612</v>
      </c>
      <c r="BB56" s="2" t="e">
        <f>IF(AND(E10&gt;=$T$14,E10&lt;=$T$14+5),0,IF($C$9&gt;$AC$52,ROUND(AW9*IF($D$23="",0,$D$23)/(DATEVALUE(CONCATENATE("01/01/",YEAR(AN10)+1))-DATEVALUE(CONCATENATE("01/01/",YEAR(AN10))))*(AN10-AN9),2),0))</f>
        <v>#VALUE!</v>
      </c>
    </row>
    <row r="57" spans="1:54" s="16" customFormat="1" x14ac:dyDescent="0.2">
      <c r="A57" s="2"/>
      <c r="B57" s="2"/>
      <c r="C57" s="13"/>
      <c r="D57" s="13"/>
      <c r="E57" s="1055">
        <f t="shared" si="20"/>
        <v>49</v>
      </c>
      <c r="F57" s="1056">
        <f t="shared" si="5"/>
        <v>46807</v>
      </c>
      <c r="G57" s="24">
        <f>IF(AND(E57&gt;=$T$14,E57&lt;=$T$14+5),$T$15,IF(AND(Q56+L57+H57&gt;G56,G56&lt;&gt;0),$C$29,IF(Q56=0,0,Q56+L57+H57+H58)))+IF(AND(E57=$C$10,$C$22&lt;&gt;"Нет"),MIN((I57-I57/$C$19*$C$23),Q56+H57-G56),0)</f>
        <v>14612</v>
      </c>
      <c r="H57" s="24">
        <f>IF(AND(E57&gt;=$T$14,E57&lt;=$T$14+5),0,IF($C$9&gt;$AC$52,ROUND(Q56*$C$19*((F57-DATE(YEAR(F57),MONTH(F57),1)+1)/(DATE(YEAR(F57)+1,1,1)-DATE(YEAR(F57),1,1))+(EOMONTH(F56,0)-F56)/(DATE(YEAR(F56)+1,1,1)-DATE(YEAR(F56),1,1))),2),0))</f>
        <v>10342.040000000001</v>
      </c>
      <c r="I57" s="24">
        <f t="shared" si="19"/>
        <v>588089.6100000001</v>
      </c>
      <c r="J57" s="24">
        <f>IF(E57=$C$10,MIN((I57-I57/$C$19*$C$23),Q56+H57-G56),0)</f>
        <v>0</v>
      </c>
      <c r="K57" s="24">
        <f t="shared" si="6"/>
        <v>4269.9599999999991</v>
      </c>
      <c r="L57" s="24">
        <f>IF(N57&gt;$C$29,$C$29-H57,IF(S57=0,0,O57))</f>
        <v>0</v>
      </c>
      <c r="M57" s="24">
        <f t="shared" si="26"/>
        <v>0</v>
      </c>
      <c r="N57" s="24">
        <f t="shared" si="27"/>
        <v>10342.040000000001</v>
      </c>
      <c r="O57" s="24">
        <f t="shared" si="28"/>
        <v>0</v>
      </c>
      <c r="P57" s="24">
        <f t="shared" si="29"/>
        <v>0</v>
      </c>
      <c r="Q57" s="24">
        <f t="shared" si="7"/>
        <v>404100.60999999987</v>
      </c>
      <c r="R57" s="36">
        <f t="shared" si="22"/>
        <v>36</v>
      </c>
      <c r="S57" s="36">
        <f>IF(ISERR(CEILING(FLOOR(NPER($C$19/12,-$AA$56,Q56),0.1),1))=TRUE,0,CEILING(FLOOR(NPER($C$19/12,-$AA$56,Q56),0.1),1))</f>
        <v>45</v>
      </c>
      <c r="T57" s="2">
        <f t="shared" si="36"/>
        <v>8348.3799999999992</v>
      </c>
      <c r="U57" s="34">
        <f>IF(U56&lt;0,0,IF(T57=0,IF(T56=0,0,$U$46),G16)-IF(AND(T57&gt;0,T58=0),$C$26,0))</f>
        <v>14612</v>
      </c>
      <c r="V57" s="57">
        <f t="shared" si="39"/>
        <v>48235</v>
      </c>
      <c r="W57" s="16">
        <f t="shared" si="41"/>
        <v>8</v>
      </c>
      <c r="X57" s="1085" t="s">
        <v>18</v>
      </c>
      <c r="Y57" s="3"/>
      <c r="Z57" s="118">
        <f>ROUNDUP(AA57/AD48,0)*AD48</f>
        <v>14070</v>
      </c>
      <c r="AA57" s="13">
        <f>(C28+AF52)*Z58/12*(1+Z58/12)^(C10+AA58)/((1+Z58/12)^(C10+AA58)-1)+10*C28/100000*IF(C10+AA58&lt;24,4,IF(C10+AA58&lt;36,3,IF(C10+AA58&lt;48,2,IF(C10+AA58&lt;60,1.5,1))))*Z58/0.2</f>
        <v>14064.702043608795</v>
      </c>
      <c r="AB57" s="157">
        <f>(C28+AF52)*AA14/12*(1+AA14/12)^(C10)/((1+AA14/12)^(C10)-1)+C28/10000*IF(C10&lt;11,20,IF(C10&lt;34,0.7,IF(C10&lt;48,0.3,0)))*IF(AA14&lt;0.3,AA14/0.2,AA14/0.1)</f>
        <v>15175.678081231863</v>
      </c>
      <c r="AC57" s="13">
        <f>(D28+AF52)*AC58/12*(1+AC58/12)^(C10+AA58)/((1+AC58/12)^(C10+AA58)-1)+10*D28/100000*IF(C10+AA58&lt;24,4,IF(C10+AA58&lt;36,3,IF(C10+AA58&lt;48,2,IF(C10+AA58&lt;60,1.5,1))))*AC58/0.2</f>
        <v>15291.400166769643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14646.499399223463</v>
      </c>
      <c r="AE57" s="2"/>
      <c r="AF57" s="2"/>
      <c r="AG57" s="2"/>
      <c r="AH57" s="2"/>
      <c r="AI57" s="2">
        <f t="shared" si="37"/>
        <v>11783.55</v>
      </c>
      <c r="AJ57" s="34">
        <f t="shared" si="38"/>
        <v>14612</v>
      </c>
      <c r="AK57" s="57">
        <f t="shared" si="40"/>
        <v>48235</v>
      </c>
      <c r="AL57" s="130">
        <f t="shared" si="14"/>
        <v>1</v>
      </c>
      <c r="AM57" s="1057">
        <f t="shared" si="23"/>
        <v>49</v>
      </c>
      <c r="AN57" s="1058">
        <f t="shared" si="8"/>
        <v>46807</v>
      </c>
      <c r="AO57" s="105">
        <f>IF(AX56=1,AR57+AP57+AQ57,IF(AW56+AR57+AP57&gt;AO56,$D$29,IF(AW56=0,0,AW56+AR57+AP57+AP89)))</f>
        <v>14612</v>
      </c>
      <c r="AP57" s="105">
        <f>IF(AND(E57&gt;=$T$14,E57&lt;=$T$14+5),0,IF($C$9&gt;$AC$52,ROUND(AW56*$D$19*((AN57-DATE(YEAR(AN57),MONTH(AN57),1)+1)/(DATE(YEAR(AN57)+1,1,1)-DATE(YEAR(AN57),1,1))+(EOMONTH(AN56,0)-AN56)/(DATE(YEAR(AN56)+1,1,1)-DATE(YEAR(AN56),1,1))),2),0))</f>
        <v>7730.91</v>
      </c>
      <c r="AQ57" s="105">
        <f t="shared" si="30"/>
        <v>6881.09</v>
      </c>
      <c r="AR57" s="105">
        <f>IF(AT57&gt;$D$29,$D$29-AP57,IF(AY57=0,0,AV57)+BN106)</f>
        <v>0</v>
      </c>
      <c r="AS57" s="105">
        <f t="shared" si="31"/>
        <v>0</v>
      </c>
      <c r="AT57" s="105">
        <f t="shared" si="32"/>
        <v>7730.91</v>
      </c>
      <c r="AU57" s="105">
        <f t="shared" si="33"/>
        <v>0</v>
      </c>
      <c r="AV57" s="105">
        <f t="shared" si="34"/>
        <v>0</v>
      </c>
      <c r="AW57" s="105">
        <f t="shared" si="35"/>
        <v>359683.47999999981</v>
      </c>
      <c r="AX57" s="108">
        <f t="shared" si="24"/>
        <v>36</v>
      </c>
      <c r="AY57" s="108">
        <f>IF(ISERR(CEILING(FLOOR(NPER($D$19/12,-$AC$56,AW56),0.1),1))=TRUE,0,CEILING(FLOOR(NPER($D$19/12,-$AC$56,AW56),0.1),1))</f>
        <v>36</v>
      </c>
      <c r="AZ57" s="1047">
        <f t="shared" si="25"/>
        <v>46807</v>
      </c>
      <c r="BA57" s="108">
        <f t="shared" si="25"/>
        <v>14612</v>
      </c>
      <c r="BB57" s="2" t="e">
        <f>IF(AND(E11&gt;=$T$14,E11&lt;=$T$14+5),0,IF($C$9&gt;$AC$52,ROUND(AW10*IF($D$23="",0,$D$23)/(DATEVALUE(CONCATENATE("01/01/",YEAR(AN11)+1))-DATEVALUE(CONCATENATE("01/01/",YEAR(AN11))))*(AN11-AN10),2),0))</f>
        <v>#VALUE!</v>
      </c>
    </row>
    <row r="58" spans="1:54" s="16" customFormat="1" x14ac:dyDescent="0.2">
      <c r="A58" s="2"/>
      <c r="B58" s="2"/>
      <c r="C58" s="2"/>
      <c r="D58" s="13"/>
      <c r="E58" s="1055">
        <f t="shared" si="20"/>
        <v>50</v>
      </c>
      <c r="F58" s="1056">
        <f t="shared" si="5"/>
        <v>46836</v>
      </c>
      <c r="G58" s="24">
        <f>IF(AND(E58&gt;=$T$14,E58&lt;=$T$14+5),$T$15,IF(AND(Q57+L58+H58&gt;G57,G57&lt;&gt;0),$C$29,IF(Q57=0,0,Q57+L58+H58+H59)))+IF(AND(E58=$C$10,$C$22&lt;&gt;"Нет"),MIN((I58-I58/$C$19*$C$23),Q57+H58-G57),0)</f>
        <v>14612</v>
      </c>
      <c r="H58" s="24">
        <f>IF(AND(E58&gt;=$T$14,E58&lt;=$T$14+5),0,IF($C$9&gt;$AC$52,ROUND(Q57*$C$19*((F58-DATE(YEAR(F58),MONTH(F58),1)+1)/(DATE(YEAR(F58)+1,1,1)-DATE(YEAR(F58),1,1))+(EOMONTH(F57,0)-F57)/(DATE(YEAR(F57)+1,1,1)-DATE(YEAR(F57),1,1))),2),0))</f>
        <v>9573.65</v>
      </c>
      <c r="I58" s="24">
        <f t="shared" si="19"/>
        <v>597663.26000000013</v>
      </c>
      <c r="J58" s="24">
        <f>IF(E58=$C$10,MIN((I58-I58/$C$19*$C$23),Q57+H58-G57),0)</f>
        <v>0</v>
      </c>
      <c r="K58" s="24">
        <f t="shared" si="6"/>
        <v>5038.3500000000004</v>
      </c>
      <c r="L58" s="24">
        <f>IF(N58&gt;$C$29,$C$29-H58,IF(S58=0,0,O58))</f>
        <v>0</v>
      </c>
      <c r="M58" s="24">
        <f t="shared" si="26"/>
        <v>0</v>
      </c>
      <c r="N58" s="24">
        <f t="shared" si="27"/>
        <v>9573.65</v>
      </c>
      <c r="O58" s="24">
        <f t="shared" si="28"/>
        <v>0</v>
      </c>
      <c r="P58" s="24">
        <f t="shared" si="29"/>
        <v>0</v>
      </c>
      <c r="Q58" s="24">
        <f t="shared" si="7"/>
        <v>399062.25999999989</v>
      </c>
      <c r="R58" s="36">
        <f t="shared" si="22"/>
        <v>35</v>
      </c>
      <c r="S58" s="36">
        <f>IF(ISERR(CEILING(FLOOR(NPER($C$19/12,-$AA$56,Q57),0.1),1))=TRUE,0,CEILING(FLOOR(NPER($C$19/12,-$AA$56,Q57),0.1),1))</f>
        <v>44</v>
      </c>
      <c r="T58" s="2">
        <f t="shared" si="36"/>
        <v>8057.32</v>
      </c>
      <c r="U58" s="34">
        <f>IF(U57&lt;0,0,IF(T58=0,IF(T57=0,0,$U$46),G17)-IF(AND(T58&gt;0,T59=0),$C$26,0))</f>
        <v>14612</v>
      </c>
      <c r="V58" s="57">
        <f t="shared" si="39"/>
        <v>48600</v>
      </c>
      <c r="W58" s="16">
        <f t="shared" si="41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15175.678081231863</v>
      </c>
      <c r="AC58" s="15">
        <f>IF(C9&gt;AE49,D17,D17+0.05)</f>
        <v>0.29899999999999999</v>
      </c>
      <c r="AD58" s="47">
        <f>(D28)*AB14/12*(1+AB14/12)^(C10)/((1+AB14/12)^(C10)-1)</f>
        <v>14603.264073973463</v>
      </c>
      <c r="AE58" s="2"/>
      <c r="AF58" s="2"/>
      <c r="AG58" s="2"/>
      <c r="AH58" s="2"/>
      <c r="AI58" s="2">
        <f t="shared" si="37"/>
        <v>11345.7</v>
      </c>
      <c r="AJ58" s="34">
        <f t="shared" si="38"/>
        <v>14612</v>
      </c>
      <c r="AK58" s="57">
        <f t="shared" si="40"/>
        <v>48600</v>
      </c>
      <c r="AL58" s="130">
        <f t="shared" si="14"/>
        <v>1</v>
      </c>
      <c r="AM58" s="1057">
        <f t="shared" si="23"/>
        <v>50</v>
      </c>
      <c r="AN58" s="1058">
        <f t="shared" si="8"/>
        <v>46836</v>
      </c>
      <c r="AO58" s="105">
        <f>IF(AX57=1,AR58+AP58+AQ58,IF(AW57+AR58+AP58&gt;AO57,$D$29,IF(AW57=0,0,AW57+AR58+AP58+AP90)))</f>
        <v>14612</v>
      </c>
      <c r="AP58" s="105">
        <f>IF(AND(E58&gt;=$T$14,E58&lt;=$T$14+5),0,IF($C$9&gt;$AC$52,ROUND(AW57*$D$19*((AN58-DATE(YEAR(AN58),MONTH(AN58),1)+1)/(DATE(YEAR(AN58)+1,1,1)-DATE(YEAR(AN58),1,1))+(EOMONTH(AN57,0)-AN57)/(DATE(YEAR(AN57)+1,1,1)-DATE(YEAR(AN57),1,1))),2),0))</f>
        <v>7096.38</v>
      </c>
      <c r="AQ58" s="105">
        <f t="shared" si="30"/>
        <v>7515.62</v>
      </c>
      <c r="AR58" s="105">
        <f>IF(AT58&gt;$D$29,$D$29-AP58,IF(AY58=0,0,AV58)+BN107)</f>
        <v>0</v>
      </c>
      <c r="AS58" s="105">
        <f t="shared" si="31"/>
        <v>0</v>
      </c>
      <c r="AT58" s="105">
        <f t="shared" si="32"/>
        <v>7096.38</v>
      </c>
      <c r="AU58" s="105">
        <f t="shared" si="33"/>
        <v>0</v>
      </c>
      <c r="AV58" s="105">
        <f t="shared" si="34"/>
        <v>0</v>
      </c>
      <c r="AW58" s="105">
        <f t="shared" si="35"/>
        <v>352167.85999999981</v>
      </c>
      <c r="AX58" s="108">
        <f t="shared" si="24"/>
        <v>35</v>
      </c>
      <c r="AY58" s="108">
        <f>IF(ISERR(CEILING(FLOOR(NPER($D$19/12,-$AC$56,AW57),0.1),1))=TRUE,0,CEILING(FLOOR(NPER($D$19/12,-$AC$56,AW57),0.1),1))</f>
        <v>35</v>
      </c>
      <c r="AZ58" s="1047">
        <f t="shared" si="25"/>
        <v>46836</v>
      </c>
      <c r="BA58" s="108">
        <f t="shared" si="25"/>
        <v>14612</v>
      </c>
      <c r="BB58" s="2" t="e">
        <f>IF(AND(E12&gt;=$T$14,E12&lt;=$T$14+5),0,IF($C$9&gt;$AC$52,ROUND(AW11*IF($D$23="",0,$D$23)/(DATEVALUE(CONCATENATE("01/01/",YEAR(AN12)+1))-DATEVALUE(CONCATENATE("01/01/",YEAR(AN12))))*(AN12-AN11),2),0))</f>
        <v>#VALUE!</v>
      </c>
    </row>
    <row r="59" spans="1:54" s="16" customFormat="1" ht="15.75" customHeight="1" x14ac:dyDescent="0.2">
      <c r="A59" s="2"/>
      <c r="B59" s="2"/>
      <c r="C59" s="2"/>
      <c r="D59" s="2"/>
      <c r="E59" s="1055">
        <f t="shared" si="20"/>
        <v>51</v>
      </c>
      <c r="F59" s="1056">
        <f t="shared" si="5"/>
        <v>46867</v>
      </c>
      <c r="G59" s="24">
        <f>IF(AND(E59&gt;=$T$14,E59&lt;=$T$14+5),$T$15,IF(AND(Q58+L59+H59&gt;G58,G58&lt;&gt;0),$C$29,IF(Q58=0,0,Q58+L59+H59+H60)))+IF(AND(E59=$C$10,$C$22&lt;&gt;"Нет"),MIN((I59-I59/$C$19*$C$23),Q58+H59-G58),0)</f>
        <v>14612</v>
      </c>
      <c r="H59" s="24">
        <f>IF(AND(E59&gt;=$T$14,E59&lt;=$T$14+5),0,IF($C$9&gt;$AC$52,ROUND(Q58*$C$19*((F59-DATE(YEAR(F59),MONTH(F59),1)+1)/(DATE(YEAR(F59)+1,1,1)-DATE(YEAR(F59),1,1))+(EOMONTH(F58,0)-F58)/(DATE(YEAR(F58)+1,1,1)-DATE(YEAR(F58),1,1))),2),0))</f>
        <v>10106.31</v>
      </c>
      <c r="I59" s="24">
        <f t="shared" si="19"/>
        <v>607769.57000000018</v>
      </c>
      <c r="J59" s="24">
        <f>IF(E59=$C$10,MIN((I59-I59/$C$19*$C$23),Q58+H59-G58),0)</f>
        <v>0</v>
      </c>
      <c r="K59" s="24">
        <f t="shared" si="6"/>
        <v>4505.6900000000005</v>
      </c>
      <c r="L59" s="24">
        <f>IF(N59&gt;$C$29,$C$29-H59,IF(S59=0,0,O59))</f>
        <v>0</v>
      </c>
      <c r="M59" s="24">
        <f t="shared" si="26"/>
        <v>0</v>
      </c>
      <c r="N59" s="24">
        <f t="shared" si="27"/>
        <v>10106.31</v>
      </c>
      <c r="O59" s="24">
        <f t="shared" si="28"/>
        <v>0</v>
      </c>
      <c r="P59" s="24">
        <f t="shared" si="29"/>
        <v>0</v>
      </c>
      <c r="Q59" s="24">
        <f t="shared" si="7"/>
        <v>394556.56999999989</v>
      </c>
      <c r="R59" s="36">
        <f t="shared" si="22"/>
        <v>34</v>
      </c>
      <c r="S59" s="36">
        <f>IF(ISERR(CEILING(FLOOR(NPER($C$19/12,-$AA$56,Q58),0.1),1))=TRUE,0,CEILING(FLOOR(NPER($C$19/12,-$AA$56,Q58),0.1),1))</f>
        <v>43</v>
      </c>
      <c r="T59" s="2">
        <f t="shared" si="36"/>
        <v>8296.0300000000007</v>
      </c>
      <c r="U59" s="34">
        <f>IF(U58&lt;0,0,IF(T59=0,IF(T58=0,0,$U$46),G18)-IF(AND(T59&gt;0,T60=0),$C$26,0))</f>
        <v>14612</v>
      </c>
      <c r="V59" s="57">
        <f t="shared" si="39"/>
        <v>48965</v>
      </c>
      <c r="W59" s="16">
        <f t="shared" si="41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37"/>
        <v>11655.01</v>
      </c>
      <c r="AJ59" s="34">
        <f t="shared" si="38"/>
        <v>14612</v>
      </c>
      <c r="AK59" s="57">
        <f t="shared" si="40"/>
        <v>48965</v>
      </c>
      <c r="AL59" s="130">
        <f t="shared" si="14"/>
        <v>1</v>
      </c>
      <c r="AM59" s="1057">
        <f t="shared" si="23"/>
        <v>51</v>
      </c>
      <c r="AN59" s="1058">
        <f t="shared" si="8"/>
        <v>46867</v>
      </c>
      <c r="AO59" s="105">
        <f>IF(AX58=1,AR59+AP59+AQ59,IF(AW58+AR59+AP59&gt;AO58,$D$29,IF(AW58=0,0,AW58+AR59+AP59+AP91)))</f>
        <v>14612</v>
      </c>
      <c r="AP59" s="105">
        <f>IF(AND(E59&gt;=$T$14,E59&lt;=$T$14+5),0,IF($C$9&gt;$AC$52,ROUND(AW58*$D$19*((AN59-DATE(YEAR(AN59),MONTH(AN59),1)+1)/(DATE(YEAR(AN59)+1,1,1)-DATE(YEAR(AN59),1,1))+(EOMONTH(AN58,0)-AN58)/(DATE(YEAR(AN58)+1,1,1)-DATE(YEAR(AN58),1,1))),2),0))</f>
        <v>7427.28</v>
      </c>
      <c r="AQ59" s="105">
        <f t="shared" si="30"/>
        <v>7184.72</v>
      </c>
      <c r="AR59" s="105">
        <f>IF(AT59&gt;$D$29,$D$29-AP59,IF(AY59=0,0,AV59)+BN108)</f>
        <v>0</v>
      </c>
      <c r="AS59" s="105">
        <f t="shared" si="31"/>
        <v>0</v>
      </c>
      <c r="AT59" s="105">
        <f t="shared" si="32"/>
        <v>7427.28</v>
      </c>
      <c r="AU59" s="105">
        <f t="shared" si="33"/>
        <v>0</v>
      </c>
      <c r="AV59" s="105">
        <f t="shared" si="34"/>
        <v>0</v>
      </c>
      <c r="AW59" s="105">
        <f t="shared" si="35"/>
        <v>344983.13999999984</v>
      </c>
      <c r="AX59" s="108">
        <f t="shared" si="24"/>
        <v>34</v>
      </c>
      <c r="AY59" s="108">
        <f>IF(ISERR(CEILING(FLOOR(NPER($D$19/12,-$AC$56,AW58),0.1),1))=TRUE,0,CEILING(FLOOR(NPER($D$19/12,-$AC$56,AW58),0.1),1))</f>
        <v>34</v>
      </c>
      <c r="AZ59" s="1047">
        <f t="shared" si="25"/>
        <v>46867</v>
      </c>
      <c r="BA59" s="108">
        <f t="shared" si="25"/>
        <v>14612</v>
      </c>
      <c r="BB59" s="2" t="e">
        <f>IF(AND(E13&gt;=$T$14,E13&lt;=$T$14+5),0,IF($C$9&gt;$AC$52,ROUND(AW12*IF($D$23="",0,$D$23)/(DATEVALUE(CONCATENATE("01/01/",YEAR(AN13)+1))-DATEVALUE(CONCATENATE("01/01/",YEAR(AN13))))*(AN13-AN12),2),0))</f>
        <v>#VALUE!</v>
      </c>
    </row>
    <row r="60" spans="1:54" s="16" customFormat="1" ht="12" x14ac:dyDescent="0.2">
      <c r="A60" s="2"/>
      <c r="B60" s="2"/>
      <c r="C60" s="2"/>
      <c r="D60" s="2"/>
      <c r="E60" s="1055">
        <f t="shared" si="20"/>
        <v>52</v>
      </c>
      <c r="F60" s="1056">
        <f t="shared" si="5"/>
        <v>46897</v>
      </c>
      <c r="G60" s="24">
        <f>IF(AND(E60&gt;=$T$14,E60&lt;=$T$14+5),$T$15,IF(AND(Q59+L60+H60&gt;G59,G59&lt;&gt;0),$C$29,IF(Q59=0,0,Q59+L60+H60+H61)))+IF(AND(E60=$C$10,$C$22&lt;&gt;"Нет"),MIN((I60-I60/$C$19*$C$23),Q59+H60-G59),0)</f>
        <v>14612</v>
      </c>
      <c r="H60" s="24">
        <f>IF(AND(E60&gt;=$T$14,E60&lt;=$T$14+5),0,IF($C$9&gt;$AC$52,ROUND(Q59*$C$19*((F60-DATE(YEAR(F60),MONTH(F60),1)+1)/(DATE(YEAR(F60)+1,1,1)-DATE(YEAR(F60),1,1))+(EOMONTH(F59,0)-F59)/(DATE(YEAR(F59)+1,1,1)-DATE(YEAR(F59),1,1))),2),0))</f>
        <v>9669.8700000000008</v>
      </c>
      <c r="I60" s="24">
        <f t="shared" si="19"/>
        <v>617439.44000000018</v>
      </c>
      <c r="J60" s="24">
        <f>IF(E60=$C$10,MIN((I60-I60/$C$19*$C$23),Q59+H60-G59),0)</f>
        <v>0</v>
      </c>
      <c r="K60" s="24">
        <f t="shared" si="6"/>
        <v>4942.1299999999992</v>
      </c>
      <c r="L60" s="24">
        <f>IF(N60&gt;$C$29,$C$29-H60,IF(S60=0,0,O60))</f>
        <v>0</v>
      </c>
      <c r="M60" s="24">
        <f t="shared" si="26"/>
        <v>0</v>
      </c>
      <c r="N60" s="24">
        <f t="shared" si="27"/>
        <v>9669.8700000000008</v>
      </c>
      <c r="O60" s="24">
        <f t="shared" si="28"/>
        <v>0</v>
      </c>
      <c r="P60" s="24">
        <f t="shared" si="29"/>
        <v>0</v>
      </c>
      <c r="Q60" s="24">
        <f t="shared" si="7"/>
        <v>389614.43999999989</v>
      </c>
      <c r="R60" s="36">
        <f t="shared" si="22"/>
        <v>33</v>
      </c>
      <c r="S60" s="36">
        <f>IF(ISERR(CEILING(FLOOR(NPER($C$19/12,-$AA$56,Q59),0.1),1))=TRUE,0,CEILING(FLOOR(NPER($C$19/12,-$AA$56,Q59),0.1),1))</f>
        <v>43</v>
      </c>
      <c r="T60" s="2">
        <f t="shared" si="36"/>
        <v>8005.38</v>
      </c>
      <c r="U60" s="34">
        <f>IF(U59&lt;0,0,IF(T60=0,IF(T59=0,0,$U$46),G19)-IF(AND(T60&gt;0,T61=0),$C$26,0))</f>
        <v>14612</v>
      </c>
      <c r="V60" s="57">
        <f t="shared" si="39"/>
        <v>49330</v>
      </c>
      <c r="W60" s="16">
        <f t="shared" si="41"/>
        <v>11</v>
      </c>
      <c r="X60" s="2" t="s">
        <v>452</v>
      </c>
      <c r="Z60" s="145" t="s">
        <v>489</v>
      </c>
      <c r="AA60" s="145" t="s">
        <v>488</v>
      </c>
      <c r="AB60" s="145" t="s">
        <v>490</v>
      </c>
      <c r="AC60" s="145" t="s">
        <v>491</v>
      </c>
      <c r="AD60" s="145" t="s">
        <v>492</v>
      </c>
      <c r="AE60" s="145" t="s">
        <v>487</v>
      </c>
      <c r="AF60" s="145" t="s">
        <v>493</v>
      </c>
      <c r="AG60" s="145" t="s">
        <v>494</v>
      </c>
      <c r="AH60" s="2" t="s">
        <v>35</v>
      </c>
      <c r="AI60" s="2">
        <f t="shared" si="37"/>
        <v>11218.69</v>
      </c>
      <c r="AJ60" s="34">
        <f t="shared" si="38"/>
        <v>14612</v>
      </c>
      <c r="AK60" s="57">
        <f>IF(AI60=0,AK59,AK59+365)</f>
        <v>49330</v>
      </c>
      <c r="AL60" s="130">
        <f t="shared" si="14"/>
        <v>1</v>
      </c>
      <c r="AM60" s="1057">
        <f t="shared" si="23"/>
        <v>52</v>
      </c>
      <c r="AN60" s="1058">
        <f t="shared" si="8"/>
        <v>46897</v>
      </c>
      <c r="AO60" s="105">
        <f>IF(AX59=1,AR60+AP60+AQ60,IF(AW59+AR60+AP60&gt;AO59,$D$29,IF(AW59=0,0,AW59+AR60+AP60+AP92)))</f>
        <v>14612</v>
      </c>
      <c r="AP60" s="105">
        <f>IF(AND(E60&gt;=$T$14,E60&lt;=$T$14+5),0,IF($C$9&gt;$AC$52,ROUND(AW59*$D$19*((AN60-DATE(YEAR(AN60),MONTH(AN60),1)+1)/(DATE(YEAR(AN60)+1,1,1)-DATE(YEAR(AN60),1,1))+(EOMONTH(AN59,0)-AN59)/(DATE(YEAR(AN59)+1,1,1)-DATE(YEAR(AN59),1,1))),2),0))</f>
        <v>7041.05</v>
      </c>
      <c r="AQ60" s="105">
        <f t="shared" si="30"/>
        <v>7570.95</v>
      </c>
      <c r="AR60" s="105">
        <f>IF(AT60&gt;$D$29,$D$29-AP60,IF(AY60=0,0,AV60)+BN109)</f>
        <v>0</v>
      </c>
      <c r="AS60" s="105">
        <f t="shared" si="31"/>
        <v>0</v>
      </c>
      <c r="AT60" s="105">
        <f t="shared" si="32"/>
        <v>7041.05</v>
      </c>
      <c r="AU60" s="105">
        <f t="shared" si="33"/>
        <v>0</v>
      </c>
      <c r="AV60" s="105">
        <f t="shared" si="34"/>
        <v>0</v>
      </c>
      <c r="AW60" s="105">
        <f t="shared" si="35"/>
        <v>337412.18999999983</v>
      </c>
      <c r="AX60" s="108">
        <f t="shared" si="24"/>
        <v>33</v>
      </c>
      <c r="AY60" s="108">
        <f>IF(ISERR(CEILING(FLOOR(NPER($D$19/12,-$AC$56,AW59),0.1),1))=TRUE,0,CEILING(FLOOR(NPER($D$19/12,-$AC$56,AW59),0.1),1))</f>
        <v>33</v>
      </c>
      <c r="AZ60" s="1047">
        <f t="shared" si="25"/>
        <v>46897</v>
      </c>
      <c r="BA60" s="108">
        <f t="shared" si="25"/>
        <v>14612</v>
      </c>
      <c r="BB60" s="2" t="e">
        <f>IF(AND(E14&gt;=$T$14,E14&lt;=$T$14+5),0,IF($C$9&gt;$AC$52,ROUND(AW13*IF($D$23="",0,$D$23)/(DATEVALUE(CONCATENATE("01/01/",YEAR(AN14)+1))-DATEVALUE(CONCATENATE("01/01/",YEAR(AN14))))*(AN14-AN13),2),0))</f>
        <v>#VALUE!</v>
      </c>
    </row>
    <row r="61" spans="1:54" s="16" customFormat="1" ht="12" x14ac:dyDescent="0.2">
      <c r="A61" s="2"/>
      <c r="B61" s="2"/>
      <c r="C61" s="2"/>
      <c r="D61" s="2"/>
      <c r="E61" s="1055">
        <f t="shared" si="20"/>
        <v>53</v>
      </c>
      <c r="F61" s="1056">
        <f t="shared" si="5"/>
        <v>46928</v>
      </c>
      <c r="G61" s="24">
        <f>IF(AND(E61&gt;=$T$14,E61&lt;=$T$14+5),$T$15,IF(AND(Q60+L61+H61&gt;G60,G60&lt;&gt;0),$C$29,IF(Q60=0,0,Q60+L61+H61+H62)))+IF(AND(E61=$C$10,$C$22&lt;&gt;"Нет"),MIN((I61-I61/$C$19*$C$23),Q60+H61-G60),0)</f>
        <v>14612</v>
      </c>
      <c r="H61" s="24">
        <f>IF(AND(E61&gt;=$T$14,E61&lt;=$T$14+5),0,IF($C$9&gt;$AC$52,ROUND(Q60*$C$19*((F61-DATE(YEAR(F61),MONTH(F61),1)+1)/(DATE(YEAR(F61)+1,1,1)-DATE(YEAR(F61),1,1))+(EOMONTH(F60,0)-F60)/(DATE(YEAR(F60)+1,1,1)-DATE(YEAR(F60),1,1))),2),0))</f>
        <v>9867.0400000000009</v>
      </c>
      <c r="I61" s="24">
        <f t="shared" si="19"/>
        <v>627306.48000000021</v>
      </c>
      <c r="J61" s="24">
        <f>IF(E61=$C$10,MIN((I61-I61/$C$19*$C$23),Q60+H61-G60),0)</f>
        <v>0</v>
      </c>
      <c r="K61" s="24">
        <f t="shared" si="6"/>
        <v>4744.9599999999991</v>
      </c>
      <c r="L61" s="24">
        <f>IF(N61&gt;$C$29,$C$29-H61,IF(S61=0,0,O61))</f>
        <v>0</v>
      </c>
      <c r="M61" s="24">
        <f t="shared" si="26"/>
        <v>0</v>
      </c>
      <c r="N61" s="24">
        <f t="shared" si="27"/>
        <v>9867.0400000000009</v>
      </c>
      <c r="O61" s="24">
        <f t="shared" si="28"/>
        <v>0</v>
      </c>
      <c r="P61" s="24">
        <f t="shared" si="29"/>
        <v>0</v>
      </c>
      <c r="Q61" s="24">
        <f t="shared" si="7"/>
        <v>384869.47999999986</v>
      </c>
      <c r="R61" s="36">
        <f t="shared" si="22"/>
        <v>32</v>
      </c>
      <c r="S61" s="36">
        <f>IF(ISERR(CEILING(FLOOR(NPER($C$19/12,-$AA$56,Q60),0.1),1))=TRUE,0,CEILING(FLOOR(NPER($C$19/12,-$AA$56,Q60),0.1),1))</f>
        <v>42</v>
      </c>
      <c r="T61" s="2">
        <f t="shared" si="36"/>
        <v>8263.6200000000008</v>
      </c>
      <c r="U61" s="34">
        <f>IF(U60&lt;0,0,IF(T61=0,IF(T60=0,0,$U$46),G20)-IF(AND(T61&gt;0,T62=0),$C$26,0))</f>
        <v>14612</v>
      </c>
      <c r="V61" s="57">
        <f t="shared" si="39"/>
        <v>49695</v>
      </c>
      <c r="W61" s="16">
        <f t="shared" si="41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37"/>
        <v>11552.64</v>
      </c>
      <c r="AJ61" s="34">
        <f t="shared" si="38"/>
        <v>14612</v>
      </c>
      <c r="AK61" s="57">
        <f t="shared" si="40"/>
        <v>49695</v>
      </c>
      <c r="AL61" s="130">
        <f t="shared" si="14"/>
        <v>1</v>
      </c>
      <c r="AM61" s="1057">
        <f t="shared" si="23"/>
        <v>53</v>
      </c>
      <c r="AN61" s="1058">
        <f t="shared" si="8"/>
        <v>46928</v>
      </c>
      <c r="AO61" s="105">
        <f>IF(AX60=1,AR61+AP61+AQ61,IF(AW60+AR61+AP61&gt;AO60,$D$29,IF(AW60=0,0,AW60+AR61+AP61+AP93)))</f>
        <v>14612</v>
      </c>
      <c r="AP61" s="105">
        <f>IF(AND(E61&gt;=$T$14,E61&lt;=$T$14+5),0,IF($C$9&gt;$AC$52,ROUND(AW60*$D$19*((AN61-DATE(YEAR(AN61),MONTH(AN61),1)+1)/(DATE(YEAR(AN61)+1,1,1)-DATE(YEAR(AN61),1,1))+(EOMONTH(AN60,0)-AN60)/(DATE(YEAR(AN60)+1,1,1)-DATE(YEAR(AN60),1,1))),2),0))</f>
        <v>7116.08</v>
      </c>
      <c r="AQ61" s="105">
        <f t="shared" si="30"/>
        <v>7495.92</v>
      </c>
      <c r="AR61" s="105">
        <f>IF(AT61&gt;$D$29,$D$29-AP61,IF(AY61=0,0,AV61)+BN110)</f>
        <v>0</v>
      </c>
      <c r="AS61" s="105">
        <f t="shared" si="31"/>
        <v>0</v>
      </c>
      <c r="AT61" s="105">
        <f t="shared" si="32"/>
        <v>7116.08</v>
      </c>
      <c r="AU61" s="105">
        <f t="shared" si="33"/>
        <v>0</v>
      </c>
      <c r="AV61" s="105">
        <f t="shared" si="34"/>
        <v>0</v>
      </c>
      <c r="AW61" s="105">
        <f t="shared" si="35"/>
        <v>329916.26999999984</v>
      </c>
      <c r="AX61" s="108">
        <f t="shared" si="24"/>
        <v>32</v>
      </c>
      <c r="AY61" s="108">
        <f>IF(ISERR(CEILING(FLOOR(NPER($D$19/12,-$AC$56,AW60),0.1),1))=TRUE,0,CEILING(FLOOR(NPER($D$19/12,-$AC$56,AW60),0.1),1))</f>
        <v>32</v>
      </c>
      <c r="AZ61" s="1047">
        <f t="shared" si="25"/>
        <v>46928</v>
      </c>
      <c r="BA61" s="108">
        <f t="shared" si="25"/>
        <v>14612</v>
      </c>
      <c r="BB61" s="2" t="e">
        <f>IF(AND(E15&gt;=$T$14,E15&lt;=$T$14+5),0,IF($C$9&gt;$AC$52,ROUND(AW14*IF($D$23="",0,$D$23)/(DATEVALUE(CONCATENATE("01/01/",YEAR(AN15)+1))-DATEVALUE(CONCATENATE("01/01/",YEAR(AN15))))*(AN15-AN14),2),0))</f>
        <v>#VALUE!</v>
      </c>
    </row>
    <row r="62" spans="1:54" s="16" customFormat="1" ht="15.75" customHeight="1" x14ac:dyDescent="0.2">
      <c r="A62" s="2"/>
      <c r="B62" s="2"/>
      <c r="C62" s="2"/>
      <c r="D62" s="2"/>
      <c r="E62" s="1055">
        <f t="shared" si="20"/>
        <v>54</v>
      </c>
      <c r="F62" s="1056">
        <f t="shared" si="5"/>
        <v>46958</v>
      </c>
      <c r="G62" s="24">
        <f>IF(AND(E62&gt;=$T$14,E62&lt;=$T$14+5),$T$15,IF(AND(Q61+L62+H62&gt;G61,G61&lt;&gt;0),$C$29,IF(Q61=0,0,Q61+L62+H62+H63)))+IF(AND(E62=$C$10,$C$22&lt;&gt;"Нет"),MIN((I62-I62/$C$19*$C$23),Q61+H62-G61),0)</f>
        <v>14612</v>
      </c>
      <c r="H62" s="24">
        <f>IF(AND(E62&gt;=$T$14,E62&lt;=$T$14+5),0,IF($C$9&gt;$AC$52,ROUND(Q61*$C$19*((F62-DATE(YEAR(F62),MONTH(F62),1)+1)/(DATE(YEAR(F62)+1,1,1)-DATE(YEAR(F62),1,1))+(EOMONTH(F61,0)-F61)/(DATE(YEAR(F61)+1,1,1)-DATE(YEAR(F61),1,1))),2),0))</f>
        <v>9432.4599999999991</v>
      </c>
      <c r="I62" s="24">
        <f t="shared" si="19"/>
        <v>636738.94000000018</v>
      </c>
      <c r="J62" s="24">
        <f>IF(E62=$C$10,MIN((I62-I62/$C$19*$C$23),Q61+H62-G61),0)</f>
        <v>0</v>
      </c>
      <c r="K62" s="24">
        <f t="shared" si="6"/>
        <v>5179.5400000000009</v>
      </c>
      <c r="L62" s="24">
        <f>IF(N62&gt;$C$29,$C$29-H62,IF(S62=0,0,O62))</f>
        <v>0</v>
      </c>
      <c r="M62" s="24">
        <f t="shared" si="26"/>
        <v>0</v>
      </c>
      <c r="N62" s="24">
        <f t="shared" si="27"/>
        <v>9432.4599999999991</v>
      </c>
      <c r="O62" s="24">
        <f t="shared" si="28"/>
        <v>0</v>
      </c>
      <c r="P62" s="24">
        <f t="shared" si="29"/>
        <v>0</v>
      </c>
      <c r="Q62" s="24">
        <f t="shared" si="7"/>
        <v>379689.93999999989</v>
      </c>
      <c r="R62" s="36">
        <f t="shared" si="22"/>
        <v>31</v>
      </c>
      <c r="S62" s="36">
        <f>IF(ISERR(CEILING(FLOOR(NPER($C$19/12,-$AA$56,Q61),0.1),1))=TRUE,0,CEILING(FLOOR(NPER($C$19/12,-$AA$56,Q61),0.1),1))</f>
        <v>41</v>
      </c>
      <c r="T62" s="2">
        <f t="shared" si="36"/>
        <v>8238.7900000000009</v>
      </c>
      <c r="U62" s="34">
        <f>IF(U61&lt;0,0,IF(T62=0,IF(T61=0,0,$U$46),G21)-IF(AND(T62&gt;0,T63=0),$C$26,0))</f>
        <v>14612</v>
      </c>
      <c r="V62" s="57">
        <f t="shared" si="39"/>
        <v>50060</v>
      </c>
      <c r="W62" s="16">
        <f t="shared" si="41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37"/>
        <v>11487.79</v>
      </c>
      <c r="AJ62" s="34">
        <f t="shared" si="38"/>
        <v>14612</v>
      </c>
      <c r="AK62" s="57">
        <f t="shared" si="40"/>
        <v>50060</v>
      </c>
      <c r="AL62" s="130">
        <f t="shared" si="14"/>
        <v>1</v>
      </c>
      <c r="AM62" s="1057">
        <f t="shared" si="23"/>
        <v>54</v>
      </c>
      <c r="AN62" s="1058">
        <f t="shared" si="8"/>
        <v>46958</v>
      </c>
      <c r="AO62" s="105">
        <f>IF(AX61=1,AR62+AP62+AQ62,IF(AW61+AR62+AP62&gt;AO61,$D$29,IF(AW61=0,0,AW61+AR62+AP62+AP94)))</f>
        <v>14612</v>
      </c>
      <c r="AP62" s="105">
        <f>IF(AND(E62&gt;=$T$14,E62&lt;=$T$14+5),0,IF($C$9&gt;$AC$52,ROUND(AW61*$D$19*((AN62-DATE(YEAR(AN62),MONTH(AN62),1)+1)/(DATE(YEAR(AN62)+1,1,1)-DATE(YEAR(AN62),1,1))+(EOMONTH(AN61,0)-AN61)/(DATE(YEAR(AN61)+1,1,1)-DATE(YEAR(AN61),1,1))),2),0))</f>
        <v>6733.54</v>
      </c>
      <c r="AQ62" s="105">
        <f t="shared" si="30"/>
        <v>7878.46</v>
      </c>
      <c r="AR62" s="105">
        <f>IF(AT62&gt;$D$29,$D$29-AP62,IF(AY62=0,0,AV62)+BN111)</f>
        <v>0</v>
      </c>
      <c r="AS62" s="105">
        <f t="shared" si="31"/>
        <v>0</v>
      </c>
      <c r="AT62" s="105">
        <f t="shared" si="32"/>
        <v>6733.54</v>
      </c>
      <c r="AU62" s="105">
        <f t="shared" si="33"/>
        <v>0</v>
      </c>
      <c r="AV62" s="105">
        <f t="shared" si="34"/>
        <v>0</v>
      </c>
      <c r="AW62" s="105">
        <f t="shared" si="35"/>
        <v>322037.80999999982</v>
      </c>
      <c r="AX62" s="108">
        <f t="shared" si="24"/>
        <v>31</v>
      </c>
      <c r="AY62" s="108">
        <f>IF(ISERR(CEILING(FLOOR(NPER($D$19/12,-$AC$56,AW61),0.1),1))=TRUE,0,CEILING(FLOOR(NPER($D$19/12,-$AC$56,AW61),0.1),1))</f>
        <v>31</v>
      </c>
      <c r="AZ62" s="1047">
        <f t="shared" si="25"/>
        <v>46958</v>
      </c>
      <c r="BA62" s="108">
        <f t="shared" si="25"/>
        <v>14612</v>
      </c>
      <c r="BB62" s="2" t="e">
        <f>IF(AND(E16&gt;=$T$14,E16&lt;=$T$14+5),0,IF($C$9&gt;$AC$52,ROUND(AW15*IF($D$23="",0,$D$23)/(DATEVALUE(CONCATENATE("01/01/",YEAR(AN16)+1))-DATEVALUE(CONCATENATE("01/01/",YEAR(AN16))))*(AN16-AN15),2),0))</f>
        <v>#VALUE!</v>
      </c>
    </row>
    <row r="63" spans="1:54" s="16" customFormat="1" ht="12" x14ac:dyDescent="0.2">
      <c r="A63" s="2"/>
      <c r="B63" s="2"/>
      <c r="C63" s="2"/>
      <c r="D63" s="2"/>
      <c r="E63" s="1055">
        <f t="shared" si="20"/>
        <v>55</v>
      </c>
      <c r="F63" s="1056">
        <f t="shared" si="5"/>
        <v>46989</v>
      </c>
      <c r="G63" s="24">
        <f>IF(AND(E63&gt;=$T$14,E63&lt;=$T$14+5),$T$15,IF(AND(Q62+L63+H63&gt;G62,G62&lt;&gt;0),$C$29,IF(Q62=0,0,Q62+L63+H63+H64)))+IF(AND(E63=$C$10,$C$22&lt;&gt;"Нет"),MIN((I63-I63/$C$19*$C$23),Q62+H63-G62),0)</f>
        <v>14612</v>
      </c>
      <c r="H63" s="24">
        <f>IF(AND(E63&gt;=$T$14,E63&lt;=$T$14+5),0,IF($C$9&gt;$AC$52,ROUND(Q62*$C$19*((F63-DATE(YEAR(F63),MONTH(F63),1)+1)/(DATE(YEAR(F63)+1,1,1)-DATE(YEAR(F63),1,1))+(EOMONTH(F62,0)-F62)/(DATE(YEAR(F62)+1,1,1)-DATE(YEAR(F62),1,1))),2),0))</f>
        <v>9615.7000000000007</v>
      </c>
      <c r="I63" s="24">
        <f t="shared" si="19"/>
        <v>646354.64000000013</v>
      </c>
      <c r="J63" s="24">
        <f>IF(E63=$C$10,MIN((I63-I63/$C$19*$C$23),Q62+H63-G62),0)</f>
        <v>0</v>
      </c>
      <c r="K63" s="24">
        <f t="shared" si="6"/>
        <v>4996.2999999999993</v>
      </c>
      <c r="L63" s="24">
        <f>IF(N63&gt;$C$29,$C$29-H63,IF(S63=0,0,O63))</f>
        <v>0</v>
      </c>
      <c r="M63" s="24">
        <f t="shared" si="26"/>
        <v>0</v>
      </c>
      <c r="N63" s="24">
        <f t="shared" si="27"/>
        <v>9615.7000000000007</v>
      </c>
      <c r="O63" s="24">
        <f t="shared" si="28"/>
        <v>0</v>
      </c>
      <c r="P63" s="24">
        <f t="shared" si="29"/>
        <v>0</v>
      </c>
      <c r="Q63" s="24">
        <f t="shared" si="7"/>
        <v>374693.6399999999</v>
      </c>
      <c r="R63" s="36">
        <f t="shared" si="22"/>
        <v>30</v>
      </c>
      <c r="S63" s="36">
        <f>IF(ISERR(CEILING(FLOOR(NPER($C$19/12,-$AA$56,Q62),0.1),1))=TRUE,0,CEILING(FLOOR(NPER($C$19/12,-$AA$56,Q62),0.1),1))</f>
        <v>40</v>
      </c>
      <c r="T63" s="2">
        <f t="shared" si="36"/>
        <v>7418.61</v>
      </c>
      <c r="U63" s="34">
        <f>IF(U62&lt;0,0,IF(T63=0,IF(T62=0,0,$U$46),G22)-IF(AND(T63&gt;0,T64=0),$C$26,0))</f>
        <v>14612</v>
      </c>
      <c r="V63" s="57">
        <f t="shared" si="39"/>
        <v>50425</v>
      </c>
      <c r="W63" s="16">
        <f t="shared" si="41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37"/>
        <v>10316.39</v>
      </c>
      <c r="AJ63" s="34">
        <f t="shared" si="38"/>
        <v>14612</v>
      </c>
      <c r="AK63" s="57">
        <f t="shared" si="40"/>
        <v>50425</v>
      </c>
      <c r="AL63" s="130">
        <f t="shared" si="14"/>
        <v>1</v>
      </c>
      <c r="AM63" s="1057">
        <f t="shared" si="23"/>
        <v>55</v>
      </c>
      <c r="AN63" s="1058">
        <f t="shared" si="8"/>
        <v>46989</v>
      </c>
      <c r="AO63" s="105">
        <f>IF(AX62=1,AR63+AP63+AQ63,IF(AW62+AR63+AP63&gt;AO62,$D$29,IF(AW62=0,0,AW62+AR63+AP63+AP95)))</f>
        <v>14612</v>
      </c>
      <c r="AP63" s="105">
        <f>IF(AND(E63&gt;=$T$14,E63&lt;=$T$14+5),0,IF($C$9&gt;$AC$52,ROUND(AW62*$D$19*((AN63-DATE(YEAR(AN63),MONTH(AN63),1)+1)/(DATE(YEAR(AN63)+1,1,1)-DATE(YEAR(AN63),1,1))+(EOMONTH(AN62,0)-AN62)/(DATE(YEAR(AN62)+1,1,1)-DATE(YEAR(AN62),1,1))),2),0))</f>
        <v>6791.83</v>
      </c>
      <c r="AQ63" s="105">
        <f t="shared" si="30"/>
        <v>7820.17</v>
      </c>
      <c r="AR63" s="105">
        <f>IF(AT63&gt;$D$29,$D$29-AP63,IF(AY63=0,0,AV63)+BN112)</f>
        <v>0</v>
      </c>
      <c r="AS63" s="105">
        <f t="shared" si="31"/>
        <v>0</v>
      </c>
      <c r="AT63" s="105">
        <f t="shared" si="32"/>
        <v>6791.83</v>
      </c>
      <c r="AU63" s="105">
        <f t="shared" si="33"/>
        <v>0</v>
      </c>
      <c r="AV63" s="105">
        <f t="shared" si="34"/>
        <v>0</v>
      </c>
      <c r="AW63" s="105">
        <f t="shared" si="35"/>
        <v>314217.63999999984</v>
      </c>
      <c r="AX63" s="108">
        <f t="shared" si="24"/>
        <v>30</v>
      </c>
      <c r="AY63" s="108">
        <f>IF(ISERR(CEILING(FLOOR(NPER($D$19/12,-$AC$56,AW62),0.1),1))=TRUE,0,CEILING(FLOOR(NPER($D$19/12,-$AC$56,AW62),0.1),1))</f>
        <v>30</v>
      </c>
      <c r="AZ63" s="1047">
        <f t="shared" si="25"/>
        <v>46989</v>
      </c>
      <c r="BA63" s="108">
        <f t="shared" si="25"/>
        <v>14612</v>
      </c>
      <c r="BB63" s="2" t="e">
        <f>IF(AND(E17&gt;=$T$14,E17&lt;=$T$14+5),0,IF($C$9&gt;$AC$52,ROUND(AW16*IF($D$23="",0,$D$23)/(DATEVALUE(CONCATENATE("01/01/",YEAR(AN17)+1))-DATEVALUE(CONCATENATE("01/01/",YEAR(AN17))))*(AN17-AN16),2),0))</f>
        <v>#VALUE!</v>
      </c>
    </row>
    <row r="64" spans="1:54" s="16" customFormat="1" ht="12" x14ac:dyDescent="0.2">
      <c r="A64" s="2"/>
      <c r="B64" s="2"/>
      <c r="C64" s="2"/>
      <c r="D64" s="2"/>
      <c r="E64" s="1055">
        <f t="shared" si="20"/>
        <v>56</v>
      </c>
      <c r="F64" s="1056">
        <f t="shared" si="5"/>
        <v>47020</v>
      </c>
      <c r="G64" s="24">
        <f>IF(AND(E64&gt;=$T$14,E64&lt;=$T$14+5),$T$15,IF(AND(Q63+L64+H64&gt;G63,G63&lt;&gt;0),$C$29,IF(Q63=0,0,Q63+L64+H64+H65)))+IF(AND(E64=$C$10,$C$22&lt;&gt;"Нет"),MIN((I64-I64/$C$19*$C$23),Q63+H64-G63),0)</f>
        <v>14612</v>
      </c>
      <c r="H64" s="24">
        <f>IF(AND(E64&gt;=$T$14,E64&lt;=$T$14+5),0,IF($C$9&gt;$AC$52,ROUND(Q63*$C$19*((F64-DATE(YEAR(F64),MONTH(F64),1)+1)/(DATE(YEAR(F64)+1,1,1)-DATE(YEAR(F64),1,1))+(EOMONTH(F63,0)-F63)/(DATE(YEAR(F63)+1,1,1)-DATE(YEAR(F63),1,1))),2),0))</f>
        <v>9489.17</v>
      </c>
      <c r="I64" s="24">
        <f t="shared" si="19"/>
        <v>655843.81000000017</v>
      </c>
      <c r="J64" s="24">
        <f>IF(E64=$C$10,MIN((I64-I64/$C$19*$C$23),Q63+H64-G63),0)</f>
        <v>0</v>
      </c>
      <c r="K64" s="24">
        <f t="shared" si="6"/>
        <v>5122.83</v>
      </c>
      <c r="L64" s="24">
        <f>IF(N64&gt;$C$29,$C$29-H64,IF(S64=0,0,O64))</f>
        <v>0</v>
      </c>
      <c r="M64" s="24">
        <f t="shared" si="21"/>
        <v>0</v>
      </c>
      <c r="N64" s="24">
        <f t="shared" si="11"/>
        <v>9489.17</v>
      </c>
      <c r="O64" s="24">
        <f t="shared" si="12"/>
        <v>0</v>
      </c>
      <c r="P64" s="24">
        <f t="shared" si="13"/>
        <v>0</v>
      </c>
      <c r="Q64" s="24">
        <f t="shared" si="7"/>
        <v>369570.80999999988</v>
      </c>
      <c r="R64" s="36">
        <f t="shared" si="22"/>
        <v>29</v>
      </c>
      <c r="S64" s="36">
        <f>IF(ISERR(CEILING(FLOOR(NPER($C$19/12,-$AA$56,Q63),0.1),1))=TRUE,0,CEILING(FLOOR(NPER($C$19/12,-$AA$56,Q63),0.1),1))</f>
        <v>39</v>
      </c>
      <c r="T64" s="2">
        <f t="shared" si="36"/>
        <v>8167.3</v>
      </c>
      <c r="U64" s="34">
        <f>IF(U63&lt;0,0,IF(T64=0,IF(T63=0,0,$U$46),G23)-IF(AND(T64&gt;0,T65=0),$C$26,0))</f>
        <v>14612</v>
      </c>
      <c r="V64" s="57">
        <f t="shared" si="39"/>
        <v>50790</v>
      </c>
      <c r="W64" s="16">
        <f t="shared" si="41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37"/>
        <v>11330.88</v>
      </c>
      <c r="AJ64" s="34">
        <f t="shared" si="38"/>
        <v>14612</v>
      </c>
      <c r="AK64" s="57">
        <f t="shared" si="40"/>
        <v>50790</v>
      </c>
      <c r="AL64" s="130">
        <f t="shared" si="14"/>
        <v>1</v>
      </c>
      <c r="AM64" s="1057">
        <f t="shared" si="23"/>
        <v>56</v>
      </c>
      <c r="AN64" s="1058">
        <f t="shared" si="8"/>
        <v>47020</v>
      </c>
      <c r="AO64" s="105">
        <f>IF(AX63=1,AR64+AP64+AQ64,IF(AW63+AR64+AP64&gt;AO63,$D$29,IF(AW63=0,0,AW63+AR64+AP64+AP96)))</f>
        <v>14612</v>
      </c>
      <c r="AP64" s="105">
        <f>IF(AND(E64&gt;=$T$14,E64&lt;=$T$14+5),0,IF($C$9&gt;$AC$52,ROUND(AW63*$D$19*((AN64-DATE(YEAR(AN64),MONTH(AN64),1)+1)/(DATE(YEAR(AN64)+1,1,1)-DATE(YEAR(AN64),1,1))+(EOMONTH(AN63,0)-AN63)/(DATE(YEAR(AN63)+1,1,1)-DATE(YEAR(AN63),1,1))),2),0))</f>
        <v>6626.9</v>
      </c>
      <c r="AQ64" s="105">
        <f t="shared" si="30"/>
        <v>7985.1</v>
      </c>
      <c r="AR64" s="105">
        <f>IF(AT64&gt;$D$29,$D$29-AP64,IF(AY64=0,0,AV64)+BN113)</f>
        <v>0</v>
      </c>
      <c r="AS64" s="105">
        <f t="shared" si="31"/>
        <v>0</v>
      </c>
      <c r="AT64" s="105">
        <f t="shared" si="32"/>
        <v>6626.9</v>
      </c>
      <c r="AU64" s="105">
        <f t="shared" si="33"/>
        <v>0</v>
      </c>
      <c r="AV64" s="105">
        <f t="shared" si="34"/>
        <v>0</v>
      </c>
      <c r="AW64" s="105">
        <f t="shared" si="35"/>
        <v>306232.53999999986</v>
      </c>
      <c r="AX64" s="108">
        <f t="shared" si="24"/>
        <v>29</v>
      </c>
      <c r="AY64" s="108">
        <f>IF(ISERR(CEILING(FLOOR(NPER($D$19/12,-$AC$56,AW63),0.1),1))=TRUE,0,CEILING(FLOOR(NPER($D$19/12,-$AC$56,AW63),0.1),1))</f>
        <v>29</v>
      </c>
      <c r="AZ64" s="1047">
        <f t="shared" si="25"/>
        <v>47020</v>
      </c>
      <c r="BA64" s="108">
        <f t="shared" si="25"/>
        <v>14612</v>
      </c>
      <c r="BB64" s="2" t="e">
        <f>IF(AND(E18&gt;=$T$14,E18&lt;=$T$14+5),0,IF($C$9&gt;$AC$52,ROUND(AW17*IF($D$23="",0,$D$23)/(DATEVALUE(CONCATENATE("01/01/",YEAR(AN18)+1))-DATEVALUE(CONCATENATE("01/01/",YEAR(AN18))))*(AN18-AN17),2),0))</f>
        <v>#VALUE!</v>
      </c>
    </row>
    <row r="65" spans="1:54" s="16" customFormat="1" ht="12" x14ac:dyDescent="0.2">
      <c r="A65" s="2"/>
      <c r="B65" s="2"/>
      <c r="C65" s="2"/>
      <c r="D65" s="2"/>
      <c r="E65" s="1055">
        <f t="shared" si="20"/>
        <v>57</v>
      </c>
      <c r="F65" s="1056">
        <f t="shared" si="5"/>
        <v>47050</v>
      </c>
      <c r="G65" s="24">
        <f>IF(AND(E65&gt;=$T$14,E65&lt;=$T$14+5),$T$15,IF(AND(Q64+L65+H65&gt;G64,G64&lt;&gt;0),$C$29,IF(Q64=0,0,Q64+L65+H65+H66)))+IF(AND(E65=$C$10,$C$22&lt;&gt;"Нет"),MIN((I65-I65/$C$19*$C$23),Q64+H65-G64),0)</f>
        <v>14612</v>
      </c>
      <c r="H65" s="24">
        <f>IF(AND(E65&gt;=$T$14,E65&lt;=$T$14+5),0,IF($C$9&gt;$AC$52,ROUND(Q64*$C$19*((F65-DATE(YEAR(F65),MONTH(F65),1)+1)/(DATE(YEAR(F65)+1,1,1)-DATE(YEAR(F65),1,1))+(EOMONTH(F64,0)-F64)/(DATE(YEAR(F64)+1,1,1)-DATE(YEAR(F64),1,1))),2),0))</f>
        <v>9057.51</v>
      </c>
      <c r="I65" s="24">
        <f t="shared" si="19"/>
        <v>664901.32000000018</v>
      </c>
      <c r="J65" s="24">
        <f>IF(E65=$C$10,MIN((I65-I65/$C$19*$C$23),Q64+H65-G64),0)</f>
        <v>0</v>
      </c>
      <c r="K65" s="24">
        <f t="shared" si="6"/>
        <v>5554.49</v>
      </c>
      <c r="L65" s="24">
        <f>IF(N65&gt;$C$29,$C$29-H65,IF(S65=0,0,O65))</f>
        <v>0</v>
      </c>
      <c r="M65" s="24">
        <f t="shared" si="21"/>
        <v>0</v>
      </c>
      <c r="N65" s="24">
        <f t="shared" si="11"/>
        <v>9057.51</v>
      </c>
      <c r="O65" s="24">
        <f t="shared" si="12"/>
        <v>0</v>
      </c>
      <c r="P65" s="24">
        <f t="shared" si="13"/>
        <v>0</v>
      </c>
      <c r="Q65" s="24">
        <f t="shared" si="7"/>
        <v>364016.31999999989</v>
      </c>
      <c r="R65" s="36">
        <f t="shared" si="22"/>
        <v>28</v>
      </c>
      <c r="S65" s="36">
        <f>IF(ISERR(CEILING(FLOOR(NPER($C$19/12,-$AA$56,Q64),0.1),1))=TRUE,0,CEILING(FLOOR(NPER($C$19/12,-$AA$56,Q64),0.1),1))</f>
        <v>38</v>
      </c>
      <c r="T65" s="2">
        <f t="shared" si="36"/>
        <v>7877.57</v>
      </c>
      <c r="U65" s="34">
        <f>IF(U64&lt;0,0,IF(T65=0,IF(T64=0,0,$U$46),G24)-IF(AND(T65&gt;0,T66=0),$C$26,0))</f>
        <v>14612</v>
      </c>
      <c r="V65" s="57">
        <f t="shared" si="39"/>
        <v>51155</v>
      </c>
      <c r="W65" s="16">
        <f t="shared" si="41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37"/>
        <v>10898.21</v>
      </c>
      <c r="AJ65" s="34">
        <f t="shared" si="38"/>
        <v>14612</v>
      </c>
      <c r="AK65" s="57">
        <f t="shared" si="40"/>
        <v>51155</v>
      </c>
      <c r="AL65" s="130">
        <f t="shared" si="14"/>
        <v>1</v>
      </c>
      <c r="AM65" s="1057">
        <f t="shared" si="23"/>
        <v>57</v>
      </c>
      <c r="AN65" s="1058">
        <f t="shared" si="8"/>
        <v>47050</v>
      </c>
      <c r="AO65" s="105">
        <f>IF(AX64=1,AR65+AP65+AQ65,IF(AW64+AR65+AP65&gt;AO64,$D$29,IF(AW64=0,0,AW64+AR65+AP65+AP97)))</f>
        <v>14612</v>
      </c>
      <c r="AP65" s="105">
        <f>IF(AND(E65&gt;=$T$14,E65&lt;=$T$14+5),0,IF($C$9&gt;$AC$52,ROUND(AW64*$D$19*((AN65-DATE(YEAR(AN65),MONTH(AN65),1)+1)/(DATE(YEAR(AN65)+1,1,1)-DATE(YEAR(AN65),1,1))+(EOMONTH(AN64,0)-AN64)/(DATE(YEAR(AN64)+1,1,1)-DATE(YEAR(AN64),1,1))),2),0))</f>
        <v>6250.16</v>
      </c>
      <c r="AQ65" s="105">
        <f t="shared" si="30"/>
        <v>8361.84</v>
      </c>
      <c r="AR65" s="105">
        <f>IF(AT65&gt;$D$29,$D$29-AP65,IF(AY65=0,0,AV65)+BN114)</f>
        <v>0</v>
      </c>
      <c r="AS65" s="105">
        <f t="shared" si="31"/>
        <v>0</v>
      </c>
      <c r="AT65" s="105">
        <f t="shared" si="32"/>
        <v>6250.16</v>
      </c>
      <c r="AU65" s="105">
        <f t="shared" si="33"/>
        <v>0</v>
      </c>
      <c r="AV65" s="105">
        <f t="shared" si="34"/>
        <v>0</v>
      </c>
      <c r="AW65" s="105">
        <f t="shared" si="35"/>
        <v>297870.69999999984</v>
      </c>
      <c r="AX65" s="108">
        <f t="shared" si="24"/>
        <v>28</v>
      </c>
      <c r="AY65" s="108">
        <f>IF(ISERR(CEILING(FLOOR(NPER($D$19/12,-$AC$56,AW64),0.1),1))=TRUE,0,CEILING(FLOOR(NPER($D$19/12,-$AC$56,AW64),0.1),1))</f>
        <v>28</v>
      </c>
      <c r="AZ65" s="1047">
        <f t="shared" si="25"/>
        <v>47050</v>
      </c>
      <c r="BA65" s="108">
        <f t="shared" si="25"/>
        <v>14612</v>
      </c>
      <c r="BB65" s="2" t="e">
        <f>IF(AND(E19&gt;=$T$14,E19&lt;=$T$14+5),0,IF($C$9&gt;$AC$52,ROUND(AW18*IF($D$23="",0,$D$23)/(DATEVALUE(CONCATENATE("01/01/",YEAR(AN19)+1))-DATEVALUE(CONCATENATE("01/01/",YEAR(AN19))))*(AN19-AN18),2),0))</f>
        <v>#VALUE!</v>
      </c>
    </row>
    <row r="66" spans="1:54" s="16" customFormat="1" ht="12" x14ac:dyDescent="0.2">
      <c r="A66" s="2"/>
      <c r="B66" s="2"/>
      <c r="C66" s="2"/>
      <c r="D66" s="2"/>
      <c r="E66" s="1055">
        <f t="shared" si="20"/>
        <v>58</v>
      </c>
      <c r="F66" s="1056">
        <f t="shared" si="5"/>
        <v>47081</v>
      </c>
      <c r="G66" s="24">
        <f>IF(AND(E66&gt;=$T$14,E66&lt;=$T$14+5),$T$15,IF(AND(Q65+L66+H66&gt;G65,G65&lt;&gt;0),$C$29,IF(Q65=0,0,Q65+L66+H66+H67)))+IF(AND(E66=$C$10,$C$22&lt;&gt;"Нет"),MIN((I66-I66/$C$19*$C$23),Q65+H66-G65),0)</f>
        <v>14612</v>
      </c>
      <c r="H66" s="24">
        <f>IF(AND(E66&gt;=$T$14,E66&lt;=$T$14+5),0,IF($C$9&gt;$AC$52,ROUND(Q65*$C$19*((F66-DATE(YEAR(F66),MONTH(F66),1)+1)/(DATE(YEAR(F66)+1,1,1)-DATE(YEAR(F66),1,1))+(EOMONTH(F65,0)-F65)/(DATE(YEAR(F65)+1,1,1)-DATE(YEAR(F65),1,1))),2),0))</f>
        <v>9218.76</v>
      </c>
      <c r="I66" s="24">
        <f t="shared" si="19"/>
        <v>674120.08000000019</v>
      </c>
      <c r="J66" s="24">
        <f>IF(E66=$C$10,MIN((I66-I66/$C$19*$C$23),Q65+H66-G65),0)</f>
        <v>0</v>
      </c>
      <c r="K66" s="24">
        <f t="shared" si="6"/>
        <v>5393.24</v>
      </c>
      <c r="L66" s="24">
        <f>IF(N66&gt;$C$29,$C$29-H66,IF(S66=0,0,O66))</f>
        <v>0</v>
      </c>
      <c r="M66" s="24">
        <f t="shared" si="21"/>
        <v>0</v>
      </c>
      <c r="N66" s="24">
        <f t="shared" si="11"/>
        <v>9218.76</v>
      </c>
      <c r="O66" s="24">
        <f t="shared" si="12"/>
        <v>0</v>
      </c>
      <c r="P66" s="24">
        <f t="shared" si="13"/>
        <v>0</v>
      </c>
      <c r="Q66" s="24">
        <f t="shared" si="7"/>
        <v>358623.0799999999</v>
      </c>
      <c r="R66" s="36">
        <f t="shared" si="22"/>
        <v>27</v>
      </c>
      <c r="S66" s="36">
        <f>IF(ISERR(CEILING(FLOOR(NPER($C$19/12,-$AA$56,Q65),0.1),1))=TRUE,0,CEILING(FLOOR(NPER($C$19/12,-$AA$56,Q65),0.1),1))</f>
        <v>37</v>
      </c>
      <c r="T66" s="2">
        <f t="shared" si="36"/>
        <v>8105.65</v>
      </c>
      <c r="U66" s="34">
        <f>IF(U65&lt;0,0,IF(T66=0,IF(T65=0,0,$U$46),G25)-IF(AND(T66&gt;0,T67=0),$C$26,0))</f>
        <v>14612</v>
      </c>
      <c r="V66" s="57">
        <f t="shared" si="39"/>
        <v>51520</v>
      </c>
      <c r="W66" s="16">
        <f t="shared" si="41"/>
        <v>17</v>
      </c>
      <c r="X66" s="171"/>
      <c r="Y66" s="172"/>
      <c r="Z66" s="133">
        <f>IF($C$7&lt;=$Y$62,Z62,IF($C$7&lt;=$Y$63,Z63,IF($C$7&lt;=$Y$64,Z64,Z65)))</f>
        <v>9.2999999999999992E-3</v>
      </c>
      <c r="AA66" s="133">
        <f t="shared" ref="AA66:AF66" si="42">IF($C$7&lt;=$Y$62,AA62,IF($C$7&lt;=$Y$63,AA63,IF($C$7&lt;=$Y$64,AA64,AA65)))</f>
        <v>1.1900000000000001E-2</v>
      </c>
      <c r="AB66" s="133">
        <f t="shared" si="42"/>
        <v>7.9000000000000008E-3</v>
      </c>
      <c r="AC66" s="133">
        <f t="shared" si="42"/>
        <v>1.18E-2</v>
      </c>
      <c r="AD66" s="133">
        <f t="shared" si="42"/>
        <v>9.2999999999999992E-3</v>
      </c>
      <c r="AE66" s="133">
        <f t="shared" si="42"/>
        <v>1.1900000000000001E-2</v>
      </c>
      <c r="AF66" s="133">
        <f t="shared" si="42"/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1.1900000000000001E-2</v>
      </c>
      <c r="AI66" s="2">
        <f t="shared" si="37"/>
        <v>11182.95</v>
      </c>
      <c r="AJ66" s="34">
        <f t="shared" si="38"/>
        <v>14612</v>
      </c>
      <c r="AK66" s="57">
        <f t="shared" si="40"/>
        <v>51520</v>
      </c>
      <c r="AL66" s="130">
        <f t="shared" si="14"/>
        <v>1</v>
      </c>
      <c r="AM66" s="1057">
        <f t="shared" si="23"/>
        <v>58</v>
      </c>
      <c r="AN66" s="1058">
        <f t="shared" si="8"/>
        <v>47081</v>
      </c>
      <c r="AO66" s="105">
        <f>IF(AX65=1,AR66+AP66+AQ66,IF(AW65+AR66+AP66&gt;AO65,$D$29,IF(AW65=0,0,AW65+AR66+AP66+AP98)))</f>
        <v>14612</v>
      </c>
      <c r="AP66" s="105">
        <f>IF(AND(E66&gt;=$T$14,E66&lt;=$T$14+5),0,IF($C$9&gt;$AC$52,ROUND(AW65*$D$19*((AN66-DATE(YEAR(AN66),MONTH(AN66),1)+1)/(DATE(YEAR(AN66)+1,1,1)-DATE(YEAR(AN66),1,1))+(EOMONTH(AN65,0)-AN65)/(DATE(YEAR(AN65)+1,1,1)-DATE(YEAR(AN65),1,1))),2),0))</f>
        <v>6282.14</v>
      </c>
      <c r="AQ66" s="105">
        <f t="shared" si="30"/>
        <v>8329.86</v>
      </c>
      <c r="AR66" s="105">
        <f>IF(AT66&gt;$D$29,$D$29-AP66,IF(AY66=0,0,AV66)+BN115)</f>
        <v>0</v>
      </c>
      <c r="AS66" s="105">
        <f t="shared" si="31"/>
        <v>0</v>
      </c>
      <c r="AT66" s="105">
        <f t="shared" si="32"/>
        <v>6282.14</v>
      </c>
      <c r="AU66" s="105">
        <f t="shared" si="33"/>
        <v>0</v>
      </c>
      <c r="AV66" s="105">
        <f t="shared" si="34"/>
        <v>0</v>
      </c>
      <c r="AW66" s="105">
        <f t="shared" si="35"/>
        <v>289540.83999999985</v>
      </c>
      <c r="AX66" s="108">
        <f t="shared" si="24"/>
        <v>27</v>
      </c>
      <c r="AY66" s="108">
        <f>IF(ISERR(CEILING(FLOOR(NPER($D$19/12,-$AC$56,AW65),0.1),1))=TRUE,0,CEILING(FLOOR(NPER($D$19/12,-$AC$56,AW65),0.1),1))</f>
        <v>27</v>
      </c>
      <c r="AZ66" s="1047">
        <f t="shared" si="25"/>
        <v>47081</v>
      </c>
      <c r="BA66" s="108">
        <f t="shared" si="25"/>
        <v>14612</v>
      </c>
      <c r="BB66" s="2" t="e">
        <f>IF(AND(E20&gt;=$T$14,E20&lt;=$T$14+5),0,IF($C$9&gt;$AC$52,ROUND(AW19*IF($D$23="",0,$D$23)/(DATEVALUE(CONCATENATE("01/01/",YEAR(AN20)+1))-DATEVALUE(CONCATENATE("01/01/",YEAR(AN20))))*(AN20-AN19),2),0))</f>
        <v>#VALUE!</v>
      </c>
    </row>
    <row r="67" spans="1:54" s="16" customFormat="1" ht="12" x14ac:dyDescent="0.2">
      <c r="A67" s="2"/>
      <c r="B67" s="2"/>
      <c r="C67" s="13"/>
      <c r="D67" s="13"/>
      <c r="E67" s="1055">
        <f t="shared" si="20"/>
        <v>59</v>
      </c>
      <c r="F67" s="1056">
        <f t="shared" si="5"/>
        <v>47111</v>
      </c>
      <c r="G67" s="24">
        <f>IF(AND(E67&gt;=$T$14,E67&lt;=$T$14+5),$T$15,IF(AND(Q66+L67+H67&gt;G66,G66&lt;&gt;0),$C$29,IF(Q66=0,0,Q66+L67+H67+H68)))+IF(AND(E67=$C$10,$C$22&lt;&gt;"Нет"),MIN((I67-I67/$C$19*$C$23),Q66+H67-G66),0)</f>
        <v>14612</v>
      </c>
      <c r="H67" s="24">
        <f>IF(AND(E67&gt;=$T$14,E67&lt;=$T$14+5),0,IF($C$9&gt;$AC$52,ROUND(Q66*$C$19*((F67-DATE(YEAR(F67),MONTH(F67),1)+1)/(DATE(YEAR(F67)+1,1,1)-DATE(YEAR(F67),1,1))+(EOMONTH(F66,0)-F66)/(DATE(YEAR(F66)+1,1,1)-DATE(YEAR(F66),1,1))),2),0))</f>
        <v>8789.2000000000007</v>
      </c>
      <c r="I67" s="24">
        <f t="shared" si="19"/>
        <v>682909.28000000014</v>
      </c>
      <c r="J67" s="24">
        <f>IF(E67=$C$10,MIN((I67-I67/$C$19*$C$23),Q66+H67-G66),0)</f>
        <v>0</v>
      </c>
      <c r="K67" s="24">
        <f t="shared" si="6"/>
        <v>5822.7999999999993</v>
      </c>
      <c r="L67" s="24">
        <f>IF(N67&gt;$C$29,$C$29-H67,IF(S67=0,0,O67))</f>
        <v>0</v>
      </c>
      <c r="M67" s="24">
        <f t="shared" si="21"/>
        <v>0</v>
      </c>
      <c r="N67" s="24">
        <f t="shared" si="11"/>
        <v>8789.2000000000007</v>
      </c>
      <c r="O67" s="24">
        <f t="shared" si="12"/>
        <v>0</v>
      </c>
      <c r="P67" s="24">
        <f t="shared" si="13"/>
        <v>0</v>
      </c>
      <c r="Q67" s="24">
        <f t="shared" si="7"/>
        <v>352800.27999999991</v>
      </c>
      <c r="R67" s="36">
        <f t="shared" si="22"/>
        <v>26</v>
      </c>
      <c r="S67" s="36">
        <f>IF(ISERR(CEILING(FLOOR(NPER($C$19/12,-$AA$56,Q66),0.1),1))=TRUE,0,CEILING(FLOOR(NPER($C$19/12,-$AA$56,Q66),0.1),1))</f>
        <v>36</v>
      </c>
      <c r="T67" s="2">
        <f t="shared" si="36"/>
        <v>7816.39</v>
      </c>
      <c r="U67" s="34">
        <f>IF(U66&lt;0,0,IF(T67=0,IF(T66=0,0,$U$46),G26)-IF(AND(T67&gt;0,T68=0),$C$26,0))</f>
        <v>14612</v>
      </c>
      <c r="V67" s="57">
        <f t="shared" si="39"/>
        <v>51885</v>
      </c>
      <c r="W67" s="16">
        <f t="shared" si="41"/>
        <v>18</v>
      </c>
      <c r="Z67" s="143">
        <f>Z66*Z81*$C$30</f>
        <v>55800</v>
      </c>
      <c r="AA67" s="143">
        <f>AA66*AA81*$C$30</f>
        <v>71400</v>
      </c>
      <c r="AB67" s="143">
        <f>AB66*AB81*$C$30</f>
        <v>47400.000000000007</v>
      </c>
      <c r="AC67" s="143">
        <f>AC66*AC81*$C$30</f>
        <v>70800</v>
      </c>
      <c r="AD67" s="143">
        <f>AD66*AD81*$C$30</f>
        <v>55800</v>
      </c>
      <c r="AE67" s="143">
        <f>AE66*AE81*$C$30</f>
        <v>71400</v>
      </c>
      <c r="AF67" s="143">
        <f>AF66*AF81*$C$30</f>
        <v>47400.000000000007</v>
      </c>
      <c r="AG67" s="143">
        <f>AG66*AG81*$C$30</f>
        <v>70800</v>
      </c>
      <c r="AH67" s="2">
        <f>IF($D$8=$Z$60,Z67,IF($D$8=$AA$60,AA67,IF($D$8=$AB$60,AB67,AC67)))</f>
        <v>71400</v>
      </c>
      <c r="AI67" s="2">
        <f t="shared" si="37"/>
        <v>10752.03</v>
      </c>
      <c r="AJ67" s="34">
        <f t="shared" si="38"/>
        <v>14612</v>
      </c>
      <c r="AK67" s="57">
        <f t="shared" si="40"/>
        <v>51885</v>
      </c>
      <c r="AL67" s="130">
        <f t="shared" si="14"/>
        <v>1</v>
      </c>
      <c r="AM67" s="1057">
        <f t="shared" si="23"/>
        <v>59</v>
      </c>
      <c r="AN67" s="1058">
        <f t="shared" si="8"/>
        <v>47111</v>
      </c>
      <c r="AO67" s="105">
        <f>IF(AX66=1,AR67+AP67+AQ67,IF(AW66+AR67+AP67&gt;AO66,$D$29,IF(AW66=0,0,AW66+AR67+AP67+AP99)))</f>
        <v>14612</v>
      </c>
      <c r="AP67" s="105">
        <f>IF(AND(E67&gt;=$T$14,E67&lt;=$T$14+5),0,IF($C$9&gt;$AC$52,ROUND(AW66*$D$19*((AN67-DATE(YEAR(AN67),MONTH(AN67),1)+1)/(DATE(YEAR(AN67)+1,1,1)-DATE(YEAR(AN67),1,1))+(EOMONTH(AN66,0)-AN66)/(DATE(YEAR(AN66)+1,1,1)-DATE(YEAR(AN66),1,1))),2),0))</f>
        <v>5909.48</v>
      </c>
      <c r="AQ67" s="105">
        <f t="shared" si="30"/>
        <v>8702.52</v>
      </c>
      <c r="AR67" s="105">
        <f>IF(AT67&gt;$D$29,$D$29-AP67,IF(AY67=0,0,AV67)+BN116)</f>
        <v>0</v>
      </c>
      <c r="AS67" s="105">
        <f t="shared" si="31"/>
        <v>0</v>
      </c>
      <c r="AT67" s="105">
        <f t="shared" si="32"/>
        <v>5909.48</v>
      </c>
      <c r="AU67" s="105">
        <f t="shared" si="33"/>
        <v>0</v>
      </c>
      <c r="AV67" s="105">
        <f t="shared" si="34"/>
        <v>0</v>
      </c>
      <c r="AW67" s="105">
        <f t="shared" si="35"/>
        <v>280838.31999999983</v>
      </c>
      <c r="AX67" s="108">
        <f t="shared" si="24"/>
        <v>26</v>
      </c>
      <c r="AY67" s="108">
        <f>IF(ISERR(CEILING(FLOOR(NPER($D$19/12,-$AC$56,AW66),0.1),1))=TRUE,0,CEILING(FLOOR(NPER($D$19/12,-$AC$56,AW66),0.1),1))</f>
        <v>26</v>
      </c>
      <c r="AZ67" s="1047">
        <f t="shared" si="25"/>
        <v>47111</v>
      </c>
      <c r="BA67" s="108">
        <f t="shared" si="25"/>
        <v>14612</v>
      </c>
      <c r="BB67" s="2" t="e">
        <f>IF(AND(E21&gt;=$T$14,E21&lt;=$T$14+5),0,IF($C$9&gt;$AC$52,ROUND(AW20*IF($D$23="",0,$D$23)/(DATEVALUE(CONCATENATE("01/01/",YEAR(AN21)+1))-DATEVALUE(CONCATENATE("01/01/",YEAR(AN21))))*(AN21-AN20),2),0))</f>
        <v>#VALUE!</v>
      </c>
    </row>
    <row r="68" spans="1:54" s="16" customFormat="1" ht="12" x14ac:dyDescent="0.2">
      <c r="A68" s="2"/>
      <c r="B68" s="2"/>
      <c r="C68" s="2"/>
      <c r="D68" s="13"/>
      <c r="E68" s="1055">
        <f t="shared" si="20"/>
        <v>60</v>
      </c>
      <c r="F68" s="1056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14612</v>
      </c>
      <c r="H68" s="24">
        <f>IF(AND(E68&gt;=$T$14,E68&lt;=$T$14+5),0,IF($C$9&gt;$AC$52,ROUND(Q67*$C$19*((F68-DATE(YEAR(F68),MONTH(F68),1)+1)/(DATE(YEAR(F68)+1,1,1)-DATE(YEAR(F68),1,1))+(EOMONTH(F67,0)-F67)/(DATE(YEAR(F67)+1,1,1)-DATE(YEAR(F67),1,1))),2),0))</f>
        <v>8953.67</v>
      </c>
      <c r="I68" s="24">
        <f t="shared" si="19"/>
        <v>691862.95000000019</v>
      </c>
      <c r="J68" s="24">
        <f>IF(AND(E68=$C$10,$C$22&lt;&gt;"Нет"),MIN((I68-I68/$C$19*$C$23),Q67+H68-G67),0)</f>
        <v>0</v>
      </c>
      <c r="K68" s="24">
        <f t="shared" si="6"/>
        <v>5658.33</v>
      </c>
      <c r="L68" s="24">
        <f>IF(N68&gt;$C$29,$C$29-H68,IF(S68=0,0,O68))</f>
        <v>0</v>
      </c>
      <c r="M68" s="24">
        <f t="shared" si="21"/>
        <v>0</v>
      </c>
      <c r="N68" s="24">
        <f t="shared" si="11"/>
        <v>8953.67</v>
      </c>
      <c r="O68" s="24">
        <f t="shared" si="12"/>
        <v>0</v>
      </c>
      <c r="P68" s="24">
        <f t="shared" si="13"/>
        <v>0</v>
      </c>
      <c r="Q68" s="24">
        <f t="shared" si="7"/>
        <v>347141.9499999999</v>
      </c>
      <c r="R68" s="36">
        <f t="shared" si="22"/>
        <v>25</v>
      </c>
      <c r="S68" s="36">
        <f>IF(ISERR(CEILING(FLOOR(NPER($C$19/12,-$AA$56,Q67),0.1),1))=TRUE,0,CEILING(FLOOR(NPER($C$19/12,-$AA$56,Q67),0.1),1))</f>
        <v>35</v>
      </c>
      <c r="T68" s="2">
        <f t="shared" si="36"/>
        <v>8040.87</v>
      </c>
      <c r="U68" s="34">
        <f>IF(U67&lt;0,0,IF(T68=0,IF(T67=0,0,$U$46),G27)-IF(AND(T68&gt;0,T69=0),$C$26,0))</f>
        <v>14612</v>
      </c>
      <c r="V68" s="57">
        <f t="shared" si="39"/>
        <v>52250</v>
      </c>
      <c r="W68" s="16">
        <f t="shared" si="41"/>
        <v>19</v>
      </c>
      <c r="Z68" s="143">
        <f t="shared" ref="Z68:AD68" si="43">V67</f>
        <v>51885</v>
      </c>
      <c r="AA68" s="143">
        <f t="shared" si="43"/>
        <v>18</v>
      </c>
      <c r="AB68" s="143">
        <f t="shared" si="43"/>
        <v>0</v>
      </c>
      <c r="AC68" s="143">
        <f t="shared" si="43"/>
        <v>0</v>
      </c>
      <c r="AD68" s="143">
        <f t="shared" si="43"/>
        <v>55800</v>
      </c>
      <c r="AE68" s="143">
        <f>AA67</f>
        <v>71400</v>
      </c>
      <c r="AF68" s="143">
        <f>AA67</f>
        <v>71400</v>
      </c>
      <c r="AG68" s="143">
        <f>AB67</f>
        <v>47400.000000000007</v>
      </c>
      <c r="AH68" s="143">
        <f>AH67-AE67</f>
        <v>0</v>
      </c>
      <c r="AI68" s="2">
        <f t="shared" si="37"/>
        <v>11028.8</v>
      </c>
      <c r="AJ68" s="34">
        <f t="shared" si="38"/>
        <v>14612</v>
      </c>
      <c r="AK68" s="57">
        <f t="shared" si="40"/>
        <v>52250</v>
      </c>
      <c r="AL68" s="130">
        <f t="shared" si="14"/>
        <v>1</v>
      </c>
      <c r="AM68" s="1057">
        <f t="shared" si="23"/>
        <v>60</v>
      </c>
      <c r="AN68" s="1058">
        <f t="shared" si="8"/>
        <v>47142</v>
      </c>
      <c r="AO68" s="105">
        <f>IF(AX67=1,AR68+AP68+AQ68,IF(AW67+AR68+AP68&gt;AO67,$D$29,IF(AW67=0,0,AW67+AR68+AP68+AP100)))</f>
        <v>14612</v>
      </c>
      <c r="AP68" s="105">
        <f>IF(AND(E68&gt;=$T$14,E68&lt;=$T$14+5),0,IF($C$9&gt;$AC$52,ROUND(AW67*$D$19*((AN68-DATE(YEAR(AN68),MONTH(AN68),1)+1)/(DATE(YEAR(AN68)+1,1,1)-DATE(YEAR(AN68),1,1))+(EOMONTH(AN67,0)-AN67)/(DATE(YEAR(AN67)+1,1,1)-DATE(YEAR(AN67),1,1))),2),0))</f>
        <v>5935.49</v>
      </c>
      <c r="AQ68" s="105">
        <f>IF(AY68=0,0,IF(AY68=1,AW67,IF(AW67+AR68+AP68&gt;AO67,AO68-AP68-AR68,AW67)))</f>
        <v>8676.51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5935.49</v>
      </c>
      <c r="AU68" s="105">
        <f>IF(AY68=0,0,0)</f>
        <v>0</v>
      </c>
      <c r="AV68" s="105">
        <f>IF(AY68=0,0,0)</f>
        <v>0</v>
      </c>
      <c r="AW68" s="105">
        <f>IF(OR(AY68=1,AW67=0),0,AW67-AQ68)</f>
        <v>272161.80999999982</v>
      </c>
      <c r="AX68" s="108">
        <f t="shared" si="24"/>
        <v>25</v>
      </c>
      <c r="AY68" s="108">
        <f>IF(ISERR(CEILING(FLOOR(NPER($D$19/12,-$AC$56,AW67),0.1),1))=TRUE,0,CEILING(FLOOR(NPER($D$19/12,-$AC$56,AW67),0.1),1))</f>
        <v>25</v>
      </c>
      <c r="AZ68" s="1047">
        <f t="shared" si="25"/>
        <v>47142</v>
      </c>
      <c r="BA68" s="108">
        <f t="shared" si="25"/>
        <v>14612</v>
      </c>
      <c r="BB68" s="2" t="e">
        <f>IF(AND(E22&gt;=$T$14,E22&lt;=$T$14+5),0,IF($C$9&gt;$AC$52,ROUND(AW21*IF($D$23="",0,$D$23)/(DATEVALUE(CONCATENATE("01/01/",YEAR(AN22)+1))-DATEVALUE(CONCATENATE("01/01/",YEAR(AN22))))*(AN22-AN21),2),0))</f>
        <v>#VALUE!</v>
      </c>
    </row>
    <row r="69" spans="1:54" s="16" customFormat="1" ht="12" x14ac:dyDescent="0.2">
      <c r="A69" s="2"/>
      <c r="B69" s="2"/>
      <c r="C69" s="2"/>
      <c r="D69" s="2"/>
      <c r="E69" s="1055">
        <f t="shared" si="20"/>
        <v>61</v>
      </c>
      <c r="F69" s="1056">
        <f t="shared" si="5"/>
        <v>47173</v>
      </c>
      <c r="G69" s="24">
        <f>IF(AND(E69&gt;=$T$14,E69&lt;=$T$14+5),$T$15,IF(AND(Q68+L69+H69&gt;G68,G68&lt;&gt;0),$C$29,IF(Q68=0,0,Q68+L69+H69+H70)))+IF(AND(E69=$C$10,$C$22&lt;&gt;"Нет"),MIN((I69-I69/$C$19*$C$23),Q68+H69-G68),0)</f>
        <v>14612</v>
      </c>
      <c r="H69" s="24">
        <f>IF(AND(E69&gt;=$T$14,E69&lt;=$T$14+5),0,IF($C$9&gt;$AC$52,ROUND(Q68*$C$19*((F69-DATE(YEAR(F69),MONTH(F69),1)+1)/(DATE(YEAR(F69)+1,1,1)-DATE(YEAR(F69),1,1))+(EOMONTH(F68,0)-F68)/(DATE(YEAR(F68)+1,1,1)-DATE(YEAR(F68),1,1))),2),0))</f>
        <v>8815.5</v>
      </c>
      <c r="I69" s="24">
        <f t="shared" si="19"/>
        <v>700678.45000000019</v>
      </c>
      <c r="J69" s="24">
        <f>IF(AND(E69=$C$10,$C$22&lt;&gt;"Нет"),MIN((I69-I69/$C$19*$C$23),Q68+H69-G68),0)</f>
        <v>0</v>
      </c>
      <c r="K69" s="24">
        <f t="shared" si="6"/>
        <v>5796.5</v>
      </c>
      <c r="L69" s="24">
        <f>IF(N69&gt;$C$29,$C$29-H69,IF(S69=0,0,O69))</f>
        <v>0</v>
      </c>
      <c r="M69" s="24">
        <f t="shared" si="21"/>
        <v>0</v>
      </c>
      <c r="N69" s="24">
        <f t="shared" si="11"/>
        <v>8815.5</v>
      </c>
      <c r="O69" s="24">
        <f t="shared" si="12"/>
        <v>0</v>
      </c>
      <c r="P69" s="24">
        <f t="shared" si="13"/>
        <v>0</v>
      </c>
      <c r="Q69" s="24">
        <f t="shared" si="7"/>
        <v>341345.4499999999</v>
      </c>
      <c r="R69" s="36">
        <f t="shared" si="22"/>
        <v>24</v>
      </c>
      <c r="S69" s="36">
        <f>IF(ISERR(CEILING(FLOOR(NPER($C$19/12,-$AA$56,Q68),0.1),1))=TRUE,0,CEILING(FLOOR(NPER($C$19/12,-$AA$56,Q68),0.1),1))</f>
        <v>35</v>
      </c>
      <c r="T69" s="2">
        <f t="shared" si="36"/>
        <v>8010.52</v>
      </c>
      <c r="U69" s="34">
        <f>IF(U68&lt;0,0,IF(T69=0,IF(T68=0,0,$U$46),G28)-IF(AND(T69&gt;0,T70=0),$C$26,0))</f>
        <v>14612</v>
      </c>
      <c r="V69" s="57">
        <f t="shared" si="39"/>
        <v>52615</v>
      </c>
      <c r="W69" s="16">
        <f t="shared" si="41"/>
        <v>20</v>
      </c>
      <c r="X69" s="1086"/>
      <c r="AH69" s="16">
        <f>104000+2900+5616+18532</f>
        <v>131048</v>
      </c>
      <c r="AI69" s="2">
        <f t="shared" si="37"/>
        <v>10953.02</v>
      </c>
      <c r="AJ69" s="34">
        <f t="shared" si="38"/>
        <v>14612</v>
      </c>
      <c r="AK69" s="57">
        <f>IF(AI69=0,AK68,AK68+365)</f>
        <v>52615</v>
      </c>
      <c r="AL69" s="130">
        <f t="shared" si="14"/>
        <v>1</v>
      </c>
      <c r="AM69" s="1057">
        <f t="shared" si="23"/>
        <v>61</v>
      </c>
      <c r="AN69" s="1058">
        <f t="shared" si="8"/>
        <v>47173</v>
      </c>
      <c r="AO69" s="105">
        <f>IF(AX68=1,AR69+AP69+AQ69,IF(AW68+AR69+AP69&gt;AO68,$D$29,IF(AW68=0,0,AW68+AR69+AP69+AP101)))</f>
        <v>14612</v>
      </c>
      <c r="AP69" s="105">
        <f>IF(AND(E69&gt;=$T$14,E69&lt;=$T$14+5),0,IF($C$9&gt;$AC$52,ROUND(AW68*$D$19*((AN69-DATE(YEAR(AN69),MONTH(AN69),1)+1)/(DATE(YEAR(AN69)+1,1,1)-DATE(YEAR(AN69),1,1))+(EOMONTH(AN68,0)-AN68)/(DATE(YEAR(AN68)+1,1,1)-DATE(YEAR(AN68),1,1))),2),0))</f>
        <v>5755.66</v>
      </c>
      <c r="AQ69" s="105">
        <f>IF(AY69=0,0,IF(AY69=1,AW68,IF(AW68+AR69+AP69&gt;AO68,AO69-AP69-AR69,AW68)))</f>
        <v>8856.34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5755.66</v>
      </c>
      <c r="AU69" s="105">
        <f>IF(AY69=0,0,0)</f>
        <v>0</v>
      </c>
      <c r="AV69" s="105">
        <f>IF(AY69=0,0,0)</f>
        <v>0</v>
      </c>
      <c r="AW69" s="105">
        <f>IF(OR(AY69=1,AW68=0),0,AW68-AQ69)</f>
        <v>263305.4699999998</v>
      </c>
      <c r="AX69" s="108">
        <f t="shared" si="24"/>
        <v>24</v>
      </c>
      <c r="AY69" s="108">
        <f>IF(ISERR(CEILING(FLOOR(NPER($D$19/12,-$AC$56,AW68),0.1),1))=TRUE,0,CEILING(FLOOR(NPER($D$19/12,-$AC$56,AW68),0.1),1))</f>
        <v>24</v>
      </c>
      <c r="AZ69" s="1047">
        <f t="shared" si="25"/>
        <v>47173</v>
      </c>
      <c r="BA69" s="108">
        <f t="shared" si="25"/>
        <v>14612</v>
      </c>
      <c r="BB69" s="2" t="e">
        <f>IF(AND(E23&gt;=$T$14,E23&lt;=$T$14+5),0,IF($C$9&gt;$AC$52,ROUND(AW22*IF($D$23="",0,$D$23)/(DATEVALUE(CONCATENATE("01/01/",YEAR(AN23)+1))-DATEVALUE(CONCATENATE("01/01/",YEAR(AN23))))*(AN23-AN22),2),0))</f>
        <v>#VALUE!</v>
      </c>
    </row>
    <row r="70" spans="1:54" s="16" customFormat="1" ht="12" x14ac:dyDescent="0.2">
      <c r="A70" s="2"/>
      <c r="B70" s="2"/>
      <c r="C70" s="2"/>
      <c r="D70" s="2"/>
      <c r="E70" s="1055">
        <f t="shared" si="20"/>
        <v>62</v>
      </c>
      <c r="F70" s="1056">
        <f t="shared" si="5"/>
        <v>47201</v>
      </c>
      <c r="G70" s="24">
        <f>IF(AND(E70&gt;=$T$14,E70&lt;=$T$14+5),$T$15,IF(AND(Q69+L70+H70&gt;G69,G69&lt;&gt;0),$C$29,IF(Q69=0,0,Q69+L70+H70+H71)))+IF(AND(E70=$C$10,$C$22&lt;&gt;"Нет"),MIN((I70-I70/$C$19*$C$23),Q69+H70-G69),0)</f>
        <v>14612</v>
      </c>
      <c r="H70" s="24">
        <f>IF(AND(E70&gt;=$T$14,E70&lt;=$T$14+5),0,IF($C$9&gt;$AC$52,ROUND(Q69*$C$19*((F70-DATE(YEAR(F70),MONTH(F70),1)+1)/(DATE(YEAR(F70)+1,1,1)-DATE(YEAR(F70),1,1))+(EOMONTH(F69,0)-F69)/(DATE(YEAR(F69)+1,1,1)-DATE(YEAR(F69),1,1))),2),0))</f>
        <v>7829.44</v>
      </c>
      <c r="I70" s="24">
        <f t="shared" si="19"/>
        <v>708507.89000000013</v>
      </c>
      <c r="J70" s="24">
        <f>IF(AND(E70=$C$10,$C$22&lt;&gt;"Нет"),MIN((I70-I70/$C$19*$C$23),Q69+H70-G69),0)</f>
        <v>0</v>
      </c>
      <c r="K70" s="24">
        <f t="shared" si="6"/>
        <v>6782.56</v>
      </c>
      <c r="L70" s="24">
        <f>IF(N70&gt;$C$29,$C$29-H70,IF(S70=0,0,O70))</f>
        <v>0</v>
      </c>
      <c r="M70" s="24">
        <f t="shared" si="21"/>
        <v>0</v>
      </c>
      <c r="N70" s="24">
        <f t="shared" si="11"/>
        <v>7829.44</v>
      </c>
      <c r="O70" s="24">
        <f t="shared" si="12"/>
        <v>0</v>
      </c>
      <c r="P70" s="24">
        <f t="shared" si="13"/>
        <v>0</v>
      </c>
      <c r="Q70" s="24">
        <f t="shared" si="7"/>
        <v>334562.8899999999</v>
      </c>
      <c r="R70" s="36">
        <f t="shared" si="22"/>
        <v>23</v>
      </c>
      <c r="S70" s="36">
        <f>IF(ISERR(CEILING(FLOOR(NPER($C$19/12,-$AA$56,Q69),0.1),1))=TRUE,0,CEILING(FLOOR(NPER($C$19/12,-$AA$56,Q69),0.1),1))</f>
        <v>34</v>
      </c>
      <c r="T70" s="2">
        <f t="shared" si="36"/>
        <v>7721.99</v>
      </c>
      <c r="U70" s="34">
        <f>IF(U69&lt;0,0,IF(T70=0,IF(T69=0,0,$U$46),G29)-IF(AND(T70&gt;0,T71=0),$C$26,0))</f>
        <v>14612</v>
      </c>
      <c r="V70" s="57">
        <f t="shared" si="39"/>
        <v>52980</v>
      </c>
      <c r="W70" s="16">
        <f t="shared" si="41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37"/>
        <v>10524.82</v>
      </c>
      <c r="AJ70" s="34">
        <f>IF(AI70=0,IF(AI69=0,0,$AJ$46),AO29)</f>
        <v>14612</v>
      </c>
      <c r="AK70" s="57">
        <f t="shared" si="40"/>
        <v>52980</v>
      </c>
      <c r="AL70" s="130">
        <f t="shared" si="14"/>
        <v>1</v>
      </c>
      <c r="AM70" s="1057">
        <f t="shared" si="23"/>
        <v>62</v>
      </c>
      <c r="AN70" s="1058">
        <f t="shared" si="8"/>
        <v>47201</v>
      </c>
      <c r="AO70" s="105">
        <f>IF(AX69=1,AR70+AP70+AQ70,IF(AW69+AR70+AP70&gt;AO69,$D$29,IF(AW69=0,0,AW69+AR70+AP70+AP102)))</f>
        <v>14612</v>
      </c>
      <c r="AP70" s="105">
        <f>IF(AND(E70&gt;=$T$14,E70&lt;=$T$14+5),0,IF($C$9&gt;$AC$52,ROUND(AW69*$D$19*((AN70-DATE(YEAR(AN70),MONTH(AN70),1)+1)/(DATE(YEAR(AN70)+1,1,1)-DATE(YEAR(AN70),1,1))+(EOMONTH(AN69,0)-AN69)/(DATE(YEAR(AN69)+1,1,1)-DATE(YEAR(AN69),1,1))),2),0))</f>
        <v>5029.5</v>
      </c>
      <c r="AQ70" s="105">
        <f t="shared" si="30"/>
        <v>9582.5</v>
      </c>
      <c r="AR70" s="105">
        <f>IF(AT70&gt;$D$29,$D$29-AP70,IF(AY70=0,0,AV70)+BN119)</f>
        <v>0</v>
      </c>
      <c r="AS70" s="105">
        <f t="shared" si="31"/>
        <v>0</v>
      </c>
      <c r="AT70" s="105">
        <f t="shared" si="32"/>
        <v>5029.5</v>
      </c>
      <c r="AU70" s="105">
        <f t="shared" si="33"/>
        <v>0</v>
      </c>
      <c r="AV70" s="105">
        <f t="shared" si="34"/>
        <v>0</v>
      </c>
      <c r="AW70" s="105">
        <f t="shared" si="35"/>
        <v>253722.9699999998</v>
      </c>
      <c r="AX70" s="108">
        <f t="shared" si="24"/>
        <v>23</v>
      </c>
      <c r="AY70" s="108">
        <f>IF(ISERR(CEILING(FLOOR(NPER($D$19/12,-$AC$56,AW69),0.1),1))=TRUE,0,CEILING(FLOOR(NPER($D$19/12,-$AC$56,AW69),0.1),1))</f>
        <v>23</v>
      </c>
      <c r="AZ70" s="1047">
        <f t="shared" si="25"/>
        <v>47201</v>
      </c>
      <c r="BA70" s="108">
        <f t="shared" si="25"/>
        <v>14612</v>
      </c>
      <c r="BB70" s="2" t="e">
        <f>IF(AND(E24&gt;=$T$14,E24&lt;=$T$14+5),0,IF($C$9&gt;$AC$52,ROUND(AW23*IF($D$23="",0,$D$23)/(DATEVALUE(CONCATENATE("01/01/",YEAR(AN24)+1))-DATEVALUE(CONCATENATE("01/01/",YEAR(AN24))))*(AN24-AN23),2),0))</f>
        <v>#VALUE!</v>
      </c>
    </row>
    <row r="71" spans="1:54" s="16" customFormat="1" ht="12" x14ac:dyDescent="0.2">
      <c r="A71" s="2"/>
      <c r="B71" s="2"/>
      <c r="C71" s="2"/>
      <c r="D71" s="2"/>
      <c r="E71" s="1055">
        <f t="shared" si="20"/>
        <v>63</v>
      </c>
      <c r="F71" s="1056">
        <f t="shared" si="5"/>
        <v>47232</v>
      </c>
      <c r="G71" s="24">
        <f>IF(AND(E71&gt;=$T$14,E71&lt;=$T$14+5),$T$15,IF(AND(Q70+L71+H71&gt;G70,G70&lt;&gt;0),$C$29,IF(Q70=0,0,Q70+L71+H71+H72)))+IF(AND(E71=$C$10,$C$22&lt;&gt;"Нет"),MIN((I71-I71/$C$19*$C$23),Q70+H71-G70),0)</f>
        <v>14612</v>
      </c>
      <c r="H71" s="24">
        <f>IF(AND(E71&gt;=$T$14,E71&lt;=$T$14+5),0,IF($C$9&gt;$AC$52,ROUND(Q70*$C$19*((F71-DATE(YEAR(F71),MONTH(F71),1)+1)/(DATE(YEAR(F71)+1,1,1)-DATE(YEAR(F71),1,1))+(EOMONTH(F70,0)-F70)/(DATE(YEAR(F70)+1,1,1)-DATE(YEAR(F70),1,1))),2),0))</f>
        <v>8496.06</v>
      </c>
      <c r="I71" s="24">
        <f t="shared" si="19"/>
        <v>717003.95000000019</v>
      </c>
      <c r="J71" s="24">
        <f>IF(AND(E71=$C$10,$C$22&lt;&gt;"Нет"),MIN((I71-I71/$C$19*$C$23),Q70+H71-G70),0)</f>
        <v>0</v>
      </c>
      <c r="K71" s="24">
        <f t="shared" si="6"/>
        <v>6115.9400000000005</v>
      </c>
      <c r="L71" s="24">
        <f>IF(N71&gt;$C$29,$C$29-H71,IF(S71=0,0,O71))</f>
        <v>0</v>
      </c>
      <c r="M71" s="24">
        <f t="shared" si="21"/>
        <v>0</v>
      </c>
      <c r="N71" s="24">
        <f t="shared" si="11"/>
        <v>8496.06</v>
      </c>
      <c r="O71" s="24">
        <f t="shared" si="12"/>
        <v>0</v>
      </c>
      <c r="P71" s="24">
        <f t="shared" si="13"/>
        <v>0</v>
      </c>
      <c r="Q71" s="24">
        <f t="shared" si="7"/>
        <v>328446.9499999999</v>
      </c>
      <c r="R71" s="36">
        <f t="shared" si="22"/>
        <v>22</v>
      </c>
      <c r="S71" s="36">
        <f>IF(ISERR(CEILING(FLOOR(NPER($C$19/12,-$AA$56,Q70),0.1),1))=TRUE,0,CEILING(FLOOR(NPER($C$19/12,-$AA$56,Q70),0.1),1))</f>
        <v>33</v>
      </c>
      <c r="T71" s="2">
        <f t="shared" si="36"/>
        <v>7940.93</v>
      </c>
      <c r="U71" s="34">
        <f>IF(U70&lt;0,0,IF(T71=0,IF(T70=0,0,$U$46),G30)-IF(AND(T71&gt;0,T72=0),$C$26,0))</f>
        <v>14612</v>
      </c>
      <c r="V71" s="57">
        <f t="shared" si="39"/>
        <v>53345</v>
      </c>
      <c r="W71" s="16">
        <f t="shared" si="41"/>
        <v>22</v>
      </c>
      <c r="Y71" s="15"/>
      <c r="Z71" s="145" t="s">
        <v>489</v>
      </c>
      <c r="AA71" s="145" t="s">
        <v>488</v>
      </c>
      <c r="AB71" s="145" t="s">
        <v>490</v>
      </c>
      <c r="AC71" s="145" t="s">
        <v>491</v>
      </c>
      <c r="AD71" s="145" t="s">
        <v>492</v>
      </c>
      <c r="AE71" s="145" t="s">
        <v>487</v>
      </c>
      <c r="AF71" s="145" t="s">
        <v>493</v>
      </c>
      <c r="AG71" s="145" t="s">
        <v>494</v>
      </c>
      <c r="AH71" s="63"/>
      <c r="AI71" s="2">
        <f t="shared" si="37"/>
        <v>10789.21</v>
      </c>
      <c r="AJ71" s="34">
        <f t="shared" ref="AJ71:AJ82" si="44">IF(AI71=0,IF(AI70=0,0,$AJ$46),AO30)</f>
        <v>14612</v>
      </c>
      <c r="AK71" s="57">
        <f>IF(AI71=0,AK70,AK70+365)</f>
        <v>53345</v>
      </c>
      <c r="AL71" s="130">
        <f t="shared" si="14"/>
        <v>1</v>
      </c>
      <c r="AM71" s="1057">
        <f t="shared" si="23"/>
        <v>63</v>
      </c>
      <c r="AN71" s="1058">
        <f t="shared" si="8"/>
        <v>47232</v>
      </c>
      <c r="AO71" s="105">
        <f>IF(AX70=1,AR71+AP71+AQ71,IF(AW70+AR71+AP71&gt;AO70,$D$29,IF(AW70=0,0,AW70+AR71+AP71+AP103)))</f>
        <v>14612</v>
      </c>
      <c r="AP71" s="105">
        <f>IF(AND(E71&gt;=$T$14,E71&lt;=$T$14+5),0,IF($C$9&gt;$AC$52,ROUND(AW70*$D$19*((AN71-DATE(YEAR(AN71),MONTH(AN71),1)+1)/(DATE(YEAR(AN71)+1,1,1)-DATE(YEAR(AN71),1,1))+(EOMONTH(AN70,0)-AN70)/(DATE(YEAR(AN70)+1,1,1)-DATE(YEAR(AN70),1,1))),2),0))</f>
        <v>5365.72</v>
      </c>
      <c r="AQ71" s="105">
        <f t="shared" si="30"/>
        <v>9246.2799999999988</v>
      </c>
      <c r="AR71" s="105">
        <f>IF(AT71&gt;$D$29,$D$29-AP71,IF(AY71=0,0,AV71)+BN120)</f>
        <v>0</v>
      </c>
      <c r="AS71" s="105">
        <f t="shared" si="31"/>
        <v>0</v>
      </c>
      <c r="AT71" s="105">
        <f t="shared" si="32"/>
        <v>5365.72</v>
      </c>
      <c r="AU71" s="105">
        <f t="shared" si="33"/>
        <v>0</v>
      </c>
      <c r="AV71" s="105">
        <f t="shared" si="34"/>
        <v>0</v>
      </c>
      <c r="AW71" s="105">
        <f t="shared" si="35"/>
        <v>244476.6899999998</v>
      </c>
      <c r="AX71" s="108">
        <f t="shared" si="24"/>
        <v>22</v>
      </c>
      <c r="AY71" s="108">
        <f>IF(ISERR(CEILING(FLOOR(NPER($D$19/12,-$AC$56,AW70),0.1),1))=TRUE,0,CEILING(FLOOR(NPER($D$19/12,-$AC$56,AW70),0.1),1))</f>
        <v>22</v>
      </c>
      <c r="AZ71" s="1047">
        <f t="shared" si="25"/>
        <v>47232</v>
      </c>
      <c r="BA71" s="108">
        <f t="shared" si="25"/>
        <v>14612</v>
      </c>
      <c r="BB71" s="2" t="e">
        <f>IF(AND(E25&gt;=$T$14,E25&lt;=$T$14+5),0,IF($C$9&gt;$AC$52,ROUND(AW24*IF($D$23="",0,$D$23)/(DATEVALUE(CONCATENATE("01/01/",YEAR(AN25)+1))-DATEVALUE(CONCATENATE("01/01/",YEAR(AN25))))*(AN25-AN24),2),0))</f>
        <v>#VALUE!</v>
      </c>
    </row>
    <row r="72" spans="1:54" s="16" customFormat="1" ht="12" x14ac:dyDescent="0.2">
      <c r="A72" s="2"/>
      <c r="B72" s="2"/>
      <c r="C72" s="2"/>
      <c r="D72" s="2"/>
      <c r="E72" s="1055">
        <f t="shared" si="20"/>
        <v>64</v>
      </c>
      <c r="F72" s="1056">
        <f t="shared" si="5"/>
        <v>47262</v>
      </c>
      <c r="G72" s="24">
        <f>IF(AND(E72&gt;=$T$14,E72&lt;=$T$14+5),$T$15,IF(AND(Q71+L72+H72&gt;G71,G71&lt;&gt;0),$C$29,IF(Q71=0,0,Q71+L72+H72+H73)))+IF(AND(E72=$C$10,$C$22&lt;&gt;"Нет"),MIN((I72-I72/$C$19*$C$23),Q71+H72-G71),0)</f>
        <v>14612</v>
      </c>
      <c r="H72" s="24">
        <f>IF(AND(E72&gt;=$T$14,E72&lt;=$T$14+5),0,IF($C$9&gt;$AC$52,ROUND(Q71*$C$19*((F72-DATE(YEAR(F72),MONTH(F72),1)+1)/(DATE(YEAR(F72)+1,1,1)-DATE(YEAR(F72),1,1))+(EOMONTH(F71,0)-F71)/(DATE(YEAR(F71)+1,1,1)-DATE(YEAR(F71),1,1))),2),0))</f>
        <v>8071.7</v>
      </c>
      <c r="I72" s="24">
        <f t="shared" si="19"/>
        <v>725075.65000000014</v>
      </c>
      <c r="J72" s="24">
        <f>IF(AND(E72=$C$10,$C$22&lt;&gt;"Нет"),MIN((I72-I72/$C$19*$C$23),Q71+H72-G71),0)</f>
        <v>0</v>
      </c>
      <c r="K72" s="24">
        <f t="shared" si="6"/>
        <v>6540.3</v>
      </c>
      <c r="L72" s="24">
        <f>IF(N72&gt;$C$29,$C$29-H72,IF(S72=0,0,O72))</f>
        <v>0</v>
      </c>
      <c r="M72" s="24">
        <f t="shared" si="21"/>
        <v>0</v>
      </c>
      <c r="N72" s="24">
        <f t="shared" si="11"/>
        <v>8071.7</v>
      </c>
      <c r="O72" s="24">
        <f t="shared" si="12"/>
        <v>0</v>
      </c>
      <c r="P72" s="24">
        <f t="shared" si="13"/>
        <v>0</v>
      </c>
      <c r="Q72" s="24">
        <f t="shared" si="7"/>
        <v>321906.64999999991</v>
      </c>
      <c r="R72" s="36">
        <f t="shared" si="22"/>
        <v>21</v>
      </c>
      <c r="S72" s="36">
        <f>IF(ISERR(CEILING(FLOOR(NPER($C$19/12,-$AA$56,Q71),0.1),1))=TRUE,0,CEILING(FLOOR(NPER($C$19/12,-$AA$56,Q71),0.1),1))</f>
        <v>32</v>
      </c>
      <c r="T72" s="2">
        <f t="shared" si="36"/>
        <v>7652.94</v>
      </c>
      <c r="U72" s="34">
        <f>IF(U71&lt;0,0,IF(T72=0,IF(T71=0,0,$U$46),G31)-IF(AND(T72&gt;0,T73=0),$C$26,0))</f>
        <v>14612</v>
      </c>
      <c r="V72" s="57">
        <f t="shared" si="39"/>
        <v>53710</v>
      </c>
      <c r="W72" s="16">
        <f t="shared" si="41"/>
        <v>23</v>
      </c>
      <c r="X72" s="133" t="s">
        <v>96</v>
      </c>
      <c r="Y72" s="133" t="s">
        <v>97</v>
      </c>
      <c r="Z72" s="1028"/>
      <c r="AA72" s="133" t="s">
        <v>98</v>
      </c>
      <c r="AB72" s="1028"/>
      <c r="AC72" s="1028"/>
      <c r="AD72" s="1028"/>
      <c r="AE72" s="1028"/>
      <c r="AF72" s="1028"/>
      <c r="AG72" s="1028"/>
      <c r="AH72" s="63"/>
      <c r="AI72" s="2">
        <f t="shared" si="37"/>
        <v>10362.93</v>
      </c>
      <c r="AJ72" s="34">
        <f t="shared" si="44"/>
        <v>14612</v>
      </c>
      <c r="AK72" s="57">
        <f t="shared" si="40"/>
        <v>53710</v>
      </c>
      <c r="AL72" s="130">
        <f t="shared" si="14"/>
        <v>1</v>
      </c>
      <c r="AM72" s="1057">
        <f t="shared" si="23"/>
        <v>64</v>
      </c>
      <c r="AN72" s="1058">
        <f t="shared" si="8"/>
        <v>47262</v>
      </c>
      <c r="AO72" s="105">
        <f>IF(AX71=1,AR72+AP72+AQ72,IF(AW71+AR72+AP72&gt;AO71,$D$29,IF(AW71=0,0,AW71+AR72+AP72+AP104)))</f>
        <v>14612</v>
      </c>
      <c r="AP72" s="105">
        <f>IF(AND(E72&gt;=$T$14,E72&lt;=$T$14+5),0,IF($C$9&gt;$AC$52,ROUND(AW71*$D$19*((AN72-DATE(YEAR(AN72),MONTH(AN72),1)+1)/(DATE(YEAR(AN72)+1,1,1)-DATE(YEAR(AN72),1,1))+(EOMONTH(AN71,0)-AN71)/(DATE(YEAR(AN71)+1,1,1)-DATE(YEAR(AN71),1,1))),2),0))</f>
        <v>5003.3999999999996</v>
      </c>
      <c r="AQ72" s="105">
        <f t="shared" si="30"/>
        <v>9608.6</v>
      </c>
      <c r="AR72" s="105">
        <f>IF(AT72&gt;$D$29,$D$29-AP72,IF(AY72=0,0,AV72)+BN121)</f>
        <v>0</v>
      </c>
      <c r="AS72" s="105">
        <f t="shared" si="31"/>
        <v>0</v>
      </c>
      <c r="AT72" s="105">
        <f t="shared" si="32"/>
        <v>5003.3999999999996</v>
      </c>
      <c r="AU72" s="105">
        <f t="shared" si="33"/>
        <v>0</v>
      </c>
      <c r="AV72" s="105">
        <f t="shared" si="34"/>
        <v>0</v>
      </c>
      <c r="AW72" s="105">
        <f t="shared" si="35"/>
        <v>234868.08999999979</v>
      </c>
      <c r="AX72" s="108">
        <f t="shared" si="24"/>
        <v>21</v>
      </c>
      <c r="AY72" s="108">
        <f>IF(ISERR(CEILING(FLOOR(NPER($D$19/12,-$AC$56,AW71),0.1),1))=TRUE,0,CEILING(FLOOR(NPER($D$19/12,-$AC$56,AW71),0.1),1))</f>
        <v>21</v>
      </c>
      <c r="AZ72" s="1047">
        <f t="shared" ref="AZ72:BA107" si="45">F72</f>
        <v>47262</v>
      </c>
      <c r="BA72" s="108">
        <f t="shared" si="45"/>
        <v>14612</v>
      </c>
      <c r="BB72" s="2" t="e">
        <f>IF(AND(E26&gt;=$T$14,E26&lt;=$T$14+5),0,IF($C$9&gt;$AC$52,ROUND(AW25*IF($D$23="",0,$D$23)/(DATEVALUE(CONCATENATE("01/01/",YEAR(AN26)+1))-DATEVALUE(CONCATENATE("01/01/",YEAR(AN26))))*(AN26-AN25),2),0))</f>
        <v>#VALUE!</v>
      </c>
    </row>
    <row r="73" spans="1:54" s="16" customFormat="1" ht="12" x14ac:dyDescent="0.2">
      <c r="A73" s="2"/>
      <c r="B73" s="2"/>
      <c r="C73" s="2"/>
      <c r="D73" s="2"/>
      <c r="E73" s="1055">
        <f t="shared" si="20"/>
        <v>65</v>
      </c>
      <c r="F73" s="1056">
        <f t="shared" ref="F73:F136" si="46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>IF(AND(E73&gt;=$T$14,E73&lt;=$T$14+5),$T$15,IF(AND(Q72+L73+H73&gt;G72,G72&lt;&gt;0),$C$29,IF(Q72=0,0,Q72+L73+H73+H74)))+IF(AND(E73=$C$10,$C$22&lt;&gt;"Нет"),MIN((I73-I73/$C$19*$C$23),Q72+H73-G72),0)</f>
        <v>14612</v>
      </c>
      <c r="H73" s="24">
        <f>IF(AND(E73&gt;=$T$14,E73&lt;=$T$14+5),0,IF($C$9&gt;$AC$52,ROUND(Q72*$C$19*((F73-DATE(YEAR(F73),MONTH(F73),1)+1)/(DATE(YEAR(F73)+1,1,1)-DATE(YEAR(F73),1,1))+(EOMONTH(F72,0)-F72)/(DATE(YEAR(F72)+1,1,1)-DATE(YEAR(F72),1,1))),2),0))</f>
        <v>8174.67</v>
      </c>
      <c r="I73" s="24">
        <f t="shared" si="19"/>
        <v>733250.32000000018</v>
      </c>
      <c r="J73" s="24">
        <f>IF(AND(E73=$C$10,$C$22&lt;&gt;"Нет"),MIN((I73-I73/$C$19*$C$23),Q72+H73-G72),0)</f>
        <v>0</v>
      </c>
      <c r="K73" s="24">
        <f t="shared" ref="K73:K136" si="47">IF(S73=0,0,IF(S73=1,Q72,IF(Q72+L73+H73&gt;G72,G73-H73-L73,Q72)))</f>
        <v>6437.33</v>
      </c>
      <c r="L73" s="24">
        <f>IF(N73&gt;$C$29,$C$29-H73,IF(S73=0,0,O73))</f>
        <v>0</v>
      </c>
      <c r="M73" s="24">
        <f t="shared" si="21"/>
        <v>0</v>
      </c>
      <c r="N73" s="24">
        <f t="shared" si="11"/>
        <v>8174.67</v>
      </c>
      <c r="O73" s="24">
        <f t="shared" si="12"/>
        <v>0</v>
      </c>
      <c r="P73" s="24">
        <f t="shared" si="13"/>
        <v>0</v>
      </c>
      <c r="Q73" s="24">
        <f t="shared" ref="Q73:Q136" si="48">IF(OR(S73=1,Q72=0),0,Q72-K73)</f>
        <v>315469.31999999989</v>
      </c>
      <c r="R73" s="36">
        <f t="shared" si="22"/>
        <v>20</v>
      </c>
      <c r="S73" s="36">
        <f>IF(ISERR(CEILING(FLOOR(NPER($C$19/12,-$AA$56,Q72),0.1),1))=TRUE,0,CEILING(FLOOR(NPER($C$19/12,-$AA$56,Q72),0.1),1))</f>
        <v>31</v>
      </c>
      <c r="T73" s="2">
        <f t="shared" si="36"/>
        <v>7867.82</v>
      </c>
      <c r="U73" s="34">
        <f>IF(U72&lt;0,0,IF(T73=0,IF(T72=0,0,$U$46),G32)-IF(AND(T73&gt;0,T74=0),$C$26,0))</f>
        <v>14612</v>
      </c>
      <c r="V73" s="57">
        <f t="shared" si="39"/>
        <v>54075</v>
      </c>
      <c r="W73" s="16">
        <f t="shared" si="41"/>
        <v>24</v>
      </c>
      <c r="X73" s="170">
        <v>20000</v>
      </c>
      <c r="Y73" s="171">
        <v>220000</v>
      </c>
      <c r="Z73" s="1028">
        <v>1</v>
      </c>
      <c r="AA73" s="1028">
        <v>1</v>
      </c>
      <c r="AB73" s="1028">
        <v>1</v>
      </c>
      <c r="AC73" s="1028">
        <v>1</v>
      </c>
      <c r="AD73" s="1028">
        <v>1</v>
      </c>
      <c r="AE73" s="1028">
        <v>1</v>
      </c>
      <c r="AF73" s="1028">
        <v>1</v>
      </c>
      <c r="AG73" s="1028">
        <v>1</v>
      </c>
      <c r="AH73" s="63"/>
      <c r="AI73" s="2">
        <f t="shared" si="37"/>
        <v>10618.51</v>
      </c>
      <c r="AJ73" s="34">
        <f t="shared" si="44"/>
        <v>14612</v>
      </c>
      <c r="AK73" s="57">
        <f t="shared" si="40"/>
        <v>54075</v>
      </c>
      <c r="AL73" s="130">
        <f t="shared" si="14"/>
        <v>1</v>
      </c>
      <c r="AM73" s="1057">
        <f t="shared" si="23"/>
        <v>65</v>
      </c>
      <c r="AN73" s="1058">
        <f t="shared" ref="AN73:AN129" si="49">IF((OR(DAY($AA$55)=29,DAY($AA$55)=30,DAY($AA$55)=31)),(EDATE($C$9-3,AM73)),(IF((OR(DAY($AA$55)=1,DAY($AA$55)=2,DAY($AA$55)=3)),(EDATE($C$9,AM73)+3),EDATE($C$9,AM73))))</f>
        <v>47293</v>
      </c>
      <c r="AO73" s="105">
        <f>IF(AX72=1,AR73+AP73+AQ73,IF(AW72+AR73+AP73&gt;AO72,$D$29,IF(AW72=0,0,AW72+AR73+AP73+AP105)))</f>
        <v>14612</v>
      </c>
      <c r="AP73" s="105">
        <f>IF(AND(E73&gt;=$T$14,E73&lt;=$T$14+5),0,IF($C$9&gt;$AC$52,ROUND(AW72*$D$19*((AN73-DATE(YEAR(AN73),MONTH(AN73),1)+1)/(DATE(YEAR(AN73)+1,1,1)-DATE(YEAR(AN73),1,1))+(EOMONTH(AN72,0)-AN72)/(DATE(YEAR(AN72)+1,1,1)-DATE(YEAR(AN72),1,1))),2),0))</f>
        <v>4966.9799999999996</v>
      </c>
      <c r="AQ73" s="105">
        <f t="shared" si="30"/>
        <v>9645.02</v>
      </c>
      <c r="AR73" s="105">
        <f>IF(AT73&gt;$D$29,$D$29-AP73,IF(AY73=0,0,AV73)+BN122)</f>
        <v>0</v>
      </c>
      <c r="AS73" s="105">
        <f t="shared" si="31"/>
        <v>0</v>
      </c>
      <c r="AT73" s="105">
        <f t="shared" si="32"/>
        <v>4966.9799999999996</v>
      </c>
      <c r="AU73" s="105">
        <f t="shared" si="33"/>
        <v>0</v>
      </c>
      <c r="AV73" s="105">
        <f t="shared" si="34"/>
        <v>0</v>
      </c>
      <c r="AW73" s="105">
        <f t="shared" si="35"/>
        <v>225223.0699999998</v>
      </c>
      <c r="AX73" s="108">
        <f t="shared" si="24"/>
        <v>20</v>
      </c>
      <c r="AY73" s="108">
        <f>IF(ISERR(CEILING(FLOOR(NPER($D$19/12,-$AC$56,AW72),0.1),1))=TRUE,0,CEILING(FLOOR(NPER($D$19/12,-$AC$56,AW72),0.1),1))</f>
        <v>20</v>
      </c>
      <c r="AZ73" s="1047">
        <f t="shared" si="45"/>
        <v>47293</v>
      </c>
      <c r="BA73" s="108">
        <f t="shared" si="45"/>
        <v>14612</v>
      </c>
      <c r="BB73" s="2" t="e">
        <f>IF(AND(E27&gt;=$T$14,E27&lt;=$T$14+5),0,IF($C$9&gt;$AC$52,ROUND(AW26*IF($D$23="",0,$D$23)/(DATEVALUE(CONCATENATE("01/01/",YEAR(AN27)+1))-DATEVALUE(CONCATENATE("01/01/",YEAR(AN27))))*(AN27-AN26),2),0))</f>
        <v>#VALUE!</v>
      </c>
    </row>
    <row r="74" spans="1:54" s="16" customFormat="1" ht="12" x14ac:dyDescent="0.2">
      <c r="A74" s="2"/>
      <c r="B74" s="2"/>
      <c r="C74" s="2"/>
      <c r="D74" s="2"/>
      <c r="E74" s="1055">
        <f t="shared" si="20"/>
        <v>66</v>
      </c>
      <c r="F74" s="1056">
        <f t="shared" si="46"/>
        <v>47323</v>
      </c>
      <c r="G74" s="24">
        <f>IF(AND(E74&gt;=$T$14,E74&lt;=$T$14+5),$T$15,IF(AND(Q73+L74+H74&gt;G73,G73&lt;&gt;0),$C$29,IF(Q73=0,0,Q73+L74+H74+H75)))+IF(AND(E74=$C$10,$C$22&lt;&gt;"Нет"),MIN((I74-I74/$C$19*$C$23),Q73+H74-G73),0)</f>
        <v>14612</v>
      </c>
      <c r="H74" s="24">
        <f>IF(AND(E74&gt;=$T$14,E74&lt;=$T$14+5),0,IF($C$9&gt;$AC$52,ROUND(Q73*$C$19*((F74-DATE(YEAR(F74),MONTH(F74),1)+1)/(DATE(YEAR(F74)+1,1,1)-DATE(YEAR(F74),1,1))+(EOMONTH(F73,0)-F73)/(DATE(YEAR(F73)+1,1,1)-DATE(YEAR(F73),1,1))),2),0))</f>
        <v>7752.77</v>
      </c>
      <c r="I74" s="24">
        <f t="shared" si="19"/>
        <v>741003.0900000002</v>
      </c>
      <c r="J74" s="24">
        <f>IF(AND(E74=$C$10,$C$22&lt;&gt;"Нет"),MIN((I74-I74/$C$19*$C$23),Q73+H74-G73),0)</f>
        <v>0</v>
      </c>
      <c r="K74" s="24">
        <f t="shared" si="47"/>
        <v>6859.23</v>
      </c>
      <c r="L74" s="24">
        <f>IF(N74&gt;$C$29,$C$29-H74,IF(S74=0,0,O74))</f>
        <v>0</v>
      </c>
      <c r="M74" s="24">
        <f t="shared" si="21"/>
        <v>0</v>
      </c>
      <c r="N74" s="24">
        <f t="shared" si="11"/>
        <v>7752.77</v>
      </c>
      <c r="O74" s="24">
        <f t="shared" ref="O74:O137" si="50">IF(S74=0,0,0)</f>
        <v>0</v>
      </c>
      <c r="P74" s="24">
        <f t="shared" ref="P74:P137" si="51">IF(S74=0,0,0)</f>
        <v>0</v>
      </c>
      <c r="Q74" s="24">
        <f t="shared" si="48"/>
        <v>308610.08999999991</v>
      </c>
      <c r="R74" s="36">
        <f t="shared" si="22"/>
        <v>19</v>
      </c>
      <c r="S74" s="36">
        <f>IF(ISERR(CEILING(FLOOR(NPER($C$19/12,-$AA$56,Q73),0.1),1))=TRUE,0,CEILING(FLOOR(NPER($C$19/12,-$AA$56,Q73),0.1),1))</f>
        <v>30</v>
      </c>
      <c r="T74" s="2">
        <f t="shared" si="36"/>
        <v>7833.07</v>
      </c>
      <c r="U74" s="34">
        <f>IF(U73&lt;0,0,IF(T74=0,IF(T73=0,0,$U$46),G33)-IF(AND(T74&gt;0,T75=0),$C$26,0))</f>
        <v>14612</v>
      </c>
      <c r="V74" s="57">
        <f t="shared" si="39"/>
        <v>54440</v>
      </c>
      <c r="W74" s="16">
        <f t="shared" si="41"/>
        <v>25</v>
      </c>
      <c r="X74" s="170">
        <v>20000</v>
      </c>
      <c r="Y74" s="171">
        <v>220000</v>
      </c>
      <c r="Z74" s="1028">
        <v>1</v>
      </c>
      <c r="AA74" s="1028">
        <v>1</v>
      </c>
      <c r="AB74" s="1028">
        <v>1</v>
      </c>
      <c r="AC74" s="1028">
        <v>1</v>
      </c>
      <c r="AD74" s="1028">
        <v>1</v>
      </c>
      <c r="AE74" s="1028">
        <v>1</v>
      </c>
      <c r="AF74" s="1028">
        <v>1</v>
      </c>
      <c r="AG74" s="1028">
        <v>1</v>
      </c>
      <c r="AH74" s="63"/>
      <c r="AI74" s="2">
        <f t="shared" si="37"/>
        <v>10534.05</v>
      </c>
      <c r="AJ74" s="34">
        <f t="shared" si="44"/>
        <v>14612</v>
      </c>
      <c r="AK74" s="57">
        <f t="shared" si="40"/>
        <v>54440</v>
      </c>
      <c r="AL74" s="130">
        <f t="shared" si="14"/>
        <v>1</v>
      </c>
      <c r="AM74" s="1057">
        <f t="shared" si="23"/>
        <v>66</v>
      </c>
      <c r="AN74" s="1058">
        <f t="shared" si="49"/>
        <v>47323</v>
      </c>
      <c r="AO74" s="105">
        <f>IF(AX73=1,AR74+AP74+AQ74,IF(AW73+AR74+AP74&gt;AO73,$D$29,IF(AW73=0,0,AW73+AR74+AP74+AP106)))</f>
        <v>14612</v>
      </c>
      <c r="AP74" s="105">
        <f>IF(AND(E74&gt;=$T$14,E74&lt;=$T$14+5),0,IF($C$9&gt;$AC$52,ROUND(AW73*$D$19*((AN74-DATE(YEAR(AN74),MONTH(AN74),1)+1)/(DATE(YEAR(AN74)+1,1,1)-DATE(YEAR(AN74),1,1))+(EOMONTH(AN73,0)-AN73)/(DATE(YEAR(AN73)+1,1,1)-DATE(YEAR(AN73),1,1))),2),0))</f>
        <v>4609.3599999999997</v>
      </c>
      <c r="AQ74" s="105">
        <f t="shared" si="30"/>
        <v>10002.64</v>
      </c>
      <c r="AR74" s="105">
        <f>IF(AT74&gt;$D$29,$D$29-AP74,IF(AY74=0,0,AV74)+BN123)</f>
        <v>0</v>
      </c>
      <c r="AS74" s="105">
        <f t="shared" si="31"/>
        <v>0</v>
      </c>
      <c r="AT74" s="105">
        <f t="shared" si="32"/>
        <v>4609.3599999999997</v>
      </c>
      <c r="AU74" s="105">
        <f t="shared" si="33"/>
        <v>0</v>
      </c>
      <c r="AV74" s="105">
        <f t="shared" si="34"/>
        <v>0</v>
      </c>
      <c r="AW74" s="105">
        <f t="shared" si="35"/>
        <v>215220.42999999982</v>
      </c>
      <c r="AX74" s="108">
        <f t="shared" si="24"/>
        <v>19</v>
      </c>
      <c r="AY74" s="108">
        <f>IF(ISERR(CEILING(FLOOR(NPER($D$19/12,-$AC$56,AW73),0.1),1))=TRUE,0,CEILING(FLOOR(NPER($D$19/12,-$AC$56,AW73),0.1),1))</f>
        <v>19</v>
      </c>
      <c r="AZ74" s="1047">
        <f t="shared" si="45"/>
        <v>47323</v>
      </c>
      <c r="BA74" s="108">
        <f t="shared" si="45"/>
        <v>14612</v>
      </c>
      <c r="BB74" s="2" t="e">
        <f>IF(AND(E28&gt;=$T$14,E28&lt;=$T$14+5),0,IF($C$9&gt;$AC$52,ROUND(AW27*IF($D$23="",0,$D$23)/(DATEVALUE(CONCATENATE("01/01/",YEAR(AN28)+1))-DATEVALUE(CONCATENATE("01/01/",YEAR(AN28))))*(AN28-AN27),2),0))</f>
        <v>#VALUE!</v>
      </c>
    </row>
    <row r="75" spans="1:54" s="16" customFormat="1" ht="12" x14ac:dyDescent="0.2">
      <c r="A75" s="2"/>
      <c r="B75" s="2"/>
      <c r="C75" s="2"/>
      <c r="D75" s="2"/>
      <c r="E75" s="1055">
        <f t="shared" si="20"/>
        <v>67</v>
      </c>
      <c r="F75" s="1056">
        <f t="shared" si="46"/>
        <v>47354</v>
      </c>
      <c r="G75" s="24">
        <f>IF(AND(E75&gt;=$T$14,E75&lt;=$T$14+5),$T$15,IF(AND(Q74+L75+H75&gt;G74,G74&lt;&gt;0),$C$29,IF(Q74=0,0,Q74+L75+H75+H76)))+IF(AND(E75=$C$10,$C$22&lt;&gt;"Нет"),MIN((I75-I75/$C$19*$C$23),Q74+H75-G74),0)</f>
        <v>14612</v>
      </c>
      <c r="H75" s="24">
        <f>IF(AND(E75&gt;=$T$14,E75&lt;=$T$14+5),0,IF($C$9&gt;$AC$52,ROUND(Q74*$C$19*((F75-DATE(YEAR(F75),MONTH(F75),1)+1)/(DATE(YEAR(F75)+1,1,1)-DATE(YEAR(F75),1,1))+(EOMONTH(F74,0)-F74)/(DATE(YEAR(F74)+1,1,1)-DATE(YEAR(F74),1,1))),2),0))</f>
        <v>7837.01</v>
      </c>
      <c r="I75" s="24">
        <f t="shared" ref="I75:I138" si="52">H75+I74</f>
        <v>748840.10000000021</v>
      </c>
      <c r="J75" s="24">
        <f>IF(AND(E75=$C$10,$C$22&lt;&gt;"Нет"),MIN((I75-I75/$C$19*$C$23),Q74+H75-G74),0)</f>
        <v>0</v>
      </c>
      <c r="K75" s="24">
        <f t="shared" si="47"/>
        <v>6774.99</v>
      </c>
      <c r="L75" s="24">
        <f>IF(N75&gt;$C$29,$C$29-H75,IF(S75=0,0,O75))</f>
        <v>0</v>
      </c>
      <c r="M75" s="24">
        <f t="shared" si="21"/>
        <v>0</v>
      </c>
      <c r="N75" s="24">
        <f t="shared" si="11"/>
        <v>7837.01</v>
      </c>
      <c r="O75" s="24">
        <f t="shared" si="50"/>
        <v>0</v>
      </c>
      <c r="P75" s="24">
        <f t="shared" si="51"/>
        <v>0</v>
      </c>
      <c r="Q75" s="24">
        <f t="shared" si="48"/>
        <v>301835.09999999992</v>
      </c>
      <c r="R75" s="36">
        <f t="shared" si="22"/>
        <v>18</v>
      </c>
      <c r="S75" s="36">
        <f>IF(ISERR(CEILING(FLOOR(NPER($C$19/12,-$AA$56,Q74),0.1),1))=TRUE,0,CEILING(FLOOR(NPER($C$19/12,-$AA$56,Q74),0.1),1))</f>
        <v>29</v>
      </c>
      <c r="T75" s="2">
        <f t="shared" si="36"/>
        <v>7042.84</v>
      </c>
      <c r="U75" s="34">
        <f>IF(U74&lt;0,0,IF(T75=0,IF(T74=0,0,$U$46),G34)-IF(AND(T75&gt;0,T76=0),$C$26,0))</f>
        <v>14612</v>
      </c>
      <c r="V75" s="57">
        <f t="shared" si="39"/>
        <v>54805</v>
      </c>
      <c r="W75" s="16">
        <f t="shared" si="41"/>
        <v>26</v>
      </c>
      <c r="X75" s="170">
        <v>20000</v>
      </c>
      <c r="Y75" s="171">
        <v>220000</v>
      </c>
      <c r="Z75" s="1028">
        <v>1</v>
      </c>
      <c r="AA75" s="1028">
        <v>1</v>
      </c>
      <c r="AB75" s="1028">
        <v>1</v>
      </c>
      <c r="AC75" s="1028">
        <v>1</v>
      </c>
      <c r="AD75" s="1028">
        <v>1</v>
      </c>
      <c r="AE75" s="1028">
        <v>1</v>
      </c>
      <c r="AF75" s="1028">
        <v>1</v>
      </c>
      <c r="AG75" s="1028">
        <v>1</v>
      </c>
      <c r="AH75" s="63"/>
      <c r="AI75" s="2">
        <f t="shared" si="37"/>
        <v>9436.73</v>
      </c>
      <c r="AJ75" s="34">
        <f t="shared" si="44"/>
        <v>14612</v>
      </c>
      <c r="AK75" s="57">
        <f t="shared" si="40"/>
        <v>54805</v>
      </c>
      <c r="AL75" s="130">
        <f t="shared" ref="AL75:AL109" si="53">IF(OR(AO75="",AO75=0),0,1)</f>
        <v>1</v>
      </c>
      <c r="AM75" s="1057">
        <f t="shared" si="23"/>
        <v>67</v>
      </c>
      <c r="AN75" s="1058">
        <f t="shared" si="49"/>
        <v>47354</v>
      </c>
      <c r="AO75" s="105">
        <f>IF(AX74=1,AR75+AP75+AQ75,IF(AW74+AR75+AP75&gt;AO74,$D$29,IF(AW74=0,0,AW74+AR75+AP75+AP107)))</f>
        <v>14612</v>
      </c>
      <c r="AP75" s="105">
        <f>IF(AND(E75&gt;=$T$14,E75&lt;=$T$14+5),0,IF($C$9&gt;$AC$52,ROUND(AW74*$D$19*((AN75-DATE(YEAR(AN75),MONTH(AN75),1)+1)/(DATE(YEAR(AN75)+1,1,1)-DATE(YEAR(AN75),1,1))+(EOMONTH(AN74,0)-AN74)/(DATE(YEAR(AN74)+1,1,1)-DATE(YEAR(AN74),1,1))),2),0))</f>
        <v>4551.47</v>
      </c>
      <c r="AQ75" s="105">
        <f t="shared" si="30"/>
        <v>10060.529999999999</v>
      </c>
      <c r="AR75" s="105">
        <f>IF(AT75&gt;$D$29,$D$29-AP75,IF(AY75=0,0,AV75)+BN124)</f>
        <v>0</v>
      </c>
      <c r="AS75" s="105">
        <f t="shared" si="31"/>
        <v>0</v>
      </c>
      <c r="AT75" s="105">
        <f t="shared" si="32"/>
        <v>4551.47</v>
      </c>
      <c r="AU75" s="105">
        <f t="shared" si="33"/>
        <v>0</v>
      </c>
      <c r="AV75" s="105">
        <f t="shared" si="34"/>
        <v>0</v>
      </c>
      <c r="AW75" s="105">
        <f t="shared" si="35"/>
        <v>205159.89999999982</v>
      </c>
      <c r="AX75" s="108">
        <f t="shared" si="24"/>
        <v>18</v>
      </c>
      <c r="AY75" s="108">
        <f>IF(ISERR(CEILING(FLOOR(NPER($D$19/12,-$AC$56,AW74),0.1),1))=TRUE,0,CEILING(FLOOR(NPER($D$19/12,-$AC$56,AW74),0.1),1))</f>
        <v>18</v>
      </c>
      <c r="AZ75" s="1047">
        <f t="shared" si="45"/>
        <v>47354</v>
      </c>
      <c r="BA75" s="108">
        <f t="shared" si="45"/>
        <v>14612</v>
      </c>
      <c r="BB75" s="2" t="e">
        <f>IF(AND(E29&gt;=$T$14,E29&lt;=$T$14+5),0,IF($C$9&gt;$AC$52,ROUND(AW28*IF($D$23="",0,$D$23)/(DATEVALUE(CONCATENATE("01/01/",YEAR(AN29)+1))-DATEVALUE(CONCATENATE("01/01/",YEAR(AN29))))*(AN29-AN28),2),0))</f>
        <v>#VALUE!</v>
      </c>
    </row>
    <row r="76" spans="1:54" s="16" customFormat="1" ht="12" x14ac:dyDescent="0.2">
      <c r="A76" s="2"/>
      <c r="B76" s="2"/>
      <c r="C76" s="2"/>
      <c r="D76" s="2"/>
      <c r="E76" s="1055">
        <f t="shared" ref="E76:E139" si="54">E75+1</f>
        <v>68</v>
      </c>
      <c r="F76" s="1056">
        <f t="shared" si="46"/>
        <v>47385</v>
      </c>
      <c r="G76" s="24">
        <f>IF(AND(E76&gt;=$T$14,E76&lt;=$T$14+5),$T$15,IF(AND(Q75+L76+H76&gt;G75,G75&lt;&gt;0),$C$29,IF(Q75=0,0,Q75+L76+H76+H77)))+IF(AND(E76=$C$10,$C$22&lt;&gt;"Нет"),MIN((I76-I76/$C$19*$C$23),Q75+H76-G75),0)</f>
        <v>14612</v>
      </c>
      <c r="H76" s="24">
        <f>IF(AND(E76&gt;=$T$14,E76&lt;=$T$14+5),0,IF($C$9&gt;$AC$52,ROUND(Q75*$C$19*((F76-DATE(YEAR(F76),MONTH(F76),1)+1)/(DATE(YEAR(F76)+1,1,1)-DATE(YEAR(F76),1,1))+(EOMONTH(F75,0)-F75)/(DATE(YEAR(F75)+1,1,1)-DATE(YEAR(F75),1,1))),2),0))</f>
        <v>7664.96</v>
      </c>
      <c r="I76" s="24">
        <f t="shared" si="52"/>
        <v>756505.06000000017</v>
      </c>
      <c r="J76" s="24">
        <f>IF(AND(E76=$C$10,$C$22&lt;&gt;"Нет"),MIN((I76-I76/$C$19*$C$23),Q75+H76-G75),0)</f>
        <v>0</v>
      </c>
      <c r="K76" s="24">
        <f t="shared" si="47"/>
        <v>6947.04</v>
      </c>
      <c r="L76" s="24">
        <f>IF(N76&gt;$C$29,$C$29-H76,IF(S76=0,0,O76))</f>
        <v>0</v>
      </c>
      <c r="M76" s="24">
        <f t="shared" si="21"/>
        <v>0</v>
      </c>
      <c r="N76" s="24">
        <f t="shared" si="11"/>
        <v>7664.96</v>
      </c>
      <c r="O76" s="24">
        <f t="shared" si="50"/>
        <v>0</v>
      </c>
      <c r="P76" s="24">
        <f t="shared" si="51"/>
        <v>0</v>
      </c>
      <c r="Q76" s="24">
        <f t="shared" si="48"/>
        <v>294888.05999999994</v>
      </c>
      <c r="R76" s="36">
        <f t="shared" ref="R76" si="55">IF((R75-1)&lt;0,0,R75-1)</f>
        <v>17</v>
      </c>
      <c r="S76" s="36">
        <f>IF(ISERR(CEILING(FLOOR(NPER($C$19/12,-$AA$56,Q75),0.1),1))=TRUE,0,CEILING(FLOOR(NPER($C$19/12,-$AA$56,Q75),0.1),1))</f>
        <v>28</v>
      </c>
      <c r="T76" s="2">
        <f t="shared" si="36"/>
        <v>7741.73</v>
      </c>
      <c r="U76" s="34">
        <f>IF(U75&lt;0,0,IF(T76=0,IF(T75=0,0,$U$46),G35)-IF(AND(T76&gt;0,T77=0),$C$26,0))</f>
        <v>14612</v>
      </c>
      <c r="V76" s="57">
        <f t="shared" si="39"/>
        <v>55170</v>
      </c>
      <c r="W76" s="16">
        <f t="shared" si="41"/>
        <v>27</v>
      </c>
      <c r="X76" s="170">
        <v>220001</v>
      </c>
      <c r="Y76" s="171">
        <v>500000</v>
      </c>
      <c r="Z76" s="1028">
        <v>1</v>
      </c>
      <c r="AA76" s="1028">
        <v>1</v>
      </c>
      <c r="AB76" s="1028">
        <v>1</v>
      </c>
      <c r="AC76" s="1028">
        <v>1</v>
      </c>
      <c r="AD76" s="1028">
        <v>1</v>
      </c>
      <c r="AE76" s="1028">
        <v>1</v>
      </c>
      <c r="AF76" s="1028">
        <v>1</v>
      </c>
      <c r="AG76" s="1028">
        <v>1</v>
      </c>
      <c r="AH76" s="63"/>
      <c r="AI76" s="2">
        <f t="shared" si="37"/>
        <v>10338.370000000001</v>
      </c>
      <c r="AJ76" s="34">
        <f t="shared" si="44"/>
        <v>14612</v>
      </c>
      <c r="AK76" s="57">
        <f t="shared" si="40"/>
        <v>55170</v>
      </c>
      <c r="AL76" s="130">
        <f t="shared" si="53"/>
        <v>1</v>
      </c>
      <c r="AM76" s="1057">
        <f t="shared" ref="AM76:AM129" si="56">AM75+1</f>
        <v>68</v>
      </c>
      <c r="AN76" s="1058">
        <f t="shared" si="49"/>
        <v>47385</v>
      </c>
      <c r="AO76" s="105">
        <f>IF(AX75=1,AR76+AP76+AQ76,IF(AW75+AR76+AP76&gt;AO75,$D$29,IF(AW75=0,0,AW75+AR76+AP76+AP108)))</f>
        <v>14612</v>
      </c>
      <c r="AP76" s="105">
        <f>IF(AND(E76&gt;=$T$14,E76&lt;=$T$14+5),0,IF($C$9&gt;$AC$52,ROUND(AW75*$D$19*((AN76-DATE(YEAR(AN76),MONTH(AN76),1)+1)/(DATE(YEAR(AN76)+1,1,1)-DATE(YEAR(AN76),1,1))+(EOMONTH(AN75,0)-AN75)/(DATE(YEAR(AN75)+1,1,1)-DATE(YEAR(AN75),1,1))),2),0))</f>
        <v>4338.71</v>
      </c>
      <c r="AQ76" s="105">
        <f t="shared" si="30"/>
        <v>10273.290000000001</v>
      </c>
      <c r="AR76" s="105">
        <f>IF(AT76&gt;$D$29,$D$29-AP76,IF(AY76=0,0,AV76)+BN125)</f>
        <v>0</v>
      </c>
      <c r="AS76" s="105">
        <f t="shared" si="31"/>
        <v>0</v>
      </c>
      <c r="AT76" s="105">
        <f t="shared" si="32"/>
        <v>4338.71</v>
      </c>
      <c r="AU76" s="105">
        <f t="shared" si="33"/>
        <v>0</v>
      </c>
      <c r="AV76" s="105">
        <f t="shared" si="34"/>
        <v>0</v>
      </c>
      <c r="AW76" s="105">
        <f t="shared" si="35"/>
        <v>194886.60999999981</v>
      </c>
      <c r="AX76" s="108">
        <f t="shared" ref="AX76:AX129" si="57">IF((AX75-1)&lt;0,0,AX75-1)</f>
        <v>17</v>
      </c>
      <c r="AY76" s="108">
        <f>IF(ISERR(CEILING(FLOOR(NPER($D$19/12,-$AC$56,AW75),0.1),1))=TRUE,0,CEILING(FLOOR(NPER($D$19/12,-$AC$56,AW75),0.1),1))</f>
        <v>17</v>
      </c>
      <c r="AZ76" s="1047">
        <f t="shared" si="45"/>
        <v>47385</v>
      </c>
      <c r="BA76" s="108">
        <f t="shared" si="45"/>
        <v>14612</v>
      </c>
      <c r="BB76" s="2" t="e">
        <f>IF(AND(E30&gt;=$T$14,E30&lt;=$T$14+5),0,IF($C$9&gt;$AC$52,ROUND(AW29*IF($D$23="",0,$D$23)/(DATEVALUE(CONCATENATE("01/01/",YEAR(AN30)+1))-DATEVALUE(CONCATENATE("01/01/",YEAR(AN30))))*(AN30-AN29),2),0))</f>
        <v>#VALUE!</v>
      </c>
    </row>
    <row r="77" spans="1:54" s="16" customFormat="1" ht="12" x14ac:dyDescent="0.2">
      <c r="A77" s="2"/>
      <c r="B77" s="2"/>
      <c r="C77" s="2"/>
      <c r="D77" s="2"/>
      <c r="E77" s="1055">
        <f t="shared" si="54"/>
        <v>69</v>
      </c>
      <c r="F77" s="1056">
        <f t="shared" si="46"/>
        <v>47415</v>
      </c>
      <c r="G77" s="24">
        <f>IF(AND(E77&gt;=$T$14,E77&lt;=$T$14+5),$T$15,IF(AND(Q76+L77+H77&gt;G76,G76&lt;&gt;0),$C$29,IF(Q76=0,0,Q76+L77+H77+H78)))+IF(AND(E77=$C$10,$C$22&lt;&gt;"Нет"),MIN((I77-I77/$C$19*$C$23),Q76+H77-G76),0)</f>
        <v>14612</v>
      </c>
      <c r="H77" s="24">
        <f>IF(AND(E77&gt;=$T$14,E77&lt;=$T$14+5),0,IF($C$9&gt;$AC$52,ROUND(Q76*$C$19*((F77-DATE(YEAR(F77),MONTH(F77),1)+1)/(DATE(YEAR(F77)+1,1,1)-DATE(YEAR(F77),1,1))+(EOMONTH(F76,0)-F76)/(DATE(YEAR(F76)+1,1,1)-DATE(YEAR(F76),1,1))),2),0))</f>
        <v>7246.98</v>
      </c>
      <c r="I77" s="24">
        <f t="shared" si="52"/>
        <v>763752.04000000015</v>
      </c>
      <c r="J77" s="24">
        <f>IF(AND(E77=$C$10,$C$22&lt;&gt;"Нет"),MIN((I77-I77/$C$19*$C$23),Q76+H77-G76),0)</f>
        <v>0</v>
      </c>
      <c r="K77" s="24">
        <f t="shared" si="47"/>
        <v>7365.02</v>
      </c>
      <c r="L77" s="24">
        <f>IF(N77&gt;$C$29,$C$29-H77,IF(S77=0,0,O77))</f>
        <v>0</v>
      </c>
      <c r="M77" s="24">
        <f t="shared" si="21"/>
        <v>0</v>
      </c>
      <c r="N77" s="24">
        <f t="shared" si="11"/>
        <v>7246.98</v>
      </c>
      <c r="O77" s="24">
        <f t="shared" si="50"/>
        <v>0</v>
      </c>
      <c r="P77" s="24">
        <f t="shared" si="51"/>
        <v>0</v>
      </c>
      <c r="Q77" s="24">
        <f t="shared" si="48"/>
        <v>287523.03999999992</v>
      </c>
      <c r="R77" s="36">
        <f>IF((R76-1)&lt;0,0,R76-1)</f>
        <v>16</v>
      </c>
      <c r="S77" s="36">
        <f>IF(ISERR(CEILING(FLOOR(NPER($C$19/12,-$AA$56,Q76),0.1),1))=TRUE,0,CEILING(FLOOR(NPER($C$19/12,-$AA$56,Q76),0.1),1))</f>
        <v>27</v>
      </c>
      <c r="T77" s="2">
        <f t="shared" si="36"/>
        <v>7455.27</v>
      </c>
      <c r="U77" s="34">
        <f>IF(U76&lt;0,0,IF(T77=0,IF(T76=0,0,$U$46),G36)-IF(AND(T77&gt;0,T78=0),$C$26,0))</f>
        <v>14612</v>
      </c>
      <c r="V77" s="57">
        <f t="shared" si="39"/>
        <v>55535</v>
      </c>
      <c r="W77" s="16">
        <f t="shared" si="41"/>
        <v>28</v>
      </c>
      <c r="X77" s="171">
        <v>500001</v>
      </c>
      <c r="Y77" s="171">
        <v>1000000</v>
      </c>
      <c r="Z77" s="1028">
        <v>1</v>
      </c>
      <c r="AA77" s="1028">
        <v>1</v>
      </c>
      <c r="AB77" s="1028">
        <v>1</v>
      </c>
      <c r="AC77" s="1028">
        <v>1</v>
      </c>
      <c r="AD77" s="1028">
        <v>1</v>
      </c>
      <c r="AE77" s="1028">
        <v>1</v>
      </c>
      <c r="AF77" s="1028">
        <v>1</v>
      </c>
      <c r="AG77" s="1028">
        <v>1</v>
      </c>
      <c r="AH77" s="63"/>
      <c r="AI77" s="2">
        <f t="shared" si="37"/>
        <v>9917.41</v>
      </c>
      <c r="AJ77" s="34">
        <f t="shared" si="44"/>
        <v>14612</v>
      </c>
      <c r="AK77" s="57">
        <f t="shared" si="40"/>
        <v>55535</v>
      </c>
      <c r="AL77" s="130">
        <f t="shared" si="53"/>
        <v>1</v>
      </c>
      <c r="AM77" s="1057">
        <f t="shared" si="56"/>
        <v>69</v>
      </c>
      <c r="AN77" s="1058">
        <f t="shared" si="49"/>
        <v>47415</v>
      </c>
      <c r="AO77" s="105">
        <f>IF(AX76=1,AR77+AP77+AQ77,IF(AW76+AR77+AP77&gt;AO76,$D$29,IF(AW76=0,0,AW76+AR77+AP77+AP109)))</f>
        <v>14612</v>
      </c>
      <c r="AP77" s="105">
        <f>IF(AND(E77&gt;=$T$14,E77&lt;=$T$14+5),0,IF($C$9&gt;$AC$52,ROUND(AW76*$D$19*((AN77-DATE(YEAR(AN77),MONTH(AN77),1)+1)/(DATE(YEAR(AN77)+1,1,1)-DATE(YEAR(AN77),1,1))+(EOMONTH(AN76,0)-AN76)/(DATE(YEAR(AN76)+1,1,1)-DATE(YEAR(AN76),1,1))),2),0))</f>
        <v>3988.5</v>
      </c>
      <c r="AQ77" s="105">
        <f t="shared" si="30"/>
        <v>10623.5</v>
      </c>
      <c r="AR77" s="105">
        <f>IF(AT77&gt;$D$29,$D$29-AP77,IF(AY77=0,0,AV77)+BN126)</f>
        <v>0</v>
      </c>
      <c r="AS77" s="105">
        <f t="shared" si="31"/>
        <v>0</v>
      </c>
      <c r="AT77" s="105">
        <f t="shared" si="32"/>
        <v>3988.5</v>
      </c>
      <c r="AU77" s="105">
        <f t="shared" si="33"/>
        <v>0</v>
      </c>
      <c r="AV77" s="105">
        <f t="shared" si="34"/>
        <v>0</v>
      </c>
      <c r="AW77" s="105">
        <f t="shared" si="35"/>
        <v>184263.10999999981</v>
      </c>
      <c r="AX77" s="108">
        <f t="shared" si="57"/>
        <v>16</v>
      </c>
      <c r="AY77" s="108">
        <f>IF(ISERR(CEILING(FLOOR(NPER($D$19/12,-$AC$56,AW76),0.1),1))=TRUE,0,CEILING(FLOOR(NPER($D$19/12,-$AC$56,AW76),0.1),1))</f>
        <v>16</v>
      </c>
      <c r="AZ77" s="1047">
        <f t="shared" si="45"/>
        <v>47415</v>
      </c>
      <c r="BA77" s="108">
        <f t="shared" si="45"/>
        <v>14612</v>
      </c>
      <c r="BB77" s="2" t="e">
        <f>IF(AND(E31&gt;=$T$14,E31&lt;=$T$14+5),0,IF($C$9&gt;$AC$52,ROUND(AW30*IF($D$23="",0,$D$23)/(DATEVALUE(CONCATENATE("01/01/",YEAR(AN31)+1))-DATEVALUE(CONCATENATE("01/01/",YEAR(AN31))))*(AN31-AN30),2),0))</f>
        <v>#VALUE!</v>
      </c>
    </row>
    <row r="78" spans="1:54" s="16" customFormat="1" ht="12" x14ac:dyDescent="0.2">
      <c r="A78" s="2"/>
      <c r="B78" s="2"/>
      <c r="C78" s="2"/>
      <c r="D78" s="2"/>
      <c r="E78" s="1055">
        <f t="shared" si="54"/>
        <v>70</v>
      </c>
      <c r="F78" s="1056">
        <f t="shared" si="46"/>
        <v>47446</v>
      </c>
      <c r="G78" s="24">
        <f>IF(AND(E78&gt;=$T$14,E78&lt;=$T$14+5),$T$15,IF(AND(Q77+L78+H78&gt;G77,G77&lt;&gt;0),$C$29,IF(Q77=0,0,Q77+L78+H78+H79)))+IF(AND(E78=$C$10,$C$22&lt;&gt;"Нет"),MIN((I78-I78/$C$19*$C$23),Q77+H78-G77),0)</f>
        <v>14612</v>
      </c>
      <c r="H78" s="24">
        <f>IF(AND(E78&gt;=$T$14,E78&lt;=$T$14+5),0,IF($C$9&gt;$AC$52,ROUND(Q77*$C$19*((F78-DATE(YEAR(F78),MONTH(F78),1)+1)/(DATE(YEAR(F78)+1,1,1)-DATE(YEAR(F78),1,1))+(EOMONTH(F77,0)-F77)/(DATE(YEAR(F77)+1,1,1)-DATE(YEAR(F77),1,1))),2),0))</f>
        <v>7301.51</v>
      </c>
      <c r="I78" s="24">
        <f t="shared" si="52"/>
        <v>771053.55000000016</v>
      </c>
      <c r="J78" s="24">
        <f>IF(AND(E78=$C$10,$C$22&lt;&gt;"Нет"),MIN((I78-I78/$C$19*$C$23),Q77+H78-G77),0)</f>
        <v>0</v>
      </c>
      <c r="K78" s="24">
        <f t="shared" si="47"/>
        <v>7310.49</v>
      </c>
      <c r="L78" s="24">
        <f>IF(N78&gt;$C$29,$C$29-H78,IF(S78=0,0,O78))</f>
        <v>0</v>
      </c>
      <c r="M78" s="24">
        <f t="shared" si="21"/>
        <v>0</v>
      </c>
      <c r="N78" s="24">
        <f t="shared" si="11"/>
        <v>7301.51</v>
      </c>
      <c r="O78" s="24">
        <f t="shared" si="50"/>
        <v>0</v>
      </c>
      <c r="P78" s="24">
        <f t="shared" si="51"/>
        <v>0</v>
      </c>
      <c r="Q78" s="24">
        <f t="shared" si="48"/>
        <v>280212.54999999993</v>
      </c>
      <c r="R78" s="36">
        <f t="shared" ref="R78:R141" si="58">IF((R77-1)&lt;0,0,R77-1)</f>
        <v>15</v>
      </c>
      <c r="S78" s="36">
        <f>IF(ISERR(CEILING(FLOOR(NPER($C$19/12,-$AA$56,Q77),0.1),1))=TRUE,0,CEILING(FLOOR(NPER($C$19/12,-$AA$56,Q77),0.1),1))</f>
        <v>26</v>
      </c>
      <c r="T78" s="2">
        <f t="shared" si="36"/>
        <v>7658.55</v>
      </c>
      <c r="U78" s="34">
        <f>IF(U77&lt;0,0,IF(T78=0,IF(T77=0,0,$U$46),G37)-IF(AND(T78&gt;0,T79=0),$C$26,0))</f>
        <v>14612</v>
      </c>
      <c r="V78" s="57">
        <f t="shared" si="39"/>
        <v>55900</v>
      </c>
      <c r="W78" s="16">
        <f t="shared" si="41"/>
        <v>29</v>
      </c>
      <c r="X78" s="171">
        <v>1000001</v>
      </c>
      <c r="Y78" s="171">
        <v>5000000</v>
      </c>
      <c r="Z78" s="1028">
        <v>1</v>
      </c>
      <c r="AA78" s="1028">
        <v>1</v>
      </c>
      <c r="AB78" s="1028">
        <v>1</v>
      </c>
      <c r="AC78" s="1028">
        <v>1</v>
      </c>
      <c r="AD78" s="1028">
        <v>1</v>
      </c>
      <c r="AE78" s="1028">
        <v>1</v>
      </c>
      <c r="AF78" s="1028">
        <v>1</v>
      </c>
      <c r="AG78" s="1028">
        <v>1</v>
      </c>
      <c r="AH78" s="63"/>
      <c r="AI78" s="2">
        <f t="shared" si="37"/>
        <v>10148.709999999999</v>
      </c>
      <c r="AJ78" s="34">
        <f t="shared" si="44"/>
        <v>14612</v>
      </c>
      <c r="AK78" s="57">
        <f t="shared" si="40"/>
        <v>55900</v>
      </c>
      <c r="AL78" s="130">
        <f t="shared" si="53"/>
        <v>1</v>
      </c>
      <c r="AM78" s="1057">
        <f t="shared" si="56"/>
        <v>70</v>
      </c>
      <c r="AN78" s="1058">
        <f t="shared" si="49"/>
        <v>47446</v>
      </c>
      <c r="AO78" s="105">
        <f>IF(AX77=1,AR78+AP78+AQ78,IF(AW77+AR78+AP78&gt;AO77,$D$29,IF(AW77=0,0,AW77+AR78+AP78+AP110)))</f>
        <v>14612</v>
      </c>
      <c r="AP78" s="105">
        <f>IF(AND(E78&gt;=$T$14,E78&lt;=$T$14+5),0,IF($C$9&gt;$AC$52,ROUND(AW77*$D$19*((AN78-DATE(YEAR(AN78),MONTH(AN78),1)+1)/(DATE(YEAR(AN78)+1,1,1)-DATE(YEAR(AN78),1,1))+(EOMONTH(AN77,0)-AN77)/(DATE(YEAR(AN77)+1,1,1)-DATE(YEAR(AN77),1,1))),2),0))</f>
        <v>3896.79</v>
      </c>
      <c r="AQ78" s="105">
        <f t="shared" si="30"/>
        <v>10715.21</v>
      </c>
      <c r="AR78" s="105">
        <f>IF(AT78&gt;$D$29,$D$29-AP78,IF(AY78=0,0,AV78)+BN127)</f>
        <v>0</v>
      </c>
      <c r="AS78" s="105">
        <f t="shared" si="31"/>
        <v>0</v>
      </c>
      <c r="AT78" s="105">
        <f t="shared" si="32"/>
        <v>3896.79</v>
      </c>
      <c r="AU78" s="105">
        <f t="shared" si="33"/>
        <v>0</v>
      </c>
      <c r="AV78" s="105">
        <f t="shared" si="34"/>
        <v>0</v>
      </c>
      <c r="AW78" s="105">
        <f t="shared" si="35"/>
        <v>173547.89999999982</v>
      </c>
      <c r="AX78" s="108">
        <f t="shared" si="57"/>
        <v>15</v>
      </c>
      <c r="AY78" s="108">
        <f>IF(ISERR(CEILING(FLOOR(NPER($D$19/12,-$AC$56,AW77),0.1),1))=TRUE,0,CEILING(FLOOR(NPER($D$19/12,-$AC$56,AW77),0.1),1))</f>
        <v>15</v>
      </c>
      <c r="AZ78" s="1047">
        <f t="shared" si="45"/>
        <v>47446</v>
      </c>
      <c r="BA78" s="108">
        <f t="shared" si="45"/>
        <v>14612</v>
      </c>
      <c r="BB78" s="2" t="e">
        <f>IF(AND(E32&gt;=$T$14,E32&lt;=$T$14+5),0,IF($C$9&gt;$AC$52,ROUND(AW31*IF($D$23="",0,$D$23)/(DATEVALUE(CONCATENATE("01/01/",YEAR(AN32)+1))-DATEVALUE(CONCATENATE("01/01/",YEAR(AN32))))*(AN32-AN31),2),0))</f>
        <v>#VALUE!</v>
      </c>
    </row>
    <row r="79" spans="1:54" s="16" customFormat="1" ht="12" x14ac:dyDescent="0.2">
      <c r="A79" s="53"/>
      <c r="C79" s="2"/>
      <c r="D79" s="13"/>
      <c r="E79" s="1055">
        <f t="shared" si="54"/>
        <v>71</v>
      </c>
      <c r="F79" s="1056">
        <f t="shared" si="46"/>
        <v>47476</v>
      </c>
      <c r="G79" s="24">
        <f>IF(AND(E79&gt;=$T$14,E79&lt;=$T$14+5),$T$15,IF(AND(Q78+L79+H79&gt;G78,G78&lt;&gt;0),$C$29,IF(Q78=0,0,Q78+L79+H79+H80)))+IF(AND(E79=$C$10,$C$22&lt;&gt;"Нет"),MIN((I79-I79/$C$19*$C$23),Q78+H79-G78),0)</f>
        <v>14612</v>
      </c>
      <c r="H79" s="24">
        <f>IF(AND(E79&gt;=$T$14,E79&lt;=$T$14+5),0,IF($C$9&gt;$AC$52,ROUND(Q78*$C$19*((F79-DATE(YEAR(F79),MONTH(F79),1)+1)/(DATE(YEAR(F79)+1,1,1)-DATE(YEAR(F79),1,1))+(EOMONTH(F78,0)-F78)/(DATE(YEAR(F78)+1,1,1)-DATE(YEAR(F78),1,1))),2),0))</f>
        <v>6886.32</v>
      </c>
      <c r="I79" s="24">
        <f t="shared" si="52"/>
        <v>777939.87000000011</v>
      </c>
      <c r="J79" s="24">
        <f>IF(AND(E79=$C$10,$C$22&lt;&gt;"Нет"),MIN((I79-I79/$C$19*$C$23),Q78+H79-G78),0)</f>
        <v>0</v>
      </c>
      <c r="K79" s="24">
        <f t="shared" si="47"/>
        <v>7725.68</v>
      </c>
      <c r="L79" s="24">
        <f>IF(N79&gt;$C$29,$C$29-H79,IF(S79=0,0,O79))</f>
        <v>0</v>
      </c>
      <c r="M79" s="24">
        <f t="shared" si="21"/>
        <v>0</v>
      </c>
      <c r="N79" s="24">
        <f t="shared" si="11"/>
        <v>6886.32</v>
      </c>
      <c r="O79" s="24">
        <f t="shared" si="50"/>
        <v>0</v>
      </c>
      <c r="P79" s="24">
        <f t="shared" si="51"/>
        <v>0</v>
      </c>
      <c r="Q79" s="24">
        <f t="shared" si="48"/>
        <v>272486.86999999994</v>
      </c>
      <c r="R79" s="36">
        <f t="shared" si="58"/>
        <v>14</v>
      </c>
      <c r="S79" s="36">
        <f>IF(ISERR(CEILING(FLOOR(NPER($C$19/12,-$AA$56,Q78),0.1),1))=TRUE,0,CEILING(FLOOR(NPER($C$19/12,-$AA$56,Q78),0.1),1))</f>
        <v>25</v>
      </c>
      <c r="T79" s="2">
        <f t="shared" si="36"/>
        <v>7372.72</v>
      </c>
      <c r="U79" s="34">
        <f>IF(U78&lt;0,0,IF(T79=0,IF(T78=0,0,$U$46),G38)-IF(AND(T79&gt;0,T80=0),$C$26,0))</f>
        <v>14612</v>
      </c>
      <c r="V79" s="57">
        <f t="shared" si="39"/>
        <v>56265</v>
      </c>
      <c r="W79" s="16">
        <f t="shared" si="41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37"/>
        <v>9729.98</v>
      </c>
      <c r="AJ79" s="34">
        <f t="shared" si="44"/>
        <v>14612</v>
      </c>
      <c r="AK79" s="57">
        <f t="shared" si="40"/>
        <v>56265</v>
      </c>
      <c r="AL79" s="130">
        <f t="shared" si="53"/>
        <v>1</v>
      </c>
      <c r="AM79" s="1057">
        <f t="shared" si="56"/>
        <v>71</v>
      </c>
      <c r="AN79" s="1058">
        <f t="shared" si="49"/>
        <v>47476</v>
      </c>
      <c r="AO79" s="105">
        <f>IF(AX78=1,AR79+AP79+AQ79,IF(AW78+AR79+AP79&gt;AO78,$D$29,IF(AW78=0,0,AW78+AR79+AP79+AP111)))</f>
        <v>14612</v>
      </c>
      <c r="AP79" s="105">
        <f>IF(AND(E79&gt;=$T$14,E79&lt;=$T$14+5),0,IF($C$9&gt;$AC$52,ROUND(AW78*$D$19*((AN79-DATE(YEAR(AN79),MONTH(AN79),1)+1)/(DATE(YEAR(AN79)+1,1,1)-DATE(YEAR(AN79),1,1))+(EOMONTH(AN78,0)-AN78)/(DATE(YEAR(AN78)+1,1,1)-DATE(YEAR(AN78),1,1))),2),0))</f>
        <v>3551.79</v>
      </c>
      <c r="AQ79" s="105">
        <f t="shared" si="30"/>
        <v>11060.21</v>
      </c>
      <c r="AR79" s="105">
        <f>IF(AT79&gt;$D$29,$D$29-AP79,IF(AY79=0,0,AV79)+BN128)</f>
        <v>0</v>
      </c>
      <c r="AS79" s="105">
        <f t="shared" si="31"/>
        <v>0</v>
      </c>
      <c r="AT79" s="105">
        <f t="shared" si="32"/>
        <v>3551.79</v>
      </c>
      <c r="AU79" s="105">
        <f t="shared" si="33"/>
        <v>0</v>
      </c>
      <c r="AV79" s="105">
        <f t="shared" si="34"/>
        <v>0</v>
      </c>
      <c r="AW79" s="105">
        <f t="shared" si="35"/>
        <v>162487.68999999983</v>
      </c>
      <c r="AX79" s="108">
        <f t="shared" si="57"/>
        <v>14</v>
      </c>
      <c r="AY79" s="108">
        <f>IF(ISERR(CEILING(FLOOR(NPER($D$19/12,-$AC$56,AW78),0.1),1))=TRUE,0,CEILING(FLOOR(NPER($D$19/12,-$AC$56,AW78),0.1),1))</f>
        <v>14</v>
      </c>
      <c r="AZ79" s="1047">
        <f t="shared" si="45"/>
        <v>47476</v>
      </c>
      <c r="BA79" s="108">
        <f t="shared" si="45"/>
        <v>14612</v>
      </c>
      <c r="BB79" s="2" t="e">
        <f>IF(AND(E33&gt;=$T$14,E33&lt;=$T$14+5),0,IF($C$9&gt;$AC$52,ROUND(AW32*IF($D$23="",0,$D$23)/(DATEVALUE(CONCATENATE("01/01/",YEAR(AN33)+1))-DATEVALUE(CONCATENATE("01/01/",YEAR(AN33))))*(AN33-AN32),2),0))</f>
        <v>#VALUE!</v>
      </c>
    </row>
    <row r="80" spans="1:54" s="16" customFormat="1" ht="12" x14ac:dyDescent="0.2">
      <c r="A80" s="53"/>
      <c r="B80" s="2"/>
      <c r="C80" s="2"/>
      <c r="D80" s="2"/>
      <c r="E80" s="1055">
        <f t="shared" si="54"/>
        <v>72</v>
      </c>
      <c r="F80" s="1056">
        <f t="shared" si="46"/>
        <v>47507</v>
      </c>
      <c r="G80" s="24">
        <f>IF(AND(E80&gt;=$T$14,E80&lt;=$T$14+5),$T$15,IF(AND(Q79+L80+H80&gt;G79,G79&lt;&gt;0),$C$29,IF(Q79=0,0,Q79+L80+H80+H81)))+IF(AND(E80=$C$10,$C$22&lt;&gt;"Нет"),MIN((I80-I80/$C$19*$C$23),Q79+H80-G79),0)</f>
        <v>14612</v>
      </c>
      <c r="H80" s="24">
        <f>IF(AND(E80&gt;=$T$14,E80&lt;=$T$14+5),0,IF($C$9&gt;$AC$52,ROUND(Q79*$C$19*((F80-DATE(YEAR(F80),MONTH(F80),1)+1)/(DATE(YEAR(F80)+1,1,1)-DATE(YEAR(F80),1,1))+(EOMONTH(F79,0)-F79)/(DATE(YEAR(F79)+1,1,1)-DATE(YEAR(F79),1,1))),2),0))</f>
        <v>6919.67</v>
      </c>
      <c r="I80" s="24">
        <f t="shared" si="52"/>
        <v>784859.54000000015</v>
      </c>
      <c r="J80" s="24">
        <f>IF(AND(E80=$C$10,$C$22&lt;&gt;"Нет"),MIN((I80-I80/$C$19*$C$23),Q79+H80-G79),0)</f>
        <v>0</v>
      </c>
      <c r="K80" s="24">
        <f t="shared" si="47"/>
        <v>7692.33</v>
      </c>
      <c r="L80" s="24">
        <f>IF(N80&gt;$C$29,$C$29-H80,IF(S80=0,0,O80))</f>
        <v>0</v>
      </c>
      <c r="M80" s="24">
        <f t="shared" si="21"/>
        <v>0</v>
      </c>
      <c r="N80" s="24">
        <f t="shared" si="11"/>
        <v>6919.67</v>
      </c>
      <c r="O80" s="24">
        <f t="shared" si="50"/>
        <v>0</v>
      </c>
      <c r="P80" s="24">
        <f t="shared" si="51"/>
        <v>0</v>
      </c>
      <c r="Q80" s="24">
        <f t="shared" si="48"/>
        <v>264794.53999999992</v>
      </c>
      <c r="R80" s="36">
        <f t="shared" si="58"/>
        <v>13</v>
      </c>
      <c r="S80" s="36">
        <f>IF(ISERR(CEILING(FLOOR(NPER($C$19/12,-$AA$56,Q79),0.1),1))=TRUE,0,CEILING(FLOOR(NPER($C$19/12,-$AA$56,Q79),0.1),1))</f>
        <v>24</v>
      </c>
      <c r="T80" s="2">
        <f t="shared" si="36"/>
        <v>7571.15</v>
      </c>
      <c r="U80" s="34">
        <f>IF(U79&lt;0,0,IF(T80=0,IF(T79=0,0,$U$46),G39)-IF(AND(T80&gt;0,T81=0),$C$26,0))</f>
        <v>14612</v>
      </c>
      <c r="V80" s="57">
        <f t="shared" si="39"/>
        <v>56630</v>
      </c>
      <c r="W80" s="16">
        <f t="shared" si="41"/>
        <v>31</v>
      </c>
      <c r="Z80" s="16">
        <f t="shared" ref="Z80:AF80" si="59">1000/1.7</f>
        <v>588.23529411764707</v>
      </c>
      <c r="AA80" s="16">
        <f t="shared" si="59"/>
        <v>588.23529411764707</v>
      </c>
      <c r="AB80" s="16">
        <f t="shared" si="59"/>
        <v>588.23529411764707</v>
      </c>
      <c r="AC80" s="16">
        <f t="shared" si="59"/>
        <v>588.23529411764707</v>
      </c>
      <c r="AD80" s="16">
        <f t="shared" si="59"/>
        <v>588.23529411764707</v>
      </c>
      <c r="AE80" s="16">
        <f t="shared" si="59"/>
        <v>588.23529411764707</v>
      </c>
      <c r="AF80" s="16">
        <f t="shared" si="59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37"/>
        <v>9951.07</v>
      </c>
      <c r="AJ80" s="34">
        <f t="shared" si="44"/>
        <v>14612</v>
      </c>
      <c r="AK80" s="57">
        <f t="shared" si="40"/>
        <v>56630</v>
      </c>
      <c r="AL80" s="130">
        <f t="shared" si="53"/>
        <v>1</v>
      </c>
      <c r="AM80" s="1057">
        <f t="shared" si="56"/>
        <v>72</v>
      </c>
      <c r="AN80" s="1058">
        <f t="shared" si="49"/>
        <v>47507</v>
      </c>
      <c r="AO80" s="105">
        <f>IF(AX79=1,AR80+AP80+AQ80,IF(AW79+AR80+AP80&gt;AO79,$D$29,IF(AW79=0,0,AW79+AR80+AP80+AP112)))</f>
        <v>14612</v>
      </c>
      <c r="AP80" s="105">
        <f>IF(AND(E80&gt;=$T$14,E80&lt;=$T$14+5),0,IF($C$9&gt;$AC$52,ROUND(AW79*$D$19*((AN80-DATE(YEAR(AN80),MONTH(AN80),1)+1)/(DATE(YEAR(AN80)+1,1,1)-DATE(YEAR(AN80),1,1))+(EOMONTH(AN79,0)-AN79)/(DATE(YEAR(AN79)+1,1,1)-DATE(YEAR(AN79),1,1))),2),0))</f>
        <v>3436.28</v>
      </c>
      <c r="AQ80" s="105">
        <f t="shared" si="30"/>
        <v>11175.72</v>
      </c>
      <c r="AR80" s="105">
        <f>IF(AT80&gt;$D$29,$D$29-AP80,IF(AY80=0,0,AV80)+BN129)</f>
        <v>0</v>
      </c>
      <c r="AS80" s="105">
        <f t="shared" si="31"/>
        <v>0</v>
      </c>
      <c r="AT80" s="105">
        <f t="shared" si="32"/>
        <v>3436.28</v>
      </c>
      <c r="AU80" s="105">
        <f t="shared" si="33"/>
        <v>0</v>
      </c>
      <c r="AV80" s="105">
        <f t="shared" si="34"/>
        <v>0</v>
      </c>
      <c r="AW80" s="105">
        <f t="shared" si="35"/>
        <v>151311.96999999983</v>
      </c>
      <c r="AX80" s="108">
        <f t="shared" si="57"/>
        <v>13</v>
      </c>
      <c r="AY80" s="108">
        <f>IF(ISERR(CEILING(FLOOR(NPER($D$19/12,-$AC$56,AW79),0.1),1))=TRUE,0,CEILING(FLOOR(NPER($D$19/12,-$AC$56,AW79),0.1),1))</f>
        <v>13</v>
      </c>
      <c r="AZ80" s="1047">
        <f t="shared" si="45"/>
        <v>47507</v>
      </c>
      <c r="BA80" s="108">
        <f t="shared" si="45"/>
        <v>14612</v>
      </c>
      <c r="BB80" s="2" t="e">
        <f>IF(AND(E34&gt;=$T$14,E34&lt;=$T$14+5),0,IF($C$9&gt;$AC$52,ROUND(AW33*IF($D$23="",0,$D$23)/(DATEVALUE(CONCATENATE("01/01/",YEAR(AN34)+1))-DATEVALUE(CONCATENATE("01/01/",YEAR(AN34))))*(AN34-AN33),2),0))</f>
        <v>#VALUE!</v>
      </c>
    </row>
    <row r="81" spans="1:54" s="16" customFormat="1" ht="12" x14ac:dyDescent="0.2">
      <c r="A81" s="2"/>
      <c r="B81" s="2"/>
      <c r="C81" s="1"/>
      <c r="D81" s="1"/>
      <c r="E81" s="1055">
        <f t="shared" si="54"/>
        <v>73</v>
      </c>
      <c r="F81" s="1056">
        <f t="shared" si="46"/>
        <v>47538</v>
      </c>
      <c r="G81" s="24">
        <f>IF(AND(E81&gt;=$T$14,E81&lt;=$T$14+5),$T$15,IF(AND(Q80+L81+H81&gt;G80,G80&lt;&gt;0),$C$29,IF(Q80=0,0,Q80+L81+H81+H82)))+IF(AND(E81=$C$10,$C$22&lt;&gt;"Нет"),MIN((I81-I81/$C$19*$C$23),Q80+H81-G80),0)</f>
        <v>14612</v>
      </c>
      <c r="H81" s="24">
        <f>IF(AND(E81&gt;=$T$14,E81&lt;=$T$14+5),0,IF($C$9&gt;$AC$52,ROUND(Q80*$C$19*((F81-DATE(YEAR(F81),MONTH(F81),1)+1)/(DATE(YEAR(F81)+1,1,1)-DATE(YEAR(F81),1,1))+(EOMONTH(F80,0)-F80)/(DATE(YEAR(F80)+1,1,1)-DATE(YEAR(F80),1,1))),2),0))</f>
        <v>6724.33</v>
      </c>
      <c r="I81" s="24">
        <f t="shared" si="52"/>
        <v>791583.87000000011</v>
      </c>
      <c r="J81" s="24">
        <f>IF(AND(E81=$C$10,$C$22&lt;&gt;"Нет"),MIN((I81-I81/$C$19*$C$23),Q80+H81-G80),0)</f>
        <v>0</v>
      </c>
      <c r="K81" s="24">
        <f t="shared" si="47"/>
        <v>7887.67</v>
      </c>
      <c r="L81" s="24">
        <f>IF(N81&gt;$C$29,$C$29-H81,IF(S81=0,0,O81))</f>
        <v>0</v>
      </c>
      <c r="M81" s="24">
        <f t="shared" si="21"/>
        <v>0</v>
      </c>
      <c r="N81" s="24">
        <f t="shared" si="11"/>
        <v>6724.33</v>
      </c>
      <c r="O81" s="24">
        <f t="shared" si="50"/>
        <v>0</v>
      </c>
      <c r="P81" s="24">
        <f t="shared" si="51"/>
        <v>0</v>
      </c>
      <c r="Q81" s="24">
        <f t="shared" si="48"/>
        <v>256906.86999999991</v>
      </c>
      <c r="R81" s="36">
        <f t="shared" si="58"/>
        <v>12</v>
      </c>
      <c r="S81" s="36">
        <f>IF(ISERR(CEILING(FLOOR(NPER($C$19/12,-$AA$56,Q80),0.1),1))=TRUE,0,CEILING(FLOOR(NPER($C$19/12,-$AA$56,Q80),0.1),1))</f>
        <v>23</v>
      </c>
      <c r="T81" s="2">
        <f t="shared" si="36"/>
        <v>7528.87</v>
      </c>
      <c r="U81" s="34">
        <f>IF(U80&lt;0,0,IF(T81=0,IF(T80=0,0,$U$46),G40)-IF(AND(T81&gt;0,T82=0),$C$26,0))</f>
        <v>14612</v>
      </c>
      <c r="V81" s="57">
        <f t="shared" si="39"/>
        <v>56995</v>
      </c>
      <c r="W81" s="16">
        <f t="shared" si="41"/>
        <v>32</v>
      </c>
      <c r="Z81" s="143">
        <f t="shared" ref="Z81:AG81" si="60">$C$7*IF($C$7&gt;=$X$78,Z78,IF($C$7&gt;=$X$77,Z77,IF($C$7&gt;=$X$76,Z76,IF($C$7&gt;=$X$75,Z75,IF($C$7&gt;=$X$74,Z74,Z73)))))</f>
        <v>500000</v>
      </c>
      <c r="AA81" s="143">
        <f t="shared" si="60"/>
        <v>500000</v>
      </c>
      <c r="AB81" s="143">
        <f t="shared" si="60"/>
        <v>500000</v>
      </c>
      <c r="AC81" s="143">
        <f t="shared" si="60"/>
        <v>500000</v>
      </c>
      <c r="AD81" s="143">
        <f t="shared" si="60"/>
        <v>500000</v>
      </c>
      <c r="AE81" s="143">
        <f t="shared" si="60"/>
        <v>500000</v>
      </c>
      <c r="AF81" s="143">
        <f t="shared" si="60"/>
        <v>500000</v>
      </c>
      <c r="AG81" s="143">
        <f t="shared" si="60"/>
        <v>500000</v>
      </c>
      <c r="AI81" s="2">
        <f t="shared" si="37"/>
        <v>9852.5</v>
      </c>
      <c r="AJ81" s="34">
        <f t="shared" si="44"/>
        <v>14612</v>
      </c>
      <c r="AK81" s="57">
        <f t="shared" si="40"/>
        <v>56995</v>
      </c>
      <c r="AL81" s="130">
        <f t="shared" si="53"/>
        <v>1</v>
      </c>
      <c r="AM81" s="1057">
        <f t="shared" si="56"/>
        <v>73</v>
      </c>
      <c r="AN81" s="1058">
        <f t="shared" si="49"/>
        <v>47538</v>
      </c>
      <c r="AO81" s="105">
        <f>IF(AX80=1,AR81+AP81+AQ81,IF(AW80+AR81+AP81&gt;AO80,$D$29,IF(AW80=0,0,AW80+AR81+AP81+AP113)))</f>
        <v>14612</v>
      </c>
      <c r="AP81" s="105">
        <f>IF(AND(E81&gt;=$T$14,E81&lt;=$T$14+5),0,IF($C$9&gt;$AC$52,ROUND(AW80*$D$19*((AN81-DATE(YEAR(AN81),MONTH(AN81),1)+1)/(DATE(YEAR(AN81)+1,1,1)-DATE(YEAR(AN81),1,1))+(EOMONTH(AN80,0)-AN80)/(DATE(YEAR(AN80)+1,1,1)-DATE(YEAR(AN80),1,1))),2),0))</f>
        <v>3199.94</v>
      </c>
      <c r="AQ81" s="105">
        <f t="shared" si="30"/>
        <v>11412.06</v>
      </c>
      <c r="AR81" s="105">
        <f>IF(AT81&gt;$D$29,$D$29-AP81,IF(AY81=0,0,AV81)+BN130)</f>
        <v>0</v>
      </c>
      <c r="AS81" s="105">
        <f t="shared" si="31"/>
        <v>0</v>
      </c>
      <c r="AT81" s="105">
        <f t="shared" si="32"/>
        <v>3199.94</v>
      </c>
      <c r="AU81" s="105">
        <f t="shared" si="33"/>
        <v>0</v>
      </c>
      <c r="AV81" s="105">
        <f t="shared" si="34"/>
        <v>0</v>
      </c>
      <c r="AW81" s="105">
        <f t="shared" si="35"/>
        <v>139899.90999999983</v>
      </c>
      <c r="AX81" s="108">
        <f t="shared" si="57"/>
        <v>12</v>
      </c>
      <c r="AY81" s="108">
        <f>IF(ISERR(CEILING(FLOOR(NPER($D$19/12,-$AC$56,AW80),0.1),1))=TRUE,0,CEILING(FLOOR(NPER($D$19/12,-$AC$56,AW80),0.1),1))</f>
        <v>12</v>
      </c>
      <c r="AZ81" s="1047">
        <f t="shared" si="45"/>
        <v>47538</v>
      </c>
      <c r="BA81" s="108">
        <f t="shared" si="45"/>
        <v>14612</v>
      </c>
      <c r="BB81" s="2" t="e">
        <f>IF(AND(E35&gt;=$T$14,E35&lt;=$T$14+5),0,IF($C$9&gt;$AC$52,ROUND(AW34*IF($D$23="",0,$D$23)/(DATEVALUE(CONCATENATE("01/01/",YEAR(AN35)+1))-DATEVALUE(CONCATENATE("01/01/",YEAR(AN35))))*(AN35-AN34),2),0))</f>
        <v>#VALUE!</v>
      </c>
    </row>
    <row r="82" spans="1:54" s="16" customFormat="1" ht="12" x14ac:dyDescent="0.2">
      <c r="A82" s="2"/>
      <c r="B82" s="2"/>
      <c r="C82" s="1"/>
      <c r="D82" s="1"/>
      <c r="E82" s="1055">
        <f t="shared" si="54"/>
        <v>74</v>
      </c>
      <c r="F82" s="1056">
        <f t="shared" si="46"/>
        <v>47566</v>
      </c>
      <c r="G82" s="24">
        <f>IF(AND(E82&gt;=$T$14,E82&lt;=$T$14+5),$T$15,IF(AND(Q81+L82+H82&gt;G81,G81&lt;&gt;0),$C$29,IF(Q81=0,0,Q81+L82+H82+H83)))+IF(AND(E82=$C$10,$C$22&lt;&gt;"Нет"),MIN((I82-I82/$C$19*$C$23),Q81+H82-G81),0)</f>
        <v>14612</v>
      </c>
      <c r="H82" s="24">
        <f>IF(AND(E82&gt;=$T$14,E82&lt;=$T$14+5),0,IF($C$9&gt;$AC$52,ROUND(Q81*$C$19*((F82-DATE(YEAR(F82),MONTH(F82),1)+1)/(DATE(YEAR(F82)+1,1,1)-DATE(YEAR(F82),1,1))+(EOMONTH(F81,0)-F81)/(DATE(YEAR(F81)+1,1,1)-DATE(YEAR(F81),1,1))),2),0))</f>
        <v>5892.67</v>
      </c>
      <c r="I82" s="24">
        <f t="shared" si="52"/>
        <v>797476.54000000015</v>
      </c>
      <c r="J82" s="24">
        <f>IF(AND(E82=$C$10,$C$22&lt;&gt;"Нет"),MIN((I82-I82/$C$19*$C$23),Q81+H82-G81),0)</f>
        <v>0</v>
      </c>
      <c r="K82" s="24">
        <f t="shared" si="47"/>
        <v>8719.33</v>
      </c>
      <c r="L82" s="24">
        <f>IF(N82&gt;$C$29,$C$29-H82,IF(S82=0,0,O82))</f>
        <v>0</v>
      </c>
      <c r="M82" s="24">
        <f t="shared" si="21"/>
        <v>0</v>
      </c>
      <c r="N82" s="24">
        <f t="shared" si="11"/>
        <v>5892.67</v>
      </c>
      <c r="O82" s="24">
        <f t="shared" si="50"/>
        <v>0</v>
      </c>
      <c r="P82" s="24">
        <f t="shared" si="51"/>
        <v>0</v>
      </c>
      <c r="Q82" s="24">
        <f t="shared" si="48"/>
        <v>248187.53999999992</v>
      </c>
      <c r="R82" s="36">
        <f t="shared" si="58"/>
        <v>11</v>
      </c>
      <c r="S82" s="36">
        <f>IF(ISERR(CEILING(FLOOR(NPER($C$19/12,-$AA$56,Q81),0.1),1))=TRUE,0,CEILING(FLOOR(NPER($C$19/12,-$AA$56,Q81),0.1),1))</f>
        <v>23</v>
      </c>
      <c r="T82" s="2">
        <f t="shared" si="36"/>
        <v>7244.04</v>
      </c>
      <c r="U82" s="34">
        <f>IF(U81&lt;0,0,IF(T82=0,IF(T81=0,0,$U$46),G41)-IF(AND(T82&gt;0,T83=0),$C$26,0))</f>
        <v>14612</v>
      </c>
      <c r="V82" s="57">
        <f t="shared" si="39"/>
        <v>57360</v>
      </c>
      <c r="W82" s="16">
        <f t="shared" si="41"/>
        <v>33</v>
      </c>
      <c r="AI82" s="2">
        <f t="shared" si="37"/>
        <v>9437.27</v>
      </c>
      <c r="AJ82" s="34">
        <f t="shared" si="44"/>
        <v>14612</v>
      </c>
      <c r="AK82" s="57">
        <f>IF(AI82=0,AK81,AK81+365)</f>
        <v>57360</v>
      </c>
      <c r="AL82" s="130">
        <f t="shared" si="53"/>
        <v>1</v>
      </c>
      <c r="AM82" s="1057">
        <f t="shared" si="56"/>
        <v>74</v>
      </c>
      <c r="AN82" s="1058">
        <f t="shared" si="49"/>
        <v>47566</v>
      </c>
      <c r="AO82" s="105">
        <f>IF(AX81=1,AR82+AP82+AQ82,IF(AW81+AR82+AP82&gt;AO81,$D$29,IF(AW81=0,0,AW81+AR82+AP82+AP114)))</f>
        <v>14612</v>
      </c>
      <c r="AP82" s="105">
        <f>IF(AND(E82&gt;=$T$14,E82&lt;=$T$14+5),0,IF($C$9&gt;$AC$52,ROUND(AW81*$D$19*((AN82-DATE(YEAR(AN82),MONTH(AN82),1)+1)/(DATE(YEAR(AN82)+1,1,1)-DATE(YEAR(AN82),1,1))+(EOMONTH(AN81,0)-AN81)/(DATE(YEAR(AN81)+1,1,1)-DATE(YEAR(AN81),1,1))),2),0))</f>
        <v>2672.28</v>
      </c>
      <c r="AQ82" s="105">
        <f t="shared" si="30"/>
        <v>11939.72</v>
      </c>
      <c r="AR82" s="105">
        <f>IF(AT82&gt;$D$29,$D$29-AP82,IF(AY82=0,0,AV82)+BN131)</f>
        <v>0</v>
      </c>
      <c r="AS82" s="105">
        <f t="shared" si="31"/>
        <v>0</v>
      </c>
      <c r="AT82" s="105">
        <f t="shared" si="32"/>
        <v>2672.28</v>
      </c>
      <c r="AU82" s="105">
        <f t="shared" si="33"/>
        <v>0</v>
      </c>
      <c r="AV82" s="105">
        <f t="shared" si="34"/>
        <v>0</v>
      </c>
      <c r="AW82" s="105">
        <f t="shared" si="35"/>
        <v>127960.18999999983</v>
      </c>
      <c r="AX82" s="108">
        <f t="shared" si="57"/>
        <v>11</v>
      </c>
      <c r="AY82" s="108">
        <f>IF(ISERR(CEILING(FLOOR(NPER($D$19/12,-$AC$56,AW81),0.1),1))=TRUE,0,CEILING(FLOOR(NPER($D$19/12,-$AC$56,AW81),0.1),1))</f>
        <v>11</v>
      </c>
      <c r="AZ82" s="1047">
        <f t="shared" si="45"/>
        <v>47566</v>
      </c>
      <c r="BA82" s="108">
        <f t="shared" si="45"/>
        <v>14612</v>
      </c>
      <c r="BB82" s="2" t="e">
        <f>IF(AND(E36&gt;=$T$14,E36&lt;=$T$14+5),0,IF($C$9&gt;$AC$52,ROUND(AW35*IF($D$23="",0,$D$23)/(DATEVALUE(CONCATENATE("01/01/",YEAR(AN36)+1))-DATEVALUE(CONCATENATE("01/01/",YEAR(AN36))))*(AN36-AN35),2),0))</f>
        <v>#VALUE!</v>
      </c>
    </row>
    <row r="83" spans="1:54" s="16" customFormat="1" ht="12" x14ac:dyDescent="0.2">
      <c r="A83" s="2"/>
      <c r="B83" s="2"/>
      <c r="C83" s="1"/>
      <c r="D83" s="1"/>
      <c r="E83" s="1055">
        <f t="shared" si="54"/>
        <v>75</v>
      </c>
      <c r="F83" s="1056">
        <f t="shared" si="46"/>
        <v>47597</v>
      </c>
      <c r="G83" s="24">
        <f>IF(AND(E83&gt;=$T$14,E83&lt;=$T$14+5),$T$15,IF(AND(Q82+L83+H83&gt;G82,G82&lt;&gt;0),$C$29,IF(Q82=0,0,Q82+L83+H83+H84)))+IF(AND(E83=$C$10,$C$22&lt;&gt;"Нет"),MIN((I83-I83/$C$19*$C$23),Q82+H83-G82),0)</f>
        <v>14612</v>
      </c>
      <c r="H83" s="24">
        <f>IF(AND(E83&gt;=$T$14,E83&lt;=$T$14+5),0,IF($C$9&gt;$AC$52,ROUND(Q82*$C$19*((F83-DATE(YEAR(F83),MONTH(F83),1)+1)/(DATE(YEAR(F83)+1,1,1)-DATE(YEAR(F83),1,1))+(EOMONTH(F82,0)-F82)/(DATE(YEAR(F82)+1,1,1)-DATE(YEAR(F82),1,1))),2),0))</f>
        <v>6302.6</v>
      </c>
      <c r="I83" s="24">
        <f t="shared" si="52"/>
        <v>803779.14000000013</v>
      </c>
      <c r="J83" s="24">
        <f>IF(AND(E83=$C$10,$C$22&lt;&gt;"Нет"),MIN((I83-I83/$C$19*$C$23),Q82+H83-G82),0)</f>
        <v>0</v>
      </c>
      <c r="K83" s="24">
        <f t="shared" si="47"/>
        <v>8309.4</v>
      </c>
      <c r="L83" s="24">
        <f>IF(N83&gt;$C$29,$C$29-H83,IF(S83=0,0,O83))</f>
        <v>0</v>
      </c>
      <c r="M83" s="24">
        <f t="shared" si="21"/>
        <v>0</v>
      </c>
      <c r="N83" s="24">
        <f t="shared" si="11"/>
        <v>6302.6</v>
      </c>
      <c r="O83" s="24">
        <f t="shared" si="50"/>
        <v>0</v>
      </c>
      <c r="P83" s="24">
        <f t="shared" si="51"/>
        <v>0</v>
      </c>
      <c r="Q83" s="24">
        <f t="shared" si="48"/>
        <v>239878.13999999993</v>
      </c>
      <c r="R83" s="36">
        <f t="shared" si="58"/>
        <v>10</v>
      </c>
      <c r="S83" s="36">
        <f>IF(ISERR(CEILING(FLOOR(NPER($C$19/12,-$AA$56,Q82),0.1),1))=TRUE,0,CEILING(FLOOR(NPER($C$19/12,-$AA$56,Q82),0.1),1))</f>
        <v>22</v>
      </c>
      <c r="T83" s="2">
        <f t="shared" si="36"/>
        <v>7434.91</v>
      </c>
      <c r="U83" s="34">
        <f>IF(U82&lt;0,0,IF(T83=0,IF(T82=0,0,$U$46),G42)-IF(AND(T83&gt;0,T84=0),$C$26,0))</f>
        <v>14612</v>
      </c>
      <c r="V83" s="57">
        <f t="shared" si="39"/>
        <v>57725</v>
      </c>
      <c r="W83" s="16">
        <f t="shared" si="41"/>
        <v>34</v>
      </c>
      <c r="X83" s="860" t="s">
        <v>111</v>
      </c>
      <c r="Y83" s="86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37"/>
        <v>9642.41</v>
      </c>
      <c r="AJ83" s="34">
        <f>IF(AI83=0,IF(AI82=0,0,$AJ$46),AO42)</f>
        <v>14612</v>
      </c>
      <c r="AK83" s="57">
        <f t="shared" si="40"/>
        <v>57725</v>
      </c>
      <c r="AL83" s="130">
        <f t="shared" si="53"/>
        <v>1</v>
      </c>
      <c r="AM83" s="1057">
        <f t="shared" si="56"/>
        <v>75</v>
      </c>
      <c r="AN83" s="1058">
        <f t="shared" si="49"/>
        <v>47597</v>
      </c>
      <c r="AO83" s="105">
        <f>IF(AX82=1,AR83+AP83+AQ83,IF(AW82+AR83+AP83&gt;AO82,$D$29,IF(AW82=0,0,AW82+AR83+AP83+AP115)))</f>
        <v>14612</v>
      </c>
      <c r="AP83" s="105">
        <f>IF(AND(E83&gt;=$T$14,E83&lt;=$T$14+5),0,IF($C$9&gt;$AC$52,ROUND(AW82*$D$19*((AN83-DATE(YEAR(AN83),MONTH(AN83),1)+1)/(DATE(YEAR(AN83)+1,1,1)-DATE(YEAR(AN83),1,1))+(EOMONTH(AN82,0)-AN82)/(DATE(YEAR(AN82)+1,1,1)-DATE(YEAR(AN82),1,1))),2),0))</f>
        <v>2706.1</v>
      </c>
      <c r="AQ83" s="105">
        <f t="shared" si="30"/>
        <v>11905.9</v>
      </c>
      <c r="AR83" s="105">
        <f>IF(AT83&gt;$D$29,$D$29-AP83,IF(AY83=0,0,AV83)+BN132)</f>
        <v>0</v>
      </c>
      <c r="AS83" s="105">
        <f t="shared" si="31"/>
        <v>0</v>
      </c>
      <c r="AT83" s="105">
        <f t="shared" si="32"/>
        <v>2706.1</v>
      </c>
      <c r="AU83" s="105">
        <f t="shared" si="33"/>
        <v>0</v>
      </c>
      <c r="AV83" s="105">
        <f t="shared" si="34"/>
        <v>0</v>
      </c>
      <c r="AW83" s="105">
        <f t="shared" si="35"/>
        <v>116054.28999999983</v>
      </c>
      <c r="AX83" s="108">
        <f t="shared" si="57"/>
        <v>10</v>
      </c>
      <c r="AY83" s="108">
        <f>IF(ISERR(CEILING(FLOOR(NPER($D$19/12,-$AC$56,AW82),0.1),1))=TRUE,0,CEILING(FLOOR(NPER($D$19/12,-$AC$56,AW82),0.1),1))</f>
        <v>10</v>
      </c>
      <c r="AZ83" s="1047">
        <f t="shared" si="45"/>
        <v>47597</v>
      </c>
      <c r="BA83" s="108">
        <f t="shared" si="45"/>
        <v>14612</v>
      </c>
      <c r="BB83" s="2" t="e">
        <f>IF(AND(E37&gt;=$T$14,E37&lt;=$T$14+5),0,IF($C$9&gt;$AC$52,ROUND(AW36*IF($D$23="",0,$D$23)/(DATEVALUE(CONCATENATE("01/01/",YEAR(AN37)+1))-DATEVALUE(CONCATENATE("01/01/",YEAR(AN37))))*(AN37-AN36),2),0))</f>
        <v>#VALUE!</v>
      </c>
    </row>
    <row r="84" spans="1:54" s="16" customFormat="1" ht="12" x14ac:dyDescent="0.2">
      <c r="A84" s="2"/>
      <c r="B84" s="2"/>
      <c r="C84" s="1"/>
      <c r="D84" s="1"/>
      <c r="E84" s="1055">
        <f t="shared" si="54"/>
        <v>76</v>
      </c>
      <c r="F84" s="1056">
        <f t="shared" si="46"/>
        <v>47627</v>
      </c>
      <c r="G84" s="24">
        <f>IF(AND(E84&gt;=$T$14,E84&lt;=$T$14+5),$T$15,IF(AND(Q83+L84+H84&gt;G83,G83&lt;&gt;0),$C$29,IF(Q83=0,0,Q83+L84+H84+H85)))+IF(AND(E84=$C$10,$C$22&lt;&gt;"Нет"),MIN((I84-I84/$C$19*$C$23),Q83+H84-G83),0)</f>
        <v>14612</v>
      </c>
      <c r="H84" s="24">
        <f>IF(AND(E84&gt;=$T$14,E84&lt;=$T$14+5),0,IF($C$9&gt;$AC$52,ROUND(Q83*$C$19*((F84-DATE(YEAR(F84),MONTH(F84),1)+1)/(DATE(YEAR(F84)+1,1,1)-DATE(YEAR(F84),1,1))+(EOMONTH(F83,0)-F83)/(DATE(YEAR(F83)+1,1,1)-DATE(YEAR(F83),1,1))),2),0))</f>
        <v>5895.09</v>
      </c>
      <c r="I84" s="24">
        <f t="shared" si="52"/>
        <v>809674.2300000001</v>
      </c>
      <c r="J84" s="24">
        <f>IF(AND(E84=$C$10,$C$22&lt;&gt;"Нет"),MIN((I84-I84/$C$19*$C$23),Q83+H84-G83),0)</f>
        <v>0</v>
      </c>
      <c r="K84" s="24">
        <f t="shared" si="47"/>
        <v>8716.91</v>
      </c>
      <c r="L84" s="24">
        <f>IF(N84&gt;$C$29,$C$29-H84,IF(S84=0,0,O84))</f>
        <v>0</v>
      </c>
      <c r="M84" s="24">
        <f t="shared" si="21"/>
        <v>0</v>
      </c>
      <c r="N84" s="24">
        <f t="shared" si="11"/>
        <v>5895.09</v>
      </c>
      <c r="O84" s="24">
        <f t="shared" si="50"/>
        <v>0</v>
      </c>
      <c r="P84" s="24">
        <f t="shared" si="51"/>
        <v>0</v>
      </c>
      <c r="Q84" s="24">
        <f t="shared" si="48"/>
        <v>231161.22999999992</v>
      </c>
      <c r="R84" s="36">
        <f t="shared" si="58"/>
        <v>9</v>
      </c>
      <c r="S84" s="36">
        <f>IF(ISERR(CEILING(FLOOR(NPER($C$19/12,-$AA$56,Q83),0.1),1))=TRUE,0,CEILING(FLOOR(NPER($C$19/12,-$AA$56,Q83),0.1),1))</f>
        <v>21</v>
      </c>
      <c r="T84" s="2">
        <f t="shared" si="36"/>
        <v>7150.81</v>
      </c>
      <c r="U84" s="34">
        <f>IF(U83&lt;0,0,IF(T84=0,IF(T83=0,0,$U$46),G43)-IF(AND(T84&gt;0,T85=0),$C$26,0))</f>
        <v>14612</v>
      </c>
      <c r="V84" s="57">
        <f t="shared" si="39"/>
        <v>58090</v>
      </c>
      <c r="W84" s="16">
        <f t="shared" si="41"/>
        <v>35</v>
      </c>
      <c r="X84" s="133" t="s">
        <v>96</v>
      </c>
      <c r="Y84" s="133" t="s">
        <v>97</v>
      </c>
      <c r="Z84" s="133" t="s">
        <v>98</v>
      </c>
      <c r="AA84" s="1028"/>
      <c r="AB84" s="1028"/>
      <c r="AC84" s="1028"/>
      <c r="AD84" s="1028"/>
      <c r="AI84" s="2">
        <f t="shared" si="37"/>
        <v>9229.66</v>
      </c>
      <c r="AJ84" s="34">
        <f>IF(AI84=0,IF(AI83=0,0,$AJ$46),AO43)</f>
        <v>14612</v>
      </c>
      <c r="AK84" s="57">
        <f t="shared" si="40"/>
        <v>58090</v>
      </c>
      <c r="AL84" s="130">
        <f t="shared" si="53"/>
        <v>1</v>
      </c>
      <c r="AM84" s="1057">
        <f t="shared" si="56"/>
        <v>76</v>
      </c>
      <c r="AN84" s="1058">
        <f t="shared" si="49"/>
        <v>47627</v>
      </c>
      <c r="AO84" s="105">
        <f>IF(AX83=1,AR84+AP84+AQ84,IF(AW83+AR84+AP84&gt;AO83,$D$29,IF(AW83=0,0,AW83+AR84+AP84+AP116)))</f>
        <v>14612</v>
      </c>
      <c r="AP84" s="105">
        <f>IF(AND(E84&gt;=$T$14,E84&lt;=$T$14+5),0,IF($C$9&gt;$AC$52,ROUND(AW83*$D$19*((AN84-DATE(YEAR(AN84),MONTH(AN84),1)+1)/(DATE(YEAR(AN84)+1,1,1)-DATE(YEAR(AN84),1,1))+(EOMONTH(AN83,0)-AN83)/(DATE(YEAR(AN83)+1,1,1)-DATE(YEAR(AN83),1,1))),2),0))</f>
        <v>2375.14</v>
      </c>
      <c r="AQ84" s="105">
        <f t="shared" si="30"/>
        <v>12236.86</v>
      </c>
      <c r="AR84" s="105">
        <f>IF(AT84&gt;$D$29,$D$29-AP84,IF(AY84=0,0,AV84)+BN133)</f>
        <v>0</v>
      </c>
      <c r="AS84" s="105">
        <f t="shared" si="31"/>
        <v>0</v>
      </c>
      <c r="AT84" s="105">
        <f t="shared" si="32"/>
        <v>2375.14</v>
      </c>
      <c r="AU84" s="105">
        <f t="shared" si="33"/>
        <v>0</v>
      </c>
      <c r="AV84" s="105">
        <f t="shared" si="34"/>
        <v>0</v>
      </c>
      <c r="AW84" s="105">
        <f t="shared" si="35"/>
        <v>103817.42999999983</v>
      </c>
      <c r="AX84" s="108">
        <f t="shared" si="57"/>
        <v>9</v>
      </c>
      <c r="AY84" s="108">
        <f>IF(ISERR(CEILING(FLOOR(NPER($D$19/12,-$AC$56,AW83),0.1),1))=TRUE,0,CEILING(FLOOR(NPER($D$19/12,-$AC$56,AW83),0.1),1))</f>
        <v>9</v>
      </c>
      <c r="AZ84" s="1047">
        <f t="shared" si="45"/>
        <v>47627</v>
      </c>
      <c r="BA84" s="108">
        <f t="shared" si="45"/>
        <v>14612</v>
      </c>
      <c r="BB84" s="2" t="e">
        <f>IF(AND(E38&gt;=$T$14,E38&lt;=$T$14+5),0,IF($C$9&gt;$AC$52,ROUND(AW37*IF($D$23="",0,$D$23)/(DATEVALUE(CONCATENATE("01/01/",YEAR(AN38)+1))-DATEVALUE(CONCATENATE("01/01/",YEAR(AN38))))*(AN38-AN37),2),0))</f>
        <v>#VALUE!</v>
      </c>
    </row>
    <row r="85" spans="1:54" s="16" customFormat="1" thickBot="1" x14ac:dyDescent="0.25">
      <c r="A85" s="2"/>
      <c r="B85" s="2"/>
      <c r="C85" s="1"/>
      <c r="D85" s="1"/>
      <c r="E85" s="1055">
        <f t="shared" si="54"/>
        <v>77</v>
      </c>
      <c r="F85" s="1056">
        <f t="shared" si="46"/>
        <v>47658</v>
      </c>
      <c r="G85" s="24">
        <f>IF(AND(E85&gt;=$T$14,E85&lt;=$T$14+5),$T$15,IF(AND(Q84+L85+H85&gt;G84,G84&lt;&gt;0),$C$29,IF(Q84=0,0,Q84+L85+H85+H86)))+IF(AND(E85=$C$10,$C$22&lt;&gt;"Нет"),MIN((I85-I85/$C$19*$C$23),Q84+H85-G84),0)</f>
        <v>14612</v>
      </c>
      <c r="H85" s="24">
        <f>IF(AND(E85&gt;=$T$14,E85&lt;=$T$14+5),0,IF($C$9&gt;$AC$52,ROUND(Q84*$C$19*((F85-DATE(YEAR(F85),MONTH(F85),1)+1)/(DATE(YEAR(F85)+1,1,1)-DATE(YEAR(F85),1,1))+(EOMONTH(F84,0)-F84)/(DATE(YEAR(F84)+1,1,1)-DATE(YEAR(F84),1,1))),2),0))</f>
        <v>5870.23</v>
      </c>
      <c r="I85" s="24">
        <f t="shared" si="52"/>
        <v>815544.46000000008</v>
      </c>
      <c r="J85" s="24">
        <f>IF(AND(E85=$C$10,$C$22&lt;&gt;"Нет"),MIN((I85-I85/$C$19*$C$23),Q84+H85-G84),0)</f>
        <v>0</v>
      </c>
      <c r="K85" s="24">
        <f t="shared" si="47"/>
        <v>8741.77</v>
      </c>
      <c r="L85" s="24">
        <f>IF(N85&gt;$C$29,$C$29-H85,IF(S85=0,0,O85))</f>
        <v>0</v>
      </c>
      <c r="M85" s="24">
        <f t="shared" si="21"/>
        <v>0</v>
      </c>
      <c r="N85" s="24">
        <f t="shared" si="11"/>
        <v>5870.23</v>
      </c>
      <c r="O85" s="24">
        <f t="shared" si="50"/>
        <v>0</v>
      </c>
      <c r="P85" s="24">
        <f t="shared" si="51"/>
        <v>0</v>
      </c>
      <c r="Q85" s="24">
        <f t="shared" si="48"/>
        <v>222419.45999999993</v>
      </c>
      <c r="R85" s="36">
        <f t="shared" si="58"/>
        <v>8</v>
      </c>
      <c r="S85" s="36">
        <f>IF(ISERR(CEILING(FLOOR(NPER($C$19/12,-$AA$56,Q84),0.1),1))=TRUE,0,CEILING(FLOOR(NPER($C$19/12,-$AA$56,Q84),0.1),1))</f>
        <v>20</v>
      </c>
      <c r="T85" s="2">
        <f t="shared" si="36"/>
        <v>7336.2</v>
      </c>
      <c r="U85" s="34">
        <f>IF(U84&lt;0,0,IF(T85=0,IF(T84=0,0,$U$46),G44)-IF(AND(T85&gt;0,T86=0),$C$26,0))</f>
        <v>14612</v>
      </c>
      <c r="V85" s="57">
        <f t="shared" si="39"/>
        <v>58455</v>
      </c>
      <c r="W85" s="16">
        <f t="shared" si="41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028"/>
      <c r="AD85" s="1028"/>
      <c r="AE85" s="16">
        <f>IF($C$10&gt;48,AB85,IF($C$94&gt;36,AA85,Z85))</f>
        <v>1.35</v>
      </c>
      <c r="AI85" s="2">
        <f t="shared" si="37"/>
        <v>9423.49</v>
      </c>
      <c r="AJ85" s="34">
        <f>IF(AI85=0,IF(AI84=0,0,$AJ$46),AO44)</f>
        <v>14612</v>
      </c>
      <c r="AK85" s="57">
        <f t="shared" si="40"/>
        <v>58455</v>
      </c>
      <c r="AL85" s="130">
        <f t="shared" si="53"/>
        <v>1</v>
      </c>
      <c r="AM85" s="1057">
        <f t="shared" si="56"/>
        <v>77</v>
      </c>
      <c r="AN85" s="1058">
        <f t="shared" si="49"/>
        <v>47658</v>
      </c>
      <c r="AO85" s="105">
        <f>IF(AX84=1,AR85+AP85+AQ85,IF(AW84+AR85+AP85&gt;AO84,$D$29,IF(AW84=0,0,AW84+AR85+AP85+AP117)))</f>
        <v>14612</v>
      </c>
      <c r="AP85" s="105">
        <f>IF(AND(E85&gt;=$T$14,E85&lt;=$T$14+5),0,IF($C$9&gt;$AC$52,ROUND(AW84*$D$19*((AN85-DATE(YEAR(AN85),MONTH(AN85),1)+1)/(DATE(YEAR(AN85)+1,1,1)-DATE(YEAR(AN85),1,1))+(EOMONTH(AN84,0)-AN84)/(DATE(YEAR(AN84)+1,1,1)-DATE(YEAR(AN84),1,1))),2),0))</f>
        <v>2195.5300000000002</v>
      </c>
      <c r="AQ85" s="105">
        <f t="shared" si="30"/>
        <v>12416.47</v>
      </c>
      <c r="AR85" s="105">
        <f>IF(AT85&gt;$D$29,$D$29-AP85,IF(AY85=0,0,AV85)+BN134)</f>
        <v>0</v>
      </c>
      <c r="AS85" s="105">
        <f t="shared" si="31"/>
        <v>0</v>
      </c>
      <c r="AT85" s="105">
        <f t="shared" si="32"/>
        <v>2195.5300000000002</v>
      </c>
      <c r="AU85" s="105">
        <f t="shared" si="33"/>
        <v>0</v>
      </c>
      <c r="AV85" s="105">
        <f t="shared" si="34"/>
        <v>0</v>
      </c>
      <c r="AW85" s="105">
        <f t="shared" si="35"/>
        <v>91400.959999999832</v>
      </c>
      <c r="AX85" s="108">
        <f t="shared" si="57"/>
        <v>8</v>
      </c>
      <c r="AY85" s="108">
        <f>IF(ISERR(CEILING(FLOOR(NPER($D$19/12,-$AC$56,AW84),0.1),1))=TRUE,0,CEILING(FLOOR(NPER($D$19/12,-$AC$56,AW84),0.1),1))</f>
        <v>8</v>
      </c>
      <c r="AZ85" s="1047">
        <f t="shared" si="45"/>
        <v>47658</v>
      </c>
      <c r="BA85" s="108">
        <f t="shared" si="45"/>
        <v>14612</v>
      </c>
      <c r="BB85" s="2" t="e">
        <f>IF(AND(E39&gt;=$T$14,E39&lt;=$T$14+5),0,IF($C$9&gt;$AC$52,ROUND(AW38*IF($D$23="",0,$D$23)/(DATEVALUE(CONCATENATE("01/01/",YEAR(AN39)+1))-DATEVALUE(CONCATENATE("01/01/",YEAR(AN39))))*(AN39-AN38),2),0))</f>
        <v>#VALUE!</v>
      </c>
    </row>
    <row r="86" spans="1:54" s="16" customFormat="1" thickBot="1" x14ac:dyDescent="0.25">
      <c r="A86" s="2"/>
      <c r="B86" s="2"/>
      <c r="C86" s="1"/>
      <c r="D86" s="1"/>
      <c r="E86" s="1055">
        <f t="shared" si="54"/>
        <v>78</v>
      </c>
      <c r="F86" s="1056">
        <f t="shared" si="46"/>
        <v>47688</v>
      </c>
      <c r="G86" s="24">
        <f>IF(AND(E86&gt;=$T$14,E86&lt;=$T$14+5),$T$15,IF(AND(Q85+L86+H86&gt;G85,G85&lt;&gt;0),$C$29,IF(Q85=0,0,Q85+L86+H86+H87)))+IF(AND(E86=$C$10,$C$22&lt;&gt;"Нет"),MIN((I86-I86/$C$19*$C$23),Q85+H86-G85),0)</f>
        <v>14612</v>
      </c>
      <c r="H86" s="24">
        <f>IF(AND(E86&gt;=$T$14,E86&lt;=$T$14+5),0,IF($C$9&gt;$AC$52,ROUND(Q85*$C$19*((F86-DATE(YEAR(F86),MONTH(F86),1)+1)/(DATE(YEAR(F86)+1,1,1)-DATE(YEAR(F86),1,1))+(EOMONTH(F85,0)-F85)/(DATE(YEAR(F85)+1,1,1)-DATE(YEAR(F85),1,1))),2),0))</f>
        <v>5466.03</v>
      </c>
      <c r="I86" s="24">
        <f t="shared" si="52"/>
        <v>821010.49000000011</v>
      </c>
      <c r="J86" s="24">
        <f>IF(AND(E86=$C$10,$C$22&lt;&gt;"Нет"),MIN((I86-I86/$C$19*$C$23),Q85+H86-G85),0)</f>
        <v>0</v>
      </c>
      <c r="K86" s="24">
        <f t="shared" si="47"/>
        <v>9145.9700000000012</v>
      </c>
      <c r="L86" s="24">
        <f>IF(N86&gt;$C$29,$C$29-H86,IF(S86=0,0,O86))</f>
        <v>0</v>
      </c>
      <c r="M86" s="24">
        <f t="shared" si="21"/>
        <v>0</v>
      </c>
      <c r="N86" s="24">
        <f t="shared" si="11"/>
        <v>5466.03</v>
      </c>
      <c r="O86" s="24">
        <f t="shared" si="50"/>
        <v>0</v>
      </c>
      <c r="P86" s="24">
        <f t="shared" si="51"/>
        <v>0</v>
      </c>
      <c r="Q86" s="24">
        <f t="shared" si="48"/>
        <v>213273.48999999993</v>
      </c>
      <c r="R86" s="36">
        <f t="shared" si="58"/>
        <v>7</v>
      </c>
      <c r="S86" s="36">
        <f>IF(ISERR(CEILING(FLOOR(NPER($C$19/12,-$AA$56,Q85),0.1),1))=TRUE,0,CEILING(FLOOR(NPER($C$19/12,-$AA$56,Q85),0.1),1))</f>
        <v>19</v>
      </c>
      <c r="T86" s="2">
        <f t="shared" si="36"/>
        <v>7287.95</v>
      </c>
      <c r="U86" s="34">
        <f>IF(U85&lt;0,0,IF(T86=0,IF(T85=0,0,$U$46),G45)-IF(AND(T86&gt;0,T87=0),$C$26,0))</f>
        <v>14612</v>
      </c>
      <c r="V86" s="57">
        <f t="shared" si="39"/>
        <v>58820</v>
      </c>
      <c r="W86" s="16">
        <f t="shared" si="41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028"/>
      <c r="AD86" s="1028"/>
      <c r="AE86" s="16">
        <f>IF($C$10&gt;48,AB86,IF($C$94&gt;36,AA86,Z86))</f>
        <v>1.35</v>
      </c>
      <c r="AI86" s="2">
        <f t="shared" si="37"/>
        <v>9313.77</v>
      </c>
      <c r="AJ86" s="34">
        <f>IF(AI86=0,IF(AI85=0,0,$AJ$46),AO45)</f>
        <v>14612</v>
      </c>
      <c r="AK86" s="57">
        <f t="shared" si="40"/>
        <v>58820</v>
      </c>
      <c r="AL86" s="130">
        <f t="shared" si="53"/>
        <v>1</v>
      </c>
      <c r="AM86" s="1057">
        <f t="shared" si="56"/>
        <v>78</v>
      </c>
      <c r="AN86" s="1058">
        <f t="shared" si="49"/>
        <v>47688</v>
      </c>
      <c r="AO86" s="105">
        <f>IF(AX85=1,AR86+AP86+AQ86,IF(AW85+AR86+AP86&gt;AO85,$D$29,IF(AW85=0,0,AW85+AR86+AP86+AP118)))</f>
        <v>14612</v>
      </c>
      <c r="AP86" s="105">
        <f>IF(AND(E86&gt;=$T$14,E86&lt;=$T$14+5),0,IF($C$9&gt;$AC$52,ROUND(AW85*$D$19*((AN86-DATE(YEAR(AN86),MONTH(AN86),1)+1)/(DATE(YEAR(AN86)+1,1,1)-DATE(YEAR(AN86),1,1))+(EOMONTH(AN85,0)-AN85)/(DATE(YEAR(AN85)+1,1,1)-DATE(YEAR(AN85),1,1))),2),0))</f>
        <v>1870.59</v>
      </c>
      <c r="AQ86" s="105">
        <f t="shared" si="30"/>
        <v>12741.41</v>
      </c>
      <c r="AR86" s="105">
        <f>IF(AT86&gt;$D$29,$D$29-AP86,IF(AY86=0,0,AV86)+BN135)</f>
        <v>0</v>
      </c>
      <c r="AS86" s="105">
        <f t="shared" si="31"/>
        <v>0</v>
      </c>
      <c r="AT86" s="105">
        <f t="shared" si="32"/>
        <v>1870.59</v>
      </c>
      <c r="AU86" s="105">
        <f t="shared" si="33"/>
        <v>0</v>
      </c>
      <c r="AV86" s="105">
        <f t="shared" si="34"/>
        <v>0</v>
      </c>
      <c r="AW86" s="105">
        <f t="shared" si="35"/>
        <v>78659.549999999828</v>
      </c>
      <c r="AX86" s="108">
        <f t="shared" si="57"/>
        <v>7</v>
      </c>
      <c r="AY86" s="108">
        <f>IF(ISERR(CEILING(FLOOR(NPER($D$19/12,-$AC$56,AW85),0.1),1))=TRUE,0,CEILING(FLOOR(NPER($D$19/12,-$AC$56,AW85),0.1),1))</f>
        <v>7</v>
      </c>
      <c r="AZ86" s="1047">
        <f t="shared" si="45"/>
        <v>47688</v>
      </c>
      <c r="BA86" s="108">
        <f t="shared" si="45"/>
        <v>14612</v>
      </c>
      <c r="BB86" s="2" t="e">
        <f>IF(AND(E40&gt;=$T$14,E40&lt;=$T$14+5),0,IF($C$9&gt;$AC$52,ROUND(AW39*IF($D$23="",0,$D$23)/(DATEVALUE(CONCATENATE("01/01/",YEAR(AN40)+1))-DATEVALUE(CONCATENATE("01/01/",YEAR(AN40))))*(AN40-AN39),2),0))</f>
        <v>#VALUE!</v>
      </c>
    </row>
    <row r="87" spans="1:54" s="16" customFormat="1" thickBot="1" x14ac:dyDescent="0.25">
      <c r="A87" s="2"/>
      <c r="B87" s="13">
        <f>H87</f>
        <v>5415.98</v>
      </c>
      <c r="C87" s="1096">
        <f>K87</f>
        <v>9196.02</v>
      </c>
      <c r="D87" s="1"/>
      <c r="E87" s="1055">
        <f t="shared" si="54"/>
        <v>79</v>
      </c>
      <c r="F87" s="1056">
        <f t="shared" si="46"/>
        <v>47719</v>
      </c>
      <c r="G87" s="24">
        <f>IF(AND(E87&gt;=$T$14,E87&lt;=$T$14+5),$T$15,IF(AND(Q86+L87+H87&gt;G86,G86&lt;&gt;0),$C$29,IF(Q86=0,0,Q86+L87+H87+H88)))+IF(AND(E87=$C$10,$C$22&lt;&gt;"Нет"),MIN((I87-I87/$C$19*$C$23),Q86+H87-G86),0)</f>
        <v>14612</v>
      </c>
      <c r="H87" s="24">
        <f>IF(AND(E87&gt;=$T$14,E87&lt;=$T$14+5),0,IF($C$9&gt;$AC$52,ROUND(Q86*$C$19*((F87-DATE(YEAR(F87),MONTH(F87),1)+1)/(DATE(YEAR(F87)+1,1,1)-DATE(YEAR(F87),1,1))+(EOMONTH(F86,0)-F86)/(DATE(YEAR(F86)+1,1,1)-DATE(YEAR(F86),1,1))),2),0))</f>
        <v>5415.98</v>
      </c>
      <c r="I87" s="24">
        <f t="shared" si="52"/>
        <v>826426.47000000009</v>
      </c>
      <c r="J87" s="24">
        <f>IF(AND(E87=$C$10,$C$22&lt;&gt;"Нет"),MIN((I87-I87/$C$19*$C$23),Q86+H87-G86),0)</f>
        <v>0</v>
      </c>
      <c r="K87" s="24">
        <f t="shared" si="47"/>
        <v>9196.02</v>
      </c>
      <c r="L87" s="24">
        <f>IF(N87&gt;$C$29,$C$29-H87,IF(S87=0,0,O87))</f>
        <v>0</v>
      </c>
      <c r="M87" s="24">
        <f t="shared" ref="M87:M150" si="61">O86-L86</f>
        <v>0</v>
      </c>
      <c r="N87" s="24">
        <f t="shared" ref="N87:N150" si="62">H87+O87</f>
        <v>5415.98</v>
      </c>
      <c r="O87" s="24">
        <f t="shared" si="50"/>
        <v>0</v>
      </c>
      <c r="P87" s="24">
        <f t="shared" si="51"/>
        <v>0</v>
      </c>
      <c r="Q87" s="24">
        <f t="shared" si="48"/>
        <v>204077.46999999994</v>
      </c>
      <c r="R87" s="36">
        <f t="shared" si="58"/>
        <v>6</v>
      </c>
      <c r="S87" s="36">
        <f>IF(ISERR(CEILING(FLOOR(NPER($C$19/12,-$AA$56,Q86),0.1),1))=TRUE,0,CEILING(FLOOR(NPER($C$19/12,-$AA$56,Q86),0.1),1))</f>
        <v>18</v>
      </c>
      <c r="T87" s="2">
        <f t="shared" si="36"/>
        <v>6537.97</v>
      </c>
      <c r="U87" s="34">
        <f>IF(U86&lt;0,0,IF(T87=0,IF(T86=0,0,$U$46),G46)-IF(AND(T87&gt;0,T88=0),$C$26,0))</f>
        <v>14612</v>
      </c>
      <c r="V87" s="57">
        <f t="shared" si="39"/>
        <v>59185</v>
      </c>
      <c r="W87" s="16">
        <f t="shared" si="41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028"/>
      <c r="AD87" s="1028"/>
      <c r="AE87" s="16">
        <f>IF($C$10&gt;48,AB87,IF($C$94&gt;36,AA87,Z87))</f>
        <v>1.35</v>
      </c>
      <c r="AI87" s="2">
        <f t="shared" si="37"/>
        <v>8311.23</v>
      </c>
      <c r="AJ87" s="34">
        <f>IF(AI87=0,IF(AI86=0,0,$AJ$46),AO46)</f>
        <v>14612</v>
      </c>
      <c r="AK87" s="57">
        <f t="shared" si="40"/>
        <v>59185</v>
      </c>
      <c r="AL87" s="130">
        <f t="shared" si="53"/>
        <v>1</v>
      </c>
      <c r="AM87" s="1057">
        <f t="shared" si="56"/>
        <v>79</v>
      </c>
      <c r="AN87" s="1058">
        <f t="shared" si="49"/>
        <v>47719</v>
      </c>
      <c r="AO87" s="105">
        <f>IF(AX86=1,AR87+AP87+AQ87,IF(AW86+AR87+AP87&gt;AO86,$D$29,IF(AW86=0,0,AW86+AR87+AP87+AP119)))</f>
        <v>14612</v>
      </c>
      <c r="AP87" s="105">
        <f>IF(AND(E87&gt;=$T$14,E87&lt;=$T$14+5),0,IF($C$9&gt;$AC$52,ROUND(AW86*$D$19*((AN87-DATE(YEAR(AN87),MONTH(AN87),1)+1)/(DATE(YEAR(AN87)+1,1,1)-DATE(YEAR(AN87),1,1))+(EOMONTH(AN86,0)-AN86)/(DATE(YEAR(AN86)+1,1,1)-DATE(YEAR(AN86),1,1))),2),0))</f>
        <v>1663.49</v>
      </c>
      <c r="AQ87" s="105">
        <f t="shared" si="30"/>
        <v>12948.51</v>
      </c>
      <c r="AR87" s="105">
        <f>IF(AT87&gt;$D$29,$D$29-AP87,IF(AY87=0,0,AV87)+BN136)</f>
        <v>0</v>
      </c>
      <c r="AS87" s="105">
        <f t="shared" si="31"/>
        <v>0</v>
      </c>
      <c r="AT87" s="105">
        <f t="shared" si="32"/>
        <v>1663.49</v>
      </c>
      <c r="AU87" s="105">
        <f t="shared" si="33"/>
        <v>0</v>
      </c>
      <c r="AV87" s="105">
        <f t="shared" si="34"/>
        <v>0</v>
      </c>
      <c r="AW87" s="105">
        <f t="shared" si="35"/>
        <v>65711.039999999834</v>
      </c>
      <c r="AX87" s="108">
        <f t="shared" si="57"/>
        <v>6</v>
      </c>
      <c r="AY87" s="108">
        <f>IF(ISERR(CEILING(FLOOR(NPER($D$19/12,-$AC$56,AW86),0.1),1))=TRUE,0,CEILING(FLOOR(NPER($D$19/12,-$AC$56,AW86),0.1),1))</f>
        <v>6</v>
      </c>
      <c r="AZ87" s="1047">
        <f t="shared" si="45"/>
        <v>47719</v>
      </c>
      <c r="BA87" s="108">
        <f t="shared" si="45"/>
        <v>14612</v>
      </c>
      <c r="BB87" s="2" t="e">
        <f>IF(AND(E41&gt;=$T$14,E41&lt;=$T$14+5),0,IF($C$9&gt;$AC$52,ROUND(AW40*IF($D$23="",0,$D$23)/(DATEVALUE(CONCATENATE("01/01/",YEAR(AN41)+1))-DATEVALUE(CONCATENATE("01/01/",YEAR(AN41))))*(AN41-AN40),2),0))</f>
        <v>#VALUE!</v>
      </c>
    </row>
    <row r="88" spans="1:54" s="16" customFormat="1" thickBot="1" x14ac:dyDescent="0.25">
      <c r="A88" s="2"/>
      <c r="B88" s="2"/>
      <c r="C88" s="1"/>
      <c r="D88" s="1"/>
      <c r="E88" s="1055">
        <f t="shared" si="54"/>
        <v>80</v>
      </c>
      <c r="F88" s="1056">
        <f t="shared" si="46"/>
        <v>47750</v>
      </c>
      <c r="G88" s="24">
        <f>IF(AND(E88&gt;=$T$14,E88&lt;=$T$14+5),$T$15,IF(AND(Q87+L88+H88&gt;G87,G87&lt;&gt;0),$C$29,IF(Q87=0,0,Q87+L88+H88+H89)))+IF(AND(E88=$C$10,$C$22&lt;&gt;"Нет"),MIN((I88-I88/$C$19*$C$23),Q87+H88-G87),0)</f>
        <v>14612</v>
      </c>
      <c r="H88" s="24">
        <f>IF(AND(E88&gt;=$T$14,E88&lt;=$T$14+5),0,IF($C$9&gt;$AC$52,ROUND(Q87*$C$19*((F88-DATE(YEAR(F88),MONTH(F88),1)+1)/(DATE(YEAR(F88)+1,1,1)-DATE(YEAR(F88),1,1))+(EOMONTH(F87,0)-F87)/(DATE(YEAR(F87)+1,1,1)-DATE(YEAR(F87),1,1))),2),0))</f>
        <v>5182.45</v>
      </c>
      <c r="I88" s="24">
        <f t="shared" si="52"/>
        <v>831608.92</v>
      </c>
      <c r="J88" s="24">
        <f>IF(AND(E88=$C$10,$C$22&lt;&gt;"Нет"),MIN((I88-I88/$C$19*$C$23),Q87+H88-G87),0)</f>
        <v>0</v>
      </c>
      <c r="K88" s="24">
        <f t="shared" si="47"/>
        <v>9429.5499999999993</v>
      </c>
      <c r="L88" s="24">
        <f>IF(N88&gt;$C$29,$C$29-H88,IF(S88=0,0,O88))</f>
        <v>0</v>
      </c>
      <c r="M88" s="24">
        <f t="shared" si="61"/>
        <v>0</v>
      </c>
      <c r="N88" s="24">
        <f t="shared" si="62"/>
        <v>5182.45</v>
      </c>
      <c r="O88" s="24">
        <f t="shared" si="50"/>
        <v>0</v>
      </c>
      <c r="P88" s="24">
        <f t="shared" si="51"/>
        <v>0</v>
      </c>
      <c r="Q88" s="24">
        <f t="shared" si="48"/>
        <v>194647.91999999995</v>
      </c>
      <c r="R88" s="36">
        <f t="shared" si="58"/>
        <v>5</v>
      </c>
      <c r="S88" s="36">
        <f>IF(ISERR(CEILING(FLOOR(NPER($C$19/12,-$AA$56,Q87),0.1),1))=TRUE,0,CEILING(FLOOR(NPER($C$19/12,-$AA$56,Q87),0.1),1))</f>
        <v>17</v>
      </c>
      <c r="T88" s="2">
        <f t="shared" si="36"/>
        <v>7169.95</v>
      </c>
      <c r="U88" s="34">
        <f>IF(U87&lt;0,0,IF(T88=0,IF(T87=0,0,$U$46),G47)-IF(AND(T88&gt;0,T89=0),$C$26,0))</f>
        <v>14612</v>
      </c>
      <c r="V88" s="57">
        <f t="shared" si="39"/>
        <v>59550</v>
      </c>
      <c r="W88" s="16">
        <f t="shared" si="41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028"/>
      <c r="AD88" s="1028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17844.41</v>
      </c>
      <c r="AJ88" s="34">
        <f t="shared" ref="AJ88:AJ108" si="63">IF(AI88=0,IF(AI87=0,0,$AJ$46),AO48)</f>
        <v>14612</v>
      </c>
      <c r="AK88" s="57">
        <f t="shared" si="40"/>
        <v>59550</v>
      </c>
      <c r="AL88" s="130">
        <f t="shared" si="53"/>
        <v>1</v>
      </c>
      <c r="AM88" s="1057">
        <f t="shared" si="56"/>
        <v>80</v>
      </c>
      <c r="AN88" s="1058">
        <f t="shared" si="49"/>
        <v>47750</v>
      </c>
      <c r="AO88" s="105">
        <f>IF(AX87=1,AR88+AP88+AQ88,IF(AW87+AR88+AP88&gt;AO87,$D$29,IF(AW87=0,0,AW87+AR88+AP88+AP120)))</f>
        <v>14612</v>
      </c>
      <c r="AP88" s="105">
        <f>IF(AND(E88&gt;=$T$14,E88&lt;=$T$14+5),0,IF($C$9&gt;$AC$52,ROUND(AW87*$D$19*((AN88-DATE(YEAR(AN88),MONTH(AN88),1)+1)/(DATE(YEAR(AN88)+1,1,1)-DATE(YEAR(AN88),1,1))+(EOMONTH(AN87,0)-AN87)/(DATE(YEAR(AN87)+1,1,1)-DATE(YEAR(AN87),1,1))),2),0))</f>
        <v>1389.65</v>
      </c>
      <c r="AQ88" s="105">
        <f t="shared" si="30"/>
        <v>13222.35</v>
      </c>
      <c r="AR88" s="105">
        <f>IF(AT88&gt;$D$29,$D$29-AP88,IF(AY88=0,0,AV88)+BN137)</f>
        <v>0</v>
      </c>
      <c r="AS88" s="105">
        <f t="shared" si="31"/>
        <v>0</v>
      </c>
      <c r="AT88" s="105">
        <f t="shared" si="32"/>
        <v>1389.65</v>
      </c>
      <c r="AU88" s="105">
        <f t="shared" si="33"/>
        <v>0</v>
      </c>
      <c r="AV88" s="105">
        <f t="shared" si="34"/>
        <v>0</v>
      </c>
      <c r="AW88" s="105">
        <f t="shared" si="35"/>
        <v>52488.689999999835</v>
      </c>
      <c r="AX88" s="108">
        <f t="shared" si="57"/>
        <v>5</v>
      </c>
      <c r="AY88" s="108">
        <f>IF(ISERR(CEILING(FLOOR(NPER($D$19/12,-$AC$56,AW87),0.1),1))=TRUE,0,CEILING(FLOOR(NPER($D$19/12,-$AC$56,AW87),0.1),1))</f>
        <v>5</v>
      </c>
      <c r="AZ88" s="1047">
        <f t="shared" si="45"/>
        <v>47750</v>
      </c>
      <c r="BA88" s="108">
        <f t="shared" si="45"/>
        <v>14612</v>
      </c>
      <c r="BB88" s="2" t="e">
        <f>IF(AND(E42&gt;=$T$14,E42&lt;=$T$14+5),0,IF($C$9&gt;$AC$52,ROUND(AW41*IF($D$23="",0,$D$23)/(DATEVALUE(CONCATENATE("01/01/",YEAR(AN42)+1))-DATEVALUE(CONCATENATE("01/01/",YEAR(AN42))))*(AN42-AN41),2),0))</f>
        <v>#VALUE!</v>
      </c>
    </row>
    <row r="89" spans="1:54" s="16" customFormat="1" thickBot="1" x14ac:dyDescent="0.25">
      <c r="A89" s="2"/>
      <c r="B89" s="2"/>
      <c r="C89" s="1"/>
      <c r="D89" s="1"/>
      <c r="E89" s="1055">
        <f t="shared" si="54"/>
        <v>81</v>
      </c>
      <c r="F89" s="1056">
        <f t="shared" si="46"/>
        <v>47780</v>
      </c>
      <c r="G89" s="24">
        <f>IF(AND(E89&gt;=$T$14,E89&lt;=$T$14+5),$T$15,IF(AND(Q88+L89+H89&gt;G88,G88&lt;&gt;0),$C$29,IF(Q88=0,0,Q88+L89+H89+H90)))+IF(AND(E89=$C$10,$C$22&lt;&gt;"Нет"),MIN((I89-I89/$C$19*$C$23),Q88+H89-G88),0)</f>
        <v>14612</v>
      </c>
      <c r="H89" s="24">
        <f>IF(AND(E89&gt;=$T$14,E89&lt;=$T$14+5),0,IF($C$9&gt;$AC$52,ROUND(Q88*$C$19*((F89-DATE(YEAR(F89),MONTH(F89),1)+1)/(DATE(YEAR(F89)+1,1,1)-DATE(YEAR(F89),1,1))+(EOMONTH(F88,0)-F88)/(DATE(YEAR(F88)+1,1,1)-DATE(YEAR(F88),1,1))),2),0))</f>
        <v>4783.54</v>
      </c>
      <c r="I89" s="24">
        <f t="shared" si="52"/>
        <v>836392.46000000008</v>
      </c>
      <c r="J89" s="24">
        <f>IF(AND(E89=$C$10,$C$22&lt;&gt;"Нет"),MIN((I89-I89/$C$19*$C$23),Q88+H89-G88),0)</f>
        <v>0</v>
      </c>
      <c r="K89" s="24">
        <f t="shared" si="47"/>
        <v>9828.4599999999991</v>
      </c>
      <c r="L89" s="24">
        <f>IF(N89&gt;$C$29,$C$29-H89,IF(S89=0,0,O89))</f>
        <v>0</v>
      </c>
      <c r="M89" s="24">
        <f t="shared" si="61"/>
        <v>0</v>
      </c>
      <c r="N89" s="24">
        <f t="shared" si="62"/>
        <v>4783.54</v>
      </c>
      <c r="O89" s="24">
        <f t="shared" si="50"/>
        <v>0</v>
      </c>
      <c r="P89" s="24">
        <f t="shared" si="51"/>
        <v>0</v>
      </c>
      <c r="Q89" s="24">
        <f t="shared" si="48"/>
        <v>184819.45999999996</v>
      </c>
      <c r="R89" s="36">
        <f t="shared" si="58"/>
        <v>4</v>
      </c>
      <c r="S89" s="36">
        <f>IF(ISERR(CEILING(FLOOR(NPER($C$19/12,-$AA$56,Q88),0.1),1))=TRUE,0,CEILING(FLOOR(NPER($C$19/12,-$AA$56,Q88),0.1),1))</f>
        <v>16</v>
      </c>
      <c r="T89" s="2">
        <f t="shared" si="36"/>
        <v>6887.88</v>
      </c>
      <c r="U89" s="34">
        <f>IF(U88&lt;0,0,IF(T89=0,IF(T88=0,0,$U$46),G48)-IF(AND(T89&gt;0,T90=0),$C$26,0))</f>
        <v>14612</v>
      </c>
      <c r="V89" s="57">
        <f t="shared" si="39"/>
        <v>59915</v>
      </c>
      <c r="W89" s="16">
        <f t="shared" si="41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64">IF(AND(AM49&gt;=$T$14,AM49&lt;=$T$14+5),0,IF($C$9&gt;$AC$52,ROUND(AW48*$AI$46/(DATEVALUE(CONCATENATE("01/01/",YEAR(AN49)+1))-DATEVALUE(CONCATENATE("01/01/",YEAR(AN49))))*(AN49-AN48),2),0))</f>
        <v>8825.42</v>
      </c>
      <c r="AJ89" s="34">
        <f t="shared" si="63"/>
        <v>14612</v>
      </c>
      <c r="AK89" s="57">
        <f t="shared" si="40"/>
        <v>59915</v>
      </c>
      <c r="AL89" s="130">
        <f t="shared" si="53"/>
        <v>1</v>
      </c>
      <c r="AM89" s="1057">
        <f t="shared" si="56"/>
        <v>81</v>
      </c>
      <c r="AN89" s="1058">
        <f t="shared" si="49"/>
        <v>47780</v>
      </c>
      <c r="AO89" s="105">
        <f>IF(AX88=1,AR89+AP89+AQ89,IF(AW88+AR89+AP89&gt;AO88,$D$29,IF(AW88=0,0,AW88+AR89+AP89+AP121)))</f>
        <v>14612</v>
      </c>
      <c r="AP89" s="105">
        <f>IF(AND(E89&gt;=$T$14,E89&lt;=$T$14+5),0,IF($C$9&gt;$AC$52,ROUND(AW88*$D$19*((AN89-DATE(YEAR(AN89),MONTH(AN89),1)+1)/(DATE(YEAR(AN89)+1,1,1)-DATE(YEAR(AN89),1,1))+(EOMONTH(AN88,0)-AN88)/(DATE(YEAR(AN88)+1,1,1)-DATE(YEAR(AN88),1,1))),2),0))</f>
        <v>1074.22</v>
      </c>
      <c r="AQ89" s="105">
        <f t="shared" si="30"/>
        <v>13537.78</v>
      </c>
      <c r="AR89" s="105">
        <f>IF(AT89&gt;$D$29,$D$29-AP89,IF(AY89=0,0,AV89)+BN138)</f>
        <v>0</v>
      </c>
      <c r="AS89" s="105">
        <f t="shared" si="31"/>
        <v>0</v>
      </c>
      <c r="AT89" s="105">
        <f t="shared" si="32"/>
        <v>1074.22</v>
      </c>
      <c r="AU89" s="105">
        <f t="shared" si="33"/>
        <v>0</v>
      </c>
      <c r="AV89" s="105">
        <f t="shared" si="34"/>
        <v>0</v>
      </c>
      <c r="AW89" s="105">
        <f t="shared" si="35"/>
        <v>38950.909999999836</v>
      </c>
      <c r="AX89" s="108">
        <f t="shared" si="57"/>
        <v>4</v>
      </c>
      <c r="AY89" s="108">
        <f>IF(ISERR(CEILING(FLOOR(NPER($D$19/12,-$AC$56,AW88),0.1),1))=TRUE,0,CEILING(FLOOR(NPER($D$19/12,-$AC$56,AW88),0.1),1))</f>
        <v>4</v>
      </c>
      <c r="AZ89" s="1047">
        <f t="shared" si="45"/>
        <v>47780</v>
      </c>
      <c r="BA89" s="108">
        <f t="shared" si="45"/>
        <v>14612</v>
      </c>
      <c r="BB89" s="2" t="e">
        <f>IF(AND(E43&gt;=$T$14,E43&lt;=$T$14+5),0,IF($C$9&gt;$AC$52,ROUND(AW42*IF($D$23="",0,$D$23)/(DATEVALUE(CONCATENATE("01/01/",YEAR(AN43)+1))-DATEVALUE(CONCATENATE("01/01/",YEAR(AN43))))*(AN43-AN42),2),0))</f>
        <v>#VALUE!</v>
      </c>
    </row>
    <row r="90" spans="1:54" s="16" customFormat="1" thickBot="1" x14ac:dyDescent="0.25">
      <c r="A90" s="2"/>
      <c r="B90" s="2"/>
      <c r="C90" s="1"/>
      <c r="D90" s="1"/>
      <c r="E90" s="1055">
        <f t="shared" si="54"/>
        <v>82</v>
      </c>
      <c r="F90" s="1056">
        <f t="shared" si="46"/>
        <v>47811</v>
      </c>
      <c r="G90" s="24">
        <f>IF(AND(E90&gt;=$T$14,E90&lt;=$T$14+5),$T$15,IF(AND(Q89+L90+H90&gt;G89,G89&lt;&gt;0),$C$29,IF(Q89=0,0,Q89+L90+H90+H91)))+IF(AND(E90=$C$10,$C$22&lt;&gt;"Нет"),MIN((I90-I90/$C$19*$C$23),Q89+H90-G89),0)</f>
        <v>14612</v>
      </c>
      <c r="H90" s="24">
        <f>IF(AND(E90&gt;=$T$14,E90&lt;=$T$14+5),0,IF($C$9&gt;$AC$52,ROUND(Q89*$C$19*((F90-DATE(YEAR(F90),MONTH(F90),1)+1)/(DATE(YEAR(F90)+1,1,1)-DATE(YEAR(F90),1,1))+(EOMONTH(F89,0)-F89)/(DATE(YEAR(F89)+1,1,1)-DATE(YEAR(F89),1,1))),2),0))</f>
        <v>4693.3999999999996</v>
      </c>
      <c r="I90" s="24">
        <f t="shared" si="52"/>
        <v>841085.8600000001</v>
      </c>
      <c r="J90" s="24">
        <f>IF(AND(E90=$C$10,$C$22&lt;&gt;"Нет"),MIN((I90-I90/$C$19*$C$23),Q89+H90-G89),0)</f>
        <v>0</v>
      </c>
      <c r="K90" s="24">
        <f t="shared" si="47"/>
        <v>9918.6</v>
      </c>
      <c r="L90" s="24">
        <f>IF(N90&gt;$C$29,$C$29-H90,IF(S90=0,0,O90))</f>
        <v>0</v>
      </c>
      <c r="M90" s="24">
        <f t="shared" si="61"/>
        <v>0</v>
      </c>
      <c r="N90" s="24">
        <f t="shared" si="62"/>
        <v>4693.3999999999996</v>
      </c>
      <c r="O90" s="24">
        <f t="shared" si="50"/>
        <v>0</v>
      </c>
      <c r="P90" s="24">
        <f t="shared" si="51"/>
        <v>0</v>
      </c>
      <c r="Q90" s="24">
        <f t="shared" si="48"/>
        <v>174900.85999999996</v>
      </c>
      <c r="R90" s="36">
        <f t="shared" si="58"/>
        <v>3</v>
      </c>
      <c r="S90" s="36">
        <f>IF(ISERR(CEILING(FLOOR(NPER($C$19/12,-$AA$56,Q89),0.1),1))=TRUE,0,CEILING(FLOOR(NPER($C$19/12,-$AA$56,Q89),0.1),1))</f>
        <v>15</v>
      </c>
      <c r="T90" s="2">
        <f t="shared" si="36"/>
        <v>7057.83</v>
      </c>
      <c r="U90" s="34">
        <f>IF(U89&lt;0,0,IF(T90=0,IF(T89=0,0,$U$46),G49)-IF(AND(T90&gt;0,T91=0),$C$26,0))</f>
        <v>14612</v>
      </c>
      <c r="V90" s="57">
        <f t="shared" si="39"/>
        <v>60280</v>
      </c>
      <c r="W90" s="16">
        <f t="shared" si="41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64"/>
        <v>8422.2999999999993</v>
      </c>
      <c r="AJ90" s="34">
        <f t="shared" si="63"/>
        <v>14612</v>
      </c>
      <c r="AK90" s="57">
        <f t="shared" si="40"/>
        <v>60280</v>
      </c>
      <c r="AL90" s="130">
        <f t="shared" si="53"/>
        <v>1</v>
      </c>
      <c r="AM90" s="1057">
        <f t="shared" si="56"/>
        <v>82</v>
      </c>
      <c r="AN90" s="1058">
        <f t="shared" si="49"/>
        <v>47811</v>
      </c>
      <c r="AO90" s="105">
        <f>IF(AX89=1,AR90+AP90+AQ90,IF(AW89+AR90+AP90&gt;AO89,$D$29,IF(AW89=0,0,AW89+AR90+AP90+AP122)))</f>
        <v>14612</v>
      </c>
      <c r="AP90" s="105">
        <f>IF(AND(E90&gt;=$T$14,E90&lt;=$T$14+5),0,IF($C$9&gt;$AC$52,ROUND(AW89*$D$19*((AN90-DATE(YEAR(AN90),MONTH(AN90),1)+1)/(DATE(YEAR(AN90)+1,1,1)-DATE(YEAR(AN90),1,1))+(EOMONTH(AN89,0)-AN89)/(DATE(YEAR(AN89)+1,1,1)-DATE(YEAR(AN89),1,1))),2),0))</f>
        <v>823.73</v>
      </c>
      <c r="AQ90" s="105">
        <f t="shared" si="30"/>
        <v>13788.27</v>
      </c>
      <c r="AR90" s="105">
        <f>IF(AT90&gt;$D$29,$D$29-AP90,IF(AY90=0,0,AV90)+BN139)</f>
        <v>0</v>
      </c>
      <c r="AS90" s="105">
        <f t="shared" si="31"/>
        <v>0</v>
      </c>
      <c r="AT90" s="105">
        <f t="shared" si="32"/>
        <v>823.73</v>
      </c>
      <c r="AU90" s="105">
        <f t="shared" si="33"/>
        <v>0</v>
      </c>
      <c r="AV90" s="105">
        <f t="shared" si="34"/>
        <v>0</v>
      </c>
      <c r="AW90" s="105">
        <f t="shared" si="35"/>
        <v>25162.639999999836</v>
      </c>
      <c r="AX90" s="108">
        <f t="shared" si="57"/>
        <v>3</v>
      </c>
      <c r="AY90" s="108">
        <f>IF(ISERR(CEILING(FLOOR(NPER($D$19/12,-$AC$56,AW89),0.1),1))=TRUE,0,CEILING(FLOOR(NPER($D$19/12,-$AC$56,AW89),0.1),1))</f>
        <v>3</v>
      </c>
      <c r="AZ90" s="1047">
        <f t="shared" si="45"/>
        <v>47811</v>
      </c>
      <c r="BA90" s="108">
        <f t="shared" si="45"/>
        <v>14612</v>
      </c>
      <c r="BB90" s="2" t="e">
        <f>IF(AND(E44&gt;=$T$14,E44&lt;=$T$14+5),0,IF($C$9&gt;$AC$52,ROUND(AW43*IF($D$23="",0,$D$23)/(DATEVALUE(CONCATENATE("01/01/",YEAR(AN44)+1))-DATEVALUE(CONCATENATE("01/01/",YEAR(AN44))))*(AN44-AN43),2),0))</f>
        <v>#VALUE!</v>
      </c>
    </row>
    <row r="91" spans="1:54" s="16" customFormat="1" ht="12" x14ac:dyDescent="0.2">
      <c r="A91" s="2"/>
      <c r="B91" s="2"/>
      <c r="C91" s="1"/>
      <c r="D91" s="1"/>
      <c r="E91" s="1055">
        <f t="shared" si="54"/>
        <v>83</v>
      </c>
      <c r="F91" s="1056">
        <f t="shared" si="46"/>
        <v>47841</v>
      </c>
      <c r="G91" s="24">
        <f>IF(AND(E91&gt;=$T$14,E91&lt;=$T$14+5),$T$15,IF(AND(Q90+L91+H91&gt;G90,G90&lt;&gt;0),$C$29,IF(Q90=0,0,Q90+L91+H91+H92)))+IF(AND(E91=$C$10,$C$22&lt;&gt;"Нет"),MIN((I91-I91/$C$19*$C$23),Q90+H91-G90),0)</f>
        <v>14612</v>
      </c>
      <c r="H91" s="24">
        <f>IF(AND(E91&gt;=$T$14,E91&lt;=$T$14+5),0,IF($C$9&gt;$AC$52,ROUND(Q90*$C$19*((F91-DATE(YEAR(F91),MONTH(F91),1)+1)/(DATE(YEAR(F91)+1,1,1)-DATE(YEAR(F91),1,1))+(EOMONTH(F90,0)-F90)/(DATE(YEAR(F90)+1,1,1)-DATE(YEAR(F90),1,1))),2),0))</f>
        <v>4298.25</v>
      </c>
      <c r="I91" s="24">
        <f t="shared" si="52"/>
        <v>845384.1100000001</v>
      </c>
      <c r="J91" s="24">
        <f>IF(AND(E91=$C$10,$C$22&lt;&gt;"Нет"),MIN((I91-I91/$C$19*$C$23),Q90+H91-G90),0)</f>
        <v>0</v>
      </c>
      <c r="K91" s="24">
        <f t="shared" si="47"/>
        <v>10313.75</v>
      </c>
      <c r="L91" s="24">
        <f>IF(N91&gt;$C$29,$C$29-H91,IF(S91=0,0,O91))</f>
        <v>0</v>
      </c>
      <c r="M91" s="24">
        <f t="shared" si="61"/>
        <v>0</v>
      </c>
      <c r="N91" s="24">
        <f t="shared" si="62"/>
        <v>4298.25</v>
      </c>
      <c r="O91" s="24">
        <f t="shared" si="50"/>
        <v>0</v>
      </c>
      <c r="P91" s="24">
        <f t="shared" si="51"/>
        <v>0</v>
      </c>
      <c r="Q91" s="24">
        <f t="shared" si="48"/>
        <v>164587.10999999996</v>
      </c>
      <c r="R91" s="36">
        <f t="shared" si="58"/>
        <v>2</v>
      </c>
      <c r="S91" s="36">
        <f>IF(ISERR(CEILING(FLOOR(NPER($C$19/12,-$AA$56,Q90),0.1),1))=TRUE,0,CEILING(FLOOR(NPER($C$19/12,-$AA$56,Q90),0.1),1))</f>
        <v>14</v>
      </c>
      <c r="T91" s="2">
        <f t="shared" si="36"/>
        <v>6776.62</v>
      </c>
      <c r="U91" s="34">
        <f>IF(U90&lt;0,0,IF(T91=0,IF(T90=0,0,$U$46),G50)-IF(AND(T91&gt;0,T92=0),$C$26,0))</f>
        <v>14612</v>
      </c>
      <c r="V91" s="57">
        <f t="shared" si="39"/>
        <v>60645</v>
      </c>
      <c r="W91" s="16">
        <f t="shared" si="41"/>
        <v>42</v>
      </c>
      <c r="AI91" s="2">
        <f t="shared" si="64"/>
        <v>8572.14</v>
      </c>
      <c r="AJ91" s="34">
        <f t="shared" si="63"/>
        <v>14612</v>
      </c>
      <c r="AK91" s="57">
        <f t="shared" si="40"/>
        <v>60645</v>
      </c>
      <c r="AL91" s="130">
        <f t="shared" si="53"/>
        <v>1</v>
      </c>
      <c r="AM91" s="1057">
        <f t="shared" si="56"/>
        <v>83</v>
      </c>
      <c r="AN91" s="1058">
        <f t="shared" si="49"/>
        <v>47841</v>
      </c>
      <c r="AO91" s="105">
        <f>IF(AX90=1,AR91+AP91+AQ91,IF(AW90+AR91+AP91&gt;AO90,$D$29,IF(AW90=0,0,AW90+AR91+AP91+AP123)))</f>
        <v>14612</v>
      </c>
      <c r="AP91" s="105">
        <f>IF(AND(E91&gt;=$T$14,E91&lt;=$T$14+5),0,IF($C$9&gt;$AC$52,ROUND(AW90*$D$19*((AN91-DATE(YEAR(AN91),MONTH(AN91),1)+1)/(DATE(YEAR(AN91)+1,1,1)-DATE(YEAR(AN91),1,1))+(EOMONTH(AN90,0)-AN90)/(DATE(YEAR(AN90)+1,1,1)-DATE(YEAR(AN90),1,1))),2),0))</f>
        <v>514.97</v>
      </c>
      <c r="AQ91" s="105">
        <f t="shared" si="30"/>
        <v>14097.03</v>
      </c>
      <c r="AR91" s="105">
        <f>IF(AT91&gt;$D$29,$D$29-AP91,IF(AY91=0,0,AV91)+BN140)</f>
        <v>0</v>
      </c>
      <c r="AS91" s="105">
        <f t="shared" si="31"/>
        <v>0</v>
      </c>
      <c r="AT91" s="105">
        <f t="shared" si="32"/>
        <v>514.97</v>
      </c>
      <c r="AU91" s="105">
        <f t="shared" si="33"/>
        <v>0</v>
      </c>
      <c r="AV91" s="105">
        <f t="shared" si="34"/>
        <v>0</v>
      </c>
      <c r="AW91" s="105">
        <f t="shared" si="35"/>
        <v>11065.609999999835</v>
      </c>
      <c r="AX91" s="108">
        <f t="shared" si="57"/>
        <v>2</v>
      </c>
      <c r="AY91" s="108">
        <f>IF(ISERR(CEILING(FLOOR(NPER($D$19/12,-$AC$56,AW90),0.1),1))=TRUE,0,CEILING(FLOOR(NPER($D$19/12,-$AC$56,AW90),0.1),1))</f>
        <v>2</v>
      </c>
      <c r="AZ91" s="1047">
        <f t="shared" si="45"/>
        <v>47841</v>
      </c>
      <c r="BA91" s="108">
        <f t="shared" si="45"/>
        <v>14612</v>
      </c>
      <c r="BB91" s="2" t="e">
        <f>IF(AND(E45&gt;=$T$14,E45&lt;=$T$14+5),0,IF($C$9&gt;$AC$52,ROUND(AW44*IF($D$23="",0,$D$23)/(DATEVALUE(CONCATENATE("01/01/",YEAR(AN45)+1))-DATEVALUE(CONCATENATE("01/01/",YEAR(AN45))))*(AN45-AN44),2),0))</f>
        <v>#VALUE!</v>
      </c>
    </row>
    <row r="92" spans="1:54" s="16" customFormat="1" ht="12" x14ac:dyDescent="0.2">
      <c r="A92" s="2"/>
      <c r="B92" s="2"/>
      <c r="C92" s="1"/>
      <c r="D92" s="1"/>
      <c r="E92" s="1055">
        <f t="shared" si="54"/>
        <v>84</v>
      </c>
      <c r="F92" s="1056">
        <f t="shared" si="46"/>
        <v>47872</v>
      </c>
      <c r="G92" s="24">
        <f>IF(AND(E92&gt;=$T$14,E92&lt;=$T$14+5),$T$15,IF(AND(Q91+L92+H92&gt;G91,G91&lt;&gt;0),$C$29,IF(Q91=0,0,Q91+L92+H92+H93)))+IF(AND(E92=$C$10,$C$22&lt;&gt;"Нет"),MIN((I92-I92/$C$19*$C$23),Q91+H92-G91),0)</f>
        <v>168766.71999999994</v>
      </c>
      <c r="H92" s="24">
        <f>IF(AND(E92&gt;=$T$14,E92&lt;=$T$14+5),0,IF($C$9&gt;$AC$52,ROUND(Q91*$C$19*((F92-DATE(YEAR(F92),MONTH(F92),1)+1)/(DATE(YEAR(F92)+1,1,1)-DATE(YEAR(F92),1,1))+(EOMONTH(F91,0)-F91)/(DATE(YEAR(F91)+1,1,1)-DATE(YEAR(F91),1,1))),2),0))</f>
        <v>4179.6099999999997</v>
      </c>
      <c r="I92" s="24">
        <f t="shared" si="52"/>
        <v>849563.72000000009</v>
      </c>
      <c r="J92" s="24">
        <f>IF(AND(E92=$C$10,$C$22&lt;&gt;"Нет"),MIN((I92-I92/$C$19*$C$23),Q91+H92-G91),0)</f>
        <v>154154.71999999994</v>
      </c>
      <c r="K92" s="24">
        <f t="shared" si="47"/>
        <v>164587.10999999996</v>
      </c>
      <c r="L92" s="24">
        <f>IF(N92&gt;$C$29,$C$29-H92,IF(S92=0,0,O92))</f>
        <v>0</v>
      </c>
      <c r="M92" s="24">
        <f t="shared" si="61"/>
        <v>0</v>
      </c>
      <c r="N92" s="24">
        <f t="shared" si="62"/>
        <v>4179.6099999999997</v>
      </c>
      <c r="O92" s="24">
        <f t="shared" si="50"/>
        <v>0</v>
      </c>
      <c r="P92" s="24">
        <f t="shared" si="51"/>
        <v>0</v>
      </c>
      <c r="Q92" s="24">
        <f t="shared" si="48"/>
        <v>0</v>
      </c>
      <c r="R92" s="36">
        <f t="shared" si="58"/>
        <v>1</v>
      </c>
      <c r="S92" s="36">
        <f>IF(ISERR(CEILING(FLOOR(NPER($C$19/12,-$AA$56,Q91),0.1),1))=TRUE,0,CEILING(FLOOR(NPER($C$19/12,-$AA$56,Q91),0.1),1))</f>
        <v>13</v>
      </c>
      <c r="T92" s="2">
        <f t="shared" si="36"/>
        <v>6940.05</v>
      </c>
      <c r="U92" s="34">
        <f>IF(U91&lt;0,0,IF(T92=0,IF(T91=0,0,$U$46),G51)-IF(AND(T92&gt;0,T93=0),$C$26,0))</f>
        <v>14612</v>
      </c>
      <c r="V92" s="57">
        <f t="shared" si="39"/>
        <v>61010</v>
      </c>
      <c r="W92" s="16">
        <f t="shared" si="41"/>
        <v>43</v>
      </c>
      <c r="X92" s="860" t="s">
        <v>115</v>
      </c>
      <c r="Y92" s="86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64"/>
        <v>8444.41</v>
      </c>
      <c r="AJ92" s="34">
        <f t="shared" si="63"/>
        <v>14612</v>
      </c>
      <c r="AK92" s="57">
        <f t="shared" si="40"/>
        <v>61010</v>
      </c>
      <c r="AL92" s="130">
        <f t="shared" si="53"/>
        <v>1</v>
      </c>
      <c r="AM92" s="1057">
        <f t="shared" si="56"/>
        <v>84</v>
      </c>
      <c r="AN92" s="1058">
        <f t="shared" si="49"/>
        <v>47872</v>
      </c>
      <c r="AO92" s="105">
        <f>IF(AX91=1,AR92+AP92+AQ92,IF(AW91+AR92+AP92&gt;AO91,$D$29,IF(AW91=0,0,AW91+AR92+AP92+AP124)))</f>
        <v>11299.619999999835</v>
      </c>
      <c r="AP92" s="105">
        <f>IF(AND(E92&gt;=$T$14,E92&lt;=$T$14+5),0,IF($C$9&gt;$AC$52,ROUND(AW91*$D$19*((AN92-DATE(YEAR(AN92),MONTH(AN92),1)+1)/(DATE(YEAR(AN92)+1,1,1)-DATE(YEAR(AN92),1,1))+(EOMONTH(AN91,0)-AN91)/(DATE(YEAR(AN91)+1,1,1)-DATE(YEAR(AN91),1,1))),2),0))</f>
        <v>234.01</v>
      </c>
      <c r="AQ92" s="105">
        <f t="shared" si="30"/>
        <v>11065.609999999835</v>
      </c>
      <c r="AR92" s="105">
        <f>IF(AT92&gt;$D$29,$D$29-AP92,IF(AY92=0,0,AV92)+BN141)</f>
        <v>0</v>
      </c>
      <c r="AS92" s="105">
        <f t="shared" si="31"/>
        <v>0</v>
      </c>
      <c r="AT92" s="105">
        <f t="shared" si="32"/>
        <v>234.01</v>
      </c>
      <c r="AU92" s="105">
        <f t="shared" si="33"/>
        <v>0</v>
      </c>
      <c r="AV92" s="105">
        <f t="shared" si="34"/>
        <v>0</v>
      </c>
      <c r="AW92" s="105">
        <f t="shared" si="35"/>
        <v>0</v>
      </c>
      <c r="AX92" s="108">
        <f t="shared" si="57"/>
        <v>1</v>
      </c>
      <c r="AY92" s="108">
        <f>IF(ISERR(CEILING(FLOOR(NPER($D$19/12,-$AC$56,AW91),0.1),1))=TRUE,0,CEILING(FLOOR(NPER($D$19/12,-$AC$56,AW91),0.1),1))</f>
        <v>1</v>
      </c>
      <c r="AZ92" s="1047">
        <f t="shared" si="45"/>
        <v>47872</v>
      </c>
      <c r="BA92" s="108">
        <f t="shared" si="45"/>
        <v>168766.71999999994</v>
      </c>
      <c r="BB92" s="2" t="e">
        <f>IF(AND(E46&gt;=$T$14,E46&lt;=$T$14+5),0,IF($C$9&gt;$AC$52,ROUND(AW45*IF($D$23="",0,$D$23)/(DATEVALUE(CONCATENATE("01/01/",YEAR(AN46)+1))-DATEVALUE(CONCATENATE("01/01/",YEAR(AN46))))*(AN46-AN45),2),0))</f>
        <v>#VALUE!</v>
      </c>
    </row>
    <row r="93" spans="1:54" s="16" customFormat="1" ht="12" x14ac:dyDescent="0.2">
      <c r="A93" s="2"/>
      <c r="B93" s="2"/>
      <c r="C93" s="1"/>
      <c r="D93" s="1"/>
      <c r="E93" s="1055">
        <f t="shared" si="54"/>
        <v>85</v>
      </c>
      <c r="F93" s="1056">
        <f t="shared" si="46"/>
        <v>47903</v>
      </c>
      <c r="G93" s="24">
        <f>IF(AND(E93&gt;=$T$14,E93&lt;=$T$14+5),$T$15,IF(AND(Q92+L93+H93&gt;G92,G92&lt;&gt;0),$C$29,IF(Q92=0,0,Q92+L93+H93+H94)))+IF(AND(E93=$C$10,$C$22&lt;&gt;"Нет"),MIN((I93-I93/$C$19*$C$23),Q92+H93-G92),0)</f>
        <v>0</v>
      </c>
      <c r="H93" s="24">
        <f>IF(AND(E93&gt;=$T$14,E93&lt;=$T$14+5),0,IF($C$9&gt;$AC$52,ROUND(Q92*$C$19*((F93-DATE(YEAR(F93),MONTH(F93),1)+1)/(DATE(YEAR(F93)+1,1,1)-DATE(YEAR(F93),1,1))+(EOMONTH(F92,0)-F92)/(DATE(YEAR(F92)+1,1,1)-DATE(YEAR(F92),1,1))),2),0))</f>
        <v>0</v>
      </c>
      <c r="I93" s="24">
        <f t="shared" si="52"/>
        <v>849563.72000000009</v>
      </c>
      <c r="J93" s="24">
        <f>IF(AND(E93=$C$10,$C$22&lt;&gt;"Нет"),MIN((I93-I93/$C$19*$C$23),Q92+H93-G92),0)</f>
        <v>0</v>
      </c>
      <c r="K93" s="24">
        <f t="shared" si="47"/>
        <v>0</v>
      </c>
      <c r="L93" s="24">
        <f>IF(N93&gt;$C$29,$C$29-H93,IF(S93=0,0,O93))</f>
        <v>0</v>
      </c>
      <c r="M93" s="24">
        <f t="shared" si="61"/>
        <v>0</v>
      </c>
      <c r="N93" s="24">
        <f t="shared" si="62"/>
        <v>0</v>
      </c>
      <c r="O93" s="24">
        <f t="shared" si="50"/>
        <v>0</v>
      </c>
      <c r="P93" s="24">
        <f t="shared" si="51"/>
        <v>0</v>
      </c>
      <c r="Q93" s="24">
        <f t="shared" si="48"/>
        <v>0</v>
      </c>
      <c r="R93" s="36">
        <f t="shared" si="58"/>
        <v>0</v>
      </c>
      <c r="S93" s="36">
        <f>IF(ISERR(CEILING(FLOOR(NPER($C$19/12,-$AA$56,Q92),0.1),1))=TRUE,0,CEILING(FLOOR(NPER($C$19/12,-$AA$56,Q92),0.1),1))</f>
        <v>0</v>
      </c>
      <c r="T93" s="2">
        <f t="shared" si="36"/>
        <v>6881.74</v>
      </c>
      <c r="U93" s="34">
        <f>IF(U92&lt;0,0,IF(T93=0,IF(T92=0,0,$U$46),G52)-IF(AND(T93&gt;0,T94=0),$C$26,0))</f>
        <v>14612</v>
      </c>
      <c r="V93" s="57">
        <f t="shared" si="39"/>
        <v>61375</v>
      </c>
      <c r="W93" s="16">
        <f t="shared" si="41"/>
        <v>44</v>
      </c>
      <c r="X93" s="133" t="s">
        <v>96</v>
      </c>
      <c r="Y93" s="133" t="s">
        <v>97</v>
      </c>
      <c r="Z93" s="133" t="s">
        <v>98</v>
      </c>
      <c r="AA93" s="1028"/>
      <c r="AB93" s="1028"/>
      <c r="AC93" s="1028"/>
      <c r="AD93" s="1028"/>
      <c r="AI93" s="2">
        <f t="shared" si="64"/>
        <v>8045.79</v>
      </c>
      <c r="AJ93" s="34">
        <f t="shared" si="63"/>
        <v>14612</v>
      </c>
      <c r="AK93" s="57">
        <f t="shared" si="40"/>
        <v>61375</v>
      </c>
      <c r="AL93" s="130">
        <f t="shared" si="53"/>
        <v>0</v>
      </c>
      <c r="AM93" s="1057">
        <f t="shared" si="56"/>
        <v>85</v>
      </c>
      <c r="AN93" s="1058">
        <f t="shared" si="49"/>
        <v>47903</v>
      </c>
      <c r="AO93" s="105">
        <f>IF(AX92=1,AR93+AP93+AQ93,IF(AW92+AR93+AP93&gt;AO92,$D$29,IF(AW92=0,0,AW92+AR93+AP93+AP125)))</f>
        <v>0</v>
      </c>
      <c r="AP93" s="105">
        <f>IF(AND(E93&gt;=$T$14,E93&lt;=$T$14+5),0,IF($C$9&gt;$AC$52,ROUND(AW92*$D$19*((AN93-DATE(YEAR(AN93),MONTH(AN93),1)+1)/(DATE(YEAR(AN93)+1,1,1)-DATE(YEAR(AN93),1,1))+(EOMONTH(AN92,0)-AN92)/(DATE(YEAR(AN92)+1,1,1)-DATE(YEAR(AN92),1,1))),2),0))</f>
        <v>0</v>
      </c>
      <c r="AQ93" s="105">
        <f t="shared" si="30"/>
        <v>0</v>
      </c>
      <c r="AR93" s="105">
        <f>IF(AT93&gt;$D$29,$D$29-AP93,IF(AY93=0,0,AV93)+BN142)</f>
        <v>0</v>
      </c>
      <c r="AS93" s="105">
        <f t="shared" si="31"/>
        <v>0</v>
      </c>
      <c r="AT93" s="105">
        <f t="shared" si="32"/>
        <v>0</v>
      </c>
      <c r="AU93" s="105">
        <f t="shared" si="33"/>
        <v>0</v>
      </c>
      <c r="AV93" s="105">
        <f t="shared" si="34"/>
        <v>0</v>
      </c>
      <c r="AW93" s="105">
        <f t="shared" si="35"/>
        <v>0</v>
      </c>
      <c r="AX93" s="108">
        <f t="shared" si="57"/>
        <v>0</v>
      </c>
      <c r="AY93" s="108">
        <f>IF(ISERR(CEILING(FLOOR(NPER($D$19/12,-$AC$56,AW92),0.1),1))=TRUE,0,CEILING(FLOOR(NPER($D$19/12,-$AC$56,AW92),0.1),1))</f>
        <v>0</v>
      </c>
      <c r="AZ93" s="1047">
        <f t="shared" si="45"/>
        <v>47903</v>
      </c>
      <c r="BA93" s="108">
        <f t="shared" si="45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055">
        <f t="shared" si="54"/>
        <v>86</v>
      </c>
      <c r="F94" s="1056">
        <f t="shared" si="46"/>
        <v>47931</v>
      </c>
      <c r="G94" s="24">
        <f>IF(AND(E94&gt;=$T$14,E94&lt;=$T$14+5),$T$15,IF(AND(Q93+L94+H94&gt;G93,G93&lt;&gt;0),$C$29,IF(Q93=0,0,Q93+L94+H94+H95)))+IF(AND(E94=$C$10,$C$22&lt;&gt;"Нет"),MIN((I94-I94/$C$19*$C$23),Q93+H94-G93),0)</f>
        <v>0</v>
      </c>
      <c r="H94" s="24">
        <f>IF(AND(E94&gt;=$T$14,E94&lt;=$T$14+5),0,IF($C$9&gt;$AC$52,ROUND(Q93*$C$19*((F94-DATE(YEAR(F94),MONTH(F94),1)+1)/(DATE(YEAR(F94)+1,1,1)-DATE(YEAR(F94),1,1))+(EOMONTH(F93,0)-F93)/(DATE(YEAR(F93)+1,1,1)-DATE(YEAR(F93),1,1))),2),0))</f>
        <v>0</v>
      </c>
      <c r="I94" s="24">
        <f t="shared" si="52"/>
        <v>849563.72000000009</v>
      </c>
      <c r="J94" s="24">
        <f>IF(AND(E94=$C$10,$C$22&lt;&gt;"Нет"),MIN((I94-I94/$C$19*$C$23),Q93+H94-G93),0)</f>
        <v>0</v>
      </c>
      <c r="K94" s="24">
        <f t="shared" si="47"/>
        <v>0</v>
      </c>
      <c r="L94" s="24">
        <f>IF(N94&gt;$C$29,$C$29-H94,IF(S94=0,0,O94))</f>
        <v>0</v>
      </c>
      <c r="M94" s="24">
        <f t="shared" si="61"/>
        <v>0</v>
      </c>
      <c r="N94" s="24">
        <f t="shared" si="62"/>
        <v>0</v>
      </c>
      <c r="O94" s="24">
        <f t="shared" si="50"/>
        <v>0</v>
      </c>
      <c r="P94" s="24">
        <f t="shared" si="51"/>
        <v>0</v>
      </c>
      <c r="Q94" s="24">
        <f t="shared" si="48"/>
        <v>0</v>
      </c>
      <c r="R94" s="36">
        <f t="shared" si="58"/>
        <v>0</v>
      </c>
      <c r="S94" s="36">
        <f>IF(ISERR(CEILING(FLOOR(NPER($C$19/12,-$AA$56,Q93),0.1),1))=TRUE,0,CEILING(FLOOR(NPER($C$19/12,-$AA$56,Q93),0.1),1))</f>
        <v>0</v>
      </c>
      <c r="T94" s="2">
        <f t="shared" si="36"/>
        <v>6601.88</v>
      </c>
      <c r="U94" s="34">
        <f>IF(U93&lt;0,0,IF(T94=0,IF(T93=0,0,$U$46),G53)-IF(AND(T94&gt;0,T95=0),$C$26,0))</f>
        <v>14612</v>
      </c>
      <c r="V94" s="57">
        <f t="shared" si="39"/>
        <v>61740</v>
      </c>
      <c r="W94" s="16">
        <f t="shared" si="41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028"/>
      <c r="AD94" s="1028"/>
      <c r="AI94" s="2">
        <f t="shared" si="64"/>
        <v>8175.12</v>
      </c>
      <c r="AJ94" s="34">
        <f t="shared" si="63"/>
        <v>14612</v>
      </c>
      <c r="AK94" s="57">
        <f t="shared" si="40"/>
        <v>61740</v>
      </c>
      <c r="AL94" s="130">
        <f t="shared" si="53"/>
        <v>0</v>
      </c>
      <c r="AM94" s="1057">
        <f t="shared" si="56"/>
        <v>86</v>
      </c>
      <c r="AN94" s="1058">
        <f t="shared" si="49"/>
        <v>47931</v>
      </c>
      <c r="AO94" s="105">
        <f>IF(AX93=1,AR94+AP94+AQ94,IF(AW93+AR94+AP94&gt;AO93,$D$29,IF(AW93=0,0,AW93+AR94+AP94+AP126)))</f>
        <v>0</v>
      </c>
      <c r="AP94" s="105">
        <f>IF(AND(E94&gt;=$T$14,E94&lt;=$T$14+5),0,IF($C$9&gt;$AC$52,ROUND(AW93*$D$19*((AN94-DATE(YEAR(AN94),MONTH(AN94),1)+1)/(DATE(YEAR(AN94)+1,1,1)-DATE(YEAR(AN94),1,1))+(EOMONTH(AN93,0)-AN93)/(DATE(YEAR(AN93)+1,1,1)-DATE(YEAR(AN93),1,1))),2),0))</f>
        <v>0</v>
      </c>
      <c r="AQ94" s="105">
        <f t="shared" si="30"/>
        <v>0</v>
      </c>
      <c r="AR94" s="105">
        <f>IF(AT94&gt;$D$29,$D$29-AP94,IF(AY94=0,0,AV94)+BN143)</f>
        <v>0</v>
      </c>
      <c r="AS94" s="105">
        <f t="shared" si="31"/>
        <v>0</v>
      </c>
      <c r="AT94" s="105">
        <f t="shared" si="32"/>
        <v>0</v>
      </c>
      <c r="AU94" s="105">
        <f t="shared" si="33"/>
        <v>0</v>
      </c>
      <c r="AV94" s="105">
        <f t="shared" si="34"/>
        <v>0</v>
      </c>
      <c r="AW94" s="105">
        <f t="shared" si="35"/>
        <v>0</v>
      </c>
      <c r="AX94" s="108">
        <f t="shared" si="57"/>
        <v>0</v>
      </c>
      <c r="AY94" s="108">
        <f>IF(ISERR(CEILING(FLOOR(NPER($D$19/12,-$AC$56,AW93),0.1),1))=TRUE,0,CEILING(FLOOR(NPER($D$19/12,-$AC$56,AW93),0.1),1))</f>
        <v>0</v>
      </c>
      <c r="AZ94" s="1047">
        <f t="shared" si="45"/>
        <v>47931</v>
      </c>
      <c r="BA94" s="108">
        <f t="shared" si="45"/>
        <v>0</v>
      </c>
      <c r="BB94" s="2" t="e">
        <f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055">
        <f t="shared" si="54"/>
        <v>87</v>
      </c>
      <c r="F95" s="1056">
        <f t="shared" si="46"/>
        <v>47962</v>
      </c>
      <c r="G95" s="24">
        <f>IF(AND(E95&gt;=$T$14,E95&lt;=$T$14+5),$T$15,IF(AND(Q94+L95+H95&gt;G94,G94&lt;&gt;0),$C$29,IF(Q94=0,0,Q94+L95+H95+H96)))+IF(AND(E95=$C$10,$C$22&lt;&gt;"Нет"),MIN((I95-I95/$C$19*$C$23),Q94+H95-G94),0)</f>
        <v>0</v>
      </c>
      <c r="H95" s="24">
        <f>IF(AND(E95&gt;=$T$14,E95&lt;=$T$14+5),0,IF($C$9&gt;$AC$52,ROUND(Q94*$C$19*((F95-DATE(YEAR(F95),MONTH(F95),1)+1)/(DATE(YEAR(F95)+1,1,1)-DATE(YEAR(F95),1,1))+(EOMONTH(F94,0)-F94)/(DATE(YEAR(F94)+1,1,1)-DATE(YEAR(F94),1,1))),2),0))</f>
        <v>0</v>
      </c>
      <c r="I95" s="24">
        <f t="shared" si="52"/>
        <v>849563.72000000009</v>
      </c>
      <c r="J95" s="24">
        <f>IF(AND(E95=$C$10,$C$22&lt;&gt;"Нет"),MIN((I95-I95/$C$19*$C$23),Q94+H95-G94),0)</f>
        <v>0</v>
      </c>
      <c r="K95" s="24">
        <f t="shared" si="47"/>
        <v>0</v>
      </c>
      <c r="L95" s="24">
        <f>IF(N95&gt;$C$29,$C$29-H95,IF(S95=0,0,O95))</f>
        <v>0</v>
      </c>
      <c r="M95" s="24">
        <f t="shared" si="61"/>
        <v>0</v>
      </c>
      <c r="N95" s="24">
        <f t="shared" si="62"/>
        <v>0</v>
      </c>
      <c r="O95" s="24">
        <f t="shared" si="50"/>
        <v>0</v>
      </c>
      <c r="P95" s="24">
        <f t="shared" si="51"/>
        <v>0</v>
      </c>
      <c r="Q95" s="24">
        <f t="shared" si="48"/>
        <v>0</v>
      </c>
      <c r="R95" s="36">
        <f t="shared" si="58"/>
        <v>0</v>
      </c>
      <c r="S95" s="36">
        <f>IF(ISERR(CEILING(FLOOR(NPER($C$19/12,-$AA$56,Q94),0.1),1))=TRUE,0,CEILING(FLOOR(NPER($C$19/12,-$AA$56,Q94),0.1),1))</f>
        <v>0</v>
      </c>
      <c r="T95" s="2">
        <f t="shared" si="36"/>
        <v>6755.04</v>
      </c>
      <c r="U95" s="34">
        <f>IF(U94&lt;0,0,IF(T95=0,IF(T94=0,0,$U$46),G54)-IF(AND(T95&gt;0,T96=0),$C$26,0))</f>
        <v>14612</v>
      </c>
      <c r="V95" s="57">
        <f t="shared" si="39"/>
        <v>62105</v>
      </c>
      <c r="W95" s="16">
        <f t="shared" si="41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028"/>
      <c r="AD95" s="1028"/>
      <c r="AI95" s="2">
        <f t="shared" si="64"/>
        <v>7779.67</v>
      </c>
      <c r="AJ95" s="34">
        <f t="shared" si="63"/>
        <v>14612</v>
      </c>
      <c r="AK95" s="57">
        <f t="shared" si="40"/>
        <v>62105</v>
      </c>
      <c r="AL95" s="130">
        <f t="shared" si="53"/>
        <v>0</v>
      </c>
      <c r="AM95" s="1057">
        <f t="shared" si="56"/>
        <v>87</v>
      </c>
      <c r="AN95" s="1058">
        <f t="shared" si="49"/>
        <v>47962</v>
      </c>
      <c r="AO95" s="105">
        <f>IF(AX94=1,AR95+AP95+AQ95,IF(AW94+AR95+AP95&gt;AO94,$D$29,IF(AW94=0,0,AW94+AR95+AP95+AP127)))</f>
        <v>0</v>
      </c>
      <c r="AP95" s="105">
        <f>IF(AND(E95&gt;=$T$14,E95&lt;=$T$14+5),0,IF($C$9&gt;$AC$52,ROUND(AW94*$D$19*((AN95-DATE(YEAR(AN95),MONTH(AN95),1)+1)/(DATE(YEAR(AN95)+1,1,1)-DATE(YEAR(AN95),1,1))+(EOMONTH(AN94,0)-AN94)/(DATE(YEAR(AN94)+1,1,1)-DATE(YEAR(AN94),1,1))),2),0))</f>
        <v>0</v>
      </c>
      <c r="AQ95" s="105">
        <f t="shared" si="30"/>
        <v>0</v>
      </c>
      <c r="AR95" s="105">
        <f>IF(AT95&gt;$D$29,$D$29-AP95,IF(AY95=0,0,AV95)+BN144)</f>
        <v>0</v>
      </c>
      <c r="AS95" s="105">
        <f t="shared" si="31"/>
        <v>0</v>
      </c>
      <c r="AT95" s="105">
        <f t="shared" si="32"/>
        <v>0</v>
      </c>
      <c r="AU95" s="105">
        <f t="shared" si="33"/>
        <v>0</v>
      </c>
      <c r="AV95" s="105">
        <f t="shared" si="34"/>
        <v>0</v>
      </c>
      <c r="AW95" s="105">
        <f t="shared" si="35"/>
        <v>0</v>
      </c>
      <c r="AX95" s="108">
        <f t="shared" si="57"/>
        <v>0</v>
      </c>
      <c r="AY95" s="108">
        <f>IF(ISERR(CEILING(FLOOR(NPER($D$19/12,-$AC$56,AW94),0.1),1))=TRUE,0,CEILING(FLOOR(NPER($D$19/12,-$AC$56,AW94),0.1),1))</f>
        <v>0</v>
      </c>
      <c r="AZ95" s="1047">
        <f t="shared" si="45"/>
        <v>47962</v>
      </c>
      <c r="BA95" s="108">
        <f t="shared" si="45"/>
        <v>0</v>
      </c>
      <c r="BB95" s="2" t="e">
        <f>IF(AND(E50&gt;=$T$14,E50&lt;=$T$14+5),0,IF($C$9&gt;$AC$52,ROUND(AW49*IF($D$23="",0,$D$23)/(DATEVALUE(CONCATENATE("01/01/",YEAR(AN50)+1))-DATEVALUE(CONCATENATE("01/01/",YEAR(AN50))))*(AN50-AN49),2),0))</f>
        <v>#VALUE!</v>
      </c>
    </row>
    <row r="96" spans="1:54" s="16" customFormat="1" thickBot="1" x14ac:dyDescent="0.25">
      <c r="A96" s="2"/>
      <c r="B96" s="2"/>
      <c r="C96" s="1"/>
      <c r="D96" s="1"/>
      <c r="E96" s="1055">
        <f t="shared" si="54"/>
        <v>88</v>
      </c>
      <c r="F96" s="1056">
        <f t="shared" si="46"/>
        <v>47992</v>
      </c>
      <c r="G96" s="24">
        <f>IF(AND(E96&gt;=$T$14,E96&lt;=$T$14+5),$T$15,IF(AND(Q95+L96+H96&gt;G95,G95&lt;&gt;0),$C$29,IF(Q95=0,0,Q95+L96+H96+H97)))+IF(AND(E96=$C$10,$C$22&lt;&gt;"Нет"),MIN((I96-I96/$C$19*$C$23),Q95+H96-G95),0)</f>
        <v>0</v>
      </c>
      <c r="H96" s="24">
        <f>IF(AND(E96&gt;=$T$14,E96&lt;=$T$14+5),0,IF($C$9&gt;$AC$52,ROUND(Q95*$C$19*((F96-DATE(YEAR(F96),MONTH(F96),1)+1)/(DATE(YEAR(F96)+1,1,1)-DATE(YEAR(F96),1,1))+(EOMONTH(F95,0)-F95)/(DATE(YEAR(F95)+1,1,1)-DATE(YEAR(F95),1,1))),2),0))</f>
        <v>0</v>
      </c>
      <c r="I96" s="24">
        <f t="shared" si="52"/>
        <v>849563.72000000009</v>
      </c>
      <c r="J96" s="24">
        <f>IF(AND(E96=$C$10,$C$22&lt;&gt;"Нет"),MIN((I96-I96/$C$19*$C$23),Q95+H96-G95),0)</f>
        <v>0</v>
      </c>
      <c r="K96" s="24">
        <f t="shared" si="47"/>
        <v>0</v>
      </c>
      <c r="L96" s="24">
        <f>IF(N96&gt;$C$29,$C$29-H96,IF(S96=0,0,O96))</f>
        <v>0</v>
      </c>
      <c r="M96" s="24">
        <f t="shared" si="61"/>
        <v>0</v>
      </c>
      <c r="N96" s="24">
        <f t="shared" si="62"/>
        <v>0</v>
      </c>
      <c r="O96" s="24">
        <f t="shared" si="50"/>
        <v>0</v>
      </c>
      <c r="P96" s="24">
        <f t="shared" si="51"/>
        <v>0</v>
      </c>
      <c r="Q96" s="24">
        <f t="shared" si="48"/>
        <v>0</v>
      </c>
      <c r="R96" s="36">
        <f t="shared" si="58"/>
        <v>0</v>
      </c>
      <c r="S96" s="36">
        <f>IF(ISERR(CEILING(FLOOR(NPER($C$19/12,-$AA$56,Q95),0.1),1))=TRUE,0,CEILING(FLOOR(NPER($C$19/12,-$AA$56,Q95),0.1),1))</f>
        <v>0</v>
      </c>
      <c r="T96" s="2">
        <f t="shared" si="36"/>
        <v>6476.16</v>
      </c>
      <c r="U96" s="34">
        <f>IF(U95&lt;0,0,IF(T96=0,IF(T95=0,0,$U$46),G55)-IF(AND(T96&gt;0,T97=0),$C$26,0))</f>
        <v>14612</v>
      </c>
      <c r="V96" s="57">
        <f t="shared" si="39"/>
        <v>62470</v>
      </c>
      <c r="W96" s="16">
        <f t="shared" si="41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028"/>
      <c r="AD96" s="1028"/>
      <c r="AI96" s="2">
        <f t="shared" si="64"/>
        <v>7872.93</v>
      </c>
      <c r="AJ96" s="34">
        <f t="shared" si="63"/>
        <v>14612</v>
      </c>
      <c r="AK96" s="57">
        <f t="shared" si="40"/>
        <v>62470</v>
      </c>
      <c r="AL96" s="130">
        <f t="shared" si="53"/>
        <v>0</v>
      </c>
      <c r="AM96" s="1057">
        <f t="shared" si="56"/>
        <v>88</v>
      </c>
      <c r="AN96" s="1058">
        <f t="shared" si="49"/>
        <v>47992</v>
      </c>
      <c r="AO96" s="105">
        <f>IF(AX95=1,AR96+AP96+AQ96,IF(AW95+AR96+AP96&gt;AO95,$D$29,IF(AW95=0,0,AW95+AR96+AP96+AP128)))</f>
        <v>0</v>
      </c>
      <c r="AP96" s="105">
        <f>IF(AND(E96&gt;=$T$14,E96&lt;=$T$14+5),0,IF($C$9&gt;$AC$52,ROUND(AW95*$D$19*((AN96-DATE(YEAR(AN96),MONTH(AN96),1)+1)/(DATE(YEAR(AN96)+1,1,1)-DATE(YEAR(AN96),1,1))+(EOMONTH(AN95,0)-AN95)/(DATE(YEAR(AN95)+1,1,1)-DATE(YEAR(AN95),1,1))),2),0))</f>
        <v>0</v>
      </c>
      <c r="AQ96" s="105">
        <f t="shared" si="30"/>
        <v>0</v>
      </c>
      <c r="AR96" s="105">
        <f>IF(AT96&gt;$D$29,$D$29-AP96,IF(AY96=0,0,AV96)+BN145)</f>
        <v>0</v>
      </c>
      <c r="AS96" s="105">
        <f t="shared" si="31"/>
        <v>0</v>
      </c>
      <c r="AT96" s="105">
        <f t="shared" si="32"/>
        <v>0</v>
      </c>
      <c r="AU96" s="105">
        <f t="shared" si="33"/>
        <v>0</v>
      </c>
      <c r="AV96" s="105">
        <f t="shared" si="34"/>
        <v>0</v>
      </c>
      <c r="AW96" s="105">
        <f t="shared" si="35"/>
        <v>0</v>
      </c>
      <c r="AX96" s="108">
        <f t="shared" si="57"/>
        <v>0</v>
      </c>
      <c r="AY96" s="108">
        <f>IF(ISERR(CEILING(FLOOR(NPER($D$19/12,-$AC$56,AW95),0.1),1))=TRUE,0,CEILING(FLOOR(NPER($D$19/12,-$AC$56,AW95),0.1),1))</f>
        <v>0</v>
      </c>
      <c r="AZ96" s="1047">
        <f t="shared" si="45"/>
        <v>47992</v>
      </c>
      <c r="BA96" s="108">
        <f t="shared" si="45"/>
        <v>0</v>
      </c>
      <c r="BB96" s="2" t="e">
        <f>IF(AND(E51&gt;=$T$14,E51&lt;=$T$14+5),0,IF($C$9&gt;$AC$52,ROUND(AW50*IF($D$23="",0,$D$23)/(DATEVALUE(CONCATENATE("01/01/",YEAR(AN51)+1))-DATEVALUE(CONCATENATE("01/01/",YEAR(AN51))))*(AN51-AN50),2),0))</f>
        <v>#VALUE!</v>
      </c>
    </row>
    <row r="97" spans="1:1207" s="16" customFormat="1" thickBot="1" x14ac:dyDescent="0.25">
      <c r="A97" s="2"/>
      <c r="B97" s="2"/>
      <c r="C97" s="1"/>
      <c r="D97" s="1"/>
      <c r="E97" s="1055">
        <f t="shared" si="54"/>
        <v>89</v>
      </c>
      <c r="F97" s="1056">
        <f t="shared" si="46"/>
        <v>48023</v>
      </c>
      <c r="G97" s="24">
        <f>IF(AND(E97&gt;=$T$14,E97&lt;=$T$14+5),$T$15,IF(AND(Q96+L97+H97&gt;G96,G96&lt;&gt;0),$C$29,IF(Q96=0,0,Q96+L97+H97+H98)))+IF(AND(E97=$C$10,$C$22&lt;&gt;"Нет"),MIN((I97-I97/$C$19*$C$23),Q96+H97-G96),0)</f>
        <v>0</v>
      </c>
      <c r="H97" s="24">
        <f>IF(AND(E97&gt;=$T$14,E97&lt;=$T$14+5),0,IF($C$9&gt;$AC$52,ROUND(Q96*$C$19*((F97-DATE(YEAR(F97),MONTH(F97),1)+1)/(DATE(YEAR(F97)+1,1,1)-DATE(YEAR(F97),1,1))+(EOMONTH(F96,0)-F96)/(DATE(YEAR(F96)+1,1,1)-DATE(YEAR(F96),1,1))),2),0))</f>
        <v>0</v>
      </c>
      <c r="I97" s="24">
        <f t="shared" si="52"/>
        <v>849563.72000000009</v>
      </c>
      <c r="J97" s="24">
        <f>IF(AND(E97=$C$10,$C$22&lt;&gt;"Нет"),MIN((I97-I97/$C$19*$C$23),Q96+H97-G96),0)</f>
        <v>0</v>
      </c>
      <c r="K97" s="24">
        <f t="shared" si="47"/>
        <v>0</v>
      </c>
      <c r="L97" s="24">
        <f>IF(N97&gt;$C$29,$C$29-H97,IF(S97=0,0,O97))</f>
        <v>0</v>
      </c>
      <c r="M97" s="24">
        <f t="shared" si="61"/>
        <v>0</v>
      </c>
      <c r="N97" s="24">
        <f t="shared" si="62"/>
        <v>0</v>
      </c>
      <c r="O97" s="24">
        <f t="shared" si="50"/>
        <v>0</v>
      </c>
      <c r="P97" s="24">
        <f t="shared" si="51"/>
        <v>0</v>
      </c>
      <c r="Q97" s="24">
        <f t="shared" si="48"/>
        <v>0</v>
      </c>
      <c r="R97" s="36">
        <f t="shared" si="58"/>
        <v>0</v>
      </c>
      <c r="S97" s="36">
        <f>IF(ISERR(CEILING(FLOOR(NPER($C$19/12,-$AA$56,Q96),0.1),1))=TRUE,0,CEILING(FLOOR(NPER($C$19/12,-$AA$56,Q96),0.1),1))</f>
        <v>0</v>
      </c>
      <c r="T97" s="2">
        <f t="shared" si="36"/>
        <v>6603.84</v>
      </c>
      <c r="U97" s="34">
        <f>IF(U96&lt;0,0,IF(T97=0,IF(T96=0,0,$U$46),G56)-IF(AND(T97&gt;0,T98=0),$C$26,0))</f>
        <v>14612</v>
      </c>
      <c r="V97" s="57">
        <f t="shared" si="39"/>
        <v>62835</v>
      </c>
      <c r="W97" s="16">
        <f t="shared" si="41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028"/>
      <c r="AD97" s="1028"/>
      <c r="AI97" s="2">
        <f t="shared" si="64"/>
        <v>7730.91</v>
      </c>
      <c r="AJ97" s="34">
        <f t="shared" si="63"/>
        <v>14612</v>
      </c>
      <c r="AK97" s="57">
        <f t="shared" si="40"/>
        <v>62835</v>
      </c>
      <c r="AL97" s="130">
        <f t="shared" si="53"/>
        <v>0</v>
      </c>
      <c r="AM97" s="1057">
        <f t="shared" si="56"/>
        <v>89</v>
      </c>
      <c r="AN97" s="1058">
        <f t="shared" si="49"/>
        <v>48023</v>
      </c>
      <c r="AO97" s="105">
        <f>IF(AX96=1,AR97+AP97+AQ97,IF(AW96+AR97+AP97&gt;AO96,$D$29,IF(AW96=0,0,AW96+AR97+AP97+AP129)))</f>
        <v>0</v>
      </c>
      <c r="AP97" s="105">
        <f>IF(AND(E97&gt;=$T$14,E97&lt;=$T$14+5),0,IF($C$9&gt;$AC$52,ROUND(AW96*$D$19*((AN97-DATE(YEAR(AN97),MONTH(AN97),1)+1)/(DATE(YEAR(AN97)+1,1,1)-DATE(YEAR(AN97),1,1))+(EOMONTH(AN96,0)-AN96)/(DATE(YEAR(AN96)+1,1,1)-DATE(YEAR(AN96),1,1))),2),0))</f>
        <v>0</v>
      </c>
      <c r="AQ97" s="105">
        <f t="shared" si="30"/>
        <v>0</v>
      </c>
      <c r="AR97" s="105">
        <f>IF(AT97&gt;$D$29,$D$29-AP97,IF(AY97=0,0,AV97)+BN146)</f>
        <v>0</v>
      </c>
      <c r="AS97" s="105">
        <f t="shared" si="31"/>
        <v>0</v>
      </c>
      <c r="AT97" s="105">
        <f t="shared" si="32"/>
        <v>0</v>
      </c>
      <c r="AU97" s="105">
        <f t="shared" si="33"/>
        <v>0</v>
      </c>
      <c r="AV97" s="105">
        <f t="shared" si="34"/>
        <v>0</v>
      </c>
      <c r="AW97" s="105">
        <f t="shared" si="35"/>
        <v>0</v>
      </c>
      <c r="AX97" s="108">
        <f t="shared" si="57"/>
        <v>0</v>
      </c>
      <c r="AY97" s="108">
        <f>IF(ISERR(CEILING(FLOOR(NPER($D$19/12,-$AC$56,AW96),0.1),1))=TRUE,0,CEILING(FLOOR(NPER($D$19/12,-$AC$56,AW96),0.1),1))</f>
        <v>0</v>
      </c>
      <c r="AZ97" s="1047">
        <f t="shared" si="45"/>
        <v>48023</v>
      </c>
      <c r="BA97" s="108">
        <f t="shared" si="45"/>
        <v>0</v>
      </c>
      <c r="BB97" s="2" t="e">
        <f>IF(AND(E52&gt;=$T$14,E52&lt;=$T$14+5),0,IF($C$9&gt;$AC$52,ROUND(AW51*IF($D$23="",0,$D$23)/(DATEVALUE(CONCATENATE("01/01/",YEAR(AN52)+1))-DATEVALUE(CONCATENATE("01/01/",YEAR(AN52))))*(AN52-AN51),2),0))</f>
        <v>#VALUE!</v>
      </c>
    </row>
    <row r="98" spans="1:1207" s="16" customFormat="1" thickBot="1" x14ac:dyDescent="0.25">
      <c r="A98" s="2"/>
      <c r="B98" s="2"/>
      <c r="C98" s="1"/>
      <c r="D98" s="1"/>
      <c r="E98" s="1055">
        <f t="shared" si="54"/>
        <v>90</v>
      </c>
      <c r="F98" s="1056">
        <f t="shared" si="46"/>
        <v>48053</v>
      </c>
      <c r="G98" s="24">
        <f>IF(AND(E98&gt;=$T$14,E98&lt;=$T$14+5),$T$15,IF(AND(Q97+L98+H98&gt;G97,G97&lt;&gt;0),$C$29,IF(Q97=0,0,Q97+L98+H98+H99)))+IF(AND(E98=$C$10,$C$22&lt;&gt;"Нет"),MIN((I98-I98/$C$19*$C$23),Q97+H98-G97),0)</f>
        <v>0</v>
      </c>
      <c r="H98" s="24">
        <f>IF(AND(E98&gt;=$T$14,E98&lt;=$T$14+5),0,IF($C$9&gt;$AC$52,ROUND(Q97*$C$19*((F98-DATE(YEAR(F98),MONTH(F98),1)+1)/(DATE(YEAR(F98)+1,1,1)-DATE(YEAR(F98),1,1))+(EOMONTH(F97,0)-F97)/(DATE(YEAR(F97)+1,1,1)-DATE(YEAR(F97),1,1))),2),0))</f>
        <v>0</v>
      </c>
      <c r="I98" s="24">
        <f t="shared" si="52"/>
        <v>849563.72000000009</v>
      </c>
      <c r="J98" s="24">
        <f>IF(AND(E98=$C$10,$C$22&lt;&gt;"Нет"),MIN((I98-I98/$C$19*$C$23),Q97+H98-G97),0)</f>
        <v>0</v>
      </c>
      <c r="K98" s="24">
        <f t="shared" si="47"/>
        <v>0</v>
      </c>
      <c r="L98" s="24">
        <f>IF(N98&gt;$C$29,$C$29-H98,IF(S98=0,0,O98))</f>
        <v>0</v>
      </c>
      <c r="M98" s="24">
        <f t="shared" si="61"/>
        <v>0</v>
      </c>
      <c r="N98" s="24">
        <f t="shared" si="62"/>
        <v>0</v>
      </c>
      <c r="O98" s="24">
        <f t="shared" si="50"/>
        <v>0</v>
      </c>
      <c r="P98" s="24">
        <f t="shared" si="51"/>
        <v>0</v>
      </c>
      <c r="Q98" s="24">
        <f t="shared" si="48"/>
        <v>0</v>
      </c>
      <c r="R98" s="36">
        <f t="shared" si="58"/>
        <v>0</v>
      </c>
      <c r="S98" s="36">
        <f>IF(ISERR(CEILING(FLOOR(NPER($C$19/12,-$AA$56,Q97),0.1),1))=TRUE,0,CEILING(FLOOR(NPER($C$19/12,-$AA$56,Q97),0.1),1))</f>
        <v>0</v>
      </c>
      <c r="T98" s="2">
        <f t="shared" si="36"/>
        <v>6537.28</v>
      </c>
      <c r="U98" s="34">
        <f>IF(U97&lt;0,0,IF(T98=0,IF(T97=0,0,$U$46),G57)-IF(AND(T98&gt;0,T99=0),$C$26,0))</f>
        <v>14612</v>
      </c>
      <c r="V98" s="57">
        <f t="shared" si="39"/>
        <v>63200</v>
      </c>
      <c r="W98" s="16">
        <f t="shared" si="41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64"/>
        <v>7096.38</v>
      </c>
      <c r="AJ98" s="34">
        <f t="shared" si="63"/>
        <v>14612</v>
      </c>
      <c r="AK98" s="57">
        <f t="shared" si="40"/>
        <v>63200</v>
      </c>
      <c r="AL98" s="130">
        <f t="shared" si="53"/>
        <v>0</v>
      </c>
      <c r="AM98" s="1057">
        <f t="shared" si="56"/>
        <v>90</v>
      </c>
      <c r="AN98" s="1058">
        <f t="shared" si="49"/>
        <v>48053</v>
      </c>
      <c r="AO98" s="105">
        <f>IF(AX97=1,AR98+AP98+AQ98,IF(AW97+AR98+AP98&gt;AO97,$D$29,IF(AW97=0,0,AW97+AR98+AP98+AP130)))</f>
        <v>0</v>
      </c>
      <c r="AP98" s="105">
        <f>IF(AND(E98&gt;=$T$14,E98&lt;=$T$14+5),0,IF($C$9&gt;$AC$52,ROUND(AW97*$D$19*((AN98-DATE(YEAR(AN98),MONTH(AN98),1)+1)/(DATE(YEAR(AN98)+1,1,1)-DATE(YEAR(AN98),1,1))+(EOMONTH(AN97,0)-AN97)/(DATE(YEAR(AN97)+1,1,1)-DATE(YEAR(AN97),1,1))),2),0))</f>
        <v>0</v>
      </c>
      <c r="AQ98" s="105">
        <f t="shared" si="30"/>
        <v>0</v>
      </c>
      <c r="AR98" s="105">
        <f>IF(AT98&gt;$D$29,$D$29-AP98,IF(AY98=0,0,AV98)+BN147)</f>
        <v>0</v>
      </c>
      <c r="AS98" s="105">
        <f t="shared" si="31"/>
        <v>0</v>
      </c>
      <c r="AT98" s="105">
        <f t="shared" si="32"/>
        <v>0</v>
      </c>
      <c r="AU98" s="105">
        <f t="shared" si="33"/>
        <v>0</v>
      </c>
      <c r="AV98" s="105">
        <f t="shared" si="34"/>
        <v>0</v>
      </c>
      <c r="AW98" s="105">
        <f t="shared" si="35"/>
        <v>0</v>
      </c>
      <c r="AX98" s="108">
        <f t="shared" si="57"/>
        <v>0</v>
      </c>
      <c r="AY98" s="108">
        <f>IF(ISERR(CEILING(FLOOR(NPER($D$19/12,-$AC$56,AW97),0.1),1))=TRUE,0,CEILING(FLOOR(NPER($D$19/12,-$AC$56,AW97),0.1),1))</f>
        <v>0</v>
      </c>
      <c r="AZ98" s="1047">
        <f t="shared" si="45"/>
        <v>48053</v>
      </c>
      <c r="BA98" s="108">
        <f t="shared" si="45"/>
        <v>0</v>
      </c>
      <c r="BB98" s="2" t="e">
        <f>IF(AND(E53&gt;=$T$14,E53&lt;=$T$14+5),0,IF($C$9&gt;$AC$52,ROUND(AW52*IF($D$23="",0,$D$23)/(DATEVALUE(CONCATENATE("01/01/",YEAR(AN53)+1))-DATEVALUE(CONCATENATE("01/01/",YEAR(AN53))))*(AN53-AN52),2),0))</f>
        <v>#VALUE!</v>
      </c>
    </row>
    <row r="99" spans="1:1207" s="16" customFormat="1" thickBot="1" x14ac:dyDescent="0.25">
      <c r="A99" s="2"/>
      <c r="B99" s="2"/>
      <c r="C99" s="1"/>
      <c r="D99" s="1"/>
      <c r="E99" s="1055">
        <f t="shared" si="54"/>
        <v>91</v>
      </c>
      <c r="F99" s="1056">
        <f t="shared" si="46"/>
        <v>48084</v>
      </c>
      <c r="G99" s="24">
        <f>IF(AND(E99&gt;=$T$14,E99&lt;=$T$14+5),$T$15,IF(AND(Q98+L99+H99&gt;G98,G98&lt;&gt;0),$C$29,IF(Q98=0,0,Q98+L99+H99+H100)))+IF(AND(E99=$C$10,$C$22&lt;&gt;"Нет"),MIN((I99-I99/$C$19*$C$23),Q98+H99-G98),0)</f>
        <v>0</v>
      </c>
      <c r="H99" s="24">
        <f>IF(AND(E99&gt;=$T$14,E99&lt;=$T$14+5),0,IF($C$9&gt;$AC$52,ROUND(Q98*$C$19*((F99-DATE(YEAR(F99),MONTH(F99),1)+1)/(DATE(YEAR(F99)+1,1,1)-DATE(YEAR(F99),1,1))+(EOMONTH(F98,0)-F98)/(DATE(YEAR(F98)+1,1,1)-DATE(YEAR(F98),1,1))),2),0))</f>
        <v>0</v>
      </c>
      <c r="I99" s="24">
        <f t="shared" si="52"/>
        <v>849563.72000000009</v>
      </c>
      <c r="J99" s="24">
        <f>IF(AND(E99=$C$10,$C$22&lt;&gt;"Нет"),MIN((I99-I99/$C$19*$C$23),Q98+H99-G98),0)</f>
        <v>0</v>
      </c>
      <c r="K99" s="24">
        <f t="shared" si="47"/>
        <v>0</v>
      </c>
      <c r="L99" s="24">
        <f>IF(N99&gt;$C$29,$C$29-H99,IF(S99=0,0,O99))</f>
        <v>0</v>
      </c>
      <c r="M99" s="24">
        <f t="shared" si="61"/>
        <v>0</v>
      </c>
      <c r="N99" s="24">
        <f t="shared" si="62"/>
        <v>0</v>
      </c>
      <c r="O99" s="24">
        <f t="shared" si="50"/>
        <v>0</v>
      </c>
      <c r="P99" s="24">
        <f t="shared" si="51"/>
        <v>0</v>
      </c>
      <c r="Q99" s="24">
        <f t="shared" si="48"/>
        <v>0</v>
      </c>
      <c r="R99" s="36">
        <f t="shared" si="58"/>
        <v>0</v>
      </c>
      <c r="S99" s="36">
        <f>IF(ISERR(CEILING(FLOOR(NPER($C$19/12,-$AA$56,Q98),0.1),1))=TRUE,0,CEILING(FLOOR(NPER($C$19/12,-$AA$56,Q98),0.1),1))</f>
        <v>0</v>
      </c>
      <c r="T99" s="2">
        <f t="shared" si="36"/>
        <v>6051.57</v>
      </c>
      <c r="U99" s="34">
        <f>IF(U98&lt;0,0,IF(T99=0,IF(T98=0,0,$U$46),G58)-IF(AND(T99&gt;0,T100=0),$C$26,0))</f>
        <v>14612</v>
      </c>
      <c r="V99" s="57">
        <f t="shared" si="39"/>
        <v>63565</v>
      </c>
      <c r="W99" s="16">
        <f t="shared" si="41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64"/>
        <v>7427.28</v>
      </c>
      <c r="AJ99" s="34">
        <f t="shared" si="63"/>
        <v>14612</v>
      </c>
      <c r="AK99" s="57">
        <f t="shared" si="40"/>
        <v>63565</v>
      </c>
      <c r="AL99" s="130">
        <f t="shared" si="53"/>
        <v>0</v>
      </c>
      <c r="AM99" s="1057">
        <f t="shared" si="56"/>
        <v>91</v>
      </c>
      <c r="AN99" s="1058">
        <f t="shared" si="49"/>
        <v>48084</v>
      </c>
      <c r="AO99" s="105">
        <f>IF(AX98=1,AR99+AP99+AQ99,IF(AW98+AR99+AP99&gt;AO98,$D$29,IF(AW98=0,0,AW98+AR99+AP99+AP131)))</f>
        <v>0</v>
      </c>
      <c r="AP99" s="105">
        <f>IF(AND(E99&gt;=$T$14,E99&lt;=$T$14+5),0,IF($C$9&gt;$AC$52,ROUND(AW98*$D$19*((AN99-DATE(YEAR(AN99),MONTH(AN99),1)+1)/(DATE(YEAR(AN99)+1,1,1)-DATE(YEAR(AN99),1,1))+(EOMONTH(AN98,0)-AN98)/(DATE(YEAR(AN98)+1,1,1)-DATE(YEAR(AN98),1,1))),2),0))</f>
        <v>0</v>
      </c>
      <c r="AQ99" s="105">
        <f t="shared" si="30"/>
        <v>0</v>
      </c>
      <c r="AR99" s="105">
        <f>IF(AT99&gt;$D$29,$D$29-AP99,IF(AY99=0,0,AV99)+BN148)</f>
        <v>0</v>
      </c>
      <c r="AS99" s="105">
        <f t="shared" si="31"/>
        <v>0</v>
      </c>
      <c r="AT99" s="105">
        <f t="shared" si="32"/>
        <v>0</v>
      </c>
      <c r="AU99" s="105">
        <f t="shared" si="33"/>
        <v>0</v>
      </c>
      <c r="AV99" s="105">
        <f t="shared" si="34"/>
        <v>0</v>
      </c>
      <c r="AW99" s="105">
        <f t="shared" si="35"/>
        <v>0</v>
      </c>
      <c r="AX99" s="108">
        <f t="shared" si="57"/>
        <v>0</v>
      </c>
      <c r="AY99" s="108">
        <f>IF(ISERR(CEILING(FLOOR(NPER($D$19/12,-$AC$56,AW98),0.1),1))=TRUE,0,CEILING(FLOOR(NPER($D$19/12,-$AC$56,AW98),0.1),1))</f>
        <v>0</v>
      </c>
      <c r="AZ99" s="1047">
        <f t="shared" si="45"/>
        <v>48084</v>
      </c>
      <c r="BA99" s="108">
        <f t="shared" si="45"/>
        <v>0</v>
      </c>
      <c r="BB99" s="2" t="e">
        <f>IF(AND(E54&gt;=$T$14,E54&lt;=$T$14+5),0,IF($C$9&gt;$AC$52,ROUND(AW53*IF($D$23="",0,$D$23)/(DATEVALUE(CONCATENATE("01/01/",YEAR(AN54)+1))-DATEVALUE(CONCATENATE("01/01/",YEAR(AN54))))*(AN54-AN53),2),0))</f>
        <v>#VALUE!</v>
      </c>
    </row>
    <row r="100" spans="1:1207" s="16" customFormat="1" ht="12" x14ac:dyDescent="0.2">
      <c r="A100" s="2"/>
      <c r="B100" s="2"/>
      <c r="C100" s="1"/>
      <c r="D100" s="1"/>
      <c r="E100" s="1055">
        <f t="shared" si="54"/>
        <v>92</v>
      </c>
      <c r="F100" s="1056">
        <f t="shared" si="46"/>
        <v>48115</v>
      </c>
      <c r="G100" s="24">
        <f>IF(AND(E100&gt;=$T$14,E100&lt;=$T$14+5),$T$15,IF(AND(Q99+L100+H100&gt;G99,G99&lt;&gt;0),$C$29,IF(Q99=0,0,Q99+L100+H100+H101)))+IF(AND(E100=$C$10,$C$22&lt;&gt;"Нет"),MIN((I100-I100/$C$19*$C$23),Q99+H100-G99),0)</f>
        <v>0</v>
      </c>
      <c r="H100" s="24">
        <f>IF(AND(E100&gt;=$T$14,E100&lt;=$T$14+5),0,IF($C$9&gt;$AC$52,ROUND(Q99*$C$19*((F100-DATE(YEAR(F100),MONTH(F100),1)+1)/(DATE(YEAR(F100)+1,1,1)-DATE(YEAR(F100),1,1))+(EOMONTH(F99,0)-F99)/(DATE(YEAR(F99)+1,1,1)-DATE(YEAR(F99),1,1))),2),0))</f>
        <v>0</v>
      </c>
      <c r="I100" s="24">
        <f t="shared" si="52"/>
        <v>849563.72000000009</v>
      </c>
      <c r="J100" s="24">
        <f>IF(AND(E100=$C$10,$C$22&lt;&gt;"Нет"),MIN((I100-I100/$C$19*$C$23),Q99+H100-G99),0)</f>
        <v>0</v>
      </c>
      <c r="K100" s="24">
        <f t="shared" si="47"/>
        <v>0</v>
      </c>
      <c r="L100" s="24">
        <f>IF(N100&gt;$C$29,$C$29-H100,IF(S100=0,0,O100))</f>
        <v>0</v>
      </c>
      <c r="M100" s="24">
        <f t="shared" si="61"/>
        <v>0</v>
      </c>
      <c r="N100" s="24">
        <f t="shared" si="62"/>
        <v>0</v>
      </c>
      <c r="O100" s="24">
        <f t="shared" si="50"/>
        <v>0</v>
      </c>
      <c r="P100" s="24">
        <f t="shared" si="51"/>
        <v>0</v>
      </c>
      <c r="Q100" s="24">
        <f t="shared" si="48"/>
        <v>0</v>
      </c>
      <c r="R100" s="36">
        <f t="shared" si="58"/>
        <v>0</v>
      </c>
      <c r="S100" s="36">
        <f>IF(ISERR(CEILING(FLOOR(NPER($C$19/12,-$AA$56,Q99),0.1),1))=TRUE,0,CEILING(FLOOR(NPER($C$19/12,-$AA$56,Q99),0.1),1))</f>
        <v>0</v>
      </c>
      <c r="T100" s="2">
        <f t="shared" si="36"/>
        <v>6388.27</v>
      </c>
      <c r="U100" s="34">
        <f>IF(U99&lt;0,0,IF(T100=0,IF(T99=0,0,$U$46),G59)-IF(AND(T100&gt;0,T101=0),$C$26,0))</f>
        <v>14612</v>
      </c>
      <c r="V100" s="57">
        <f t="shared" si="39"/>
        <v>63930</v>
      </c>
      <c r="W100" s="16">
        <f t="shared" si="41"/>
        <v>51</v>
      </c>
      <c r="AI100" s="2">
        <f t="shared" si="64"/>
        <v>7041.05</v>
      </c>
      <c r="AJ100" s="34">
        <f t="shared" si="63"/>
        <v>14612</v>
      </c>
      <c r="AK100" s="57">
        <f t="shared" si="40"/>
        <v>63930</v>
      </c>
      <c r="AL100" s="130">
        <f t="shared" si="53"/>
        <v>0</v>
      </c>
      <c r="AM100" s="1057">
        <f t="shared" si="56"/>
        <v>92</v>
      </c>
      <c r="AN100" s="1058">
        <f t="shared" si="49"/>
        <v>48115</v>
      </c>
      <c r="AO100" s="105">
        <f>IF(AX99=1,AR100+AP100+AQ100,IF(AW99+AR100+AP100&gt;AO99,$D$29,IF(AW99=0,0,AW99+AR100+AP100+AP132)))</f>
        <v>0</v>
      </c>
      <c r="AP100" s="105">
        <f>IF(AND(E100&gt;=$T$14,E100&lt;=$T$14+5),0,IF($C$9&gt;$AC$52,ROUND(AW99*$D$19*((AN100-DATE(YEAR(AN100),MONTH(AN100),1)+1)/(DATE(YEAR(AN100)+1,1,1)-DATE(YEAR(AN100),1,1))+(EOMONTH(AN99,0)-AN99)/(DATE(YEAR(AN99)+1,1,1)-DATE(YEAR(AN99),1,1))),2),0))</f>
        <v>0</v>
      </c>
      <c r="AQ100" s="105">
        <f t="shared" si="30"/>
        <v>0</v>
      </c>
      <c r="AR100" s="105">
        <f>IF(AT100&gt;$D$29,$D$29-AP100,IF(AY100=0,0,AV100)+BN149)</f>
        <v>0</v>
      </c>
      <c r="AS100" s="105">
        <f t="shared" si="31"/>
        <v>0</v>
      </c>
      <c r="AT100" s="105">
        <f t="shared" si="32"/>
        <v>0</v>
      </c>
      <c r="AU100" s="105">
        <f t="shared" si="33"/>
        <v>0</v>
      </c>
      <c r="AV100" s="105">
        <f t="shared" si="34"/>
        <v>0</v>
      </c>
      <c r="AW100" s="105">
        <f t="shared" si="35"/>
        <v>0</v>
      </c>
      <c r="AX100" s="108">
        <f t="shared" si="57"/>
        <v>0</v>
      </c>
      <c r="AY100" s="108">
        <f>IF(ISERR(CEILING(FLOOR(NPER($D$19/12,-$AC$56,AW99),0.1),1))=TRUE,0,CEILING(FLOOR(NPER($D$19/12,-$AC$56,AW99),0.1),1))</f>
        <v>0</v>
      </c>
      <c r="AZ100" s="1047">
        <f t="shared" si="45"/>
        <v>48115</v>
      </c>
      <c r="BA100" s="108">
        <f t="shared" si="45"/>
        <v>0</v>
      </c>
      <c r="BB100" s="2" t="e">
        <f>IF(AND(E55&gt;=$T$14,E55&lt;=$T$14+5),0,IF($C$9&gt;$AC$52,ROUND(AW54*IF($D$23="",0,$D$23)/(DATEVALUE(CONCATENATE("01/01/",YEAR(AN55)+1))-DATEVALUE(CONCATENATE("01/01/",YEAR(AN55))))*(AN55-AN54),2),0))</f>
        <v>#VALUE!</v>
      </c>
    </row>
    <row r="101" spans="1:1207" s="16" customFormat="1" ht="12" x14ac:dyDescent="0.2">
      <c r="A101" s="2"/>
      <c r="B101" s="2"/>
      <c r="C101" s="1"/>
      <c r="D101" s="1"/>
      <c r="E101" s="1055">
        <f t="shared" si="54"/>
        <v>93</v>
      </c>
      <c r="F101" s="1056">
        <f t="shared" si="46"/>
        <v>48145</v>
      </c>
      <c r="G101" s="24">
        <f>IF(AND(E101&gt;=$T$14,E101&lt;=$T$14+5),$T$15,IF(AND(Q100+L101+H101&gt;G100,G100&lt;&gt;0),$C$29,IF(Q100=0,0,Q100+L101+H101+H102)))+IF(AND(E101=$C$10,$C$22&lt;&gt;"Нет"),MIN((I101-I101/$C$19*$C$23),Q100+H101-G100),0)</f>
        <v>0</v>
      </c>
      <c r="H101" s="24">
        <f>IF(AND(E101&gt;=$T$14,E101&lt;=$T$14+5),0,IF($C$9&gt;$AC$52,ROUND(Q100*$C$19*((F101-DATE(YEAR(F101),MONTH(F101),1)+1)/(DATE(YEAR(F101)+1,1,1)-DATE(YEAR(F101),1,1))+(EOMONTH(F100,0)-F100)/(DATE(YEAR(F100)+1,1,1)-DATE(YEAR(F100),1,1))),2),0))</f>
        <v>0</v>
      </c>
      <c r="I101" s="24">
        <f t="shared" si="52"/>
        <v>849563.72000000009</v>
      </c>
      <c r="J101" s="24">
        <f>IF(AND(E101=$C$10,$C$22&lt;&gt;"Нет"),MIN((I101-I101/$C$19*$C$23),Q100+H101-G100),0)</f>
        <v>0</v>
      </c>
      <c r="K101" s="24">
        <f t="shared" si="47"/>
        <v>0</v>
      </c>
      <c r="L101" s="24">
        <f>IF(N101&gt;$C$29,$C$29-H101,IF(S101=0,0,O101))</f>
        <v>0</v>
      </c>
      <c r="M101" s="24">
        <f t="shared" si="61"/>
        <v>0</v>
      </c>
      <c r="N101" s="24">
        <f t="shared" si="62"/>
        <v>0</v>
      </c>
      <c r="O101" s="24">
        <f t="shared" si="50"/>
        <v>0</v>
      </c>
      <c r="P101" s="24">
        <f t="shared" si="51"/>
        <v>0</v>
      </c>
      <c r="Q101" s="24">
        <f t="shared" si="48"/>
        <v>0</v>
      </c>
      <c r="R101" s="36">
        <f t="shared" si="58"/>
        <v>0</v>
      </c>
      <c r="S101" s="36">
        <f>IF(ISERR(CEILING(FLOOR(NPER($C$19/12,-$AA$56,Q100),0.1),1))=TRUE,0,CEILING(FLOOR(NPER($C$19/12,-$AA$56,Q100),0.1),1))</f>
        <v>0</v>
      </c>
      <c r="T101" s="2">
        <f t="shared" si="36"/>
        <v>6112.39</v>
      </c>
      <c r="U101" s="34">
        <f>IF(U100&lt;0,0,IF(T101=0,IF(T100=0,0,$U$46),G60)-IF(AND(T101&gt;0,T102=0),$C$26,0))</f>
        <v>14612</v>
      </c>
      <c r="V101" s="57">
        <f t="shared" si="39"/>
        <v>64295</v>
      </c>
      <c r="W101" s="16">
        <f t="shared" si="41"/>
        <v>52</v>
      </c>
      <c r="AI101" s="2">
        <f t="shared" si="64"/>
        <v>7116.08</v>
      </c>
      <c r="AJ101" s="34">
        <f t="shared" si="63"/>
        <v>14612</v>
      </c>
      <c r="AK101" s="57">
        <f t="shared" si="40"/>
        <v>64295</v>
      </c>
      <c r="AL101" s="130">
        <f t="shared" si="53"/>
        <v>0</v>
      </c>
      <c r="AM101" s="1057">
        <f t="shared" si="56"/>
        <v>93</v>
      </c>
      <c r="AN101" s="1058">
        <f t="shared" si="49"/>
        <v>48145</v>
      </c>
      <c r="AO101" s="105">
        <f>IF(AX100=1,AR101+AP101+AQ101,IF(AW100+AR101+AP101&gt;AO100,$D$29,IF(AW100=0,0,AW100+AR101+AP101+AP133)))</f>
        <v>0</v>
      </c>
      <c r="AP101" s="105">
        <f>IF(AND(E101&gt;=$T$14,E101&lt;=$T$14+5),0,IF($C$9&gt;$AC$52,ROUND(AW100*$D$19*((AN101-DATE(YEAR(AN101),MONTH(AN101),1)+1)/(DATE(YEAR(AN101)+1,1,1)-DATE(YEAR(AN101),1,1))+(EOMONTH(AN100,0)-AN100)/(DATE(YEAR(AN100)+1,1,1)-DATE(YEAR(AN100),1,1))),2),0))</f>
        <v>0</v>
      </c>
      <c r="AQ101" s="105">
        <f t="shared" si="30"/>
        <v>0</v>
      </c>
      <c r="AR101" s="105">
        <f>IF(AT101&gt;$D$29,$D$29-AP101,IF(AY101=0,0,AV101)+BN150)</f>
        <v>0</v>
      </c>
      <c r="AS101" s="105">
        <f t="shared" si="31"/>
        <v>0</v>
      </c>
      <c r="AT101" s="105">
        <f t="shared" si="32"/>
        <v>0</v>
      </c>
      <c r="AU101" s="105">
        <f t="shared" si="33"/>
        <v>0</v>
      </c>
      <c r="AV101" s="105">
        <f t="shared" si="34"/>
        <v>0</v>
      </c>
      <c r="AW101" s="105">
        <f t="shared" si="35"/>
        <v>0</v>
      </c>
      <c r="AX101" s="108">
        <f t="shared" si="57"/>
        <v>0</v>
      </c>
      <c r="AY101" s="108">
        <f>IF(ISERR(CEILING(FLOOR(NPER($D$19/12,-$AC$56,AW100),0.1),1))=TRUE,0,CEILING(FLOOR(NPER($D$19/12,-$AC$56,AW100),0.1),1))</f>
        <v>0</v>
      </c>
      <c r="AZ101" s="1047">
        <f t="shared" si="45"/>
        <v>48145</v>
      </c>
      <c r="BA101" s="108">
        <f t="shared" si="45"/>
        <v>0</v>
      </c>
      <c r="BB101" s="2" t="e">
        <f>IF(AND(E56&gt;=$T$14,E56&lt;=$T$14+5),0,IF($C$9&gt;$AC$52,ROUND(AW55*IF($D$23="",0,$D$23)/(DATEVALUE(CONCATENATE("01/01/",YEAR(AN56)+1))-DATEVALUE(CONCATENATE("01/01/",YEAR(AN56))))*(AN56-AN55),2),0))</f>
        <v>#VALUE!</v>
      </c>
    </row>
    <row r="102" spans="1:1207" s="16" customFormat="1" ht="12" x14ac:dyDescent="0.2">
      <c r="A102" s="2"/>
      <c r="B102" s="2"/>
      <c r="C102" s="1"/>
      <c r="D102" s="1"/>
      <c r="E102" s="1055">
        <f t="shared" si="54"/>
        <v>94</v>
      </c>
      <c r="F102" s="1056">
        <f t="shared" si="46"/>
        <v>48176</v>
      </c>
      <c r="G102" s="24">
        <f>IF(AND(E102&gt;=$T$14,E102&lt;=$T$14+5),$T$15,IF(AND(Q101+L102+H102&gt;G101,G101&lt;&gt;0),$C$29,IF(Q101=0,0,Q101+L102+H102+H103)))+IF(AND(E102=$C$10,$C$22&lt;&gt;"Нет"),MIN((I102-I102/$C$19*$C$23),Q101+H102-G101),0)</f>
        <v>0</v>
      </c>
      <c r="H102" s="24">
        <f>IF(AND(E102&gt;=$T$14,E102&lt;=$T$14+5),0,IF($C$9&gt;$AC$52,ROUND(Q101*$C$19*((F102-DATE(YEAR(F102),MONTH(F102),1)+1)/(DATE(YEAR(F102)+1,1,1)-DATE(YEAR(F102),1,1))+(EOMONTH(F101,0)-F101)/(DATE(YEAR(F101)+1,1,1)-DATE(YEAR(F101),1,1))),2),0))</f>
        <v>0</v>
      </c>
      <c r="I102" s="24">
        <f t="shared" si="52"/>
        <v>849563.72000000009</v>
      </c>
      <c r="J102" s="24">
        <f>IF(AND(E102=$C$10,$C$22&lt;&gt;"Нет"),MIN((I102-I102/$C$19*$C$23),Q101+H102-G101),0)</f>
        <v>0</v>
      </c>
      <c r="K102" s="24">
        <f t="shared" si="47"/>
        <v>0</v>
      </c>
      <c r="L102" s="24">
        <f>IF(N102&gt;$C$29,$C$29-H102,IF(S102=0,0,O102))</f>
        <v>0</v>
      </c>
      <c r="M102" s="24">
        <f t="shared" si="61"/>
        <v>0</v>
      </c>
      <c r="N102" s="24">
        <f t="shared" si="62"/>
        <v>0</v>
      </c>
      <c r="O102" s="24">
        <f t="shared" si="50"/>
        <v>0</v>
      </c>
      <c r="P102" s="24">
        <f t="shared" si="51"/>
        <v>0</v>
      </c>
      <c r="Q102" s="24">
        <f t="shared" si="48"/>
        <v>0</v>
      </c>
      <c r="R102" s="36">
        <f t="shared" si="58"/>
        <v>0</v>
      </c>
      <c r="S102" s="36">
        <f>IF(ISERR(CEILING(FLOOR(NPER($C$19/12,-$AA$56,Q101),0.1),1))=TRUE,0,CEILING(FLOOR(NPER($C$19/12,-$AA$56,Q101),0.1),1))</f>
        <v>0</v>
      </c>
      <c r="T102" s="2">
        <f t="shared" si="36"/>
        <v>6237.02</v>
      </c>
      <c r="U102" s="34">
        <f>IF(U101&lt;0,0,IF(T102=0,IF(T101=0,0,$U$46),G61)-IF(AND(T102&gt;0,T103=0),$C$26,0))</f>
        <v>14612</v>
      </c>
      <c r="V102" s="57">
        <f t="shared" si="39"/>
        <v>64660</v>
      </c>
      <c r="W102" s="16">
        <f t="shared" si="41"/>
        <v>53</v>
      </c>
      <c r="AI102" s="2">
        <f t="shared" si="64"/>
        <v>6733.54</v>
      </c>
      <c r="AJ102" s="34">
        <f t="shared" si="63"/>
        <v>14612</v>
      </c>
      <c r="AK102" s="57">
        <f t="shared" si="40"/>
        <v>64660</v>
      </c>
      <c r="AL102" s="130">
        <f t="shared" si="53"/>
        <v>0</v>
      </c>
      <c r="AM102" s="1057">
        <f t="shared" si="56"/>
        <v>94</v>
      </c>
      <c r="AN102" s="1058">
        <f t="shared" si="49"/>
        <v>48176</v>
      </c>
      <c r="AO102" s="105">
        <f>IF(AX101=1,AR102+AP102+AQ102,IF(AW101+AR102+AP102&gt;AO101,$D$29,IF(AW101=0,0,AW101+AR102+AP102+AP134)))</f>
        <v>0</v>
      </c>
      <c r="AP102" s="105">
        <f>IF(AND(E102&gt;=$T$14,E102&lt;=$T$14+5),0,IF($C$9&gt;$AC$52,ROUND(AW101*$D$19*((AN102-DATE(YEAR(AN102),MONTH(AN102),1)+1)/(DATE(YEAR(AN102)+1,1,1)-DATE(YEAR(AN102),1,1))+(EOMONTH(AN101,0)-AN101)/(DATE(YEAR(AN101)+1,1,1)-DATE(YEAR(AN101),1,1))),2),0))</f>
        <v>0</v>
      </c>
      <c r="AQ102" s="105">
        <f t="shared" si="30"/>
        <v>0</v>
      </c>
      <c r="AR102" s="105">
        <f>IF(AT102&gt;$D$29,$D$29-AP102,IF(AY102=0,0,AV102)+BN151)</f>
        <v>0</v>
      </c>
      <c r="AS102" s="105">
        <f t="shared" si="31"/>
        <v>0</v>
      </c>
      <c r="AT102" s="105">
        <f t="shared" si="32"/>
        <v>0</v>
      </c>
      <c r="AU102" s="105">
        <f t="shared" si="33"/>
        <v>0</v>
      </c>
      <c r="AV102" s="105">
        <f t="shared" si="34"/>
        <v>0</v>
      </c>
      <c r="AW102" s="105">
        <f t="shared" si="35"/>
        <v>0</v>
      </c>
      <c r="AX102" s="108">
        <f t="shared" si="57"/>
        <v>0</v>
      </c>
      <c r="AY102" s="108">
        <f>IF(ISERR(CEILING(FLOOR(NPER($D$19/12,-$AC$56,AW101),0.1),1))=TRUE,0,CEILING(FLOOR(NPER($D$19/12,-$AC$56,AW101),0.1),1))</f>
        <v>0</v>
      </c>
      <c r="AZ102" s="1047">
        <f t="shared" si="45"/>
        <v>48176</v>
      </c>
      <c r="BA102" s="108">
        <f t="shared" si="45"/>
        <v>0</v>
      </c>
      <c r="BB102" s="2" t="e">
        <f>IF(AND(E57&gt;=$T$14,E57&lt;=$T$14+5),0,IF($C$9&gt;$AC$52,ROUND(AW56*IF($D$23="",0,$D$23)/(DATEVALUE(CONCATENATE("01/01/",YEAR(AN57)+1))-DATEVALUE(CONCATENATE("01/01/",YEAR(AN57))))*(AN57-AN56),2),0))</f>
        <v>#VALUE!</v>
      </c>
    </row>
    <row r="103" spans="1:1207" s="16" customFormat="1" ht="12" x14ac:dyDescent="0.2">
      <c r="A103" s="2"/>
      <c r="B103" s="2"/>
      <c r="C103" s="1"/>
      <c r="D103" s="1"/>
      <c r="E103" s="1055">
        <f t="shared" si="54"/>
        <v>95</v>
      </c>
      <c r="F103" s="1056">
        <f t="shared" si="46"/>
        <v>48206</v>
      </c>
      <c r="G103" s="24">
        <f>IF(AND(E103&gt;=$T$14,E103&lt;=$T$14+5),$T$15,IF(AND(Q102+L103+H103&gt;G102,G102&lt;&gt;0),$C$29,IF(Q102=0,0,Q102+L103+H103+H104)))+IF(AND(E103=$C$10,$C$22&lt;&gt;"Нет"),MIN((I103-I103/$C$19*$C$23),Q102+H103-G102),0)</f>
        <v>0</v>
      </c>
      <c r="H103" s="24">
        <f>IF(AND(E103&gt;=$T$14,E103&lt;=$T$14+5),0,IF($C$9&gt;$AC$52,ROUND(Q102*$C$19*((F103-DATE(YEAR(F103),MONTH(F103),1)+1)/(DATE(YEAR(F103)+1,1,1)-DATE(YEAR(F103),1,1))+(EOMONTH(F102,0)-F102)/(DATE(YEAR(F102)+1,1,1)-DATE(YEAR(F102),1,1))),2),0))</f>
        <v>0</v>
      </c>
      <c r="I103" s="24">
        <f t="shared" si="52"/>
        <v>849563.72000000009</v>
      </c>
      <c r="J103" s="24">
        <f>IF(AND(E103=$C$10,$C$22&lt;&gt;"Нет"),MIN((I103-I103/$C$19*$C$23),Q102+H103-G102),0)</f>
        <v>0</v>
      </c>
      <c r="K103" s="24">
        <f t="shared" si="47"/>
        <v>0</v>
      </c>
      <c r="L103" s="24">
        <f>IF(N103&gt;$C$29,$C$29-H103,IF(S103=0,0,O103))</f>
        <v>0</v>
      </c>
      <c r="M103" s="24">
        <f t="shared" si="61"/>
        <v>0</v>
      </c>
      <c r="N103" s="24">
        <f t="shared" si="62"/>
        <v>0</v>
      </c>
      <c r="O103" s="24">
        <f t="shared" si="50"/>
        <v>0</v>
      </c>
      <c r="P103" s="24">
        <f t="shared" si="51"/>
        <v>0</v>
      </c>
      <c r="Q103" s="24">
        <f t="shared" si="48"/>
        <v>0</v>
      </c>
      <c r="R103" s="36">
        <f t="shared" si="58"/>
        <v>0</v>
      </c>
      <c r="S103" s="36">
        <f>IF(ISERR(CEILING(FLOOR(NPER($C$19/12,-$AA$56,Q102),0.1),1))=TRUE,0,CEILING(FLOOR(NPER($C$19/12,-$AA$56,Q102),0.1),1))</f>
        <v>0</v>
      </c>
      <c r="T103" s="2">
        <f t="shared" si="36"/>
        <v>5962.32</v>
      </c>
      <c r="U103" s="34">
        <f>IF(U102&lt;0,0,IF(T103=0,IF(T102=0,0,$U$46),G62)-IF(AND(T103&gt;0,T104=0),$C$26,0))</f>
        <v>14612</v>
      </c>
      <c r="V103" s="57">
        <f t="shared" si="39"/>
        <v>65025</v>
      </c>
      <c r="W103" s="16">
        <f t="shared" si="41"/>
        <v>54</v>
      </c>
      <c r="AI103" s="2">
        <f t="shared" si="64"/>
        <v>6791.83</v>
      </c>
      <c r="AJ103" s="34">
        <f t="shared" si="63"/>
        <v>14612</v>
      </c>
      <c r="AK103" s="57">
        <f t="shared" si="40"/>
        <v>65025</v>
      </c>
      <c r="AL103" s="130">
        <f t="shared" si="53"/>
        <v>0</v>
      </c>
      <c r="AM103" s="1057">
        <f t="shared" si="56"/>
        <v>95</v>
      </c>
      <c r="AN103" s="1058">
        <f t="shared" si="49"/>
        <v>48206</v>
      </c>
      <c r="AO103" s="105">
        <f>IF(AX102=1,AR103+AP103+AQ103,IF(AW102+AR103+AP103&gt;AO102,$D$29,IF(AW102=0,0,AW102+AR103+AP103+AP135)))</f>
        <v>0</v>
      </c>
      <c r="AP103" s="105">
        <f>IF(AND(E103&gt;=$T$14,E103&lt;=$T$14+5),0,IF($C$9&gt;$AC$52,ROUND(AW102*$D$19*((AN103-DATE(YEAR(AN103),MONTH(AN103),1)+1)/(DATE(YEAR(AN103)+1,1,1)-DATE(YEAR(AN103),1,1))+(EOMONTH(AN102,0)-AN102)/(DATE(YEAR(AN102)+1,1,1)-DATE(YEAR(AN102),1,1))),2),0))</f>
        <v>0</v>
      </c>
      <c r="AQ103" s="105">
        <f t="shared" si="30"/>
        <v>0</v>
      </c>
      <c r="AR103" s="105">
        <f>IF(AT103&gt;$D$29,$D$29-AP103,IF(AY103=0,0,AV103)+BN152)</f>
        <v>0</v>
      </c>
      <c r="AS103" s="105">
        <f t="shared" si="31"/>
        <v>0</v>
      </c>
      <c r="AT103" s="105">
        <f t="shared" si="32"/>
        <v>0</v>
      </c>
      <c r="AU103" s="105">
        <f t="shared" si="33"/>
        <v>0</v>
      </c>
      <c r="AV103" s="105">
        <f t="shared" si="34"/>
        <v>0</v>
      </c>
      <c r="AW103" s="105">
        <f t="shared" si="35"/>
        <v>0</v>
      </c>
      <c r="AX103" s="108">
        <f t="shared" si="57"/>
        <v>0</v>
      </c>
      <c r="AY103" s="108">
        <f>IF(ISERR(CEILING(FLOOR(NPER($D$19/12,-$AC$56,AW102),0.1),1))=TRUE,0,CEILING(FLOOR(NPER($D$19/12,-$AC$56,AW102),0.1),1))</f>
        <v>0</v>
      </c>
      <c r="AZ103" s="1047">
        <f t="shared" si="45"/>
        <v>48206</v>
      </c>
      <c r="BA103" s="108">
        <f t="shared" si="45"/>
        <v>0</v>
      </c>
      <c r="BB103" s="2" t="e">
        <f>IF(AND(E58&gt;=$T$14,E58&lt;=$T$14+5),0,IF($C$9&gt;$AC$52,ROUND(AW57*IF($D$23="",0,$D$23)/(DATEVALUE(CONCATENATE("01/01/",YEAR(AN58)+1))-DATEVALUE(CONCATENATE("01/01/",YEAR(AN58))))*(AN58-AN57),2),0))</f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055">
        <f t="shared" si="54"/>
        <v>96</v>
      </c>
      <c r="F104" s="1056">
        <f t="shared" si="46"/>
        <v>48237</v>
      </c>
      <c r="G104" s="24">
        <f>IF(AND(E104&gt;=$T$14,E104&lt;=$T$14+5),$T$15,IF(AND(Q103+L104+H104&gt;G103,G103&lt;&gt;0),$C$29,IF(Q103=0,0,Q103+L104+H104+H105)))+IF(AND(E104=$C$10,$C$22&lt;&gt;"Нет"),MIN((I104-I104/$C$19*$C$23),Q103+H104-G103),0)</f>
        <v>0</v>
      </c>
      <c r="H104" s="24">
        <f>IF(AND(E104&gt;=$T$14,E104&lt;=$T$14+5),0,IF($C$9&gt;$AC$52,ROUND(Q103*$C$19*((F104-DATE(YEAR(F104),MONTH(F104),1)+1)/(DATE(YEAR(F104)+1,1,1)-DATE(YEAR(F104),1,1))+(EOMONTH(F103,0)-F103)/(DATE(YEAR(F103)+1,1,1)-DATE(YEAR(F103),1,1))),2),0))</f>
        <v>0</v>
      </c>
      <c r="I104" s="24">
        <f t="shared" si="52"/>
        <v>849563.72000000009</v>
      </c>
      <c r="J104" s="24">
        <f>IF(AND(E104=$C$10,$C$22&lt;&gt;"Нет"),MIN((I104-I104/$C$19*$C$23),Q103+H104-G103),0)</f>
        <v>0</v>
      </c>
      <c r="K104" s="24">
        <f t="shared" si="47"/>
        <v>0</v>
      </c>
      <c r="L104" s="24">
        <f>IF(N104&gt;$C$29,$C$29-H104,IF(S104=0,0,O104))</f>
        <v>0</v>
      </c>
      <c r="M104" s="24">
        <f t="shared" si="61"/>
        <v>0</v>
      </c>
      <c r="N104" s="24">
        <f t="shared" si="62"/>
        <v>0</v>
      </c>
      <c r="O104" s="24">
        <f t="shared" si="50"/>
        <v>0</v>
      </c>
      <c r="P104" s="24">
        <f t="shared" si="51"/>
        <v>0</v>
      </c>
      <c r="Q104" s="24">
        <f t="shared" si="48"/>
        <v>0</v>
      </c>
      <c r="R104" s="36">
        <f t="shared" si="58"/>
        <v>0</v>
      </c>
      <c r="S104" s="36">
        <f>IF(ISERR(CEILING(FLOOR(NPER($C$19/12,-$AA$56,Q103),0.1),1))=TRUE,0,CEILING(FLOOR(NPER($C$19/12,-$AA$56,Q103),0.1),1))</f>
        <v>0</v>
      </c>
      <c r="T104" s="2">
        <f t="shared" si="36"/>
        <v>6078.15</v>
      </c>
      <c r="U104" s="34">
        <f>IF(U103&lt;0,0,IF(T104=0,IF(T103=0,0,$U$46),G63)-IF(AND(T104&gt;0,T105=0),$C$26,0))</f>
        <v>14612</v>
      </c>
      <c r="V104" s="57">
        <f t="shared" si="39"/>
        <v>65390</v>
      </c>
      <c r="W104" s="16">
        <f t="shared" si="41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64"/>
        <v>6626.9</v>
      </c>
      <c r="AJ104" s="34">
        <f t="shared" si="63"/>
        <v>14612</v>
      </c>
      <c r="AK104" s="57">
        <f t="shared" si="40"/>
        <v>65390</v>
      </c>
      <c r="AL104" s="130">
        <f t="shared" si="53"/>
        <v>0</v>
      </c>
      <c r="AM104" s="1057">
        <f t="shared" si="56"/>
        <v>96</v>
      </c>
      <c r="AN104" s="1058">
        <f t="shared" si="49"/>
        <v>48237</v>
      </c>
      <c r="AO104" s="105">
        <f>IF(AX103=1,AR104+AP104+AQ104,IF(AW103+AR104+AP104&gt;AO103,$D$29,IF(AW103=0,0,AW103+AR104+AP104+AP136)))</f>
        <v>0</v>
      </c>
      <c r="AP104" s="105">
        <f>IF(AND(E104&gt;=$T$14,E104&lt;=$T$14+5),0,IF($C$9&gt;$AC$52,ROUND(AW103*$D$19*((AN104-DATE(YEAR(AN104),MONTH(AN104),1)+1)/(DATE(YEAR(AN104)+1,1,1)-DATE(YEAR(AN104),1,1))+(EOMONTH(AN103,0)-AN103)/(DATE(YEAR(AN103)+1,1,1)-DATE(YEAR(AN103),1,1))),2),0))</f>
        <v>0</v>
      </c>
      <c r="AQ104" s="105">
        <f t="shared" si="30"/>
        <v>0</v>
      </c>
      <c r="AR104" s="105">
        <f>IF(AT104&gt;$D$29,$D$29-AP104,IF(AY104=0,0,AV104)+BN153)</f>
        <v>0</v>
      </c>
      <c r="AS104" s="105">
        <f t="shared" si="31"/>
        <v>0</v>
      </c>
      <c r="AT104" s="105">
        <f t="shared" si="32"/>
        <v>0</v>
      </c>
      <c r="AU104" s="105">
        <f t="shared" si="33"/>
        <v>0</v>
      </c>
      <c r="AV104" s="105">
        <f t="shared" si="34"/>
        <v>0</v>
      </c>
      <c r="AW104" s="105">
        <f t="shared" si="35"/>
        <v>0</v>
      </c>
      <c r="AX104" s="108">
        <f t="shared" si="57"/>
        <v>0</v>
      </c>
      <c r="AY104" s="108">
        <f>IF(ISERR(CEILING(FLOOR(NPER($D$19/12,-$AC$56,AW103),0.1),1))=TRUE,0,CEILING(FLOOR(NPER($D$19/12,-$AC$56,AW103),0.1),1))</f>
        <v>0</v>
      </c>
      <c r="AZ104" s="1047">
        <f t="shared" si="45"/>
        <v>48237</v>
      </c>
      <c r="BA104" s="108">
        <f t="shared" si="45"/>
        <v>0</v>
      </c>
      <c r="BB104" s="2" t="e">
        <f>IF(AND(E59&gt;=$T$14,E59&lt;=$T$14+5),0,IF($C$9&gt;$AC$52,ROUND(AW58*IF($D$23="",0,$D$23)/(DATEVALUE(CONCATENATE("01/01/",YEAR(AN59)+1))-DATEVALUE(CONCATENATE("01/01/",YEAR(AN59))))*(AN59-AN58),2),0))</f>
        <v>#VALUE!</v>
      </c>
    </row>
    <row r="105" spans="1:1207" ht="12" x14ac:dyDescent="0.2">
      <c r="E105" s="1055">
        <f t="shared" si="54"/>
        <v>97</v>
      </c>
      <c r="F105" s="1056">
        <f t="shared" si="46"/>
        <v>48268</v>
      </c>
      <c r="G105" s="24">
        <f>IF(AND(E105&gt;=$T$14,E105&lt;=$T$14+5),$T$15,IF(AND(Q104+L105+H105&gt;G104,G104&lt;&gt;0),$C$29,IF(Q104=0,0,Q104+L105+H105+H106)))+IF(AND(E105=$C$10,$C$22&lt;&gt;"Нет"),MIN((I105-I105/$C$19*$C$23),Q104+H105-G104),0)</f>
        <v>0</v>
      </c>
      <c r="H105" s="24">
        <f>IF(AND(E105&gt;=$T$14,E105&lt;=$T$14+5),0,IF($C$9&gt;$AC$52,ROUND(Q104*$C$19*((F105-DATE(YEAR(F105),MONTH(F105),1)+1)/(DATE(YEAR(F105)+1,1,1)-DATE(YEAR(F105),1,1))+(EOMONTH(F104,0)-F104)/(DATE(YEAR(F104)+1,1,1)-DATE(YEAR(F104),1,1))),2),0))</f>
        <v>0</v>
      </c>
      <c r="I105" s="24">
        <f t="shared" si="52"/>
        <v>849563.72000000009</v>
      </c>
      <c r="J105" s="24">
        <f>IF(AND(E105=$C$10,$C$22&lt;&gt;"Нет"),MIN((I105-I105/$C$19*$C$23),Q104+H105-G104),0)</f>
        <v>0</v>
      </c>
      <c r="K105" s="24">
        <f t="shared" si="47"/>
        <v>0</v>
      </c>
      <c r="L105" s="24">
        <f>IF(N105&gt;$C$29,$C$29-H105,IF(S105=0,0,O105))</f>
        <v>0</v>
      </c>
      <c r="M105" s="24">
        <f t="shared" si="61"/>
        <v>0</v>
      </c>
      <c r="N105" s="24">
        <f t="shared" si="62"/>
        <v>0</v>
      </c>
      <c r="O105" s="24">
        <f t="shared" si="50"/>
        <v>0</v>
      </c>
      <c r="P105" s="24">
        <f t="shared" si="51"/>
        <v>0</v>
      </c>
      <c r="Q105" s="24">
        <f t="shared" si="48"/>
        <v>0</v>
      </c>
      <c r="R105" s="36">
        <f t="shared" si="58"/>
        <v>0</v>
      </c>
      <c r="S105" s="36">
        <f>IF(ISERR(CEILING(FLOOR(NPER($C$19/12,-$AA$56,Q104),0.1),1))=TRUE,0,CEILING(FLOOR(NPER($C$19/12,-$AA$56,Q104),0.1),1))</f>
        <v>0</v>
      </c>
      <c r="T105" s="2">
        <f t="shared" si="36"/>
        <v>5998.17</v>
      </c>
      <c r="U105" s="34">
        <f>IF(U104&lt;0,0,IF(T105=0,IF(T104=0,0,$U$46),G64)-IF(AND(T105&gt;0,T106=0),$C$26,0))</f>
        <v>14612</v>
      </c>
      <c r="V105" s="57">
        <f t="shared" si="39"/>
        <v>65755</v>
      </c>
      <c r="W105" s="16">
        <f t="shared" si="41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64"/>
        <v>6250.16</v>
      </c>
      <c r="AJ105" s="34">
        <f t="shared" si="63"/>
        <v>14612</v>
      </c>
      <c r="AK105" s="57">
        <f t="shared" si="40"/>
        <v>65755</v>
      </c>
      <c r="AL105" s="130">
        <f t="shared" si="53"/>
        <v>0</v>
      </c>
      <c r="AM105" s="1057">
        <f t="shared" si="56"/>
        <v>97</v>
      </c>
      <c r="AN105" s="1058">
        <f t="shared" si="49"/>
        <v>48268</v>
      </c>
      <c r="AO105" s="105">
        <f>IF(AX104=1,AR105+AP105+AQ105,IF(AW104+AR105+AP105&gt;AO104,$D$29,IF(AW104=0,0,AW104+AR105+AP105+AP137)))</f>
        <v>0</v>
      </c>
      <c r="AP105" s="105">
        <f>IF(AND(E105&gt;=$T$14,E105&lt;=$T$14+5),0,IF($C$9&gt;$AC$52,ROUND(AW104*$D$19*((AN105-DATE(YEAR(AN105),MONTH(AN105),1)+1)/(DATE(YEAR(AN105)+1,1,1)-DATE(YEAR(AN105),1,1))+(EOMONTH(AN104,0)-AN104)/(DATE(YEAR(AN104)+1,1,1)-DATE(YEAR(AN104),1,1))),2),0))</f>
        <v>0</v>
      </c>
      <c r="AQ105" s="105">
        <f t="shared" si="30"/>
        <v>0</v>
      </c>
      <c r="AR105" s="105">
        <f>IF(AT105&gt;$D$29,$D$29-AP105,IF(AY105=0,0,AV105)+BN154)</f>
        <v>0</v>
      </c>
      <c r="AS105" s="105">
        <f t="shared" si="31"/>
        <v>0</v>
      </c>
      <c r="AT105" s="105">
        <f t="shared" si="32"/>
        <v>0</v>
      </c>
      <c r="AU105" s="105">
        <f t="shared" si="33"/>
        <v>0</v>
      </c>
      <c r="AV105" s="105">
        <f t="shared" si="34"/>
        <v>0</v>
      </c>
      <c r="AW105" s="105">
        <f t="shared" si="35"/>
        <v>0</v>
      </c>
      <c r="AX105" s="108">
        <f t="shared" si="57"/>
        <v>0</v>
      </c>
      <c r="AY105" s="108">
        <f>IF(ISERR(CEILING(FLOOR(NPER($D$19/12,-$AC$56,AW104),0.1),1))=TRUE,0,CEILING(FLOOR(NPER($D$19/12,-$AC$56,AW104),0.1),1))</f>
        <v>0</v>
      </c>
      <c r="AZ105" s="1047">
        <f t="shared" si="45"/>
        <v>48268</v>
      </c>
      <c r="BA105" s="108">
        <f t="shared" si="45"/>
        <v>0</v>
      </c>
      <c r="BB105" s="2" t="e">
        <f>IF(AND(E60&gt;=$T$14,E60&lt;=$T$14+5),0,IF($C$9&gt;$AC$52,ROUND(AW59*IF($D$23="",0,$D$23)/(DATEVALUE(CONCATENATE("01/01/",YEAR(AN60)+1))-DATEVALUE(CONCATENATE("01/01/",YEAR(AN60))))*(AN60-AN59),2),0))</f>
        <v>#VALUE!</v>
      </c>
    </row>
    <row r="106" spans="1:1207" ht="12" x14ac:dyDescent="0.2">
      <c r="E106" s="1055">
        <f t="shared" si="54"/>
        <v>98</v>
      </c>
      <c r="F106" s="1056">
        <f t="shared" si="46"/>
        <v>48297</v>
      </c>
      <c r="G106" s="24">
        <f>IF(AND(E106&gt;=$T$14,E106&lt;=$T$14+5),$T$15,IF(AND(Q105+L106+H106&gt;G105,G105&lt;&gt;0),$C$29,IF(Q105=0,0,Q105+L106+H106+H107)))+IF(AND(E106=$C$10,$C$22&lt;&gt;"Нет"),MIN((I106-I106/$C$19*$C$23),Q105+H106-G105),0)</f>
        <v>0</v>
      </c>
      <c r="H106" s="24">
        <f>IF(AND(E106&gt;=$T$14,E106&lt;=$T$14+5),0,IF($C$9&gt;$AC$52,ROUND(Q105*$C$19*((F106-DATE(YEAR(F106),MONTH(F106),1)+1)/(DATE(YEAR(F106)+1,1,1)-DATE(YEAR(F106),1,1))+(EOMONTH(F105,0)-F105)/(DATE(YEAR(F105)+1,1,1)-DATE(YEAR(F105),1,1))),2),0))</f>
        <v>0</v>
      </c>
      <c r="I106" s="24">
        <f t="shared" si="52"/>
        <v>849563.72000000009</v>
      </c>
      <c r="J106" s="24">
        <f>IF(AND(E106=$C$10,$C$22&lt;&gt;"Нет"),MIN((I106-I106/$C$19*$C$23),Q105+H106-G105),0)</f>
        <v>0</v>
      </c>
      <c r="K106" s="24">
        <f t="shared" si="47"/>
        <v>0</v>
      </c>
      <c r="L106" s="24">
        <f>IF(N106&gt;$C$29,$C$29-H106,IF(S106=0,0,O106))</f>
        <v>0</v>
      </c>
      <c r="M106" s="24">
        <f t="shared" si="61"/>
        <v>0</v>
      </c>
      <c r="N106" s="24">
        <f t="shared" si="62"/>
        <v>0</v>
      </c>
      <c r="O106" s="24">
        <f t="shared" si="50"/>
        <v>0</v>
      </c>
      <c r="P106" s="24">
        <f t="shared" si="51"/>
        <v>0</v>
      </c>
      <c r="Q106" s="24">
        <f t="shared" si="48"/>
        <v>0</v>
      </c>
      <c r="R106" s="36">
        <f t="shared" si="58"/>
        <v>0</v>
      </c>
      <c r="S106" s="36">
        <f>IF(ISERR(CEILING(FLOOR(NPER($C$19/12,-$AA$56,Q105),0.1),1))=TRUE,0,CEILING(FLOOR(NPER($C$19/12,-$AA$56,Q105),0.1),1))</f>
        <v>0</v>
      </c>
      <c r="T106" s="2">
        <f t="shared" si="36"/>
        <v>5725.32</v>
      </c>
      <c r="U106" s="34">
        <f>IF(U105&lt;0,0,IF(T106=0,IF(T105=0,0,$U$46),G65)-IF(AND(T106&gt;0,T107=0),$C$26,0))</f>
        <v>14612</v>
      </c>
      <c r="V106" s="57">
        <f t="shared" si="39"/>
        <v>66120</v>
      </c>
      <c r="W106" s="16">
        <f t="shared" si="41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64"/>
        <v>6282.14</v>
      </c>
      <c r="AJ106" s="34">
        <f t="shared" si="63"/>
        <v>14612</v>
      </c>
      <c r="AK106" s="57">
        <f t="shared" si="40"/>
        <v>66120</v>
      </c>
      <c r="AL106" s="130">
        <f t="shared" si="53"/>
        <v>0</v>
      </c>
      <c r="AM106" s="1057">
        <f t="shared" si="56"/>
        <v>98</v>
      </c>
      <c r="AN106" s="1058">
        <f t="shared" si="49"/>
        <v>48297</v>
      </c>
      <c r="AO106" s="105">
        <f>IF(AX105=1,AR106+AP106+AQ106,IF(AW105+AR106+AP106&gt;AO105,$D$29,IF(AW105=0,0,AW105+AR106+AP106+AP138)))</f>
        <v>0</v>
      </c>
      <c r="AP106" s="105">
        <f>IF(AND(E106&gt;=$T$14,E106&lt;=$T$14+5),0,IF($C$9&gt;$AC$52,ROUND(AW105*$D$19*((AN106-DATE(YEAR(AN106),MONTH(AN106),1)+1)/(DATE(YEAR(AN106)+1,1,1)-DATE(YEAR(AN106),1,1))+(EOMONTH(AN105,0)-AN105)/(DATE(YEAR(AN105)+1,1,1)-DATE(YEAR(AN105),1,1))),2),0))</f>
        <v>0</v>
      </c>
      <c r="AQ106" s="105">
        <f t="shared" si="30"/>
        <v>0</v>
      </c>
      <c r="AR106" s="105">
        <f>IF(AT106&gt;$D$29,$D$29-AP106,IF(AY106=0,0,AV106)+BN155)</f>
        <v>0</v>
      </c>
      <c r="AS106" s="105">
        <f t="shared" si="31"/>
        <v>0</v>
      </c>
      <c r="AT106" s="105">
        <f t="shared" si="32"/>
        <v>0</v>
      </c>
      <c r="AU106" s="105">
        <f t="shared" si="33"/>
        <v>0</v>
      </c>
      <c r="AV106" s="105">
        <f t="shared" si="34"/>
        <v>0</v>
      </c>
      <c r="AW106" s="105">
        <f t="shared" si="35"/>
        <v>0</v>
      </c>
      <c r="AX106" s="108">
        <f t="shared" si="57"/>
        <v>0</v>
      </c>
      <c r="AY106" s="108">
        <f>IF(ISERR(CEILING(FLOOR(NPER($D$19/12,-$AC$56,AW105),0.1),1))=TRUE,0,CEILING(FLOOR(NPER($D$19/12,-$AC$56,AW105),0.1),1))</f>
        <v>0</v>
      </c>
      <c r="AZ106" s="1047">
        <f t="shared" si="45"/>
        <v>48297</v>
      </c>
      <c r="BA106" s="108">
        <f t="shared" si="45"/>
        <v>0</v>
      </c>
      <c r="BB106" s="2" t="e">
        <f>IF(AND(E61&gt;=$T$14,E61&lt;=$T$14+5),0,IF($C$9&gt;$AC$52,ROUND(AW60*IF($D$23="",0,$D$23)/(DATEVALUE(CONCATENATE("01/01/",YEAR(AN61)+1))-DATEVALUE(CONCATENATE("01/01/",YEAR(AN61))))*(AN61-AN60),2),0))</f>
        <v>#VALUE!</v>
      </c>
    </row>
    <row r="107" spans="1:1207" ht="12" x14ac:dyDescent="0.2">
      <c r="E107" s="1055">
        <f t="shared" si="54"/>
        <v>99</v>
      </c>
      <c r="F107" s="1056">
        <f t="shared" si="46"/>
        <v>48328</v>
      </c>
      <c r="G107" s="24">
        <f>IF(AND(E107&gt;=$T$14,E107&lt;=$T$14+5),$T$15,IF(AND(Q106+L107+H107&gt;G106,G106&lt;&gt;0),$C$29,IF(Q106=0,0,Q106+L107+H107+H108)))+IF(AND(E107=$C$10,$C$22&lt;&gt;"Нет"),MIN((I107-I107/$C$19*$C$23),Q106+H107-G106),0)</f>
        <v>0</v>
      </c>
      <c r="H107" s="24">
        <f>IF(AND(E107&gt;=$T$14,E107&lt;=$T$14+5),0,IF($C$9&gt;$AC$52,ROUND(Q106*$C$19*((F107-DATE(YEAR(F107),MONTH(F107),1)+1)/(DATE(YEAR(F107)+1,1,1)-DATE(YEAR(F107),1,1))+(EOMONTH(F106,0)-F106)/(DATE(YEAR(F106)+1,1,1)-DATE(YEAR(F106),1,1))),2),0))</f>
        <v>0</v>
      </c>
      <c r="I107" s="24">
        <f t="shared" si="52"/>
        <v>849563.72000000009</v>
      </c>
      <c r="J107" s="24">
        <f>IF(AND(E107=$C$10,$C$22&lt;&gt;"Нет"),MIN((I107-I107/$C$19*$C$23),Q106+H107-G106),0)</f>
        <v>0</v>
      </c>
      <c r="K107" s="24">
        <f t="shared" si="47"/>
        <v>0</v>
      </c>
      <c r="L107" s="24">
        <f>IF(N107&gt;$C$29,$C$29-H107,IF(S107=0,0,O107))</f>
        <v>0</v>
      </c>
      <c r="M107" s="24">
        <f t="shared" si="61"/>
        <v>0</v>
      </c>
      <c r="N107" s="24">
        <f t="shared" si="62"/>
        <v>0</v>
      </c>
      <c r="O107" s="24">
        <f t="shared" si="50"/>
        <v>0</v>
      </c>
      <c r="P107" s="24">
        <f t="shared" si="51"/>
        <v>0</v>
      </c>
      <c r="Q107" s="24">
        <f t="shared" si="48"/>
        <v>0</v>
      </c>
      <c r="R107" s="36">
        <f t="shared" si="58"/>
        <v>0</v>
      </c>
      <c r="S107" s="36">
        <f>IF(ISERR(CEILING(FLOOR(NPER($C$19/12,-$AA$56,Q106),0.1),1))=TRUE,0,CEILING(FLOOR(NPER($C$19/12,-$AA$56,Q106),0.1),1))</f>
        <v>0</v>
      </c>
      <c r="T107" s="2">
        <f t="shared" si="36"/>
        <v>5827.24</v>
      </c>
      <c r="U107" s="34">
        <f>IF(U106&lt;0,0,IF(T107=0,IF(T106=0,0,$U$46),G66)-IF(AND(T107&gt;0,T108=0),$C$26,0))</f>
        <v>14612</v>
      </c>
      <c r="V107" s="57">
        <f t="shared" si="39"/>
        <v>66485</v>
      </c>
      <c r="W107" s="16">
        <f t="shared" si="41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64"/>
        <v>5909.48</v>
      </c>
      <c r="AJ107" s="34">
        <f t="shared" si="63"/>
        <v>14612</v>
      </c>
      <c r="AK107" s="57">
        <f t="shared" si="40"/>
        <v>66485</v>
      </c>
      <c r="AL107" s="130">
        <f t="shared" si="53"/>
        <v>0</v>
      </c>
      <c r="AM107" s="1057">
        <f t="shared" si="56"/>
        <v>99</v>
      </c>
      <c r="AN107" s="1058">
        <f t="shared" si="49"/>
        <v>48328</v>
      </c>
      <c r="AO107" s="105">
        <f>IF(AX106=1,AR107+AP107+AQ107,IF(AW106+AR107+AP107&gt;AO106,$D$29,IF(AW106=0,0,AW106+AR107+AP107+AP139)))</f>
        <v>0</v>
      </c>
      <c r="AP107" s="105">
        <f>IF(AND(E107&gt;=$T$14,E107&lt;=$T$14+5),0,IF($C$9&gt;$AC$52,ROUND(AW106*$D$19*((AN107-DATE(YEAR(AN107),MONTH(AN107),1)+1)/(DATE(YEAR(AN107)+1,1,1)-DATE(YEAR(AN107),1,1))+(EOMONTH(AN106,0)-AN106)/(DATE(YEAR(AN106)+1,1,1)-DATE(YEAR(AN106),1,1))),2),0))</f>
        <v>0</v>
      </c>
      <c r="AQ107" s="105">
        <f t="shared" si="30"/>
        <v>0</v>
      </c>
      <c r="AR107" s="105">
        <f>IF(AT107&gt;$D$29,$D$29-AP107,IF(AY107=0,0,AV107)+BN156)</f>
        <v>0</v>
      </c>
      <c r="AS107" s="105">
        <f t="shared" si="31"/>
        <v>0</v>
      </c>
      <c r="AT107" s="105">
        <f t="shared" si="32"/>
        <v>0</v>
      </c>
      <c r="AU107" s="105">
        <f t="shared" si="33"/>
        <v>0</v>
      </c>
      <c r="AV107" s="105">
        <f t="shared" si="34"/>
        <v>0</v>
      </c>
      <c r="AW107" s="105">
        <f t="shared" si="35"/>
        <v>0</v>
      </c>
      <c r="AX107" s="108">
        <f t="shared" si="57"/>
        <v>0</v>
      </c>
      <c r="AY107" s="108">
        <f>IF(ISERR(CEILING(FLOOR(NPER($D$19/12,-$AC$56,AW106),0.1),1))=TRUE,0,CEILING(FLOOR(NPER($D$19/12,-$AC$56,AW106),0.1),1))</f>
        <v>0</v>
      </c>
      <c r="AZ107" s="1047">
        <f t="shared" si="45"/>
        <v>48328</v>
      </c>
      <c r="BA107" s="108">
        <f t="shared" si="45"/>
        <v>0</v>
      </c>
      <c r="BB107" s="2" t="e">
        <f>IF(AND(E62&gt;=$T$14,E62&lt;=$T$14+5),0,IF($C$9&gt;$AC$52,ROUND(AW61*IF($D$23="",0,$D$23)/(DATEVALUE(CONCATENATE("01/01/",YEAR(AN62)+1))-DATEVALUE(CONCATENATE("01/01/",YEAR(AN62))))*(AN62-AN61),2),0))</f>
        <v>#VALUE!</v>
      </c>
    </row>
    <row r="108" spans="1:1207" ht="12" x14ac:dyDescent="0.2">
      <c r="E108" s="1055">
        <f t="shared" si="54"/>
        <v>100</v>
      </c>
      <c r="F108" s="1056">
        <f t="shared" si="46"/>
        <v>48358</v>
      </c>
      <c r="G108" s="24">
        <f>IF(AND(E108&gt;=$T$14,E108&lt;=$T$14+5),$T$15,IF(AND(Q107+L108+H108&gt;G107,G107&lt;&gt;0),$C$29,IF(Q107=0,0,Q107+L108+H108+H109)))+IF(AND(E108=$C$10,$C$22&lt;&gt;"Нет"),MIN((I108-I108/$C$19*$C$23),Q107+H108-G107),0)</f>
        <v>0</v>
      </c>
      <c r="H108" s="24">
        <f>IF(AND(E108&gt;=$T$14,E108&lt;=$T$14+5),0,IF($C$9&gt;$AC$52,ROUND(Q107*$C$19*((F108-DATE(YEAR(F108),MONTH(F108),1)+1)/(DATE(YEAR(F108)+1,1,1)-DATE(YEAR(F108),1,1))+(EOMONTH(F107,0)-F107)/(DATE(YEAR(F107)+1,1,1)-DATE(YEAR(F107),1,1))),2),0))</f>
        <v>0</v>
      </c>
      <c r="I108" s="24">
        <f t="shared" si="52"/>
        <v>849563.72000000009</v>
      </c>
      <c r="J108" s="24">
        <f>IF(AND(E108=$C$10,$C$22&lt;&gt;"Нет"),MIN((I108-I108/$C$19*$C$23),Q107+H108-G107),0)</f>
        <v>0</v>
      </c>
      <c r="K108" s="24">
        <f t="shared" si="47"/>
        <v>0</v>
      </c>
      <c r="L108" s="24">
        <f>IF(N108&gt;$C$29,$C$29-H108,IF(S108=0,0,O108))</f>
        <v>0</v>
      </c>
      <c r="M108" s="24">
        <f t="shared" si="61"/>
        <v>0</v>
      </c>
      <c r="N108" s="24">
        <f t="shared" si="62"/>
        <v>0</v>
      </c>
      <c r="O108" s="24">
        <f t="shared" si="50"/>
        <v>0</v>
      </c>
      <c r="P108" s="24">
        <f t="shared" si="51"/>
        <v>0</v>
      </c>
      <c r="Q108" s="24">
        <f t="shared" si="48"/>
        <v>0</v>
      </c>
      <c r="R108" s="36">
        <f t="shared" si="58"/>
        <v>0</v>
      </c>
      <c r="S108" s="36">
        <f>IF(ISERR(CEILING(FLOOR(NPER($C$19/12,-$AA$56,Q107),0.1),1))=TRUE,0,CEILING(FLOOR(NPER($C$19/12,-$AA$56,Q107),0.1),1))</f>
        <v>0</v>
      </c>
      <c r="T108" s="2">
        <f t="shared" si="36"/>
        <v>5555.72</v>
      </c>
      <c r="U108" s="34">
        <f>IF(U107&lt;0,0,IF(T108=0,IF(T107=0,0,$U$46),G67)-IF(AND(T108&gt;0,T109=0),$C$26,0))</f>
        <v>14612</v>
      </c>
      <c r="V108" s="57">
        <f t="shared" si="39"/>
        <v>66850</v>
      </c>
      <c r="W108" s="16">
        <f t="shared" si="41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64"/>
        <v>5939.15</v>
      </c>
      <c r="AJ108" s="34">
        <f t="shared" si="63"/>
        <v>14612</v>
      </c>
      <c r="AK108" s="57">
        <f t="shared" si="40"/>
        <v>66850</v>
      </c>
      <c r="AL108" s="130">
        <f t="shared" si="53"/>
        <v>0</v>
      </c>
      <c r="AM108" s="1057">
        <f t="shared" si="56"/>
        <v>100</v>
      </c>
      <c r="AN108" s="1058">
        <f t="shared" si="49"/>
        <v>48358</v>
      </c>
      <c r="AO108" s="105">
        <f>IF(AX107=1,AR108+AP108+AQ108,IF(AW107+AR108+AP108&gt;AO107,$D$29,IF(AW107=0,0,AW107+AR108+AP108+AP140)))</f>
        <v>0</v>
      </c>
      <c r="AP108" s="105">
        <f>IF(AND(E108&gt;=$T$14,E108&lt;=$T$14+5),0,IF($C$9&gt;$AC$52,ROUND(AW107*$D$19*((AN108-DATE(YEAR(AN108),MONTH(AN108),1)+1)/(DATE(YEAR(AN108)+1,1,1)-DATE(YEAR(AN108),1,1))+(EOMONTH(AN107,0)-AN107)/(DATE(YEAR(AN107)+1,1,1)-DATE(YEAR(AN107),1,1))),2),0))</f>
        <v>0</v>
      </c>
      <c r="AQ108" s="105">
        <f t="shared" si="30"/>
        <v>0</v>
      </c>
      <c r="AR108" s="105">
        <f>IF(AT108&gt;$D$29,$D$29-AP108,IF(AY108=0,0,AV108)+BN157)</f>
        <v>0</v>
      </c>
      <c r="AS108" s="105">
        <f t="shared" si="31"/>
        <v>0</v>
      </c>
      <c r="AT108" s="105">
        <f t="shared" si="32"/>
        <v>0</v>
      </c>
      <c r="AU108" s="105">
        <f t="shared" si="33"/>
        <v>0</v>
      </c>
      <c r="AV108" s="105">
        <f t="shared" si="34"/>
        <v>0</v>
      </c>
      <c r="AW108" s="105">
        <f t="shared" si="35"/>
        <v>0</v>
      </c>
      <c r="AX108" s="108">
        <f t="shared" si="57"/>
        <v>0</v>
      </c>
      <c r="AY108" s="108">
        <f>IF(ISERR(CEILING(FLOOR(NPER($D$19/12,-$AC$56,AW107),0.1),1))=TRUE,0,CEILING(FLOOR(NPER($D$19/12,-$AC$56,AW107),0.1),1))</f>
        <v>0</v>
      </c>
      <c r="AZ108" s="1047">
        <f t="shared" ref="AZ108:BA110" si="65">F158</f>
        <v>49880</v>
      </c>
      <c r="BA108" s="108">
        <f t="shared" si="65"/>
        <v>0</v>
      </c>
      <c r="BB108" s="2" t="e">
        <f>IF(AND(E63&gt;=$T$14,E63&lt;=$T$14+5),0,IF($C$9&gt;$AC$52,ROUND(AW62*IF($D$23="",0,$D$23)/(DATEVALUE(CONCATENATE("01/01/",YEAR(AN63)+1))-DATEVALUE(CONCATENATE("01/01/",YEAR(AN63))))*(AN63-AN62),2),0))</f>
        <v>#VALUE!</v>
      </c>
    </row>
    <row r="109" spans="1:1207" ht="12" x14ac:dyDescent="0.2">
      <c r="E109" s="1055">
        <f t="shared" si="54"/>
        <v>101</v>
      </c>
      <c r="F109" s="1056">
        <f t="shared" si="46"/>
        <v>48389</v>
      </c>
      <c r="G109" s="24">
        <f>IF(AND(E109&gt;=$T$14,E109&lt;=$T$14+5),$T$15,IF(AND(Q108+L109+H109&gt;G108,G108&lt;&gt;0),$C$29,IF(Q108=0,0,Q108+L109+H109+H110)))+IF(AND(E109=$C$10,$C$22&lt;&gt;"Нет"),MIN((I109-I109/$C$19*$C$23),Q108+H109-G108),0)</f>
        <v>0</v>
      </c>
      <c r="H109" s="24">
        <f>IF(AND(E109&gt;=$T$14,E109&lt;=$T$14+5),0,IF($C$9&gt;$AC$52,ROUND(Q108*$C$19*((F109-DATE(YEAR(F109),MONTH(F109),1)+1)/(DATE(YEAR(F109)+1,1,1)-DATE(YEAR(F109),1,1))+(EOMONTH(F108,0)-F108)/(DATE(YEAR(F108)+1,1,1)-DATE(YEAR(F108),1,1))),2),0))</f>
        <v>0</v>
      </c>
      <c r="I109" s="24">
        <f t="shared" si="52"/>
        <v>849563.72000000009</v>
      </c>
      <c r="J109" s="24">
        <f>IF(AND(E109=$C$10,$C$22&lt;&gt;"Нет"),MIN((I109-I109/$C$19*$C$23),Q108+H109-G108),0)</f>
        <v>0</v>
      </c>
      <c r="K109" s="24">
        <f t="shared" si="47"/>
        <v>0</v>
      </c>
      <c r="L109" s="24">
        <f>IF(N109&gt;$C$29,$C$29-H109,IF(S109=0,0,O109))</f>
        <v>0</v>
      </c>
      <c r="M109" s="24">
        <f t="shared" si="61"/>
        <v>0</v>
      </c>
      <c r="N109" s="24">
        <f t="shared" si="62"/>
        <v>0</v>
      </c>
      <c r="O109" s="24">
        <f t="shared" si="50"/>
        <v>0</v>
      </c>
      <c r="P109" s="24">
        <f t="shared" si="51"/>
        <v>0</v>
      </c>
      <c r="Q109" s="24">
        <f t="shared" si="48"/>
        <v>0</v>
      </c>
      <c r="R109" s="36">
        <f t="shared" si="58"/>
        <v>0</v>
      </c>
      <c r="S109" s="36">
        <f>IF(ISERR(CEILING(FLOOR(NPER($C$19/12,-$AA$56,Q108),0.1),1))=TRUE,0,CEILING(FLOOR(NPER($C$19/12,-$AA$56,Q108),0.1),1))</f>
        <v>0</v>
      </c>
      <c r="T109" s="2">
        <f t="shared" si="36"/>
        <v>5663.17</v>
      </c>
      <c r="U109" s="34">
        <f>IF(U108&lt;0,0,IF(T109=0,IF(T108=0,0,$U$46),G68)-IF(AND(T109&gt;0,T110=0),$C$26,0))</f>
        <v>14612</v>
      </c>
      <c r="V109" s="57">
        <f t="shared" si="39"/>
        <v>67215</v>
      </c>
      <c r="W109" s="16">
        <f t="shared" si="41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64"/>
        <v>5755.66</v>
      </c>
      <c r="AJ109" s="34">
        <f>IF(AI109=0,IF(AI108=0,0,$AJ$46),AO69)</f>
        <v>14612</v>
      </c>
      <c r="AK109" s="57">
        <f>IF(AI109=0,AK108,AK108+365)</f>
        <v>67215</v>
      </c>
      <c r="AL109" s="130">
        <f t="shared" si="53"/>
        <v>0</v>
      </c>
      <c r="AM109" s="1057">
        <f t="shared" si="56"/>
        <v>101</v>
      </c>
      <c r="AN109" s="1058">
        <f t="shared" si="49"/>
        <v>48389</v>
      </c>
      <c r="AO109" s="105">
        <f>IF(AX108=1,AR109+AP109+AQ109,IF(AW108+AR109+AP109&gt;AO108,$D$29,IF(AW108=0,0,AW108+AR109+AP109+AP141)))</f>
        <v>0</v>
      </c>
      <c r="AP109" s="105">
        <f>IF(AND(E109&gt;=$T$14,E109&lt;=$T$14+5),0,IF($C$9&gt;$AC$52,ROUND(AW108*$D$19*((AN109-DATE(YEAR(AN109),MONTH(AN109),1)+1)/(DATE(YEAR(AN109)+1,1,1)-DATE(YEAR(AN109),1,1))+(EOMONTH(AN108,0)-AN108)/(DATE(YEAR(AN108)+1,1,1)-DATE(YEAR(AN108),1,1))),2),0))</f>
        <v>0</v>
      </c>
      <c r="AQ109" s="105">
        <f t="shared" si="30"/>
        <v>0</v>
      </c>
      <c r="AR109" s="105">
        <f>IF(AT109&gt;$D$29,$D$29-AP109,IF(AY109=0,0,AV109)+BN158)</f>
        <v>0</v>
      </c>
      <c r="AS109" s="105">
        <f t="shared" si="31"/>
        <v>0</v>
      </c>
      <c r="AT109" s="105">
        <f t="shared" si="32"/>
        <v>0</v>
      </c>
      <c r="AU109" s="105">
        <f t="shared" si="33"/>
        <v>0</v>
      </c>
      <c r="AV109" s="105">
        <f t="shared" si="34"/>
        <v>0</v>
      </c>
      <c r="AW109" s="105">
        <f t="shared" si="35"/>
        <v>0</v>
      </c>
      <c r="AX109" s="108">
        <f t="shared" si="57"/>
        <v>0</v>
      </c>
      <c r="AY109" s="108">
        <f>IF(ISERR(CEILING(FLOOR(NPER($D$19/12,-$AC$56,AW108),0.1),1))=TRUE,0,CEILING(FLOOR(NPER($D$19/12,-$AC$56,AW108),0.1),1))</f>
        <v>0</v>
      </c>
      <c r="AZ109" s="1047">
        <f t="shared" si="65"/>
        <v>49911</v>
      </c>
      <c r="BA109" s="108">
        <f t="shared" si="65"/>
        <v>0</v>
      </c>
      <c r="BB109" s="2" t="e">
        <f>IF(AND(E64&gt;=$T$14,E64&lt;=$T$14+5),0,IF($C$9&gt;$AC$52,ROUND(AW63*IF($D$23="",0,$D$23)/(DATEVALUE(CONCATENATE("01/01/",YEAR(AN64)+1))-DATEVALUE(CONCATENATE("01/01/",YEAR(AN64))))*(AN64-AN63),2),0))</f>
        <v>#VALUE!</v>
      </c>
    </row>
    <row r="110" spans="1:1207" ht="12" x14ac:dyDescent="0.2">
      <c r="E110" s="1055">
        <f t="shared" si="54"/>
        <v>102</v>
      </c>
      <c r="F110" s="1056">
        <f t="shared" si="46"/>
        <v>48419</v>
      </c>
      <c r="G110" s="24">
        <f>IF(AND(E110&gt;=$T$14,E110&lt;=$T$14+5),$T$15,IF(AND(Q109+L110+H110&gt;G109,G109&lt;&gt;0),$C$29,IF(Q109=0,0,Q109+L110+H110+H111)))+IF(AND(E110=$C$10,$C$22&lt;&gt;"Нет"),MIN((I110-I110/$C$19*$C$23),Q109+H110-G109),0)</f>
        <v>0</v>
      </c>
      <c r="H110" s="24">
        <f>IF(AND(E110&gt;=$T$14,E110&lt;=$T$14+5),0,IF($C$9&gt;$AC$52,ROUND(Q109*$C$19*((F110-DATE(YEAR(F110),MONTH(F110),1)+1)/(DATE(YEAR(F110)+1,1,1)-DATE(YEAR(F110),1,1))+(EOMONTH(F109,0)-F109)/(DATE(YEAR(F109)+1,1,1)-DATE(YEAR(F109),1,1))),2),0))</f>
        <v>0</v>
      </c>
      <c r="I110" s="24">
        <f t="shared" si="52"/>
        <v>849563.72000000009</v>
      </c>
      <c r="J110" s="24">
        <f>IF(AND(E110=$C$10,$C$22&lt;&gt;"Нет"),MIN((I110-I110/$C$19*$C$23),Q109+H110-G109),0)</f>
        <v>0</v>
      </c>
      <c r="K110" s="24">
        <f t="shared" si="47"/>
        <v>0</v>
      </c>
      <c r="L110" s="24">
        <f>IF(N110&gt;$C$29,$C$29-H110,IF(S110=0,0,O110))</f>
        <v>0</v>
      </c>
      <c r="M110" s="24">
        <f t="shared" si="61"/>
        <v>0</v>
      </c>
      <c r="N110" s="24">
        <f t="shared" si="62"/>
        <v>0</v>
      </c>
      <c r="O110" s="24">
        <f t="shared" si="50"/>
        <v>0</v>
      </c>
      <c r="P110" s="24">
        <f t="shared" si="51"/>
        <v>0</v>
      </c>
      <c r="Q110" s="24">
        <f t="shared" si="48"/>
        <v>0</v>
      </c>
      <c r="R110" s="36">
        <f t="shared" si="58"/>
        <v>0</v>
      </c>
      <c r="S110" s="36">
        <f>IF(ISERR(CEILING(FLOOR(NPER($C$19/12,-$AA$56,Q109),0.1),1))=TRUE,0,CEILING(FLOOR(NPER($C$19/12,-$AA$56,Q109),0.1),1))</f>
        <v>0</v>
      </c>
      <c r="T110" s="2">
        <f t="shared" si="36"/>
        <v>5572.34</v>
      </c>
      <c r="U110" s="34">
        <f>IF(U109&lt;0,0,IF(T110=0,IF(T109=0,0,$U$46),G69)-IF(AND(T110&gt;0,T111=0),$C$26,0))</f>
        <v>14612</v>
      </c>
      <c r="V110" s="57">
        <f t="shared" si="39"/>
        <v>67580</v>
      </c>
      <c r="W110" s="16">
        <f t="shared" si="41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64"/>
        <v>5029.5</v>
      </c>
      <c r="AJ110" s="34">
        <f>IF(AI110=0,IF(AI109=0,0,$AJ$46),AO70)</f>
        <v>14612</v>
      </c>
      <c r="AK110" s="57">
        <f>IF(AI110=0,AK109,AK109+365)</f>
        <v>67580</v>
      </c>
      <c r="AL110" s="130"/>
      <c r="AM110" s="1057">
        <f t="shared" si="56"/>
        <v>102</v>
      </c>
      <c r="AN110" s="1058">
        <f t="shared" si="49"/>
        <v>48419</v>
      </c>
      <c r="AO110" s="105">
        <f>IF(AX109=1,AR110+AP110+AQ110,IF(AW109+AR110+AP110&gt;AO109,$D$29,IF(AW109=0,0,AW109+AR110+AP110+AP142)))</f>
        <v>0</v>
      </c>
      <c r="AP110" s="105">
        <f>IF(AND(E110&gt;=$T$14,E110&lt;=$T$14+5),0,IF($C$9&gt;$AC$52,ROUND(AW109*$D$19*((AN110-DATE(YEAR(AN110),MONTH(AN110),1)+1)/(DATE(YEAR(AN110)+1,1,1)-DATE(YEAR(AN110),1,1))+(EOMONTH(AN109,0)-AN109)/(DATE(YEAR(AN109)+1,1,1)-DATE(YEAR(AN109),1,1))),2),0))</f>
        <v>0</v>
      </c>
      <c r="AQ110" s="105">
        <f t="shared" si="30"/>
        <v>0</v>
      </c>
      <c r="AR110" s="105">
        <f>IF(AT110&gt;$D$29,$D$29-AP110,IF(AY110=0,0,AV110)+BN159)</f>
        <v>0</v>
      </c>
      <c r="AS110" s="105">
        <f t="shared" si="31"/>
        <v>0</v>
      </c>
      <c r="AT110" s="105">
        <f t="shared" si="32"/>
        <v>0</v>
      </c>
      <c r="AU110" s="105">
        <f t="shared" si="33"/>
        <v>0</v>
      </c>
      <c r="AV110" s="105">
        <f t="shared" si="34"/>
        <v>0</v>
      </c>
      <c r="AW110" s="105">
        <f t="shared" si="35"/>
        <v>0</v>
      </c>
      <c r="AX110" s="108">
        <f t="shared" si="57"/>
        <v>0</v>
      </c>
      <c r="AY110" s="108">
        <f>IF(ISERR(CEILING(FLOOR(NPER($D$19/12,-$AC$56,AW109),0.1),1))=TRUE,0,CEILING(FLOOR(NPER($D$19/12,-$AC$56,AW109),0.1),1))</f>
        <v>0</v>
      </c>
      <c r="AZ110" s="1047" t="str">
        <f t="shared" si="65"/>
        <v>Итого</v>
      </c>
      <c r="BA110" s="108">
        <f t="shared" si="65"/>
        <v>1381562.72</v>
      </c>
      <c r="BB110" s="2" t="e">
        <f>IF(AND(E65&gt;=$T$14,E65&lt;=$T$14+5),0,IF($C$9&gt;$AC$52,ROUND(AW64*IF($D$23="",0,$D$23)/(DATEVALUE(CONCATENATE("01/01/",YEAR(AN65)+1))-DATEVALUE(CONCATENATE("01/01/",YEAR(AN65))))*(AN65-AN64),2),0))</f>
        <v>#VALUE!</v>
      </c>
    </row>
    <row r="111" spans="1:1207" ht="12" x14ac:dyDescent="0.2">
      <c r="E111" s="1055">
        <f t="shared" si="54"/>
        <v>103</v>
      </c>
      <c r="F111" s="1056">
        <f t="shared" si="46"/>
        <v>48450</v>
      </c>
      <c r="G111" s="24">
        <f>IF(AND(E111&gt;=$T$14,E111&lt;=$T$14+5),$T$15,IF(AND(Q110+L111+H111&gt;G110,G110&lt;&gt;0),$C$29,IF(Q110=0,0,Q110+L111+H111+H112)))+IF(AND(E111=$C$10,$C$22&lt;&gt;"Нет"),MIN((I111-I111/$C$19*$C$23),Q110+H111-G110),0)</f>
        <v>0</v>
      </c>
      <c r="H111" s="24">
        <f>IF(AND(E111&gt;=$T$14,E111&lt;=$T$14+5),0,IF($C$9&gt;$AC$52,ROUND(Q110*$C$19*((F111-DATE(YEAR(F111),MONTH(F111),1)+1)/(DATE(YEAR(F111)+1,1,1)-DATE(YEAR(F111),1,1))+(EOMONTH(F110,0)-F110)/(DATE(YEAR(F110)+1,1,1)-DATE(YEAR(F110),1,1))),2),0))</f>
        <v>0</v>
      </c>
      <c r="I111" s="24">
        <f t="shared" si="52"/>
        <v>849563.72000000009</v>
      </c>
      <c r="J111" s="24">
        <f>IF(AND(E111=$C$10,$C$22&lt;&gt;"Нет"),MIN((I111-I111/$C$19*$C$23),Q110+H111-G110),0)</f>
        <v>0</v>
      </c>
      <c r="K111" s="24">
        <f t="shared" si="47"/>
        <v>0</v>
      </c>
      <c r="L111" s="24">
        <f>IF(N111&gt;$C$29,$C$29-H111,IF(S111=0,0,O111))</f>
        <v>0</v>
      </c>
      <c r="M111" s="24">
        <f t="shared" si="61"/>
        <v>0</v>
      </c>
      <c r="N111" s="24">
        <f t="shared" si="62"/>
        <v>0</v>
      </c>
      <c r="O111" s="24">
        <f t="shared" si="50"/>
        <v>0</v>
      </c>
      <c r="P111" s="24">
        <f t="shared" si="51"/>
        <v>0</v>
      </c>
      <c r="Q111" s="24">
        <f t="shared" si="48"/>
        <v>0</v>
      </c>
      <c r="R111" s="36">
        <f t="shared" si="58"/>
        <v>0</v>
      </c>
      <c r="S111" s="36">
        <f>IF(ISERR(CEILING(FLOOR(NPER($C$19/12,-$AA$56,Q110),0.1),1))=TRUE,0,CEILING(FLOOR(NPER($C$19/12,-$AA$56,Q110),0.1),1))</f>
        <v>0</v>
      </c>
      <c r="T111" s="2">
        <f t="shared" si="36"/>
        <v>4949.04</v>
      </c>
      <c r="U111" s="34">
        <f>IF(U110&lt;0,0,IF(T111=0,IF(T110=0,0,$U$46),G70)-IF(AND(T111&gt;0,T112=0),$C$26,0))</f>
        <v>14612</v>
      </c>
      <c r="V111" s="57">
        <f t="shared" si="39"/>
        <v>67945</v>
      </c>
      <c r="W111" s="16">
        <f t="shared" si="41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64"/>
        <v>5365.72</v>
      </c>
      <c r="AJ111" s="34">
        <f t="shared" ref="AJ111:AJ149" si="66">IF(AI111=0,IF(AI110=0,0,$AJ$46),AO71)</f>
        <v>14612</v>
      </c>
      <c r="AK111" s="57">
        <f t="shared" ref="AK111:AK149" si="67">IF(AI111=0,AK110,AK110+365)</f>
        <v>67945</v>
      </c>
      <c r="AL111" s="130"/>
      <c r="AM111" s="1057">
        <f t="shared" si="56"/>
        <v>103</v>
      </c>
      <c r="AN111" s="1058">
        <f t="shared" si="49"/>
        <v>48450</v>
      </c>
      <c r="AO111" s="105">
        <f>IF(AX110=1,AR111+AP111+AQ111,IF(AW110+AR111+AP111&gt;AO110,$D$29,IF(AW110=0,0,AW110+AR111+AP111+AP143)))</f>
        <v>0</v>
      </c>
      <c r="AP111" s="105">
        <f>IF(AND(E111&gt;=$T$14,E111&lt;=$T$14+5),0,IF($C$9&gt;$AC$52,ROUND(AW110*$D$19*((AN111-DATE(YEAR(AN111),MONTH(AN111),1)+1)/(DATE(YEAR(AN111)+1,1,1)-DATE(YEAR(AN111),1,1))+(EOMONTH(AN110,0)-AN110)/(DATE(YEAR(AN110)+1,1,1)-DATE(YEAR(AN110),1,1))),2),0))</f>
        <v>0</v>
      </c>
      <c r="AQ111" s="105">
        <f t="shared" si="30"/>
        <v>0</v>
      </c>
      <c r="AR111" s="105">
        <f>IF(AT111&gt;$D$29,$D$29-AP111,IF(AY111=0,0,AV111)+BN160)</f>
        <v>0</v>
      </c>
      <c r="AS111" s="105">
        <f t="shared" si="31"/>
        <v>0</v>
      </c>
      <c r="AT111" s="105">
        <f t="shared" si="32"/>
        <v>0</v>
      </c>
      <c r="AU111" s="105">
        <f t="shared" si="33"/>
        <v>0</v>
      </c>
      <c r="AV111" s="105">
        <f t="shared" si="34"/>
        <v>0</v>
      </c>
      <c r="AW111" s="105">
        <f t="shared" si="35"/>
        <v>0</v>
      </c>
      <c r="AX111" s="108">
        <f t="shared" si="57"/>
        <v>0</v>
      </c>
      <c r="AY111" s="108">
        <f>IF(ISERR(CEILING(FLOOR(NPER($D$19/12,-$AC$56,AW110),0.1),1))=TRUE,0,CEILING(FLOOR(NPER($D$19/12,-$AC$56,AW110),0.1),1))</f>
        <v>0</v>
      </c>
      <c r="AZ111" s="1047"/>
      <c r="BA111" s="108">
        <f>G161</f>
        <v>0</v>
      </c>
      <c r="BB111" s="2" t="e">
        <f>IF(AND(E66&gt;=$T$14,E66&lt;=$T$14+5),0,IF($C$9&gt;$AC$52,ROUND(AW65*IF($D$23="",0,$D$23)/(DATEVALUE(CONCATENATE("01/01/",YEAR(AN66)+1))-DATEVALUE(CONCATENATE("01/01/",YEAR(AN66))))*(AN66-AN65),2),0))</f>
        <v>#VALUE!</v>
      </c>
    </row>
    <row r="112" spans="1:1207" ht="12" x14ac:dyDescent="0.2">
      <c r="E112" s="1055">
        <f t="shared" si="54"/>
        <v>104</v>
      </c>
      <c r="F112" s="1056">
        <f t="shared" si="46"/>
        <v>48481</v>
      </c>
      <c r="G112" s="24">
        <f>IF(AND(E112&gt;=$T$14,E112&lt;=$T$14+5),$T$15,IF(AND(Q111+L112+H112&gt;G111,G111&lt;&gt;0),$C$29,IF(Q111=0,0,Q111+L112+H112+H113)))+IF(AND(E112=$C$10,$C$22&lt;&gt;"Нет"),MIN((I112-I112/$C$19*$C$23),Q111+H112-G111),0)</f>
        <v>0</v>
      </c>
      <c r="H112" s="24">
        <f>IF(AND(E112&gt;=$T$14,E112&lt;=$T$14+5),0,IF($C$9&gt;$AC$52,ROUND(Q111*$C$19*((F112-DATE(YEAR(F112),MONTH(F112),1)+1)/(DATE(YEAR(F112)+1,1,1)-DATE(YEAR(F112),1,1))+(EOMONTH(F111,0)-F111)/(DATE(YEAR(F111)+1,1,1)-DATE(YEAR(F111),1,1))),2),0))</f>
        <v>0</v>
      </c>
      <c r="I112" s="24">
        <f t="shared" si="52"/>
        <v>849563.72000000009</v>
      </c>
      <c r="J112" s="24">
        <f>IF(AND(E112=$C$10,$C$22&lt;&gt;"Нет"),MIN((I112-I112/$C$19*$C$23),Q111+H112-G111),0)</f>
        <v>0</v>
      </c>
      <c r="K112" s="24">
        <f t="shared" si="47"/>
        <v>0</v>
      </c>
      <c r="L112" s="24">
        <f>IF(N112&gt;$C$29,$C$29-H112,IF(S112=0,0,O112))</f>
        <v>0</v>
      </c>
      <c r="M112" s="24">
        <f t="shared" si="61"/>
        <v>0</v>
      </c>
      <c r="N112" s="24">
        <f t="shared" si="62"/>
        <v>0</v>
      </c>
      <c r="O112" s="24">
        <f t="shared" si="50"/>
        <v>0</v>
      </c>
      <c r="P112" s="24">
        <f t="shared" si="51"/>
        <v>0</v>
      </c>
      <c r="Q112" s="24">
        <f t="shared" si="48"/>
        <v>0</v>
      </c>
      <c r="R112" s="36">
        <f t="shared" si="58"/>
        <v>0</v>
      </c>
      <c r="S112" s="36">
        <f>IF(ISERR(CEILING(FLOOR(NPER($C$19/12,-$AA$56,Q111),0.1),1))=TRUE,0,CEILING(FLOOR(NPER($C$19/12,-$AA$56,Q111),0.1),1))</f>
        <v>0</v>
      </c>
      <c r="T112" s="2">
        <f t="shared" si="36"/>
        <v>5370.42</v>
      </c>
      <c r="U112" s="34">
        <f>IF(U111&lt;0,0,IF(T112=0,IF(T111=0,0,$U$46),G71)-IF(AND(T112&gt;0,T113=0),$C$26,0))</f>
        <v>14612</v>
      </c>
      <c r="V112" s="57">
        <f t="shared" si="39"/>
        <v>68310</v>
      </c>
      <c r="W112" s="16">
        <f t="shared" si="41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64"/>
        <v>5003.3999999999996</v>
      </c>
      <c r="AJ112" s="34">
        <f t="shared" si="66"/>
        <v>14612</v>
      </c>
      <c r="AK112" s="57">
        <f t="shared" si="67"/>
        <v>68310</v>
      </c>
      <c r="AL112" s="130"/>
      <c r="AM112" s="1057">
        <f t="shared" si="56"/>
        <v>104</v>
      </c>
      <c r="AN112" s="1058">
        <f t="shared" si="49"/>
        <v>48481</v>
      </c>
      <c r="AO112" s="105">
        <f>IF(AX111=1,AR112+AP112+AQ112,IF(AW111+AR112+AP112&gt;AO111,$D$29,IF(AW111=0,0,AW111+AR112+AP112+AP144)))</f>
        <v>0</v>
      </c>
      <c r="AP112" s="105">
        <f>IF(AND(E112&gt;=$T$14,E112&lt;=$T$14+5),0,IF($C$9&gt;$AC$52,ROUND(AW111*$D$19*((AN112-DATE(YEAR(AN112),MONTH(AN112),1)+1)/(DATE(YEAR(AN112)+1,1,1)-DATE(YEAR(AN112),1,1))+(EOMONTH(AN111,0)-AN111)/(DATE(YEAR(AN111)+1,1,1)-DATE(YEAR(AN111),1,1))),2),0))</f>
        <v>0</v>
      </c>
      <c r="AQ112" s="105">
        <f t="shared" ref="AQ112:AQ129" si="68">IF(AY112=0,0,IF(AY112=1,AW111,IF(AW111+AR112+AP112&gt;AO111,AO112-AP112-AR112,AW111)))</f>
        <v>0</v>
      </c>
      <c r="AR112" s="105">
        <f>IF(AT112&gt;$D$29,$D$29-AP112,IF(AY112=0,0,AV112)+BN161)</f>
        <v>0</v>
      </c>
      <c r="AS112" s="105">
        <f t="shared" ref="AS112:AS129" si="69">AU111-AR111</f>
        <v>0</v>
      </c>
      <c r="AT112" s="105">
        <f t="shared" ref="AT112:AT129" si="70">AP112+AU112</f>
        <v>0</v>
      </c>
      <c r="AU112" s="105">
        <f t="shared" ref="AU112:AU129" si="71">IF(AY112=0,0,0)</f>
        <v>0</v>
      </c>
      <c r="AV112" s="105">
        <f t="shared" ref="AV112:AV129" si="72">IF(AY112=0,0,0)</f>
        <v>0</v>
      </c>
      <c r="AW112" s="105">
        <f t="shared" ref="AW112:AW129" si="73">IF(OR(AY112=1,AW111=0),0,AW111-AQ112)</f>
        <v>0</v>
      </c>
      <c r="AX112" s="108">
        <f t="shared" si="57"/>
        <v>0</v>
      </c>
      <c r="AY112" s="108">
        <f>IF(ISERR(CEILING(FLOOR(NPER($D$19/12,-$AC$56,AW111),0.1),1))=TRUE,0,CEILING(FLOOR(NPER($D$19/12,-$AC$56,AW111),0.1),1))</f>
        <v>0</v>
      </c>
      <c r="AZ112" s="1047"/>
      <c r="BA112" s="108">
        <f>G162</f>
        <v>0</v>
      </c>
      <c r="BB112" s="2" t="e">
        <f>IF(AND(E67&gt;=$T$14,E67&lt;=$T$14+5),0,IF($C$9&gt;$AC$52,ROUND(AW66*IF($D$23="",0,$D$23)/(DATEVALUE(CONCATENATE("01/01/",YEAR(AN67)+1))-DATEVALUE(CONCATENATE("01/01/",YEAR(AN67))))*(AN67-AN66),2),0))</f>
        <v>#VALUE!</v>
      </c>
    </row>
    <row r="113" spans="5:54" ht="12" x14ac:dyDescent="0.2">
      <c r="E113" s="1055">
        <f t="shared" si="54"/>
        <v>105</v>
      </c>
      <c r="F113" s="1056">
        <f t="shared" si="46"/>
        <v>48511</v>
      </c>
      <c r="G113" s="24">
        <f>IF(AND(E113&gt;=$T$14,E113&lt;=$T$14+5),$T$15,IF(AND(Q112+L113+H113&gt;G112,G112&lt;&gt;0),$C$29,IF(Q112=0,0,Q112+L113+H113+H114)))+IF(AND(E113=$C$10,$C$22&lt;&gt;"Нет"),MIN((I113-I113/$C$19*$C$23),Q112+H113-G112),0)</f>
        <v>0</v>
      </c>
      <c r="H113" s="24">
        <f>IF(AND(E113&gt;=$T$14,E113&lt;=$T$14+5),0,IF($C$9&gt;$AC$52,ROUND(Q112*$C$19*((F113-DATE(YEAR(F113),MONTH(F113),1)+1)/(DATE(YEAR(F113)+1,1,1)-DATE(YEAR(F113),1,1))+(EOMONTH(F112,0)-F112)/(DATE(YEAR(F112)+1,1,1)-DATE(YEAR(F112),1,1))),2),0))</f>
        <v>0</v>
      </c>
      <c r="I113" s="24">
        <f t="shared" si="52"/>
        <v>849563.72000000009</v>
      </c>
      <c r="J113" s="24">
        <f>IF(AND(E113=$C$10,$C$22&lt;&gt;"Нет"),MIN((I113-I113/$C$19*$C$23),Q112+H113-G112),0)</f>
        <v>0</v>
      </c>
      <c r="K113" s="24">
        <f t="shared" si="47"/>
        <v>0</v>
      </c>
      <c r="L113" s="24">
        <f>IF(N113&gt;$C$29,$C$29-H113,IF(S113=0,0,O113))</f>
        <v>0</v>
      </c>
      <c r="M113" s="24">
        <f t="shared" si="61"/>
        <v>0</v>
      </c>
      <c r="N113" s="24">
        <f t="shared" si="62"/>
        <v>0</v>
      </c>
      <c r="O113" s="24">
        <f t="shared" si="50"/>
        <v>0</v>
      </c>
      <c r="P113" s="24">
        <f t="shared" si="51"/>
        <v>0</v>
      </c>
      <c r="Q113" s="24">
        <f t="shared" si="48"/>
        <v>0</v>
      </c>
      <c r="R113" s="36">
        <f t="shared" si="58"/>
        <v>0</v>
      </c>
      <c r="S113" s="36">
        <f>IF(ISERR(CEILING(FLOOR(NPER($C$19/12,-$AA$56,Q112),0.1),1))=TRUE,0,CEILING(FLOOR(NPER($C$19/12,-$AA$56,Q112),0.1),1))</f>
        <v>0</v>
      </c>
      <c r="T113" s="2">
        <f t="shared" si="36"/>
        <v>5102.18</v>
      </c>
      <c r="U113" s="34">
        <f>IF(U112&lt;0,0,IF(T113=0,IF(T112=0,0,$U$46),G72)-IF(AND(T113&gt;0,T114=0),$C$26,0))</f>
        <v>14612</v>
      </c>
      <c r="V113" s="57">
        <f t="shared" si="39"/>
        <v>68675</v>
      </c>
      <c r="W113" s="16">
        <f t="shared" si="41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64"/>
        <v>4966.9799999999996</v>
      </c>
      <c r="AJ113" s="34">
        <f t="shared" si="66"/>
        <v>14612</v>
      </c>
      <c r="AK113" s="57">
        <f t="shared" si="67"/>
        <v>68675</v>
      </c>
      <c r="AL113" s="130"/>
      <c r="AM113" s="1057">
        <f t="shared" si="56"/>
        <v>105</v>
      </c>
      <c r="AN113" s="1058">
        <f t="shared" si="49"/>
        <v>48511</v>
      </c>
      <c r="AO113" s="105">
        <f>IF(AX112=1,AR113+AP113+AQ113,IF(AW112+AR113+AP113&gt;AO112,$D$29,IF(AW112=0,0,AW112+AR113+AP113+AP145)))</f>
        <v>0</v>
      </c>
      <c r="AP113" s="105">
        <f>IF(AND(E113&gt;=$T$14,E113&lt;=$T$14+5),0,IF($C$9&gt;$AC$52,ROUND(AW112*$D$19*((AN113-DATE(YEAR(AN113),MONTH(AN113),1)+1)/(DATE(YEAR(AN113)+1,1,1)-DATE(YEAR(AN113),1,1))+(EOMONTH(AN112,0)-AN112)/(DATE(YEAR(AN112)+1,1,1)-DATE(YEAR(AN112),1,1))),2),0))</f>
        <v>0</v>
      </c>
      <c r="AQ113" s="105">
        <f t="shared" si="68"/>
        <v>0</v>
      </c>
      <c r="AR113" s="105">
        <f>IF(AT113&gt;$D$29,$D$29-AP113,IF(AY113=0,0,AV113)+BN162)</f>
        <v>0</v>
      </c>
      <c r="AS113" s="105">
        <f t="shared" si="69"/>
        <v>0</v>
      </c>
      <c r="AT113" s="105">
        <f t="shared" si="70"/>
        <v>0</v>
      </c>
      <c r="AU113" s="105">
        <f t="shared" si="71"/>
        <v>0</v>
      </c>
      <c r="AV113" s="105">
        <f t="shared" si="72"/>
        <v>0</v>
      </c>
      <c r="AW113" s="105">
        <f t="shared" si="73"/>
        <v>0</v>
      </c>
      <c r="AX113" s="108">
        <f t="shared" si="57"/>
        <v>0</v>
      </c>
      <c r="AY113" s="108">
        <f>IF(ISERR(CEILING(FLOOR(NPER($D$19/12,-$AC$56,AW112),0.1),1))=TRUE,0,CEILING(FLOOR(NPER($D$19/12,-$AC$56,AW112),0.1),1))</f>
        <v>0</v>
      </c>
      <c r="AZ113" s="1047"/>
      <c r="BA113" s="108">
        <f>G163</f>
        <v>0</v>
      </c>
      <c r="BB113" s="2" t="e">
        <f>IF(AND(E68&gt;=$T$14,E68&lt;=$T$14+5),0,IF($C$9&gt;$AC$52,ROUND(AW67*IF($D$23="",0,$D$23)/(DATEVALUE(CONCATENATE("01/01/",YEAR(AN68)+1))-DATEVALUE(CONCATENATE("01/01/",YEAR(AN68))))*(AN68-AN67),2),0))</f>
        <v>#VALUE!</v>
      </c>
    </row>
    <row r="114" spans="5:54" ht="12" x14ac:dyDescent="0.2">
      <c r="E114" s="1055">
        <f t="shared" si="54"/>
        <v>106</v>
      </c>
      <c r="F114" s="1056">
        <f t="shared" si="46"/>
        <v>48542</v>
      </c>
      <c r="G114" s="24">
        <f>IF(AND(E114&gt;=$T$14,E114&lt;=$T$14+5),$T$15,IF(AND(Q113+L114+H114&gt;G113,G113&lt;&gt;0),$C$29,IF(Q113=0,0,Q113+L114+H114+H115)))+IF(AND(E114=$C$10,$C$22&lt;&gt;"Нет"),MIN((I114-I114/$C$19*$C$23),Q113+H114-G113),0)</f>
        <v>0</v>
      </c>
      <c r="H114" s="24">
        <f>IF(AND(E114&gt;=$T$14,E114&lt;=$T$14+5),0,IF($C$9&gt;$AC$52,ROUND(Q113*$C$19*((F114-DATE(YEAR(F114),MONTH(F114),1)+1)/(DATE(YEAR(F114)+1,1,1)-DATE(YEAR(F114),1,1))+(EOMONTH(F113,0)-F113)/(DATE(YEAR(F113)+1,1,1)-DATE(YEAR(F113),1,1))),2),0))</f>
        <v>0</v>
      </c>
      <c r="I114" s="24">
        <f t="shared" si="52"/>
        <v>849563.72000000009</v>
      </c>
      <c r="J114" s="24">
        <f>IF(AND(E114=$C$10,$C$22&lt;&gt;"Нет"),MIN((I114-I114/$C$19*$C$23),Q113+H114-G113),0)</f>
        <v>0</v>
      </c>
      <c r="K114" s="24">
        <f t="shared" si="47"/>
        <v>0</v>
      </c>
      <c r="L114" s="24">
        <f>IF(N114&gt;$C$29,$C$29-H114,IF(S114=0,0,O114))</f>
        <v>0</v>
      </c>
      <c r="M114" s="24">
        <f t="shared" si="61"/>
        <v>0</v>
      </c>
      <c r="N114" s="24">
        <f t="shared" si="62"/>
        <v>0</v>
      </c>
      <c r="O114" s="24">
        <f t="shared" si="50"/>
        <v>0</v>
      </c>
      <c r="P114" s="24">
        <f t="shared" si="51"/>
        <v>0</v>
      </c>
      <c r="Q114" s="24">
        <f t="shared" si="48"/>
        <v>0</v>
      </c>
      <c r="R114" s="36">
        <f t="shared" si="58"/>
        <v>0</v>
      </c>
      <c r="S114" s="36">
        <f>IF(ISERR(CEILING(FLOOR(NPER($C$19/12,-$AA$56,Q113),0.1),1))=TRUE,0,CEILING(FLOOR(NPER($C$19/12,-$AA$56,Q113),0.1),1))</f>
        <v>0</v>
      </c>
      <c r="T114" s="2">
        <f t="shared" ref="T114:T177" si="74">IF(AND(E73&gt;=$T$14,E73&lt;=$T$14+5),0,IF($C$9&gt;$AC$52,ROUND(Q72*$T$46/(DATEVALUE(CONCATENATE("01/01/",YEAR(F73)+1))-DATEVALUE(CONCATENATE("01/01/",YEAR(F73))))*(F73-F72),2),0))</f>
        <v>5167.26</v>
      </c>
      <c r="U114" s="34">
        <f>IF(U113&lt;0,0,IF(T114=0,IF(T113=0,0,$U$46),G73)-IF(AND(T114&gt;0,T115=0),$C$26,0))</f>
        <v>14612</v>
      </c>
      <c r="V114" s="57">
        <f t="shared" si="39"/>
        <v>69040</v>
      </c>
      <c r="W114" s="16">
        <f t="shared" si="41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64"/>
        <v>4609.3599999999997</v>
      </c>
      <c r="AJ114" s="34">
        <f t="shared" si="66"/>
        <v>14612</v>
      </c>
      <c r="AK114" s="57">
        <f t="shared" si="67"/>
        <v>69040</v>
      </c>
      <c r="AL114" s="130"/>
      <c r="AM114" s="1057">
        <f t="shared" si="56"/>
        <v>106</v>
      </c>
      <c r="AN114" s="1058">
        <f t="shared" si="49"/>
        <v>48542</v>
      </c>
      <c r="AO114" s="105">
        <f>IF(AX113=1,AR114+AP114+AQ114,IF(AW113+AR114+AP114&gt;AO113,$D$29,IF(AW113=0,0,AW113+AR114+AP114+AP146)))</f>
        <v>0</v>
      </c>
      <c r="AP114" s="105">
        <f>IF(AND(E114&gt;=$T$14,E114&lt;=$T$14+5),0,IF($C$9&gt;$AC$52,ROUND(AW113*$D$19*((AN114-DATE(YEAR(AN114),MONTH(AN114),1)+1)/(DATE(YEAR(AN114)+1,1,1)-DATE(YEAR(AN114),1,1))+(EOMONTH(AN113,0)-AN113)/(DATE(YEAR(AN113)+1,1,1)-DATE(YEAR(AN113),1,1))),2),0))</f>
        <v>0</v>
      </c>
      <c r="AQ114" s="105">
        <f t="shared" si="68"/>
        <v>0</v>
      </c>
      <c r="AR114" s="105">
        <f>IF(AT114&gt;$D$29,$D$29-AP114,IF(AY114=0,0,AV114)+BN163)</f>
        <v>0</v>
      </c>
      <c r="AS114" s="105">
        <f t="shared" si="69"/>
        <v>0</v>
      </c>
      <c r="AT114" s="105">
        <f t="shared" si="70"/>
        <v>0</v>
      </c>
      <c r="AU114" s="105">
        <f t="shared" si="71"/>
        <v>0</v>
      </c>
      <c r="AV114" s="105">
        <f t="shared" si="72"/>
        <v>0</v>
      </c>
      <c r="AW114" s="105">
        <f t="shared" si="73"/>
        <v>0</v>
      </c>
      <c r="AX114" s="108">
        <f t="shared" si="57"/>
        <v>0</v>
      </c>
      <c r="AY114" s="108">
        <f>IF(ISERR(CEILING(FLOOR(NPER($D$19/12,-$AC$56,AW113),0.1),1))=TRUE,0,CEILING(FLOOR(NPER($D$19/12,-$AC$56,AW113),0.1),1))</f>
        <v>0</v>
      </c>
      <c r="AZ114" s="1047"/>
      <c r="BA114" s="108">
        <f>G164</f>
        <v>0</v>
      </c>
      <c r="BB114" s="2" t="e">
        <f>IF(AND(E69&gt;=$T$14,E69&lt;=$T$14+5),0,IF($C$9&gt;$AC$52,ROUND(AW68*IF($D$23="",0,$D$23)/(DATEVALUE(CONCATENATE("01/01/",YEAR(AN69)+1))-DATEVALUE(CONCATENATE("01/01/",YEAR(AN69))))*(AN69-AN68),2),0))</f>
        <v>#VALUE!</v>
      </c>
    </row>
    <row r="115" spans="5:54" ht="12" x14ac:dyDescent="0.2">
      <c r="E115" s="1055">
        <f t="shared" si="54"/>
        <v>107</v>
      </c>
      <c r="F115" s="1056">
        <f t="shared" si="46"/>
        <v>48572</v>
      </c>
      <c r="G115" s="24">
        <f>IF(AND(E115&gt;=$T$14,E115&lt;=$T$14+5),$T$15,IF(AND(Q114+L115+H115&gt;G114,G114&lt;&gt;0),$C$29,IF(Q114=0,0,Q114+L115+H115+H116)))+IF(AND(E115=$C$10,$C$22&lt;&gt;"Нет"),MIN((I115-I115/$C$19*$C$23),Q114+H115-G114),0)</f>
        <v>0</v>
      </c>
      <c r="H115" s="24">
        <f>IF(AND(E115&gt;=$T$14,E115&lt;=$T$14+5),0,IF($C$9&gt;$AC$52,ROUND(Q114*$C$19*((F115-DATE(YEAR(F115),MONTH(F115),1)+1)/(DATE(YEAR(F115)+1,1,1)-DATE(YEAR(F115),1,1))+(EOMONTH(F114,0)-F114)/(DATE(YEAR(F114)+1,1,1)-DATE(YEAR(F114),1,1))),2),0))</f>
        <v>0</v>
      </c>
      <c r="I115" s="24">
        <f t="shared" si="52"/>
        <v>849563.72000000009</v>
      </c>
      <c r="J115" s="24">
        <f>IF(AND(E115=$C$10,$C$22&lt;&gt;"Нет"),MIN((I115-I115/$C$19*$C$23),Q114+H115-G114),0)</f>
        <v>0</v>
      </c>
      <c r="K115" s="24">
        <f t="shared" si="47"/>
        <v>0</v>
      </c>
      <c r="L115" s="24">
        <f>IF(N115&gt;$C$29,$C$29-H115,IF(S115=0,0,O115))</f>
        <v>0</v>
      </c>
      <c r="M115" s="24">
        <f t="shared" si="61"/>
        <v>0</v>
      </c>
      <c r="N115" s="24">
        <f t="shared" si="62"/>
        <v>0</v>
      </c>
      <c r="O115" s="24">
        <f t="shared" si="50"/>
        <v>0</v>
      </c>
      <c r="P115" s="24">
        <f t="shared" si="51"/>
        <v>0</v>
      </c>
      <c r="Q115" s="24">
        <f t="shared" si="48"/>
        <v>0</v>
      </c>
      <c r="R115" s="36">
        <f t="shared" si="58"/>
        <v>0</v>
      </c>
      <c r="S115" s="36">
        <f>IF(ISERR(CEILING(FLOOR(NPER($C$19/12,-$AA$56,Q114),0.1),1))=TRUE,0,CEILING(FLOOR(NPER($C$19/12,-$AA$56,Q114),0.1),1))</f>
        <v>0</v>
      </c>
      <c r="T115" s="2">
        <f t="shared" si="74"/>
        <v>4900.58</v>
      </c>
      <c r="U115" s="34">
        <f>IF(U114&lt;0,0,IF(T115=0,IF(T114=0,0,$U$46),G74)-IF(AND(T115&gt;0,T116=0),$C$26,0))</f>
        <v>14612</v>
      </c>
      <c r="V115" s="57">
        <f t="shared" ref="V115:V178" si="75">IF(T115=0,V114,V114+365)</f>
        <v>69405</v>
      </c>
      <c r="W115" s="16">
        <f t="shared" si="41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64"/>
        <v>4551.47</v>
      </c>
      <c r="AJ115" s="34">
        <f t="shared" si="66"/>
        <v>14612</v>
      </c>
      <c r="AK115" s="57">
        <f t="shared" si="67"/>
        <v>69405</v>
      </c>
      <c r="AL115" s="130"/>
      <c r="AM115" s="1057">
        <f t="shared" si="56"/>
        <v>107</v>
      </c>
      <c r="AN115" s="1058">
        <f t="shared" si="49"/>
        <v>48572</v>
      </c>
      <c r="AO115" s="105">
        <f>IF(AX114=1,AR115+AP115+AQ115,IF(AW114+AR115+AP115&gt;AO114,$D$29,IF(AW114=0,0,AW114+AR115+AP115+AP147)))</f>
        <v>0</v>
      </c>
      <c r="AP115" s="105">
        <f>IF(AND(E115&gt;=$T$14,E115&lt;=$T$14+5),0,IF($C$9&gt;$AC$52,ROUND(AW114*$D$19*((AN115-DATE(YEAR(AN115),MONTH(AN115),1)+1)/(DATE(YEAR(AN115)+1,1,1)-DATE(YEAR(AN115),1,1))+(EOMONTH(AN114,0)-AN114)/(DATE(YEAR(AN114)+1,1,1)-DATE(YEAR(AN114),1,1))),2),0))</f>
        <v>0</v>
      </c>
      <c r="AQ115" s="105">
        <f t="shared" si="68"/>
        <v>0</v>
      </c>
      <c r="AR115" s="105">
        <f>IF(AT115&gt;$D$29,$D$29-AP115,IF(AY115=0,0,AV115)+BN164)</f>
        <v>0</v>
      </c>
      <c r="AS115" s="105">
        <f t="shared" si="69"/>
        <v>0</v>
      </c>
      <c r="AT115" s="105">
        <f t="shared" si="70"/>
        <v>0</v>
      </c>
      <c r="AU115" s="105">
        <f t="shared" si="71"/>
        <v>0</v>
      </c>
      <c r="AV115" s="105">
        <f t="shared" si="72"/>
        <v>0</v>
      </c>
      <c r="AW115" s="105">
        <f t="shared" si="73"/>
        <v>0</v>
      </c>
      <c r="AX115" s="108">
        <f t="shared" si="57"/>
        <v>0</v>
      </c>
      <c r="AY115" s="108">
        <f>IF(ISERR(CEILING(FLOOR(NPER($D$19/12,-$AC$56,AW114),0.1),1))=TRUE,0,CEILING(FLOOR(NPER($D$19/12,-$AC$56,AW114),0.1),1))</f>
        <v>0</v>
      </c>
      <c r="AZ115" s="1047"/>
      <c r="BA115" s="108">
        <f>G165</f>
        <v>0</v>
      </c>
      <c r="BB115" s="2" t="e">
        <f>IF(AND(E70&gt;=$T$14,E70&lt;=$T$14+5),0,IF($C$9&gt;$AC$52,ROUND(AW69*IF($D$23="",0,$D$23)/(DATEVALUE(CONCATENATE("01/01/",YEAR(AN70)+1))-DATEVALUE(CONCATENATE("01/01/",YEAR(AN70))))*(AN70-AN69),2),0))</f>
        <v>#VALUE!</v>
      </c>
    </row>
    <row r="116" spans="5:54" ht="12" x14ac:dyDescent="0.2">
      <c r="E116" s="1055">
        <f t="shared" si="54"/>
        <v>108</v>
      </c>
      <c r="F116" s="1056">
        <f t="shared" si="46"/>
        <v>48603</v>
      </c>
      <c r="G116" s="24">
        <f>IF(AND(E116&gt;=$T$14,E116&lt;=$T$14+5),$T$15,IF(AND(Q115+L116+H116&gt;G115,G115&lt;&gt;0),$C$29,IF(Q115=0,0,Q115+L116+H116+H117)))+IF(AND(E116=$C$10,$C$22&lt;&gt;"Нет"),MIN((I116-I116/$C$19*$C$23),Q115+H116-G115),0)</f>
        <v>0</v>
      </c>
      <c r="H116" s="24">
        <f>IF(AND(E116&gt;=$T$14,E116&lt;=$T$14+5),0,IF($C$9&gt;$AC$52,ROUND(Q115*$C$19*((F116-DATE(YEAR(F116),MONTH(F116),1)+1)/(DATE(YEAR(F116)+1,1,1)-DATE(YEAR(F116),1,1))+(EOMONTH(F115,0)-F115)/(DATE(YEAR(F115)+1,1,1)-DATE(YEAR(F115),1,1))),2),0))</f>
        <v>0</v>
      </c>
      <c r="I116" s="24">
        <f t="shared" si="52"/>
        <v>849563.72000000009</v>
      </c>
      <c r="J116" s="24">
        <f>IF(AND(E116=$C$10,$C$22&lt;&gt;"Нет"),MIN((I116-I116/$C$19*$C$23),Q115+H116-G115),0)</f>
        <v>0</v>
      </c>
      <c r="K116" s="24">
        <f t="shared" si="47"/>
        <v>0</v>
      </c>
      <c r="L116" s="24">
        <f>IF(N116&gt;$C$29,$C$29-H116,IF(S116=0,0,O116))</f>
        <v>0</v>
      </c>
      <c r="M116" s="24">
        <f t="shared" si="61"/>
        <v>0</v>
      </c>
      <c r="N116" s="24">
        <f t="shared" si="62"/>
        <v>0</v>
      </c>
      <c r="O116" s="24">
        <f t="shared" si="50"/>
        <v>0</v>
      </c>
      <c r="P116" s="24">
        <f t="shared" si="51"/>
        <v>0</v>
      </c>
      <c r="Q116" s="24">
        <f t="shared" si="48"/>
        <v>0</v>
      </c>
      <c r="R116" s="36">
        <f t="shared" si="58"/>
        <v>0</v>
      </c>
      <c r="S116" s="36">
        <f>IF(ISERR(CEILING(FLOOR(NPER($C$19/12,-$AA$56,Q115),0.1),1))=TRUE,0,CEILING(FLOOR(NPER($C$19/12,-$AA$56,Q115),0.1),1))</f>
        <v>0</v>
      </c>
      <c r="T116" s="2">
        <f t="shared" si="74"/>
        <v>4953.83</v>
      </c>
      <c r="U116" s="34">
        <f>IF(U115&lt;0,0,IF(T116=0,IF(T115=0,0,$U$46),G75)-IF(AND(T116&gt;0,T117=0),$C$26,0))</f>
        <v>14612</v>
      </c>
      <c r="V116" s="57">
        <f t="shared" si="75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64"/>
        <v>4338.71</v>
      </c>
      <c r="AJ116" s="34">
        <f t="shared" si="66"/>
        <v>14612</v>
      </c>
      <c r="AK116" s="57">
        <f t="shared" si="67"/>
        <v>69770</v>
      </c>
      <c r="AL116" s="130"/>
      <c r="AM116" s="1057">
        <f t="shared" si="56"/>
        <v>108</v>
      </c>
      <c r="AN116" s="1058">
        <f t="shared" si="49"/>
        <v>48603</v>
      </c>
      <c r="AO116" s="105">
        <f>IF(AX115=1,AR116+AP116+AQ116,IF(AW115+AR116+AP116&gt;AO115,$D$29,IF(AW115=0,0,AW115+AR116+AP116+AP148)))</f>
        <v>0</v>
      </c>
      <c r="AP116" s="105">
        <f>IF(AND(E116&gt;=$T$14,E116&lt;=$T$14+5),0,IF($C$9&gt;$AC$52,ROUND(AW115*$D$19*((AN116-DATE(YEAR(AN116),MONTH(AN116),1)+1)/(DATE(YEAR(AN116)+1,1,1)-DATE(YEAR(AN116),1,1))+(EOMONTH(AN115,0)-AN115)/(DATE(YEAR(AN115)+1,1,1)-DATE(YEAR(AN115),1,1))),2),0))</f>
        <v>0</v>
      </c>
      <c r="AQ116" s="105">
        <f t="shared" si="68"/>
        <v>0</v>
      </c>
      <c r="AR116" s="105">
        <f>IF(AT116&gt;$D$29,$D$29-AP116,IF(AY116=0,0,AV116)+BN165)</f>
        <v>0</v>
      </c>
      <c r="AS116" s="105">
        <f t="shared" si="69"/>
        <v>0</v>
      </c>
      <c r="AT116" s="105">
        <f t="shared" si="70"/>
        <v>0</v>
      </c>
      <c r="AU116" s="105">
        <f t="shared" si="71"/>
        <v>0</v>
      </c>
      <c r="AV116" s="105">
        <f t="shared" si="72"/>
        <v>0</v>
      </c>
      <c r="AW116" s="105">
        <f t="shared" si="73"/>
        <v>0</v>
      </c>
      <c r="AX116" s="108">
        <f t="shared" si="57"/>
        <v>0</v>
      </c>
      <c r="AY116" s="108">
        <f>IF(ISERR(CEILING(FLOOR(NPER($D$19/12,-$AC$56,AW115),0.1),1))=TRUE,0,CEILING(FLOOR(NPER($D$19/12,-$AC$56,AW115),0.1),1))</f>
        <v>0</v>
      </c>
      <c r="AZ116" s="1087" t="s">
        <v>67</v>
      </c>
      <c r="BA116" s="152" t="e">
        <f>XIRR(BA7:BA115,AZ7:AZ115)</f>
        <v>#VALUE!</v>
      </c>
      <c r="BB116" s="2" t="e">
        <f>IF(AND(E71&gt;=$T$14,E71&lt;=$T$14+5),0,IF($C$9&gt;$AC$52,ROUND(AW70*IF($D$23="",0,$D$23)/(DATEVALUE(CONCATENATE("01/01/",YEAR(AN71)+1))-DATEVALUE(CONCATENATE("01/01/",YEAR(AN71))))*(AN71-AN70),2),0))</f>
        <v>#VALUE!</v>
      </c>
    </row>
    <row r="117" spans="5:54" ht="12" x14ac:dyDescent="0.2">
      <c r="E117" s="1055">
        <f t="shared" si="54"/>
        <v>109</v>
      </c>
      <c r="F117" s="1056">
        <f t="shared" si="46"/>
        <v>48634</v>
      </c>
      <c r="G117" s="24">
        <f>IF(AND(E117&gt;=$T$14,E117&lt;=$T$14+5),$T$15,IF(AND(Q116+L117+H117&gt;G116,G116&lt;&gt;0),$C$29,IF(Q116=0,0,Q116+L117+H117+H118)))+IF(AND(E117=$C$10,$C$22&lt;&gt;"Нет"),MIN((I117-I117/$C$19*$C$23),Q116+H117-G116),0)</f>
        <v>0</v>
      </c>
      <c r="H117" s="24">
        <f>IF(AND(E117&gt;=$T$14,E117&lt;=$T$14+5),0,IF($C$9&gt;$AC$52,ROUND(Q116*$C$19*((F117-DATE(YEAR(F117),MONTH(F117),1)+1)/(DATE(YEAR(F117)+1,1,1)-DATE(YEAR(F117),1,1))+(EOMONTH(F116,0)-F116)/(DATE(YEAR(F116)+1,1,1)-DATE(YEAR(F116),1,1))),2),0))</f>
        <v>0</v>
      </c>
      <c r="I117" s="24">
        <f t="shared" si="52"/>
        <v>849563.72000000009</v>
      </c>
      <c r="J117" s="24">
        <f>IF(AND(E117=$C$10,$C$22&lt;&gt;"Нет"),MIN((I117-I117/$C$19*$C$23),Q116+H117-G116),0)</f>
        <v>0</v>
      </c>
      <c r="K117" s="24">
        <f t="shared" si="47"/>
        <v>0</v>
      </c>
      <c r="L117" s="24">
        <f>IF(N117&gt;$C$29,$C$29-H117,IF(S117=0,0,O117))</f>
        <v>0</v>
      </c>
      <c r="M117" s="24">
        <f t="shared" si="61"/>
        <v>0</v>
      </c>
      <c r="N117" s="24">
        <f t="shared" si="62"/>
        <v>0</v>
      </c>
      <c r="O117" s="24">
        <f t="shared" si="50"/>
        <v>0</v>
      </c>
      <c r="P117" s="24">
        <f t="shared" si="51"/>
        <v>0</v>
      </c>
      <c r="Q117" s="24">
        <f t="shared" si="48"/>
        <v>0</v>
      </c>
      <c r="R117" s="36">
        <f t="shared" si="58"/>
        <v>0</v>
      </c>
      <c r="S117" s="36">
        <f>IF(ISERR(CEILING(FLOOR(NPER($C$19/12,-$AA$56,Q116),0.1),1))=TRUE,0,CEILING(FLOOR(NPER($C$19/12,-$AA$56,Q116),0.1),1))</f>
        <v>0</v>
      </c>
      <c r="T117" s="2">
        <f t="shared" si="74"/>
        <v>4845.07</v>
      </c>
      <c r="U117" s="34">
        <f>IF(U116&lt;0,0,IF(T117=0,IF(T116=0,0,$U$46),G76)-IF(AND(T117&gt;0,T118=0),$C$26,0))</f>
        <v>14612</v>
      </c>
      <c r="V117" s="57">
        <f t="shared" si="75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64"/>
        <v>3988.5</v>
      </c>
      <c r="AJ117" s="34">
        <f t="shared" si="66"/>
        <v>14612</v>
      </c>
      <c r="AK117" s="57">
        <f t="shared" si="67"/>
        <v>70135</v>
      </c>
      <c r="AL117" s="130"/>
      <c r="AM117" s="1057">
        <f t="shared" si="56"/>
        <v>109</v>
      </c>
      <c r="AN117" s="1058">
        <f t="shared" si="49"/>
        <v>48634</v>
      </c>
      <c r="AO117" s="105">
        <f>IF(AX116=1,AR117+AP117+AQ117,IF(AW116+AR117+AP117&gt;AO116,$D$29,IF(AW116=0,0,AW116+AR117+AP117+AP149)))</f>
        <v>0</v>
      </c>
      <c r="AP117" s="105">
        <f>IF(AND(E117&gt;=$T$14,E117&lt;=$T$14+5),0,IF($C$9&gt;$AC$52,ROUND(AW116*$D$19*((AN117-DATE(YEAR(AN117),MONTH(AN117),1)+1)/(DATE(YEAR(AN117)+1,1,1)-DATE(YEAR(AN117),1,1))+(EOMONTH(AN116,0)-AN116)/(DATE(YEAR(AN116)+1,1,1)-DATE(YEAR(AN116),1,1))),2),0))</f>
        <v>0</v>
      </c>
      <c r="AQ117" s="105">
        <f t="shared" si="68"/>
        <v>0</v>
      </c>
      <c r="AR117" s="105">
        <f>IF(AT117&gt;$D$29,$D$29-AP117,IF(AY117=0,0,AV117)+BN166)</f>
        <v>0</v>
      </c>
      <c r="AS117" s="105">
        <f t="shared" si="69"/>
        <v>0</v>
      </c>
      <c r="AT117" s="105">
        <f t="shared" si="70"/>
        <v>0</v>
      </c>
      <c r="AU117" s="105">
        <f t="shared" si="71"/>
        <v>0</v>
      </c>
      <c r="AV117" s="105">
        <f t="shared" si="72"/>
        <v>0</v>
      </c>
      <c r="AW117" s="105">
        <f t="shared" si="73"/>
        <v>0</v>
      </c>
      <c r="AX117" s="108">
        <f t="shared" si="57"/>
        <v>0</v>
      </c>
      <c r="AY117" s="108">
        <f>IF(ISERR(CEILING(FLOOR(NPER($D$19/12,-$AC$56,AW116),0.1),1))=TRUE,0,CEILING(FLOOR(NPER($D$19/12,-$AC$56,AW116),0.1),1))</f>
        <v>0</v>
      </c>
      <c r="BB117" s="2" t="e">
        <f>IF(AND(E72&gt;=$T$14,E72&lt;=$T$14+5),0,IF($C$9&gt;$AC$52,ROUND(AW71*IF($D$23="",0,$D$23)/(DATEVALUE(CONCATENATE("01/01/",YEAR(AN72)+1))-DATEVALUE(CONCATENATE("01/01/",YEAR(AN72))))*(AN72-AN71),2),0))</f>
        <v>#VALUE!</v>
      </c>
    </row>
    <row r="118" spans="5:54" ht="12" x14ac:dyDescent="0.2">
      <c r="E118" s="1055">
        <f t="shared" si="54"/>
        <v>110</v>
      </c>
      <c r="F118" s="1056">
        <f t="shared" si="46"/>
        <v>48662</v>
      </c>
      <c r="G118" s="24">
        <f>IF(AND(E118&gt;=$T$14,E118&lt;=$T$14+5),$T$15,IF(AND(Q117+L118+H118&gt;G117,G117&lt;&gt;0),$C$29,IF(Q117=0,0,Q117+L118+H118+H119)))+IF(AND(E118=$C$10,$C$22&lt;&gt;"Нет"),MIN((I118-I118/$C$19*$C$23),Q117+H118-G117),0)</f>
        <v>0</v>
      </c>
      <c r="H118" s="24">
        <f>IF(AND(E118&gt;=$T$14,E118&lt;=$T$14+5),0,IF($C$9&gt;$AC$52,ROUND(Q117*$C$19*((F118-DATE(YEAR(F118),MONTH(F118),1)+1)/(DATE(YEAR(F118)+1,1,1)-DATE(YEAR(F118),1,1))+(EOMONTH(F117,0)-F117)/(DATE(YEAR(F117)+1,1,1)-DATE(YEAR(F117),1,1))),2),0))</f>
        <v>0</v>
      </c>
      <c r="I118" s="24">
        <f t="shared" si="52"/>
        <v>849563.72000000009</v>
      </c>
      <c r="J118" s="24">
        <f>IF(AND(E118=$C$10,$C$22&lt;&gt;"Нет"),MIN((I118-I118/$C$19*$C$23),Q117+H118-G117),0)</f>
        <v>0</v>
      </c>
      <c r="K118" s="24">
        <f t="shared" si="47"/>
        <v>0</v>
      </c>
      <c r="L118" s="24">
        <f>IF(N118&gt;$C$29,$C$29-H118,IF(S118=0,0,O118))</f>
        <v>0</v>
      </c>
      <c r="M118" s="24">
        <f t="shared" si="61"/>
        <v>0</v>
      </c>
      <c r="N118" s="24">
        <f t="shared" si="62"/>
        <v>0</v>
      </c>
      <c r="O118" s="24">
        <f t="shared" si="50"/>
        <v>0</v>
      </c>
      <c r="P118" s="24">
        <f t="shared" si="51"/>
        <v>0</v>
      </c>
      <c r="Q118" s="24">
        <f t="shared" si="48"/>
        <v>0</v>
      </c>
      <c r="R118" s="36">
        <f t="shared" si="58"/>
        <v>0</v>
      </c>
      <c r="S118" s="36">
        <f>IF(ISERR(CEILING(FLOOR(NPER($C$19/12,-$AA$56,Q117),0.1),1))=TRUE,0,CEILING(FLOOR(NPER($C$19/12,-$AA$56,Q117),0.1),1))</f>
        <v>0</v>
      </c>
      <c r="T118" s="2">
        <f t="shared" si="74"/>
        <v>4580.8599999999997</v>
      </c>
      <c r="U118" s="34">
        <f>IF(U117&lt;0,0,IF(T118=0,IF(T117=0,0,$U$46),G77)-IF(AND(T118&gt;0,T119=0),$C$26,0))</f>
        <v>14612</v>
      </c>
      <c r="V118" s="57">
        <f t="shared" si="75"/>
        <v>70500</v>
      </c>
      <c r="W118" s="16">
        <f t="shared" ref="W118:W180" si="76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64"/>
        <v>3896.79</v>
      </c>
      <c r="AJ118" s="34">
        <f t="shared" si="66"/>
        <v>14612</v>
      </c>
      <c r="AK118" s="57">
        <f t="shared" si="67"/>
        <v>70500</v>
      </c>
      <c r="AL118" s="130"/>
      <c r="AM118" s="1057">
        <f t="shared" si="56"/>
        <v>110</v>
      </c>
      <c r="AN118" s="1058">
        <f t="shared" si="49"/>
        <v>48662</v>
      </c>
      <c r="AO118" s="105">
        <f>IF(AX117=1,AR118+AP118+AQ118,IF(AW117+AR118+AP118&gt;AO117,$D$29,IF(AW117=0,0,AW117+AR118+AP118+AP150)))</f>
        <v>0</v>
      </c>
      <c r="AP118" s="105">
        <f>IF(AND(E118&gt;=$T$14,E118&lt;=$T$14+5),0,IF($C$9&gt;$AC$52,ROUND(AW117*$D$19*((AN118-DATE(YEAR(AN118),MONTH(AN118),1)+1)/(DATE(YEAR(AN118)+1,1,1)-DATE(YEAR(AN118),1,1))+(EOMONTH(AN117,0)-AN117)/(DATE(YEAR(AN117)+1,1,1)-DATE(YEAR(AN117),1,1))),2),0))</f>
        <v>0</v>
      </c>
      <c r="AQ118" s="105">
        <f t="shared" si="68"/>
        <v>0</v>
      </c>
      <c r="AR118" s="105">
        <f>IF(AT118&gt;$D$29,$D$29-AP118,IF(AY118=0,0,AV118)+BN167)</f>
        <v>0</v>
      </c>
      <c r="AS118" s="105">
        <f t="shared" si="69"/>
        <v>0</v>
      </c>
      <c r="AT118" s="105">
        <f t="shared" si="70"/>
        <v>0</v>
      </c>
      <c r="AU118" s="105">
        <f t="shared" si="71"/>
        <v>0</v>
      </c>
      <c r="AV118" s="105">
        <f t="shared" si="72"/>
        <v>0</v>
      </c>
      <c r="AW118" s="105">
        <f t="shared" si="73"/>
        <v>0</v>
      </c>
      <c r="AX118" s="108">
        <f t="shared" si="57"/>
        <v>0</v>
      </c>
      <c r="AY118" s="108">
        <f>IF(ISERR(CEILING(FLOOR(NPER($D$19/12,-$AC$56,AW117),0.1),1))=TRUE,0,CEILING(FLOOR(NPER($D$19/12,-$AC$56,AW117),0.1),1))</f>
        <v>0</v>
      </c>
      <c r="BB118" s="2" t="e">
        <f>IF(AND(E73&gt;=$T$14,E73&lt;=$T$14+5),0,IF($C$9&gt;$AC$52,ROUND(AW72*IF($D$23="",0,$D$23)/(DATEVALUE(CONCATENATE("01/01/",YEAR(AN73)+1))-DATEVALUE(CONCATENATE("01/01/",YEAR(AN73))))*(AN73-AN72),2),0))</f>
        <v>#VALUE!</v>
      </c>
    </row>
    <row r="119" spans="5:54" ht="12" x14ac:dyDescent="0.2">
      <c r="E119" s="1055">
        <f t="shared" si="54"/>
        <v>111</v>
      </c>
      <c r="F119" s="1056">
        <f t="shared" si="46"/>
        <v>48693</v>
      </c>
      <c r="G119" s="24">
        <f>IF(AND(E119&gt;=$T$14,E119&lt;=$T$14+5),$T$15,IF(AND(Q118+L119+H119&gt;G118,G118&lt;&gt;0),$C$29,IF(Q118=0,0,Q118+L119+H119+H120)))+IF(AND(E119=$C$10,$C$22&lt;&gt;"Нет"),MIN((I119-I119/$C$19*$C$23),Q118+H119-G118),0)</f>
        <v>0</v>
      </c>
      <c r="H119" s="24">
        <f>IF(AND(E119&gt;=$T$14,E119&lt;=$T$14+5),0,IF($C$9&gt;$AC$52,ROUND(Q118*$C$19*((F119-DATE(YEAR(F119),MONTH(F119),1)+1)/(DATE(YEAR(F119)+1,1,1)-DATE(YEAR(F119),1,1))+(EOMONTH(F118,0)-F118)/(DATE(YEAR(F118)+1,1,1)-DATE(YEAR(F118),1,1))),2),0))</f>
        <v>0</v>
      </c>
      <c r="I119" s="24">
        <f t="shared" si="52"/>
        <v>849563.72000000009</v>
      </c>
      <c r="J119" s="24">
        <f>IF(AND(E119=$C$10,$C$22&lt;&gt;"Нет"),MIN((I119-I119/$C$19*$C$23),Q118+H119-G118),0)</f>
        <v>0</v>
      </c>
      <c r="K119" s="24">
        <f t="shared" si="47"/>
        <v>0</v>
      </c>
      <c r="L119" s="24">
        <f>IF(N119&gt;$C$29,$C$29-H119,IF(S119=0,0,O119))</f>
        <v>0</v>
      </c>
      <c r="M119" s="24">
        <f t="shared" si="61"/>
        <v>0</v>
      </c>
      <c r="N119" s="24">
        <f t="shared" si="62"/>
        <v>0</v>
      </c>
      <c r="O119" s="24">
        <f t="shared" si="50"/>
        <v>0</v>
      </c>
      <c r="P119" s="24">
        <f t="shared" si="51"/>
        <v>0</v>
      </c>
      <c r="Q119" s="24">
        <f t="shared" si="48"/>
        <v>0</v>
      </c>
      <c r="R119" s="36">
        <f t="shared" si="58"/>
        <v>0</v>
      </c>
      <c r="S119" s="36">
        <f>IF(ISERR(CEILING(FLOOR(NPER($C$19/12,-$AA$56,Q118),0.1),1))=TRUE,0,CEILING(FLOOR(NPER($C$19/12,-$AA$56,Q118),0.1),1))</f>
        <v>0</v>
      </c>
      <c r="T119" s="2">
        <f t="shared" si="74"/>
        <v>4615.34</v>
      </c>
      <c r="U119" s="34">
        <f>IF(U118&lt;0,0,IF(T119=0,IF(T118=0,0,$U$46),G78)-IF(AND(T119&gt;0,T120=0),$C$26,0))</f>
        <v>14612</v>
      </c>
      <c r="V119" s="57">
        <f t="shared" si="75"/>
        <v>70865</v>
      </c>
      <c r="W119" s="16">
        <f t="shared" si="76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64"/>
        <v>3551.79</v>
      </c>
      <c r="AJ119" s="34">
        <f t="shared" si="66"/>
        <v>14612</v>
      </c>
      <c r="AK119" s="57">
        <f t="shared" si="67"/>
        <v>70865</v>
      </c>
      <c r="AL119" s="130"/>
      <c r="AM119" s="1057">
        <f t="shared" si="56"/>
        <v>111</v>
      </c>
      <c r="AN119" s="1058">
        <f t="shared" si="49"/>
        <v>48693</v>
      </c>
      <c r="AO119" s="105">
        <f>IF(AX118=1,AR119+AP119+AQ119,IF(AW118+AR119+AP119&gt;AO118,$D$29,IF(AW118=0,0,AW118+AR119+AP119+AP151)))</f>
        <v>0</v>
      </c>
      <c r="AP119" s="105">
        <f>IF(AND(E119&gt;=$T$14,E119&lt;=$T$14+5),0,IF($C$9&gt;$AC$52,ROUND(AW118*$D$19*((AN119-DATE(YEAR(AN119),MONTH(AN119),1)+1)/(DATE(YEAR(AN119)+1,1,1)-DATE(YEAR(AN119),1,1))+(EOMONTH(AN118,0)-AN118)/(DATE(YEAR(AN118)+1,1,1)-DATE(YEAR(AN118),1,1))),2),0))</f>
        <v>0</v>
      </c>
      <c r="AQ119" s="105">
        <f t="shared" si="68"/>
        <v>0</v>
      </c>
      <c r="AR119" s="105">
        <f>IF(AT119&gt;$D$29,$D$29-AP119,IF(AY119=0,0,AV119)+BN168)</f>
        <v>0</v>
      </c>
      <c r="AS119" s="105">
        <f t="shared" si="69"/>
        <v>0</v>
      </c>
      <c r="AT119" s="105">
        <f t="shared" si="70"/>
        <v>0</v>
      </c>
      <c r="AU119" s="105">
        <f t="shared" si="71"/>
        <v>0</v>
      </c>
      <c r="AV119" s="105">
        <f t="shared" si="72"/>
        <v>0</v>
      </c>
      <c r="AW119" s="105">
        <f t="shared" si="73"/>
        <v>0</v>
      </c>
      <c r="AX119" s="108">
        <f t="shared" si="57"/>
        <v>0</v>
      </c>
      <c r="AY119" s="108">
        <f>IF(ISERR(CEILING(FLOOR(NPER($D$19/12,-$AC$56,AW118),0.1),1))=TRUE,0,CEILING(FLOOR(NPER($D$19/12,-$AC$56,AW118),0.1),1))</f>
        <v>0</v>
      </c>
      <c r="BB119" s="2" t="e">
        <f>IF(AND(E74&gt;=$T$14,E74&lt;=$T$14+5),0,IF($C$9&gt;$AC$52,ROUND(AW73*IF($D$23="",0,$D$23)/(DATEVALUE(CONCATENATE("01/01/",YEAR(AN74)+1))-DATEVALUE(CONCATENATE("01/01/",YEAR(AN74))))*(AN74-AN73),2),0))</f>
        <v>#VALUE!</v>
      </c>
    </row>
    <row r="120" spans="5:54" ht="12" x14ac:dyDescent="0.2">
      <c r="E120" s="1055">
        <f t="shared" si="54"/>
        <v>112</v>
      </c>
      <c r="F120" s="1056">
        <f t="shared" si="46"/>
        <v>48723</v>
      </c>
      <c r="G120" s="24">
        <f>IF(AND(E120&gt;=$T$14,E120&lt;=$T$14+5),$T$15,IF(AND(Q119+L120+H120&gt;G119,G119&lt;&gt;0),$C$29,IF(Q119=0,0,Q119+L120+H120+H121)))+IF(AND(E120=$C$10,$C$22&lt;&gt;"Нет"),MIN((I120-I120/$C$19*$C$23),Q119+H120-G119),0)</f>
        <v>0</v>
      </c>
      <c r="H120" s="24">
        <f>IF(AND(E120&gt;=$T$14,E120&lt;=$T$14+5),0,IF($C$9&gt;$AC$52,ROUND(Q119*$C$19*((F120-DATE(YEAR(F120),MONTH(F120),1)+1)/(DATE(YEAR(F120)+1,1,1)-DATE(YEAR(F120),1,1))+(EOMONTH(F119,0)-F119)/(DATE(YEAR(F119)+1,1,1)-DATE(YEAR(F119),1,1))),2),0))</f>
        <v>0</v>
      </c>
      <c r="I120" s="24">
        <f t="shared" si="52"/>
        <v>849563.72000000009</v>
      </c>
      <c r="J120" s="24">
        <f>IF(AND(E120=$C$10,$C$22&lt;&gt;"Нет"),MIN((I120-I120/$C$19*$C$23),Q119+H120-G119),0)</f>
        <v>0</v>
      </c>
      <c r="K120" s="24">
        <f t="shared" si="47"/>
        <v>0</v>
      </c>
      <c r="L120" s="24">
        <f>IF(N120&gt;$C$29,$C$29-H120,IF(S120=0,0,O120))</f>
        <v>0</v>
      </c>
      <c r="M120" s="24">
        <f t="shared" si="61"/>
        <v>0</v>
      </c>
      <c r="N120" s="24">
        <f t="shared" si="62"/>
        <v>0</v>
      </c>
      <c r="O120" s="24">
        <f t="shared" si="50"/>
        <v>0</v>
      </c>
      <c r="P120" s="24">
        <f t="shared" si="51"/>
        <v>0</v>
      </c>
      <c r="Q120" s="24">
        <f t="shared" si="48"/>
        <v>0</v>
      </c>
      <c r="R120" s="36">
        <f t="shared" si="58"/>
        <v>0</v>
      </c>
      <c r="S120" s="36">
        <f>IF(ISERR(CEILING(FLOOR(NPER($C$19/12,-$AA$56,Q119),0.1),1))=TRUE,0,CEILING(FLOOR(NPER($C$19/12,-$AA$56,Q119),0.1),1))</f>
        <v>0</v>
      </c>
      <c r="T120" s="2">
        <f t="shared" si="74"/>
        <v>4352.8900000000003</v>
      </c>
      <c r="U120" s="34">
        <f>IF(U119&lt;0,0,IF(T120=0,IF(T119=0,0,$U$46),G79)-IF(AND(T120&gt;0,T121=0),$C$26,0))</f>
        <v>14612</v>
      </c>
      <c r="V120" s="57">
        <f t="shared" si="75"/>
        <v>71230</v>
      </c>
      <c r="W120" s="16">
        <f t="shared" si="76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64"/>
        <v>3436.28</v>
      </c>
      <c r="AJ120" s="34">
        <f t="shared" si="66"/>
        <v>14612</v>
      </c>
      <c r="AK120" s="57">
        <f t="shared" si="67"/>
        <v>71230</v>
      </c>
      <c r="AL120" s="130"/>
      <c r="AM120" s="1057">
        <f t="shared" si="56"/>
        <v>112</v>
      </c>
      <c r="AN120" s="1058">
        <f t="shared" si="49"/>
        <v>48723</v>
      </c>
      <c r="AO120" s="105">
        <f>IF(AX119=1,AR120+AP120+AQ120,IF(AW119+AR120+AP120&gt;AO119,$D$29,IF(AW119=0,0,AW119+AR120+AP120+AP152)))</f>
        <v>0</v>
      </c>
      <c r="AP120" s="105">
        <f>IF(AND(E120&gt;=$T$14,E120&lt;=$T$14+5),0,IF($C$9&gt;$AC$52,ROUND(AW119*$D$19*((AN120-DATE(YEAR(AN120),MONTH(AN120),1)+1)/(DATE(YEAR(AN120)+1,1,1)-DATE(YEAR(AN120),1,1))+(EOMONTH(AN119,0)-AN119)/(DATE(YEAR(AN119)+1,1,1)-DATE(YEAR(AN119),1,1))),2),0))</f>
        <v>0</v>
      </c>
      <c r="AQ120" s="105">
        <f t="shared" si="68"/>
        <v>0</v>
      </c>
      <c r="AR120" s="105">
        <f>IF(AT120&gt;$D$29,$D$29-AP120,IF(AY120=0,0,AV120)+BN169)</f>
        <v>0</v>
      </c>
      <c r="AS120" s="105">
        <f t="shared" si="69"/>
        <v>0</v>
      </c>
      <c r="AT120" s="105">
        <f t="shared" si="70"/>
        <v>0</v>
      </c>
      <c r="AU120" s="105">
        <f t="shared" si="71"/>
        <v>0</v>
      </c>
      <c r="AV120" s="105">
        <f t="shared" si="72"/>
        <v>0</v>
      </c>
      <c r="AW120" s="105">
        <f t="shared" si="73"/>
        <v>0</v>
      </c>
      <c r="AX120" s="108">
        <f t="shared" si="57"/>
        <v>0</v>
      </c>
      <c r="AY120" s="108">
        <f>IF(ISERR(CEILING(FLOOR(NPER($D$19/12,-$AC$56,AW119),0.1),1))=TRUE,0,CEILING(FLOOR(NPER($D$19/12,-$AC$56,AW119),0.1),1))</f>
        <v>0</v>
      </c>
      <c r="BB120" s="2" t="e">
        <f>IF(AND(E75&gt;=$T$14,E75&lt;=$T$14+5),0,IF($C$9&gt;$AC$52,ROUND(AW74*IF($D$23="",0,$D$23)/(DATEVALUE(CONCATENATE("01/01/",YEAR(AN75)+1))-DATEVALUE(CONCATENATE("01/01/",YEAR(AN75))))*(AN75-AN74),2),0))</f>
        <v>#VALUE!</v>
      </c>
    </row>
    <row r="121" spans="5:54" ht="12" x14ac:dyDescent="0.2">
      <c r="E121" s="1055">
        <f t="shared" si="54"/>
        <v>113</v>
      </c>
      <c r="F121" s="1056">
        <f t="shared" si="46"/>
        <v>48754</v>
      </c>
      <c r="G121" s="24">
        <f>IF(AND(E121&gt;=$T$14,E121&lt;=$T$14+5),$T$15,IF(AND(Q120+L121+H121&gt;G120,G120&lt;&gt;0),$C$29,IF(Q120=0,0,Q120+L121+H121+H122)))+IF(AND(E121=$C$10,$C$22&lt;&gt;"Нет"),MIN((I121-I121/$C$19*$C$23),Q120+H121-G120),0)</f>
        <v>0</v>
      </c>
      <c r="H121" s="24">
        <f>IF(AND(E121&gt;=$T$14,E121&lt;=$T$14+5),0,IF($C$9&gt;$AC$52,ROUND(Q120*$C$19*((F121-DATE(YEAR(F121),MONTH(F121),1)+1)/(DATE(YEAR(F121)+1,1,1)-DATE(YEAR(F121),1,1))+(EOMONTH(F120,0)-F120)/(DATE(YEAR(F120)+1,1,1)-DATE(YEAR(F120),1,1))),2),0))</f>
        <v>0</v>
      </c>
      <c r="I121" s="24">
        <f t="shared" si="52"/>
        <v>849563.72000000009</v>
      </c>
      <c r="J121" s="24">
        <f>IF(AND(E121=$C$10,$C$22&lt;&gt;"Нет"),MIN((I121-I121/$C$19*$C$23),Q120+H121-G120),0)</f>
        <v>0</v>
      </c>
      <c r="K121" s="24">
        <f t="shared" si="47"/>
        <v>0</v>
      </c>
      <c r="L121" s="24">
        <f>IF(N121&gt;$C$29,$C$29-H121,IF(S121=0,0,O121))</f>
        <v>0</v>
      </c>
      <c r="M121" s="24">
        <f t="shared" si="61"/>
        <v>0</v>
      </c>
      <c r="N121" s="24">
        <f t="shared" si="62"/>
        <v>0</v>
      </c>
      <c r="O121" s="24">
        <f t="shared" si="50"/>
        <v>0</v>
      </c>
      <c r="P121" s="24">
        <f t="shared" si="51"/>
        <v>0</v>
      </c>
      <c r="Q121" s="24">
        <f t="shared" si="48"/>
        <v>0</v>
      </c>
      <c r="R121" s="36">
        <f t="shared" si="58"/>
        <v>0</v>
      </c>
      <c r="S121" s="36">
        <f>IF(ISERR(CEILING(FLOOR(NPER($C$19/12,-$AA$56,Q120),0.1),1))=TRUE,0,CEILING(FLOOR(NPER($C$19/12,-$AA$56,Q120),0.1),1))</f>
        <v>0</v>
      </c>
      <c r="T121" s="2">
        <f t="shared" si="74"/>
        <v>4373.97</v>
      </c>
      <c r="U121" s="34">
        <f>IF(U120&lt;0,0,IF(T121=0,IF(T120=0,0,$U$46),G80)-IF(AND(T121&gt;0,T122=0),$C$26,0))</f>
        <v>14612</v>
      </c>
      <c r="V121" s="57">
        <f t="shared" si="75"/>
        <v>71595</v>
      </c>
      <c r="W121" s="16">
        <f t="shared" si="76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64"/>
        <v>3199.94</v>
      </c>
      <c r="AJ121" s="34">
        <f t="shared" si="66"/>
        <v>14612</v>
      </c>
      <c r="AK121" s="57">
        <f t="shared" si="67"/>
        <v>71595</v>
      </c>
      <c r="AL121" s="130"/>
      <c r="AM121" s="1057">
        <f t="shared" si="56"/>
        <v>113</v>
      </c>
      <c r="AN121" s="1058">
        <f t="shared" si="49"/>
        <v>48754</v>
      </c>
      <c r="AO121" s="105">
        <f>IF(AX120=1,AR121+AP121+AQ121,IF(AW120+AR121+AP121&gt;AO120,$D$29,IF(AW120=0,0,AW120+AR121+AP121+AP153)))</f>
        <v>0</v>
      </c>
      <c r="AP121" s="105">
        <f>IF(AND(E121&gt;=$T$14,E121&lt;=$T$14+5),0,IF($C$9&gt;$AC$52,ROUND(AW120*$D$19*((AN121-DATE(YEAR(AN121),MONTH(AN121),1)+1)/(DATE(YEAR(AN121)+1,1,1)-DATE(YEAR(AN121),1,1))+(EOMONTH(AN120,0)-AN120)/(DATE(YEAR(AN120)+1,1,1)-DATE(YEAR(AN120),1,1))),2),0))</f>
        <v>0</v>
      </c>
      <c r="AQ121" s="105">
        <f t="shared" si="68"/>
        <v>0</v>
      </c>
      <c r="AR121" s="105">
        <f>IF(AT121&gt;$D$29,$D$29-AP121,IF(AY121=0,0,AV121)+BN170)</f>
        <v>0</v>
      </c>
      <c r="AS121" s="105">
        <f t="shared" si="69"/>
        <v>0</v>
      </c>
      <c r="AT121" s="105">
        <f t="shared" si="70"/>
        <v>0</v>
      </c>
      <c r="AU121" s="105">
        <f t="shared" si="71"/>
        <v>0</v>
      </c>
      <c r="AV121" s="105">
        <f t="shared" si="72"/>
        <v>0</v>
      </c>
      <c r="AW121" s="105">
        <f t="shared" si="73"/>
        <v>0</v>
      </c>
      <c r="AX121" s="108">
        <f t="shared" si="57"/>
        <v>0</v>
      </c>
      <c r="AY121" s="108">
        <f>IF(ISERR(CEILING(FLOOR(NPER($D$19/12,-$AC$56,AW120),0.1),1))=TRUE,0,CEILING(FLOOR(NPER($D$19/12,-$AC$56,AW120),0.1),1))</f>
        <v>0</v>
      </c>
      <c r="BB121" s="2" t="e">
        <f>IF(AND(E76&gt;=$T$14,E76&lt;=$T$14+5),0,IF($C$9&gt;$AC$52,ROUND(AW75*IF($D$23="",0,$D$23)/(DATEVALUE(CONCATENATE("01/01/",YEAR(AN76)+1))-DATEVALUE(CONCATENATE("01/01/",YEAR(AN76))))*(AN76-AN75),2),0))</f>
        <v>#VALUE!</v>
      </c>
    </row>
    <row r="122" spans="5:54" ht="12" x14ac:dyDescent="0.2">
      <c r="E122" s="1055">
        <f t="shared" si="54"/>
        <v>114</v>
      </c>
      <c r="F122" s="1056">
        <f t="shared" si="46"/>
        <v>48784</v>
      </c>
      <c r="G122" s="24">
        <f>IF(AND(E122&gt;=$T$14,E122&lt;=$T$14+5),$T$15,IF(AND(Q121+L122+H122&gt;G121,G121&lt;&gt;0),$C$29,IF(Q121=0,0,Q121+L122+H122+H123)))+IF(AND(E122=$C$10,$C$22&lt;&gt;"Нет"),MIN((I122-I122/$C$19*$C$23),Q121+H122-G121),0)</f>
        <v>0</v>
      </c>
      <c r="H122" s="24">
        <f>IF(AND(E122&gt;=$T$14,E122&lt;=$T$14+5),0,IF($C$9&gt;$AC$52,ROUND(Q121*$C$19*((F122-DATE(YEAR(F122),MONTH(F122),1)+1)/(DATE(YEAR(F122)+1,1,1)-DATE(YEAR(F122),1,1))+(EOMONTH(F121,0)-F121)/(DATE(YEAR(F121)+1,1,1)-DATE(YEAR(F121),1,1))),2),0))</f>
        <v>0</v>
      </c>
      <c r="I122" s="24">
        <f t="shared" si="52"/>
        <v>849563.72000000009</v>
      </c>
      <c r="J122" s="24">
        <f>IF(AND(E122=$C$10,$C$22&lt;&gt;"Нет"),MIN((I122-I122/$C$19*$C$23),Q121+H122-G121),0)</f>
        <v>0</v>
      </c>
      <c r="K122" s="24">
        <f t="shared" si="47"/>
        <v>0</v>
      </c>
      <c r="L122" s="24">
        <f>IF(N122&gt;$C$29,$C$29-H122,IF(S122=0,0,O122))</f>
        <v>0</v>
      </c>
      <c r="M122" s="24">
        <f t="shared" si="61"/>
        <v>0</v>
      </c>
      <c r="N122" s="24">
        <f t="shared" si="62"/>
        <v>0</v>
      </c>
      <c r="O122" s="24">
        <f t="shared" si="50"/>
        <v>0</v>
      </c>
      <c r="P122" s="24">
        <f t="shared" si="51"/>
        <v>0</v>
      </c>
      <c r="Q122" s="24">
        <f t="shared" si="48"/>
        <v>0</v>
      </c>
      <c r="R122" s="36">
        <f t="shared" si="58"/>
        <v>0</v>
      </c>
      <c r="S122" s="36">
        <f>IF(ISERR(CEILING(FLOOR(NPER($C$19/12,-$AA$56,Q121),0.1),1))=TRUE,0,CEILING(FLOOR(NPER($C$19/12,-$AA$56,Q121),0.1),1))</f>
        <v>0</v>
      </c>
      <c r="T122" s="2">
        <f t="shared" si="74"/>
        <v>4250.5</v>
      </c>
      <c r="U122" s="34">
        <f>IF(U121&lt;0,0,IF(T122=0,IF(T121=0,0,$U$46),G81)-IF(AND(T122&gt;0,T123=0),$C$26,0))</f>
        <v>14612</v>
      </c>
      <c r="V122" s="57">
        <f t="shared" si="75"/>
        <v>71960</v>
      </c>
      <c r="W122" s="16">
        <f t="shared" si="76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64"/>
        <v>2672.28</v>
      </c>
      <c r="AJ122" s="34">
        <f t="shared" si="66"/>
        <v>14612</v>
      </c>
      <c r="AK122" s="57">
        <f t="shared" si="67"/>
        <v>71960</v>
      </c>
      <c r="AL122" s="130"/>
      <c r="AM122" s="1057">
        <f t="shared" si="56"/>
        <v>114</v>
      </c>
      <c r="AN122" s="1058">
        <f t="shared" si="49"/>
        <v>48784</v>
      </c>
      <c r="AO122" s="105">
        <f>IF(AX121=1,AR122+AP122+AQ122,IF(AW121+AR122+AP122&gt;AO121,$D$29,IF(AW121=0,0,AW121+AR122+AP122+AP154)))</f>
        <v>0</v>
      </c>
      <c r="AP122" s="105">
        <f>IF(AND(E122&gt;=$T$14,E122&lt;=$T$14+5),0,IF($C$9&gt;$AC$52,ROUND(AW121*$D$19*((AN122-DATE(YEAR(AN122),MONTH(AN122),1)+1)/(DATE(YEAR(AN122)+1,1,1)-DATE(YEAR(AN122),1,1))+(EOMONTH(AN121,0)-AN121)/(DATE(YEAR(AN121)+1,1,1)-DATE(YEAR(AN121),1,1))),2),0))</f>
        <v>0</v>
      </c>
      <c r="AQ122" s="105">
        <f t="shared" si="68"/>
        <v>0</v>
      </c>
      <c r="AR122" s="105">
        <f>IF(AT122&gt;$D$29,$D$29-AP122,IF(AY122=0,0,AV122)+BN171)</f>
        <v>0</v>
      </c>
      <c r="AS122" s="105">
        <f t="shared" si="69"/>
        <v>0</v>
      </c>
      <c r="AT122" s="105">
        <f t="shared" si="70"/>
        <v>0</v>
      </c>
      <c r="AU122" s="105">
        <f t="shared" si="71"/>
        <v>0</v>
      </c>
      <c r="AV122" s="105">
        <f t="shared" si="72"/>
        <v>0</v>
      </c>
      <c r="AW122" s="105">
        <f t="shared" si="73"/>
        <v>0</v>
      </c>
      <c r="AX122" s="108">
        <f t="shared" si="57"/>
        <v>0</v>
      </c>
      <c r="AY122" s="108">
        <f>IF(ISERR(CEILING(FLOOR(NPER($D$19/12,-$AC$56,AW121),0.1),1))=TRUE,0,CEILING(FLOOR(NPER($D$19/12,-$AC$56,AW121),0.1),1))</f>
        <v>0</v>
      </c>
      <c r="BB122" s="2" t="e">
        <f>IF(AND(E77&gt;=$T$14,E77&lt;=$T$14+5),0,IF($C$9&gt;$AC$52,ROUND(AW76*IF($D$23="",0,$D$23)/(DATEVALUE(CONCATENATE("01/01/",YEAR(AN77)+1))-DATEVALUE(CONCATENATE("01/01/",YEAR(AN77))))*(AN77-AN76),2),0))</f>
        <v>#VALUE!</v>
      </c>
    </row>
    <row r="123" spans="5:54" ht="12" x14ac:dyDescent="0.2">
      <c r="E123" s="1055">
        <f t="shared" si="54"/>
        <v>115</v>
      </c>
      <c r="F123" s="1056">
        <f t="shared" si="46"/>
        <v>48815</v>
      </c>
      <c r="G123" s="24">
        <f>IF(AND(E123&gt;=$T$14,E123&lt;=$T$14+5),$T$15,IF(AND(Q122+L123+H123&gt;G122,G122&lt;&gt;0),$C$29,IF(Q122=0,0,Q122+L123+H123+H124)))+IF(AND(E123=$C$10,$C$22&lt;&gt;"Нет"),MIN((I123-I123/$C$19*$C$23),Q122+H123-G122),0)</f>
        <v>0</v>
      </c>
      <c r="H123" s="24">
        <f>IF(AND(E123&gt;=$T$14,E123&lt;=$T$14+5),0,IF($C$9&gt;$AC$52,ROUND(Q122*$C$19*((F123-DATE(YEAR(F123),MONTH(F123),1)+1)/(DATE(YEAR(F123)+1,1,1)-DATE(YEAR(F123),1,1))+(EOMONTH(F122,0)-F122)/(DATE(YEAR(F122)+1,1,1)-DATE(YEAR(F122),1,1))),2),0))</f>
        <v>0</v>
      </c>
      <c r="I123" s="24">
        <f t="shared" si="52"/>
        <v>849563.72000000009</v>
      </c>
      <c r="J123" s="24">
        <f>IF(AND(E123=$C$10,$C$22&lt;&gt;"Нет"),MIN((I123-I123/$C$19*$C$23),Q122+H123-G122),0)</f>
        <v>0</v>
      </c>
      <c r="K123" s="24">
        <f t="shared" si="47"/>
        <v>0</v>
      </c>
      <c r="L123" s="24">
        <f>IF(N123&gt;$C$29,$C$29-H123,IF(S123=0,0,O123))</f>
        <v>0</v>
      </c>
      <c r="M123" s="24">
        <f t="shared" si="61"/>
        <v>0</v>
      </c>
      <c r="N123" s="24">
        <f t="shared" si="62"/>
        <v>0</v>
      </c>
      <c r="O123" s="24">
        <f t="shared" si="50"/>
        <v>0</v>
      </c>
      <c r="P123" s="24">
        <f t="shared" si="51"/>
        <v>0</v>
      </c>
      <c r="Q123" s="24">
        <f t="shared" si="48"/>
        <v>0</v>
      </c>
      <c r="R123" s="36">
        <f t="shared" si="58"/>
        <v>0</v>
      </c>
      <c r="S123" s="36">
        <f>IF(ISERR(CEILING(FLOOR(NPER($C$19/12,-$AA$56,Q122),0.1),1))=TRUE,0,CEILING(FLOOR(NPER($C$19/12,-$AA$56,Q122),0.1),1))</f>
        <v>0</v>
      </c>
      <c r="T123" s="2">
        <f t="shared" si="74"/>
        <v>3724.8</v>
      </c>
      <c r="U123" s="34">
        <f>IF(U122&lt;0,0,IF(T123=0,IF(T122=0,0,$U$46),G82)-IF(AND(T123&gt;0,T124=0),$C$26,0))</f>
        <v>14612</v>
      </c>
      <c r="V123" s="57">
        <f t="shared" si="75"/>
        <v>72325</v>
      </c>
      <c r="W123" s="16">
        <f t="shared" si="76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64"/>
        <v>2706.1</v>
      </c>
      <c r="AJ123" s="34">
        <f t="shared" si="66"/>
        <v>14612</v>
      </c>
      <c r="AK123" s="57">
        <f t="shared" si="67"/>
        <v>72325</v>
      </c>
      <c r="AL123" s="130"/>
      <c r="AM123" s="1057">
        <f t="shared" si="56"/>
        <v>115</v>
      </c>
      <c r="AN123" s="1058">
        <f t="shared" si="49"/>
        <v>48815</v>
      </c>
      <c r="AO123" s="105">
        <f>IF(AX122=1,AR123+AP123+AQ123,IF(AW122+AR123+AP123&gt;AO122,$D$29,IF(AW122=0,0,AW122+AR123+AP123+AP155)))</f>
        <v>0</v>
      </c>
      <c r="AP123" s="105">
        <f>IF(AND(E123&gt;=$T$14,E123&lt;=$T$14+5),0,IF($C$9&gt;$AC$52,ROUND(AW122*$D$19*((AN123-DATE(YEAR(AN123),MONTH(AN123),1)+1)/(DATE(YEAR(AN123)+1,1,1)-DATE(YEAR(AN123),1,1))+(EOMONTH(AN122,0)-AN122)/(DATE(YEAR(AN122)+1,1,1)-DATE(YEAR(AN122),1,1))),2),0))</f>
        <v>0</v>
      </c>
      <c r="AQ123" s="105">
        <f t="shared" si="68"/>
        <v>0</v>
      </c>
      <c r="AR123" s="105">
        <f>IF(AT123&gt;$D$29,$D$29-AP123,IF(AY123=0,0,AV123)+BN172)</f>
        <v>0</v>
      </c>
      <c r="AS123" s="105">
        <f t="shared" si="69"/>
        <v>0</v>
      </c>
      <c r="AT123" s="105">
        <f t="shared" si="70"/>
        <v>0</v>
      </c>
      <c r="AU123" s="105">
        <f t="shared" si="71"/>
        <v>0</v>
      </c>
      <c r="AV123" s="105">
        <f t="shared" si="72"/>
        <v>0</v>
      </c>
      <c r="AW123" s="105">
        <f t="shared" si="73"/>
        <v>0</v>
      </c>
      <c r="AX123" s="108">
        <f t="shared" si="57"/>
        <v>0</v>
      </c>
      <c r="AY123" s="108">
        <f>IF(ISERR(CEILING(FLOOR(NPER($D$19/12,-$AC$56,AW122),0.1),1))=TRUE,0,CEILING(FLOOR(NPER($D$19/12,-$AC$56,AW122),0.1),1))</f>
        <v>0</v>
      </c>
      <c r="BB123" s="2" t="e">
        <f>IF(AND(E78&gt;=$T$14,E78&lt;=$T$14+5),0,IF($C$9&gt;$AC$52,ROUND(AW77*IF($D$23="",0,$D$23)/(DATEVALUE(CONCATENATE("01/01/",YEAR(AN78)+1))-DATEVALUE(CONCATENATE("01/01/",YEAR(AN78))))*(AN78-AN77),2),0))</f>
        <v>#VALUE!</v>
      </c>
    </row>
    <row r="124" spans="5:54" ht="12" x14ac:dyDescent="0.2">
      <c r="E124" s="1055">
        <f t="shared" si="54"/>
        <v>116</v>
      </c>
      <c r="F124" s="1056">
        <f t="shared" si="46"/>
        <v>48846</v>
      </c>
      <c r="G124" s="24">
        <f>IF(AND(E124&gt;=$T$14,E124&lt;=$T$14+5),$T$15,IF(AND(Q123+L124+H124&gt;G123,G123&lt;&gt;0),$C$29,IF(Q123=0,0,Q123+L124+H124+H125)))+IF(AND(E124=$C$10,$C$22&lt;&gt;"Нет"),MIN((I124-I124/$C$19*$C$23),Q123+H124-G123),0)</f>
        <v>0</v>
      </c>
      <c r="H124" s="24">
        <f>IF(AND(E124&gt;=$T$14,E124&lt;=$T$14+5),0,IF($C$9&gt;$AC$52,ROUND(Q123*$C$19*((F124-DATE(YEAR(F124),MONTH(F124),1)+1)/(DATE(YEAR(F124)+1,1,1)-DATE(YEAR(F124),1,1))+(EOMONTH(F123,0)-F123)/(DATE(YEAR(F123)+1,1,1)-DATE(YEAR(F123),1,1))),2),0))</f>
        <v>0</v>
      </c>
      <c r="I124" s="24">
        <f t="shared" si="52"/>
        <v>849563.72000000009</v>
      </c>
      <c r="J124" s="24">
        <f>IF(AND(E124=$C$10,$C$22&lt;&gt;"Нет"),MIN((I124-I124/$C$19*$C$23),Q123+H124-G123),0)</f>
        <v>0</v>
      </c>
      <c r="K124" s="24">
        <f t="shared" si="47"/>
        <v>0</v>
      </c>
      <c r="L124" s="24">
        <f>IF(N124&gt;$C$29,$C$29-H124,IF(S124=0,0,O124))</f>
        <v>0</v>
      </c>
      <c r="M124" s="24">
        <f t="shared" si="61"/>
        <v>0</v>
      </c>
      <c r="N124" s="24">
        <f t="shared" si="62"/>
        <v>0</v>
      </c>
      <c r="O124" s="24">
        <f t="shared" si="50"/>
        <v>0</v>
      </c>
      <c r="P124" s="24">
        <f t="shared" si="51"/>
        <v>0</v>
      </c>
      <c r="Q124" s="24">
        <f t="shared" si="48"/>
        <v>0</v>
      </c>
      <c r="R124" s="36">
        <f t="shared" si="58"/>
        <v>0</v>
      </c>
      <c r="S124" s="36">
        <f>IF(ISERR(CEILING(FLOOR(NPER($C$19/12,-$AA$56,Q123),0.1),1))=TRUE,0,CEILING(FLOOR(NPER($C$19/12,-$AA$56,Q123),0.1),1))</f>
        <v>0</v>
      </c>
      <c r="T124" s="2">
        <f t="shared" si="74"/>
        <v>3983.92</v>
      </c>
      <c r="U124" s="34">
        <f>IF(U123&lt;0,0,IF(T124=0,IF(T123=0,0,$U$46),G83)-IF(AND(T124&gt;0,T125=0),$C$26,0))</f>
        <v>14612</v>
      </c>
      <c r="V124" s="57">
        <f t="shared" si="75"/>
        <v>72690</v>
      </c>
      <c r="W124" s="16">
        <f t="shared" si="76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64"/>
        <v>2375.14</v>
      </c>
      <c r="AJ124" s="34">
        <f t="shared" si="66"/>
        <v>14612</v>
      </c>
      <c r="AK124" s="57">
        <f t="shared" si="67"/>
        <v>72690</v>
      </c>
      <c r="AL124" s="130"/>
      <c r="AM124" s="1057">
        <f t="shared" si="56"/>
        <v>116</v>
      </c>
      <c r="AN124" s="1058">
        <f t="shared" si="49"/>
        <v>48846</v>
      </c>
      <c r="AO124" s="105">
        <f>IF(AX123=1,AR124+AP124+AQ124,IF(AW123+AR124+AP124&gt;AO123,$D$29,IF(AW123=0,0,AW123+AR124+AP124+AP156)))</f>
        <v>0</v>
      </c>
      <c r="AP124" s="105">
        <f>IF(AND(E124&gt;=$T$14,E124&lt;=$T$14+5),0,IF($C$9&gt;$AC$52,ROUND(AW123*$D$19*((AN124-DATE(YEAR(AN124),MONTH(AN124),1)+1)/(DATE(YEAR(AN124)+1,1,1)-DATE(YEAR(AN124),1,1))+(EOMONTH(AN123,0)-AN123)/(DATE(YEAR(AN123)+1,1,1)-DATE(YEAR(AN123),1,1))),2),0))</f>
        <v>0</v>
      </c>
      <c r="AQ124" s="105">
        <f t="shared" si="68"/>
        <v>0</v>
      </c>
      <c r="AR124" s="105">
        <f>IF(AT124&gt;$D$29,$D$29-AP124,IF(AY124=0,0,AV124)+BN173)</f>
        <v>0</v>
      </c>
      <c r="AS124" s="105">
        <f t="shared" si="69"/>
        <v>0</v>
      </c>
      <c r="AT124" s="105">
        <f t="shared" si="70"/>
        <v>0</v>
      </c>
      <c r="AU124" s="105">
        <f t="shared" si="71"/>
        <v>0</v>
      </c>
      <c r="AV124" s="105">
        <f t="shared" si="72"/>
        <v>0</v>
      </c>
      <c r="AW124" s="105">
        <f t="shared" si="73"/>
        <v>0</v>
      </c>
      <c r="AX124" s="108">
        <f t="shared" si="57"/>
        <v>0</v>
      </c>
      <c r="AY124" s="108">
        <f>IF(ISERR(CEILING(FLOOR(NPER($D$19/12,-$AC$56,AW123),0.1),1))=TRUE,0,CEILING(FLOOR(NPER($D$19/12,-$AC$56,AW123),0.1),1))</f>
        <v>0</v>
      </c>
      <c r="BB124" s="2" t="e">
        <f>IF(AND(E79&gt;=$T$14,E79&lt;=$T$14+5),0,IF($C$9&gt;$AC$52,ROUND(AW78*IF($D$23="",0,$D$23)/(DATEVALUE(CONCATENATE("01/01/",YEAR(AN79)+1))-DATEVALUE(CONCATENATE("01/01/",YEAR(AN79))))*(AN79-AN78),2),0))</f>
        <v>#VALUE!</v>
      </c>
    </row>
    <row r="125" spans="5:54" ht="12" x14ac:dyDescent="0.2">
      <c r="E125" s="1055">
        <f t="shared" si="54"/>
        <v>117</v>
      </c>
      <c r="F125" s="1056">
        <f t="shared" si="46"/>
        <v>48876</v>
      </c>
      <c r="G125" s="24">
        <f>IF(AND(E125&gt;=$T$14,E125&lt;=$T$14+5),$T$15,IF(AND(Q124+L125+H125&gt;G124,G124&lt;&gt;0),$C$29,IF(Q124=0,0,Q124+L125+H125+H126)))+IF(AND(E125=$C$10,$C$22&lt;&gt;"Нет"),MIN((I125-I125/$C$19*$C$23),Q124+H125-G124),0)</f>
        <v>0</v>
      </c>
      <c r="H125" s="24">
        <f>IF(AND(E125&gt;=$T$14,E125&lt;=$T$14+5),0,IF($C$9&gt;$AC$52,ROUND(Q124*$C$19*((F125-DATE(YEAR(F125),MONTH(F125),1)+1)/(DATE(YEAR(F125)+1,1,1)-DATE(YEAR(F125),1,1))+(EOMONTH(F124,0)-F124)/(DATE(YEAR(F124)+1,1,1)-DATE(YEAR(F124),1,1))),2),0))</f>
        <v>0</v>
      </c>
      <c r="I125" s="24">
        <f t="shared" si="52"/>
        <v>849563.72000000009</v>
      </c>
      <c r="J125" s="24">
        <f>IF(AND(E125=$C$10,$C$22&lt;&gt;"Нет"),MIN((I125-I125/$C$19*$C$23),Q124+H125-G124),0)</f>
        <v>0</v>
      </c>
      <c r="K125" s="24">
        <f t="shared" si="47"/>
        <v>0</v>
      </c>
      <c r="L125" s="24">
        <f>IF(N125&gt;$C$29,$C$29-H125,IF(S125=0,0,O125))</f>
        <v>0</v>
      </c>
      <c r="M125" s="24">
        <f t="shared" si="61"/>
        <v>0</v>
      </c>
      <c r="N125" s="24">
        <f t="shared" si="62"/>
        <v>0</v>
      </c>
      <c r="O125" s="24">
        <f t="shared" si="50"/>
        <v>0</v>
      </c>
      <c r="P125" s="24">
        <f t="shared" si="51"/>
        <v>0</v>
      </c>
      <c r="Q125" s="24">
        <f t="shared" si="48"/>
        <v>0</v>
      </c>
      <c r="R125" s="36">
        <f t="shared" si="58"/>
        <v>0</v>
      </c>
      <c r="S125" s="36">
        <f>IF(ISERR(CEILING(FLOOR(NPER($C$19/12,-$AA$56,Q124),0.1),1))=TRUE,0,CEILING(FLOOR(NPER($C$19/12,-$AA$56,Q124),0.1),1))</f>
        <v>0</v>
      </c>
      <c r="T125" s="2">
        <f t="shared" si="74"/>
        <v>3726.33</v>
      </c>
      <c r="U125" s="34">
        <f>IF(U124&lt;0,0,IF(T125=0,IF(T124=0,0,$U$46),G84)-IF(AND(T125&gt;0,T126=0),$C$26,0))</f>
        <v>14612</v>
      </c>
      <c r="V125" s="57">
        <f t="shared" si="75"/>
        <v>73055</v>
      </c>
      <c r="W125" s="16">
        <f t="shared" si="76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64"/>
        <v>2195.5300000000002</v>
      </c>
      <c r="AJ125" s="34">
        <f t="shared" si="66"/>
        <v>14612</v>
      </c>
      <c r="AK125" s="57">
        <f t="shared" si="67"/>
        <v>73055</v>
      </c>
      <c r="AL125" s="130"/>
      <c r="AM125" s="1057">
        <f t="shared" si="56"/>
        <v>117</v>
      </c>
      <c r="AN125" s="1058">
        <f t="shared" si="49"/>
        <v>48876</v>
      </c>
      <c r="AO125" s="105">
        <f>IF(AX124=1,AR125+AP125+AQ125,IF(AW124+AR125+AP125&gt;AO124,$D$29,IF(AW124=0,0,AW124+AR125+AP125+AP157)))</f>
        <v>0</v>
      </c>
      <c r="AP125" s="105">
        <f>IF(AND(E125&gt;=$T$14,E125&lt;=$T$14+5),0,IF($C$9&gt;$AC$52,ROUND(AW124*$D$19*((AN125-DATE(YEAR(AN125),MONTH(AN125),1)+1)/(DATE(YEAR(AN125)+1,1,1)-DATE(YEAR(AN125),1,1))+(EOMONTH(AN124,0)-AN124)/(DATE(YEAR(AN124)+1,1,1)-DATE(YEAR(AN124),1,1))),2),0))</f>
        <v>0</v>
      </c>
      <c r="AQ125" s="105">
        <f t="shared" si="68"/>
        <v>0</v>
      </c>
      <c r="AR125" s="105">
        <f>IF(AT125&gt;$D$29,$D$29-AP125,IF(AY125=0,0,AV125)+BN174)</f>
        <v>0</v>
      </c>
      <c r="AS125" s="105">
        <f t="shared" si="69"/>
        <v>0</v>
      </c>
      <c r="AT125" s="105">
        <f t="shared" si="70"/>
        <v>0</v>
      </c>
      <c r="AU125" s="105">
        <f t="shared" si="71"/>
        <v>0</v>
      </c>
      <c r="AV125" s="105">
        <f t="shared" si="72"/>
        <v>0</v>
      </c>
      <c r="AW125" s="105">
        <f t="shared" si="73"/>
        <v>0</v>
      </c>
      <c r="AX125" s="108">
        <f t="shared" si="57"/>
        <v>0</v>
      </c>
      <c r="AY125" s="108">
        <f>IF(ISERR(CEILING(FLOOR(NPER($D$19/12,-$AC$56,AW124),0.1),1))=TRUE,0,CEILING(FLOOR(NPER($D$19/12,-$AC$56,AW124),0.1),1))</f>
        <v>0</v>
      </c>
      <c r="BB125" s="2" t="e">
        <f>IF(AND(E80&gt;=$T$14,E80&lt;=$T$14+5),0,IF($C$9&gt;$AC$52,ROUND(AW79*IF($D$23="",0,$D$23)/(DATEVALUE(CONCATENATE("01/01/",YEAR(AN80)+1))-DATEVALUE(CONCATENATE("01/01/",YEAR(AN80))))*(AN80-AN79),2),0))</f>
        <v>#VALUE!</v>
      </c>
    </row>
    <row r="126" spans="5:54" ht="12" x14ac:dyDescent="0.2">
      <c r="E126" s="1055">
        <f t="shared" si="54"/>
        <v>118</v>
      </c>
      <c r="F126" s="1056">
        <f t="shared" si="46"/>
        <v>48907</v>
      </c>
      <c r="G126" s="24">
        <f>IF(AND(E126&gt;=$T$14,E126&lt;=$T$14+5),$T$15,IF(AND(Q125+L126+H126&gt;G125,G125&lt;&gt;0),$C$29,IF(Q125=0,0,Q125+L126+H126+H127)))+IF(AND(E126=$C$10,$C$22&lt;&gt;"Нет"),MIN((I126-I126/$C$19*$C$23),Q125+H126-G125),0)</f>
        <v>0</v>
      </c>
      <c r="H126" s="24">
        <f>IF(AND(E126&gt;=$T$14,E126&lt;=$T$14+5),0,IF($C$9&gt;$AC$52,ROUND(Q125*$C$19*((F126-DATE(YEAR(F126),MONTH(F126),1)+1)/(DATE(YEAR(F126)+1,1,1)-DATE(YEAR(F126),1,1))+(EOMONTH(F125,0)-F125)/(DATE(YEAR(F125)+1,1,1)-DATE(YEAR(F125),1,1))),2),0))</f>
        <v>0</v>
      </c>
      <c r="I126" s="24">
        <f t="shared" si="52"/>
        <v>849563.72000000009</v>
      </c>
      <c r="J126" s="24">
        <f>IF(AND(E126=$C$10,$C$22&lt;&gt;"Нет"),MIN((I126-I126/$C$19*$C$23),Q125+H126-G125),0)</f>
        <v>0</v>
      </c>
      <c r="K126" s="24">
        <f t="shared" si="47"/>
        <v>0</v>
      </c>
      <c r="L126" s="24">
        <f>IF(N126&gt;$C$29,$C$29-H126,IF(S126=0,0,O126))</f>
        <v>0</v>
      </c>
      <c r="M126" s="24">
        <f t="shared" si="61"/>
        <v>0</v>
      </c>
      <c r="N126" s="24">
        <f t="shared" si="62"/>
        <v>0</v>
      </c>
      <c r="O126" s="24">
        <f t="shared" si="50"/>
        <v>0</v>
      </c>
      <c r="P126" s="24">
        <f t="shared" si="51"/>
        <v>0</v>
      </c>
      <c r="Q126" s="24">
        <f t="shared" si="48"/>
        <v>0</v>
      </c>
      <c r="R126" s="36">
        <f t="shared" si="58"/>
        <v>0</v>
      </c>
      <c r="S126" s="36">
        <f>IF(ISERR(CEILING(FLOOR(NPER($C$19/12,-$AA$56,Q125),0.1),1))=TRUE,0,CEILING(FLOOR(NPER($C$19/12,-$AA$56,Q125),0.1),1))</f>
        <v>0</v>
      </c>
      <c r="T126" s="2">
        <f t="shared" si="74"/>
        <v>3710.61</v>
      </c>
      <c r="U126" s="34">
        <f>IF(U125&lt;0,0,IF(T126=0,IF(T125=0,0,$U$46),G85)-IF(AND(T126&gt;0,T127=0),$C$26,0))</f>
        <v>14612</v>
      </c>
      <c r="V126" s="57">
        <f t="shared" si="75"/>
        <v>73420</v>
      </c>
      <c r="W126" s="16">
        <f t="shared" si="76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64"/>
        <v>1870.59</v>
      </c>
      <c r="AJ126" s="34">
        <f t="shared" si="66"/>
        <v>14612</v>
      </c>
      <c r="AK126" s="57">
        <f t="shared" si="67"/>
        <v>73420</v>
      </c>
      <c r="AL126" s="130"/>
      <c r="AM126" s="1057">
        <f t="shared" si="56"/>
        <v>118</v>
      </c>
      <c r="AN126" s="1058">
        <f t="shared" si="49"/>
        <v>48907</v>
      </c>
      <c r="AO126" s="105">
        <f>IF(AX125=1,AR126+AP126+AQ126,IF(AW125+AR126+AP126&gt;AO125,$D$29,IF(AW125=0,0,AW125+AR126+AP126+AP158)))</f>
        <v>0</v>
      </c>
      <c r="AP126" s="105">
        <f>IF(AND(E126&gt;=$T$14,E126&lt;=$T$14+5),0,IF($C$9&gt;$AC$52,ROUND(AW125*$D$19*((AN126-DATE(YEAR(AN126),MONTH(AN126),1)+1)/(DATE(YEAR(AN126)+1,1,1)-DATE(YEAR(AN126),1,1))+(EOMONTH(AN125,0)-AN125)/(DATE(YEAR(AN125)+1,1,1)-DATE(YEAR(AN125),1,1))),2),0))</f>
        <v>0</v>
      </c>
      <c r="AQ126" s="105">
        <f t="shared" si="68"/>
        <v>0</v>
      </c>
      <c r="AR126" s="105">
        <f>IF(AT126&gt;$D$29,$D$29-AP126,IF(AY126=0,0,AV126)+BN175)</f>
        <v>0</v>
      </c>
      <c r="AS126" s="105">
        <f t="shared" si="69"/>
        <v>0</v>
      </c>
      <c r="AT126" s="105">
        <f t="shared" si="70"/>
        <v>0</v>
      </c>
      <c r="AU126" s="105">
        <f t="shared" si="71"/>
        <v>0</v>
      </c>
      <c r="AV126" s="105">
        <f t="shared" si="72"/>
        <v>0</v>
      </c>
      <c r="AW126" s="105">
        <f t="shared" si="73"/>
        <v>0</v>
      </c>
      <c r="AX126" s="108">
        <f t="shared" si="57"/>
        <v>0</v>
      </c>
      <c r="AY126" s="108">
        <f>IF(ISERR(CEILING(FLOOR(NPER($D$19/12,-$AC$56,AW125),0.1),1))=TRUE,0,CEILING(FLOOR(NPER($D$19/12,-$AC$56,AW125),0.1),1))</f>
        <v>0</v>
      </c>
      <c r="BB126" s="2" t="e">
        <f>IF(AND(E81&gt;=$T$14,E81&lt;=$T$14+5),0,IF($C$9&gt;$AC$52,ROUND(AW80*IF($D$23="",0,$D$23)/(DATEVALUE(CONCATENATE("01/01/",YEAR(AN81)+1))-DATEVALUE(CONCATENATE("01/01/",YEAR(AN81))))*(AN81-AN80),2),0))</f>
        <v>#VALUE!</v>
      </c>
    </row>
    <row r="127" spans="5:54" ht="12" x14ac:dyDescent="0.2">
      <c r="E127" s="1055">
        <f t="shared" si="54"/>
        <v>119</v>
      </c>
      <c r="F127" s="1056">
        <f t="shared" si="46"/>
        <v>48937</v>
      </c>
      <c r="G127" s="24">
        <f>IF(AND(E127&gt;=$T$14,E127&lt;=$T$14+5),$T$15,IF(AND(Q126+L127+H127&gt;G126,G126&lt;&gt;0),$C$29,IF(Q126=0,0,Q126+L127+H127+H128)))+IF(AND(E127=$C$10,$C$22&lt;&gt;"Нет"),MIN((I127-I127/$C$19*$C$23),Q126+H127-G126),0)</f>
        <v>0</v>
      </c>
      <c r="H127" s="24">
        <f>IF(AND(E127&gt;=$T$14,E127&lt;=$T$14+5),0,IF($C$9&gt;$AC$52,ROUND(Q126*$C$19*((F127-DATE(YEAR(F127),MONTH(F127),1)+1)/(DATE(YEAR(F127)+1,1,1)-DATE(YEAR(F127),1,1))+(EOMONTH(F126,0)-F126)/(DATE(YEAR(F126)+1,1,1)-DATE(YEAR(F126),1,1))),2),0))</f>
        <v>0</v>
      </c>
      <c r="I127" s="24">
        <f t="shared" si="52"/>
        <v>849563.72000000009</v>
      </c>
      <c r="J127" s="24">
        <f>IF(AND(E127=$C$10,$C$22&lt;&gt;"Нет"),MIN((I127-I127/$C$19*$C$23),Q126+H127-G126),0)</f>
        <v>0</v>
      </c>
      <c r="K127" s="24">
        <f t="shared" si="47"/>
        <v>0</v>
      </c>
      <c r="L127" s="24">
        <f>IF(N127&gt;$C$29,$C$29-H127,IF(S127=0,0,O127))</f>
        <v>0</v>
      </c>
      <c r="M127" s="24">
        <f t="shared" si="61"/>
        <v>0</v>
      </c>
      <c r="N127" s="24">
        <f t="shared" si="62"/>
        <v>0</v>
      </c>
      <c r="O127" s="24">
        <f t="shared" si="50"/>
        <v>0</v>
      </c>
      <c r="P127" s="24">
        <f t="shared" si="51"/>
        <v>0</v>
      </c>
      <c r="Q127" s="24">
        <f t="shared" si="48"/>
        <v>0</v>
      </c>
      <c r="R127" s="36">
        <f t="shared" si="58"/>
        <v>0</v>
      </c>
      <c r="S127" s="36">
        <f>IF(ISERR(CEILING(FLOOR(NPER($C$19/12,-$AA$56,Q126),0.1),1))=TRUE,0,CEILING(FLOOR(NPER($C$19/12,-$AA$56,Q126),0.1),1))</f>
        <v>0</v>
      </c>
      <c r="T127" s="2">
        <f t="shared" si="74"/>
        <v>3455.12</v>
      </c>
      <c r="U127" s="34">
        <f>IF(U126&lt;0,0,IF(T127=0,IF(T126=0,0,$U$46),G86)-IF(AND(T127&gt;0,T128=0),$C$26,0))</f>
        <v>14612</v>
      </c>
      <c r="V127" s="57">
        <f t="shared" si="75"/>
        <v>73785</v>
      </c>
      <c r="W127" s="16">
        <f t="shared" si="76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64"/>
        <v>1663.49</v>
      </c>
      <c r="AJ127" s="34">
        <f t="shared" si="66"/>
        <v>14612</v>
      </c>
      <c r="AK127" s="57">
        <f t="shared" si="67"/>
        <v>73785</v>
      </c>
      <c r="AL127" s="130"/>
      <c r="AM127" s="1057">
        <f t="shared" si="56"/>
        <v>119</v>
      </c>
      <c r="AN127" s="1058">
        <f t="shared" si="49"/>
        <v>48937</v>
      </c>
      <c r="AO127" s="105">
        <f>IF(AX126=1,AR127+AP127+AQ127,IF(AW126+AR127+AP127&gt;AO126,$D$29,IF(AW126=0,0,AW126+AR127+AP127+AP159)))</f>
        <v>0</v>
      </c>
      <c r="AP127" s="105">
        <f>IF(AND(E127&gt;=$T$14,E127&lt;=$T$14+5),0,IF($C$9&gt;$AC$52,ROUND(AW126*$D$19*((AN127-DATE(YEAR(AN127),MONTH(AN127),1)+1)/(DATE(YEAR(AN127)+1,1,1)-DATE(YEAR(AN127),1,1))+(EOMONTH(AN126,0)-AN126)/(DATE(YEAR(AN126)+1,1,1)-DATE(YEAR(AN126),1,1))),2),0))</f>
        <v>0</v>
      </c>
      <c r="AQ127" s="105">
        <f t="shared" si="68"/>
        <v>0</v>
      </c>
      <c r="AR127" s="105">
        <f>IF(AT127&gt;$D$29,$D$29-AP127,IF(AY127=0,0,AV127)+BN176)</f>
        <v>0</v>
      </c>
      <c r="AS127" s="105">
        <f t="shared" si="69"/>
        <v>0</v>
      </c>
      <c r="AT127" s="105">
        <f t="shared" si="70"/>
        <v>0</v>
      </c>
      <c r="AU127" s="105">
        <f t="shared" si="71"/>
        <v>0</v>
      </c>
      <c r="AV127" s="105">
        <f t="shared" si="72"/>
        <v>0</v>
      </c>
      <c r="AW127" s="105">
        <f t="shared" si="73"/>
        <v>0</v>
      </c>
      <c r="AX127" s="108">
        <f t="shared" si="57"/>
        <v>0</v>
      </c>
      <c r="AY127" s="108">
        <f>IF(ISERR(CEILING(FLOOR(NPER($D$19/12,-$AC$56,AW126),0.1),1))=TRUE,0,CEILING(FLOOR(NPER($D$19/12,-$AC$56,AW126),0.1),1))</f>
        <v>0</v>
      </c>
      <c r="BB127" s="2" t="e">
        <f>IF(AND(E82&gt;=$T$14,E82&lt;=$T$14+5),0,IF($C$9&gt;$AC$52,ROUND(AW81*IF($D$23="",0,$D$23)/(DATEVALUE(CONCATENATE("01/01/",YEAR(AN82)+1))-DATEVALUE(CONCATENATE("01/01/",YEAR(AN82))))*(AN82-AN81),2),0))</f>
        <v>#VALUE!</v>
      </c>
    </row>
    <row r="128" spans="5:54" ht="12" x14ac:dyDescent="0.2">
      <c r="E128" s="1055">
        <f t="shared" si="54"/>
        <v>120</v>
      </c>
      <c r="F128" s="1056">
        <f t="shared" si="46"/>
        <v>48968</v>
      </c>
      <c r="G128" s="24">
        <f>IF(AND(E128&gt;=$T$14,E128&lt;=$T$14+5),$T$15,IF(AND(Q127+L128+H128&gt;G127,G127&lt;&gt;0),$C$29,IF(Q127=0,0,Q127+L128+H128+H129)))+IF(AND(E128=$C$10,$C$22&lt;&gt;"Нет"),MIN((I128-I128/$C$19*$C$23),Q127+H128-G127),0)</f>
        <v>0</v>
      </c>
      <c r="H128" s="24">
        <f>IF(AND(E128&gt;=$T$14,E128&lt;=$T$14+5),0,IF($C$9&gt;$AC$52,ROUND(Q127*$C$19*((F128-DATE(YEAR(F128),MONTH(F128),1)+1)/(DATE(YEAR(F128)+1,1,1)-DATE(YEAR(F128),1,1))+(EOMONTH(F127,0)-F127)/(DATE(YEAR(F127)+1,1,1)-DATE(YEAR(F127),1,1))),2),0))</f>
        <v>0</v>
      </c>
      <c r="I128" s="24">
        <f t="shared" si="52"/>
        <v>849563.72000000009</v>
      </c>
      <c r="J128" s="24">
        <f>IF(AND(E128=$C$10,$C$22&lt;&gt;"Нет"),MIN((I128-I128/$C$19*$C$23),Q127+H128-G127),0)</f>
        <v>0</v>
      </c>
      <c r="K128" s="24">
        <f t="shared" si="47"/>
        <v>0</v>
      </c>
      <c r="L128" s="24">
        <f>IF(N128&gt;$C$29,$C$29-H128,IF(S128=0,0,O128))</f>
        <v>0</v>
      </c>
      <c r="M128" s="24">
        <f t="shared" si="61"/>
        <v>0</v>
      </c>
      <c r="N128" s="24">
        <f t="shared" si="62"/>
        <v>0</v>
      </c>
      <c r="O128" s="24">
        <f t="shared" si="50"/>
        <v>0</v>
      </c>
      <c r="P128" s="24">
        <f t="shared" si="51"/>
        <v>0</v>
      </c>
      <c r="Q128" s="24">
        <f t="shared" si="48"/>
        <v>0</v>
      </c>
      <c r="R128" s="36">
        <f t="shared" si="58"/>
        <v>0</v>
      </c>
      <c r="S128" s="36">
        <f>IF(ISERR(CEILING(FLOOR(NPER($C$19/12,-$AA$56,Q127),0.1),1))=TRUE,0,CEILING(FLOOR(NPER($C$19/12,-$AA$56,Q127),0.1),1))</f>
        <v>0</v>
      </c>
      <c r="T128" s="2">
        <f t="shared" si="74"/>
        <v>3423.48</v>
      </c>
      <c r="U128" s="34">
        <f>IF(U127&lt;0,0,IF(T128=0,IF(T127=0,0,$U$46),G87)-IF(AND(T128&gt;0,T129=0),$C$26,0))</f>
        <v>14612</v>
      </c>
      <c r="V128" s="57">
        <f t="shared" si="75"/>
        <v>74150</v>
      </c>
      <c r="W128" s="16">
        <f t="shared" si="76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64"/>
        <v>1389.65</v>
      </c>
      <c r="AJ128" s="34">
        <f t="shared" si="66"/>
        <v>14612</v>
      </c>
      <c r="AK128" s="57">
        <f t="shared" si="67"/>
        <v>74150</v>
      </c>
      <c r="AM128" s="1057">
        <f t="shared" si="56"/>
        <v>120</v>
      </c>
      <c r="AN128" s="1058">
        <f t="shared" si="49"/>
        <v>48968</v>
      </c>
      <c r="AO128" s="105">
        <f>IF(AX127=1,AR128+AP128+AQ128,IF(AW127+AR128+AP128&gt;AO127,$D$29,IF(AW127=0,0,AW127+AR128+AP128+AP160)))</f>
        <v>0</v>
      </c>
      <c r="AP128" s="105">
        <f>IF(AND(E128&gt;=$T$14,E128&lt;=$T$14+5),0,IF($C$9&gt;$AC$52,ROUND(AW127*$D$19*((AN128-DATE(YEAR(AN128),MONTH(AN128),1)+1)/(DATE(YEAR(AN128)+1,1,1)-DATE(YEAR(AN128),1,1))+(EOMONTH(AN127,0)-AN127)/(DATE(YEAR(AN127)+1,1,1)-DATE(YEAR(AN127),1,1))),2),0))</f>
        <v>0</v>
      </c>
      <c r="AQ128" s="105">
        <f t="shared" si="68"/>
        <v>0</v>
      </c>
      <c r="AR128" s="105">
        <f>IF(AT128&gt;$D$29,$D$29-AP128,IF(AY128=0,0,AV128)+BN177)</f>
        <v>0</v>
      </c>
      <c r="AS128" s="105">
        <f t="shared" si="69"/>
        <v>0</v>
      </c>
      <c r="AT128" s="105">
        <f t="shared" si="70"/>
        <v>0</v>
      </c>
      <c r="AU128" s="105">
        <f t="shared" si="71"/>
        <v>0</v>
      </c>
      <c r="AV128" s="105">
        <f t="shared" si="72"/>
        <v>0</v>
      </c>
      <c r="AW128" s="105">
        <f t="shared" si="73"/>
        <v>0</v>
      </c>
      <c r="AX128" s="108">
        <f t="shared" si="57"/>
        <v>0</v>
      </c>
      <c r="AY128" s="108">
        <f>IF(ISERR(CEILING(FLOOR(NPER($D$19/12,-$AC$56,AW127),0.1),1))=TRUE,0,CEILING(FLOOR(NPER($D$19/12,-$AC$56,AW127),0.1),1))</f>
        <v>0</v>
      </c>
      <c r="BB128" s="2" t="e">
        <f>IF(AND(E83&gt;=$T$14,E83&lt;=$T$14+5),0,IF($C$9&gt;$AC$52,ROUND(AW82*IF($D$23="",0,$D$23)/(DATEVALUE(CONCATENATE("01/01/",YEAR(AN83)+1))-DATEVALUE(CONCATENATE("01/01/",YEAR(AN83))))*(AN83-AN82),2),0))</f>
        <v>#VALUE!</v>
      </c>
    </row>
    <row r="129" spans="5:54" ht="12" x14ac:dyDescent="0.2">
      <c r="E129" s="1055">
        <f t="shared" si="54"/>
        <v>121</v>
      </c>
      <c r="F129" s="1056">
        <f t="shared" si="46"/>
        <v>48999</v>
      </c>
      <c r="G129" s="24">
        <f>IF(AND(E129&gt;=$T$14,E129&lt;=$T$14+5),$T$15,IF(AND(Q128+L129+H129&gt;G128,G128&lt;&gt;0),$C$29,IF(Q128=0,0,Q128+L129+H129+H130)))+IF(AND(E129=$C$10,$C$22&lt;&gt;"Нет"),MIN((I129-I129/$C$19*$C$23),Q128+H129-G128),0)</f>
        <v>0</v>
      </c>
      <c r="H129" s="24">
        <f>IF(AND(E129&gt;=$T$14,E129&lt;=$T$14+5),0,IF($C$9&gt;$AC$52,ROUND(Q128*$C$19*((F129-DATE(YEAR(F129),MONTH(F129),1)+1)/(DATE(YEAR(F129)+1,1,1)-DATE(YEAR(F129),1,1))+(EOMONTH(F128,0)-F128)/(DATE(YEAR(F128)+1,1,1)-DATE(YEAR(F128),1,1))),2),0))</f>
        <v>0</v>
      </c>
      <c r="I129" s="24">
        <f t="shared" si="52"/>
        <v>849563.72000000009</v>
      </c>
      <c r="J129" s="24">
        <f>IF(AND(E129=$C$10,$C$22&lt;&gt;"Нет"),MIN((I129-I129/$C$19*$C$23),Q128+H129-G128),0)</f>
        <v>0</v>
      </c>
      <c r="K129" s="24">
        <f t="shared" si="47"/>
        <v>0</v>
      </c>
      <c r="L129" s="24">
        <f>IF(N129&gt;$C$29,$C$29-H129,IF(S129=0,0,O129))</f>
        <v>0</v>
      </c>
      <c r="M129" s="24">
        <f t="shared" si="61"/>
        <v>0</v>
      </c>
      <c r="N129" s="24">
        <f t="shared" si="62"/>
        <v>0</v>
      </c>
      <c r="O129" s="24">
        <f t="shared" si="50"/>
        <v>0</v>
      </c>
      <c r="P129" s="24">
        <f t="shared" si="51"/>
        <v>0</v>
      </c>
      <c r="Q129" s="24">
        <f t="shared" si="48"/>
        <v>0</v>
      </c>
      <c r="R129" s="36">
        <f t="shared" si="58"/>
        <v>0</v>
      </c>
      <c r="S129" s="36">
        <f>IF(ISERR(CEILING(FLOOR(NPER($C$19/12,-$AA$56,Q128),0.1),1))=TRUE,0,CEILING(FLOOR(NPER($C$19/12,-$AA$56,Q128),0.1),1))</f>
        <v>0</v>
      </c>
      <c r="T129" s="2">
        <f t="shared" si="74"/>
        <v>3275.86</v>
      </c>
      <c r="U129" s="34">
        <f>IF(U128&lt;0,0,IF(T129=0,IF(T128=0,0,$U$46),G88)-IF(AND(T129&gt;0,T130=0),$C$26,0))</f>
        <v>14612</v>
      </c>
      <c r="V129" s="57">
        <f t="shared" si="75"/>
        <v>74515</v>
      </c>
      <c r="W129" s="16">
        <f t="shared" si="76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64"/>
        <v>1074.22</v>
      </c>
      <c r="AJ129" s="34">
        <f t="shared" si="66"/>
        <v>14612</v>
      </c>
      <c r="AK129" s="57">
        <f t="shared" si="67"/>
        <v>74515</v>
      </c>
      <c r="AM129" s="1057">
        <f t="shared" si="56"/>
        <v>121</v>
      </c>
      <c r="AN129" s="1058">
        <f t="shared" si="49"/>
        <v>48999</v>
      </c>
      <c r="AO129" s="105">
        <f>IF(AX128=1,AR129+AP129+AQ129,IF(AW128+AR129+AP129&gt;AO128,$D$29,IF(AW128=0,0,AW128+AR129+AP129+AP161)))</f>
        <v>0</v>
      </c>
      <c r="AP129" s="105">
        <f>IF(AND(E129&gt;=$T$14,E129&lt;=$T$14+5),0,IF($C$9&gt;$AC$52,ROUND(AW128*$D$19*((AN129-DATE(YEAR(AN129),MONTH(AN129),1)+1)/(DATE(YEAR(AN129)+1,1,1)-DATE(YEAR(AN129),1,1))+(EOMONTH(AN128,0)-AN128)/(DATE(YEAR(AN128)+1,1,1)-DATE(YEAR(AN128),1,1))),2),0))</f>
        <v>0</v>
      </c>
      <c r="AQ129" s="105">
        <f t="shared" si="68"/>
        <v>0</v>
      </c>
      <c r="AR129" s="105">
        <f>IF(AT129&gt;$D$29,$D$29-AP129,IF(AY129=0,0,AV129)+BN178)</f>
        <v>0</v>
      </c>
      <c r="AS129" s="105">
        <f t="shared" si="69"/>
        <v>0</v>
      </c>
      <c r="AT129" s="105">
        <f t="shared" si="70"/>
        <v>0</v>
      </c>
      <c r="AU129" s="105">
        <f t="shared" si="71"/>
        <v>0</v>
      </c>
      <c r="AV129" s="105">
        <f t="shared" si="72"/>
        <v>0</v>
      </c>
      <c r="AW129" s="105">
        <f t="shared" si="73"/>
        <v>0</v>
      </c>
      <c r="AX129" s="108">
        <f t="shared" si="57"/>
        <v>0</v>
      </c>
      <c r="AY129" s="108">
        <f>IF(ISERR(CEILING(FLOOR(NPER($D$19/12,-$AC$56,AW128),0.1),1))=TRUE,0,CEILING(FLOOR(NPER($D$19/12,-$AC$56,AW128),0.1),1))</f>
        <v>0</v>
      </c>
      <c r="BB129" s="2" t="e">
        <f>IF(AND(E84&gt;=$T$14,E84&lt;=$T$14+5),0,IF($C$9&gt;$AC$52,ROUND(AW83*IF($D$23="",0,$D$23)/(DATEVALUE(CONCATENATE("01/01/",YEAR(AN84)+1))-DATEVALUE(CONCATENATE("01/01/",YEAR(AN84))))*(AN84-AN83),2),0))</f>
        <v>#VALUE!</v>
      </c>
    </row>
    <row r="130" spans="5:54" ht="12" x14ac:dyDescent="0.2">
      <c r="E130" s="1055">
        <f t="shared" si="54"/>
        <v>122</v>
      </c>
      <c r="F130" s="1056">
        <f t="shared" si="46"/>
        <v>49027</v>
      </c>
      <c r="G130" s="24">
        <f>IF(AND(E130&gt;=$T$14,E130&lt;=$T$14+5),$T$15,IF(AND(Q129+L130+H130&gt;G129,G129&lt;&gt;0),$C$29,IF(Q129=0,0,Q129+L130+H130+H131)))+IF(AND(E130=$C$10,$C$22&lt;&gt;"Нет"),MIN((I130-I130/$C$19*$C$23),Q129+H130-G129),0)</f>
        <v>0</v>
      </c>
      <c r="H130" s="24">
        <f>IF(AND(E130&gt;=$T$14,E130&lt;=$T$14+5),0,IF($C$9&gt;$AC$52,ROUND(Q129*$C$19*((F130-DATE(YEAR(F130),MONTH(F130),1)+1)/(DATE(YEAR(F130)+1,1,1)-DATE(YEAR(F130),1,1))+(EOMONTH(F129,0)-F129)/(DATE(YEAR(F129)+1,1,1)-DATE(YEAR(F129),1,1))),2),0))</f>
        <v>0</v>
      </c>
      <c r="I130" s="24">
        <f t="shared" si="52"/>
        <v>849563.72000000009</v>
      </c>
      <c r="J130" s="24">
        <f>IF(AND(E130=$C$10,$C$22&lt;&gt;"Нет"),MIN((I130-I130/$C$19*$C$23),Q129+H130-G129),0)</f>
        <v>0</v>
      </c>
      <c r="K130" s="24">
        <f t="shared" si="47"/>
        <v>0</v>
      </c>
      <c r="L130" s="24">
        <f>IF(N130&gt;$C$29,$C$29-H130,IF(S130=0,0,O130))</f>
        <v>0</v>
      </c>
      <c r="M130" s="24">
        <f t="shared" si="61"/>
        <v>0</v>
      </c>
      <c r="N130" s="24">
        <f t="shared" si="62"/>
        <v>0</v>
      </c>
      <c r="O130" s="24">
        <f t="shared" si="50"/>
        <v>0</v>
      </c>
      <c r="P130" s="24">
        <f t="shared" si="51"/>
        <v>0</v>
      </c>
      <c r="Q130" s="24">
        <f t="shared" si="48"/>
        <v>0</v>
      </c>
      <c r="R130" s="36">
        <f t="shared" si="58"/>
        <v>0</v>
      </c>
      <c r="S130" s="36">
        <f>IF(ISERR(CEILING(FLOOR(NPER($C$19/12,-$AA$56,Q129),0.1),1))=TRUE,0,CEILING(FLOOR(NPER($C$19/12,-$AA$56,Q129),0.1),1))</f>
        <v>0</v>
      </c>
      <c r="T130" s="2">
        <f t="shared" si="74"/>
        <v>3023.71</v>
      </c>
      <c r="U130" s="34">
        <f>IF(U129&lt;0,0,IF(T130=0,IF(T129=0,0,$U$46),G89)-IF(AND(T130&gt;0,T131=0),$C$26,0))</f>
        <v>14612</v>
      </c>
      <c r="V130" s="57">
        <f t="shared" si="75"/>
        <v>74880</v>
      </c>
      <c r="W130" s="16">
        <f t="shared" si="76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64"/>
        <v>823.73</v>
      </c>
      <c r="AJ130" s="34">
        <f t="shared" si="66"/>
        <v>14612</v>
      </c>
      <c r="AK130" s="57">
        <f t="shared" si="67"/>
        <v>74880</v>
      </c>
      <c r="BB130" s="2" t="e">
        <f>IF(AND(E85&gt;=$T$14,E85&lt;=$T$14+5),0,IF($C$9&gt;$AC$52,ROUND(AW84*IF($D$23="",0,$D$23)/(DATEVALUE(CONCATENATE("01/01/",YEAR(AN85)+1))-DATEVALUE(CONCATENATE("01/01/",YEAR(AN85))))*(AN85-AN84),2),0))</f>
        <v>#VALUE!</v>
      </c>
    </row>
    <row r="131" spans="5:54" ht="12" x14ac:dyDescent="0.2">
      <c r="E131" s="1055">
        <f t="shared" si="54"/>
        <v>123</v>
      </c>
      <c r="F131" s="1056">
        <f t="shared" si="46"/>
        <v>49058</v>
      </c>
      <c r="G131" s="24">
        <f>IF(AND(E131&gt;=$T$14,E131&lt;=$T$14+5),$T$15,IF(AND(Q130+L131+H131&gt;G130,G130&lt;&gt;0),$C$29,IF(Q130=0,0,Q130+L131+H131+H132)))+IF(AND(E131=$C$10,$C$22&lt;&gt;"Нет"),MIN((I131-I131/$C$19*$C$23),Q130+H131-G130),0)</f>
        <v>0</v>
      </c>
      <c r="H131" s="24">
        <f>IF(AND(E131&gt;=$T$14,E131&lt;=$T$14+5),0,IF($C$9&gt;$AC$52,ROUND(Q130*$C$19*((F131-DATE(YEAR(F131),MONTH(F131),1)+1)/(DATE(YEAR(F131)+1,1,1)-DATE(YEAR(F131),1,1))+(EOMONTH(F130,0)-F130)/(DATE(YEAR(F130)+1,1,1)-DATE(YEAR(F130),1,1))),2),0))</f>
        <v>0</v>
      </c>
      <c r="I131" s="24">
        <f t="shared" si="52"/>
        <v>849563.72000000009</v>
      </c>
      <c r="J131" s="24">
        <f>IF(AND(E131=$C$10,$C$22&lt;&gt;"Нет"),MIN((I131-I131/$C$19*$C$23),Q130+H131-G130),0)</f>
        <v>0</v>
      </c>
      <c r="K131" s="24">
        <f t="shared" si="47"/>
        <v>0</v>
      </c>
      <c r="L131" s="24">
        <f>IF(N131&gt;$C$29,$C$29-H131,IF(S131=0,0,O131))</f>
        <v>0</v>
      </c>
      <c r="M131" s="24">
        <f t="shared" si="61"/>
        <v>0</v>
      </c>
      <c r="N131" s="24">
        <f t="shared" si="62"/>
        <v>0</v>
      </c>
      <c r="O131" s="24">
        <f t="shared" si="50"/>
        <v>0</v>
      </c>
      <c r="P131" s="24">
        <f t="shared" si="51"/>
        <v>0</v>
      </c>
      <c r="Q131" s="24">
        <f t="shared" si="48"/>
        <v>0</v>
      </c>
      <c r="R131" s="36">
        <f t="shared" si="58"/>
        <v>0</v>
      </c>
      <c r="S131" s="36">
        <f>IF(ISERR(CEILING(FLOOR(NPER($C$19/12,-$AA$56,Q130),0.1),1))=TRUE,0,CEILING(FLOOR(NPER($C$19/12,-$AA$56,Q130),0.1),1))</f>
        <v>0</v>
      </c>
      <c r="T131" s="2">
        <f t="shared" si="74"/>
        <v>2966.73</v>
      </c>
      <c r="U131" s="34">
        <f>IF(U130&lt;0,0,IF(T131=0,IF(T130=0,0,$U$46),G90)-IF(AND(T131&gt;0,T132=0),$C$26,0))</f>
        <v>14612</v>
      </c>
      <c r="V131" s="57">
        <f t="shared" si="75"/>
        <v>75245</v>
      </c>
      <c r="W131" s="16">
        <f t="shared" si="76"/>
        <v>82</v>
      </c>
      <c r="X131" s="16"/>
      <c r="Y131" s="16"/>
      <c r="Z131" s="16"/>
      <c r="AA131" s="16"/>
      <c r="AB131" s="1088"/>
      <c r="AC131" s="1088"/>
      <c r="AD131" s="1088"/>
      <c r="AE131" s="1088"/>
      <c r="AI131" s="2">
        <f t="shared" si="64"/>
        <v>514.97</v>
      </c>
      <c r="AJ131" s="34">
        <f t="shared" si="66"/>
        <v>14612</v>
      </c>
      <c r="AK131" s="57">
        <f t="shared" si="67"/>
        <v>75245</v>
      </c>
      <c r="AM131" s="1089"/>
      <c r="AN131" s="1087" t="s">
        <v>7</v>
      </c>
      <c r="AO131" s="1090">
        <f>(SUM(AO9:AO129)-IF(CODE(C18)=209,BN58,0))</f>
        <v>1224095.6199999999</v>
      </c>
      <c r="AP131" s="1090">
        <f>(SUM(AP9:AP129)-IF(CODE(D18)=209,BO58,0))</f>
        <v>645696.61999999976</v>
      </c>
      <c r="AQ131" s="1090">
        <f>SUM(AQ9:AQ129)</f>
        <v>578399</v>
      </c>
      <c r="AR131" s="105">
        <f>IF(AT131&gt;$D$29,$D$29-AP131,IF(AY110=0,0,AV131)+BN158)</f>
        <v>0</v>
      </c>
      <c r="AS131" s="1091"/>
      <c r="AT131" s="1091"/>
      <c r="AU131" s="1091"/>
      <c r="AV131" s="1091"/>
      <c r="AW131" s="1091"/>
      <c r="BB131" s="2" t="e">
        <f>IF(AND(E86&gt;=$T$14,E86&lt;=$T$14+5),0,IF($C$9&gt;$AC$52,ROUND(AW85*IF($D$23="",0,$D$23)/(DATEVALUE(CONCATENATE("01/01/",YEAR(AN86)+1))-DATEVALUE(CONCATENATE("01/01/",YEAR(AN86))))*(AN86-AN85),2),0))</f>
        <v>#VALUE!</v>
      </c>
    </row>
    <row r="132" spans="5:54" x14ac:dyDescent="0.2">
      <c r="E132" s="1055">
        <f t="shared" si="54"/>
        <v>124</v>
      </c>
      <c r="F132" s="1056">
        <f t="shared" si="46"/>
        <v>49088</v>
      </c>
      <c r="G132" s="24">
        <f>IF(AND(E132&gt;=$T$14,E132&lt;=$T$14+5),$T$15,IF(AND(Q131+L132+H132&gt;G131,G131&lt;&gt;0),$C$29,IF(Q131=0,0,Q131+L132+H132+H133)))+IF(AND(E132=$C$10,$C$22&lt;&gt;"Нет"),MIN((I132-I132/$C$19*$C$23),Q131+H132-G131),0)</f>
        <v>0</v>
      </c>
      <c r="H132" s="24">
        <f>IF(AND(E132&gt;=$T$14,E132&lt;=$T$14+5),0,IF($C$9&gt;$AC$52,ROUND(Q131*$C$19*((F132-DATE(YEAR(F132),MONTH(F132),1)+1)/(DATE(YEAR(F132)+1,1,1)-DATE(YEAR(F132),1,1))+(EOMONTH(F131,0)-F131)/(DATE(YEAR(F131)+1,1,1)-DATE(YEAR(F131),1,1))),2),0))</f>
        <v>0</v>
      </c>
      <c r="I132" s="24">
        <f t="shared" si="52"/>
        <v>849563.72000000009</v>
      </c>
      <c r="J132" s="24">
        <f>IF(AND(E132=$C$10,$C$22&lt;&gt;"Нет"),MIN((I132-I132/$C$19*$C$23),Q131+H132-G131),0)</f>
        <v>0</v>
      </c>
      <c r="K132" s="24">
        <f t="shared" si="47"/>
        <v>0</v>
      </c>
      <c r="L132" s="24">
        <f>IF(N132&gt;$C$29,$C$29-H132,IF(S132=0,0,O132))</f>
        <v>0</v>
      </c>
      <c r="M132" s="24">
        <f t="shared" si="61"/>
        <v>0</v>
      </c>
      <c r="N132" s="24">
        <f t="shared" si="62"/>
        <v>0</v>
      </c>
      <c r="O132" s="24">
        <f t="shared" si="50"/>
        <v>0</v>
      </c>
      <c r="P132" s="24">
        <f t="shared" si="51"/>
        <v>0</v>
      </c>
      <c r="Q132" s="24">
        <f t="shared" si="48"/>
        <v>0</v>
      </c>
      <c r="R132" s="36">
        <f t="shared" si="58"/>
        <v>0</v>
      </c>
      <c r="S132" s="36">
        <f>IF(ISERR(CEILING(FLOOR(NPER($C$19/12,-$AA$56,Q131),0.1),1))=TRUE,0,CEILING(FLOOR(NPER($C$19/12,-$AA$56,Q131),0.1),1))</f>
        <v>0</v>
      </c>
      <c r="T132" s="2">
        <f t="shared" si="74"/>
        <v>2716.95</v>
      </c>
      <c r="U132" s="34">
        <f>IF(U131&lt;0,0,IF(T132=0,IF(T131=0,0,$U$46),G91)-IF(AND(T132&gt;0,T133=0),$C$26,0))</f>
        <v>14612</v>
      </c>
      <c r="V132" s="57">
        <f t="shared" si="75"/>
        <v>75610</v>
      </c>
      <c r="W132" s="16">
        <f t="shared" si="76"/>
        <v>83</v>
      </c>
      <c r="AI132" s="2">
        <f t="shared" si="64"/>
        <v>234.01</v>
      </c>
      <c r="AJ132" s="34">
        <f t="shared" si="66"/>
        <v>11299.619999999835</v>
      </c>
      <c r="AK132" s="57">
        <f t="shared" si="67"/>
        <v>75610</v>
      </c>
      <c r="BB132" s="2" t="e">
        <f>IF(AND(E87&gt;=$T$14,E87&lt;=$T$14+5),0,IF($C$9&gt;$AC$52,ROUND(AW86*IF($D$23="",0,$D$23)/(DATEVALUE(CONCATENATE("01/01/",YEAR(AN87)+1))-DATEVALUE(CONCATENATE("01/01/",YEAR(AN87))))*(AN87-AN86),2),0))</f>
        <v>#VALUE!</v>
      </c>
    </row>
    <row r="133" spans="5:54" x14ac:dyDescent="0.2">
      <c r="E133" s="1055">
        <f t="shared" si="54"/>
        <v>125</v>
      </c>
      <c r="F133" s="1056">
        <f t="shared" si="46"/>
        <v>49119</v>
      </c>
      <c r="G133" s="24">
        <f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>IF(AND(E133&gt;=$T$14,E133&lt;=$T$14+5),0,IF($C$9&gt;$AC$52,ROUND(Q132*$C$19*((F133-DATE(YEAR(F133),MONTH(F133),1)+1)/(DATE(YEAR(F133)+1,1,1)-DATE(YEAR(F133),1,1))+(EOMONTH(F132,0)-F132)/(DATE(YEAR(F132)+1,1,1)-DATE(YEAR(F132),1,1))),2),0))</f>
        <v>0</v>
      </c>
      <c r="I133" s="24">
        <f t="shared" si="52"/>
        <v>849563.72000000009</v>
      </c>
      <c r="J133" s="24">
        <f>IF(AND(E133=$C$10,$C$22&lt;&gt;"Нет"),MIN((I133-I133/$C$19*$C$23),Q132+H133-G132),0)</f>
        <v>0</v>
      </c>
      <c r="K133" s="24">
        <f t="shared" si="47"/>
        <v>0</v>
      </c>
      <c r="L133" s="24">
        <f>IF(N133&gt;$C$29,$C$29-H133,IF(S133=0,0,O133))</f>
        <v>0</v>
      </c>
      <c r="M133" s="24">
        <f t="shared" si="61"/>
        <v>0</v>
      </c>
      <c r="N133" s="24">
        <f t="shared" si="62"/>
        <v>0</v>
      </c>
      <c r="O133" s="24">
        <f t="shared" si="50"/>
        <v>0</v>
      </c>
      <c r="P133" s="24">
        <f t="shared" si="51"/>
        <v>0</v>
      </c>
      <c r="Q133" s="24">
        <f t="shared" si="48"/>
        <v>0</v>
      </c>
      <c r="R133" s="36">
        <f t="shared" si="58"/>
        <v>0</v>
      </c>
      <c r="S133" s="36">
        <f>IF(ISERR(CEILING(FLOOR(NPER($C$19/12,-$AA$56,Q132),0.1),1))=TRUE,0,CEILING(FLOOR(NPER($C$19/12,-$AA$56,Q132),0.1),1))</f>
        <v>0</v>
      </c>
      <c r="T133" s="2">
        <f t="shared" si="74"/>
        <v>2641.96</v>
      </c>
      <c r="U133" s="34">
        <f>IF(U132&lt;0,0,IF(T133=0,IF(T132=0,0,$U$46),G92)-IF(AND(T133&gt;0,T134=0),$C$26,0))</f>
        <v>-143781.80575250837</v>
      </c>
      <c r="V133" s="57">
        <f t="shared" si="75"/>
        <v>75975</v>
      </c>
      <c r="W133" s="16">
        <f t="shared" si="76"/>
        <v>84</v>
      </c>
      <c r="AI133" s="2">
        <f t="shared" si="64"/>
        <v>0</v>
      </c>
      <c r="AJ133" s="34">
        <f t="shared" si="66"/>
        <v>0</v>
      </c>
      <c r="AK133" s="57">
        <f t="shared" si="67"/>
        <v>75610</v>
      </c>
      <c r="BB133" s="2" t="e">
        <f>IF(AND(E88&gt;=$T$14,E88&lt;=$T$14+5),0,IF($C$9&gt;$AC$52,ROUND(AW87*IF($D$23="",0,$D$23)/(DATEVALUE(CONCATENATE("01/01/",YEAR(AN88)+1))-DATEVALUE(CONCATENATE("01/01/",YEAR(AN88))))*(AN88-AN87),2),0))</f>
        <v>#VALUE!</v>
      </c>
    </row>
    <row r="134" spans="5:54" x14ac:dyDescent="0.2">
      <c r="E134" s="1055">
        <f t="shared" si="54"/>
        <v>126</v>
      </c>
      <c r="F134" s="1056">
        <f t="shared" si="46"/>
        <v>49149</v>
      </c>
      <c r="G134" s="24">
        <f>IF(AND(E134&gt;=$T$14,E134&lt;=$T$14+5),$T$15,IF(AND(Q133+L134+H134&gt;G133,G133&lt;&gt;0),$C$29,IF(Q133=0,0,Q133+L134+H134+H135)))+IF(AND(E134=$C$10,$C$22&lt;&gt;"Нет"),MIN((I134-I134/$C$19*$C$23),Q133+H134-G133),0)</f>
        <v>0</v>
      </c>
      <c r="H134" s="24">
        <f>IF(AND(E134&gt;=$T$14,E134&lt;=$T$14+5),0,IF($C$9&gt;$AC$52,ROUND(Q133*$C$19*((F134-DATE(YEAR(F134),MONTH(F134),1)+1)/(DATE(YEAR(F134)+1,1,1)-DATE(YEAR(F134),1,1))+(EOMONTH(F133,0)-F133)/(DATE(YEAR(F133)+1,1,1)-DATE(YEAR(F133),1,1))),2),0))</f>
        <v>0</v>
      </c>
      <c r="I134" s="24">
        <f t="shared" si="52"/>
        <v>849563.72000000009</v>
      </c>
      <c r="J134" s="24">
        <f>IF(AND(E134=$C$10,$C$22&lt;&gt;"Нет"),MIN((I134-I134/$C$19*$C$23),Q133+H134-G133),0)</f>
        <v>0</v>
      </c>
      <c r="K134" s="24">
        <f t="shared" si="47"/>
        <v>0</v>
      </c>
      <c r="L134" s="24">
        <f>IF(N134&gt;$C$29,$C$29-H134,IF(S134=0,0,O134))</f>
        <v>0</v>
      </c>
      <c r="M134" s="24">
        <f t="shared" si="61"/>
        <v>0</v>
      </c>
      <c r="N134" s="24">
        <f t="shared" si="62"/>
        <v>0</v>
      </c>
      <c r="O134" s="24">
        <f t="shared" si="50"/>
        <v>0</v>
      </c>
      <c r="P134" s="24">
        <f t="shared" si="51"/>
        <v>0</v>
      </c>
      <c r="Q134" s="24">
        <f t="shared" si="48"/>
        <v>0</v>
      </c>
      <c r="R134" s="36">
        <f t="shared" si="58"/>
        <v>0</v>
      </c>
      <c r="S134" s="36">
        <f>IF(ISERR(CEILING(FLOOR(NPER($C$19/12,-$AA$56,Q133),0.1),1))=TRUE,0,CEILING(FLOOR(NPER($C$19/12,-$AA$56,Q133),0.1),1))</f>
        <v>0</v>
      </c>
      <c r="T134" s="2">
        <f t="shared" si="74"/>
        <v>0</v>
      </c>
      <c r="U134" s="34">
        <f>IF(U133&lt;0,0,IF(T134=0,IF(T133=0,0,$U$46),G93)-IF(AND(T134&gt;0,T135=0),$C$26,0))</f>
        <v>0</v>
      </c>
      <c r="V134" s="57">
        <f t="shared" si="75"/>
        <v>75975</v>
      </c>
      <c r="W134" s="16">
        <f t="shared" si="76"/>
        <v>85</v>
      </c>
      <c r="AI134" s="2">
        <f t="shared" si="64"/>
        <v>0</v>
      </c>
      <c r="AJ134" s="34">
        <f t="shared" si="66"/>
        <v>0</v>
      </c>
      <c r="AK134" s="57">
        <f t="shared" si="67"/>
        <v>75610</v>
      </c>
      <c r="BB134" s="2" t="e">
        <f>IF(AND(E89&gt;=$T$14,E89&lt;=$T$14+5),0,IF($C$9&gt;$AC$52,ROUND(AW88*IF($D$23="",0,$D$23)/(DATEVALUE(CONCATENATE("01/01/",YEAR(AN89)+1))-DATEVALUE(CONCATENATE("01/01/",YEAR(AN89))))*(AN89-AN88),2),0))</f>
        <v>#VALUE!</v>
      </c>
    </row>
    <row r="135" spans="5:54" x14ac:dyDescent="0.2">
      <c r="E135" s="1055">
        <f t="shared" si="54"/>
        <v>127</v>
      </c>
      <c r="F135" s="1056">
        <f t="shared" si="46"/>
        <v>49180</v>
      </c>
      <c r="G135" s="24">
        <f>IF(AND(E135&gt;=$T$14,E135&lt;=$T$14+5),$T$15,IF(AND(Q134+L135+H135&gt;G134,G134&lt;&gt;0),$C$29,IF(Q134=0,0,Q134+L135+H135+H136)))+IF(AND(E135=$C$10,$C$22&lt;&gt;"Нет"),MIN((I135-I135/$C$19*$C$23),Q134+H135-G134),0)</f>
        <v>0</v>
      </c>
      <c r="H135" s="24">
        <f>IF(AND(E135&gt;=$T$14,E135&lt;=$T$14+5),0,IF($C$9&gt;$AC$52,ROUND(Q134*$C$19*((F135-DATE(YEAR(F135),MONTH(F135),1)+1)/(DATE(YEAR(F135)+1,1,1)-DATE(YEAR(F135),1,1))+(EOMONTH(F134,0)-F134)/(DATE(YEAR(F134)+1,1,1)-DATE(YEAR(F134),1,1))),2),0))</f>
        <v>0</v>
      </c>
      <c r="I135" s="24">
        <f t="shared" si="52"/>
        <v>849563.72000000009</v>
      </c>
      <c r="J135" s="24">
        <f>IF(AND(E135=$C$10,$C$22&lt;&gt;"Нет"),MIN((I135-I135/$C$19*$C$23),Q134+H135-G134),0)</f>
        <v>0</v>
      </c>
      <c r="K135" s="24">
        <f t="shared" si="47"/>
        <v>0</v>
      </c>
      <c r="L135" s="24">
        <f>IF(N135&gt;$C$29,$C$29-H135,IF(S135=0,0,O135))</f>
        <v>0</v>
      </c>
      <c r="M135" s="24">
        <f t="shared" si="61"/>
        <v>0</v>
      </c>
      <c r="N135" s="24">
        <f t="shared" si="62"/>
        <v>0</v>
      </c>
      <c r="O135" s="24">
        <f t="shared" si="50"/>
        <v>0</v>
      </c>
      <c r="P135" s="24">
        <f t="shared" si="51"/>
        <v>0</v>
      </c>
      <c r="Q135" s="24">
        <f t="shared" si="48"/>
        <v>0</v>
      </c>
      <c r="R135" s="36">
        <f t="shared" si="58"/>
        <v>0</v>
      </c>
      <c r="S135" s="36">
        <f>IF(ISERR(CEILING(FLOOR(NPER($C$19/12,-$AA$56,Q134),0.1),1))=TRUE,0,CEILING(FLOOR(NPER($C$19/12,-$AA$56,Q134),0.1),1))</f>
        <v>0</v>
      </c>
      <c r="T135" s="2">
        <f t="shared" si="74"/>
        <v>0</v>
      </c>
      <c r="U135" s="34">
        <f>IF(U134&lt;0,0,IF(T135=0,IF(T134=0,0,$U$46),G94)-IF(AND(T135&gt;0,T136=0),$C$26,0))</f>
        <v>0</v>
      </c>
      <c r="V135" s="57">
        <f t="shared" si="75"/>
        <v>75975</v>
      </c>
      <c r="W135" s="16">
        <f t="shared" si="76"/>
        <v>86</v>
      </c>
      <c r="AI135" s="2">
        <f t="shared" si="64"/>
        <v>0</v>
      </c>
      <c r="AJ135" s="34">
        <f t="shared" si="66"/>
        <v>0</v>
      </c>
      <c r="AK135" s="57">
        <f t="shared" si="67"/>
        <v>75610</v>
      </c>
      <c r="BB135" s="2" t="e">
        <f>IF(AND(E90&gt;=$T$14,E90&lt;=$T$14+5),0,IF($C$9&gt;$AC$52,ROUND(AW89*IF($D$23="",0,$D$23)/(DATEVALUE(CONCATENATE("01/01/",YEAR(AN90)+1))-DATEVALUE(CONCATENATE("01/01/",YEAR(AN90))))*(AN90-AN89),2),0))</f>
        <v>#VALUE!</v>
      </c>
    </row>
    <row r="136" spans="5:54" x14ac:dyDescent="0.2">
      <c r="E136" s="1055">
        <f t="shared" si="54"/>
        <v>128</v>
      </c>
      <c r="F136" s="1056">
        <f t="shared" si="46"/>
        <v>49211</v>
      </c>
      <c r="G136" s="24">
        <f>IF(AND(E136&gt;=$T$14,E136&lt;=$T$14+5),$T$15,IF(AND(Q135+L136+H136&gt;G135,G135&lt;&gt;0),$C$29,IF(Q135=0,0,Q135+L136+H136+H137)))+IF(AND(E136=$C$10,$C$22&lt;&gt;"Нет"),MIN((I136-I136/$C$19*$C$23),Q135+H136-G135),0)</f>
        <v>0</v>
      </c>
      <c r="H136" s="24">
        <f>IF(AND(E136&gt;=$T$14,E136&lt;=$T$14+5),0,IF($C$9&gt;$AC$52,ROUND(Q135*$C$19*((F136-DATE(YEAR(F136),MONTH(F136),1)+1)/(DATE(YEAR(F136)+1,1,1)-DATE(YEAR(F136),1,1))+(EOMONTH(F135,0)-F135)/(DATE(YEAR(F135)+1,1,1)-DATE(YEAR(F135),1,1))),2),0))</f>
        <v>0</v>
      </c>
      <c r="I136" s="24">
        <f t="shared" si="52"/>
        <v>849563.72000000009</v>
      </c>
      <c r="J136" s="24">
        <f>IF(AND(E136=$C$10,$C$22&lt;&gt;"Нет"),MIN((I136-I136/$C$19*$C$23),Q135+H136-G135),0)</f>
        <v>0</v>
      </c>
      <c r="K136" s="24">
        <f t="shared" si="47"/>
        <v>0</v>
      </c>
      <c r="L136" s="24">
        <f>IF(N136&gt;$C$29,$C$29-H136,IF(S136=0,0,O136))</f>
        <v>0</v>
      </c>
      <c r="M136" s="24">
        <f t="shared" si="61"/>
        <v>0</v>
      </c>
      <c r="N136" s="24">
        <f t="shared" si="62"/>
        <v>0</v>
      </c>
      <c r="O136" s="24">
        <f t="shared" si="50"/>
        <v>0</v>
      </c>
      <c r="P136" s="24">
        <f t="shared" si="51"/>
        <v>0</v>
      </c>
      <c r="Q136" s="24">
        <f t="shared" si="48"/>
        <v>0</v>
      </c>
      <c r="R136" s="36">
        <f t="shared" si="58"/>
        <v>0</v>
      </c>
      <c r="S136" s="36">
        <f>IF(ISERR(CEILING(FLOOR(NPER($C$19/12,-$AA$56,Q135),0.1),1))=TRUE,0,CEILING(FLOOR(NPER($C$19/12,-$AA$56,Q135),0.1),1))</f>
        <v>0</v>
      </c>
      <c r="T136" s="2">
        <f t="shared" si="74"/>
        <v>0</v>
      </c>
      <c r="U136" s="34">
        <f>IF(U135&lt;0,0,IF(T136=0,IF(T135=0,0,$U$46),G95)-IF(AND(T136&gt;0,T137=0),$C$26,0))</f>
        <v>0</v>
      </c>
      <c r="V136" s="57">
        <f t="shared" si="75"/>
        <v>75975</v>
      </c>
      <c r="W136" s="16">
        <f t="shared" si="76"/>
        <v>87</v>
      </c>
      <c r="AI136" s="2">
        <f t="shared" si="64"/>
        <v>0</v>
      </c>
      <c r="AJ136" s="34">
        <f t="shared" si="66"/>
        <v>0</v>
      </c>
      <c r="AK136" s="57">
        <f t="shared" si="67"/>
        <v>75610</v>
      </c>
      <c r="BB136" s="2" t="e">
        <f>IF(AND(E91&gt;=$T$14,E91&lt;=$T$14+5),0,IF($C$9&gt;$AC$52,ROUND(AW90*IF($D$23="",0,$D$23)/(DATEVALUE(CONCATENATE("01/01/",YEAR(AN91)+1))-DATEVALUE(CONCATENATE("01/01/",YEAR(AN91))))*(AN91-AN90),2),0))</f>
        <v>#VALUE!</v>
      </c>
    </row>
    <row r="137" spans="5:54" x14ac:dyDescent="0.2">
      <c r="E137" s="1055">
        <f t="shared" si="54"/>
        <v>129</v>
      </c>
      <c r="F137" s="1056">
        <f t="shared" ref="F137:F159" si="77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52"/>
        <v>849563.72000000009</v>
      </c>
      <c r="J137" s="24">
        <f>IF(AND(E137=$C$10,$C$22&lt;&gt;"Нет"),MIN((I137-I137/$C$19*$C$23),Q136+H137-G136),0)</f>
        <v>0</v>
      </c>
      <c r="K137" s="24">
        <f t="shared" ref="K137:K159" si="78">IF(S137=0,0,IF(S137=1,Q136,IF(Q136+L137+H137&gt;G136,G137-H137-L137,Q136)))</f>
        <v>0</v>
      </c>
      <c r="L137" s="24">
        <f>IF(N137&gt;$C$29,$C$29-H137,IF(S137=0,0,O137))</f>
        <v>0</v>
      </c>
      <c r="M137" s="24">
        <f t="shared" si="61"/>
        <v>0</v>
      </c>
      <c r="N137" s="24">
        <f t="shared" si="62"/>
        <v>0</v>
      </c>
      <c r="O137" s="24">
        <f t="shared" si="50"/>
        <v>0</v>
      </c>
      <c r="P137" s="24">
        <f t="shared" si="51"/>
        <v>0</v>
      </c>
      <c r="Q137" s="24">
        <f t="shared" ref="Q137:Q159" si="79">IF(OR(S137=1,Q136=0),0,Q136-K137)</f>
        <v>0</v>
      </c>
      <c r="R137" s="36">
        <f t="shared" si="58"/>
        <v>0</v>
      </c>
      <c r="S137" s="36">
        <f>IF(ISERR(CEILING(FLOOR(NPER($C$19/12,-$AA$56,Q136),0.1),1))=TRUE,0,CEILING(FLOOR(NPER($C$19/12,-$AA$56,Q136),0.1),1))</f>
        <v>0</v>
      </c>
      <c r="T137" s="2">
        <f t="shared" si="74"/>
        <v>0</v>
      </c>
      <c r="U137" s="34">
        <f>IF(U136&lt;0,0,IF(T137=0,IF(T136=0,0,$U$46),G96)-IF(AND(T137&gt;0,T138=0),$C$26,0))</f>
        <v>0</v>
      </c>
      <c r="V137" s="57">
        <f t="shared" si="75"/>
        <v>75975</v>
      </c>
      <c r="W137" s="16">
        <f t="shared" si="76"/>
        <v>88</v>
      </c>
      <c r="AI137" s="2">
        <f t="shared" si="64"/>
        <v>0</v>
      </c>
      <c r="AJ137" s="34">
        <f t="shared" si="66"/>
        <v>0</v>
      </c>
      <c r="AK137" s="57">
        <f t="shared" si="67"/>
        <v>75610</v>
      </c>
      <c r="BB137" s="2" t="e">
        <f>IF(AND(E92&gt;=$T$14,E92&lt;=$T$14+5),0,IF($C$9&gt;$AC$52,ROUND(AW91*IF($D$23="",0,$D$23)/(DATEVALUE(CONCATENATE("01/01/",YEAR(AN92)+1))-DATEVALUE(CONCATENATE("01/01/",YEAR(AN92))))*(AN92-AN91),2),0))</f>
        <v>#VALUE!</v>
      </c>
    </row>
    <row r="138" spans="5:54" x14ac:dyDescent="0.2">
      <c r="E138" s="1055">
        <f t="shared" si="54"/>
        <v>130</v>
      </c>
      <c r="F138" s="1056">
        <f t="shared" si="77"/>
        <v>49272</v>
      </c>
      <c r="G138" s="24">
        <f>IF(AND(E138&gt;=$T$14,E138&lt;=$T$14+5),$T$15,IF(AND(Q137+L138+H138&gt;G137,G137&lt;&gt;0),$C$29,IF(Q137=0,0,Q137+L138+H138+H139)))+IF(AND(E138=$C$10,$C$22&lt;&gt;"Нет"),MIN((I138-I138/$C$19*$C$23),Q137+H138-G137),0)</f>
        <v>0</v>
      </c>
      <c r="H138" s="24">
        <f>IF(AND(E138&gt;=$T$14,E138&lt;=$T$14+5),0,IF($C$9&gt;$AC$52,ROUND(Q137*$C$19*((F138-DATE(YEAR(F138),MONTH(F138),1)+1)/(DATE(YEAR(F138)+1,1,1)-DATE(YEAR(F138),1,1))+(EOMONTH(F137,0)-F137)/(DATE(YEAR(F137)+1,1,1)-DATE(YEAR(F137),1,1))),2),0))</f>
        <v>0</v>
      </c>
      <c r="I138" s="24">
        <f t="shared" si="52"/>
        <v>849563.72000000009</v>
      </c>
      <c r="J138" s="24">
        <f>IF(AND(E138=$C$10,$C$22&lt;&gt;"Нет"),MIN((I138-I138/$C$19*$C$23),Q137+H138-G137),0)</f>
        <v>0</v>
      </c>
      <c r="K138" s="24">
        <f t="shared" si="78"/>
        <v>0</v>
      </c>
      <c r="L138" s="24">
        <f>IF(N138&gt;$C$29,$C$29-H138,IF(S138=0,0,O138))</f>
        <v>0</v>
      </c>
      <c r="M138" s="24">
        <f t="shared" si="61"/>
        <v>0</v>
      </c>
      <c r="N138" s="24">
        <f t="shared" si="62"/>
        <v>0</v>
      </c>
      <c r="O138" s="24">
        <f t="shared" ref="O138:O166" si="80">IF(S138=0,0,0)</f>
        <v>0</v>
      </c>
      <c r="P138" s="24">
        <f t="shared" ref="P138:P187" si="81">IF(S138=0,0,0)</f>
        <v>0</v>
      </c>
      <c r="Q138" s="24">
        <f t="shared" si="79"/>
        <v>0</v>
      </c>
      <c r="R138" s="36">
        <f t="shared" si="58"/>
        <v>0</v>
      </c>
      <c r="S138" s="36">
        <f>IF(ISERR(CEILING(FLOOR(NPER($C$19/12,-$AA$56,Q137),0.1),1))=TRUE,0,CEILING(FLOOR(NPER($C$19/12,-$AA$56,Q137),0.1),1))</f>
        <v>0</v>
      </c>
      <c r="T138" s="2">
        <f t="shared" si="74"/>
        <v>0</v>
      </c>
      <c r="U138" s="34">
        <f>IF(U137&lt;0,0,IF(T138=0,IF(T137=0,0,$U$46),G97)-IF(AND(T138&gt;0,T139=0),$C$26,0))</f>
        <v>0</v>
      </c>
      <c r="V138" s="57">
        <f t="shared" si="75"/>
        <v>75975</v>
      </c>
      <c r="W138" s="16">
        <f t="shared" si="76"/>
        <v>89</v>
      </c>
      <c r="AI138" s="2">
        <f t="shared" si="64"/>
        <v>0</v>
      </c>
      <c r="AJ138" s="34">
        <f t="shared" si="66"/>
        <v>0</v>
      </c>
      <c r="AK138" s="57">
        <f t="shared" si="67"/>
        <v>75610</v>
      </c>
      <c r="BB138" s="2" t="e">
        <f>IF(AND(E93&gt;=$T$14,E93&lt;=$T$14+5),0,IF($C$9&gt;$AC$52,ROUND(AW92*IF($D$23="",0,$D$23)/(DATEVALUE(CONCATENATE("01/01/",YEAR(AN93)+1))-DATEVALUE(CONCATENATE("01/01/",YEAR(AN93))))*(AN93-AN92),2),0))</f>
        <v>#VALUE!</v>
      </c>
    </row>
    <row r="139" spans="5:54" x14ac:dyDescent="0.2">
      <c r="E139" s="1055">
        <f t="shared" si="54"/>
        <v>131</v>
      </c>
      <c r="F139" s="1056">
        <f t="shared" si="77"/>
        <v>49302</v>
      </c>
      <c r="G139" s="24">
        <f>IF(AND(E139&gt;=$T$14,E139&lt;=$T$14+5),$T$15,IF(AND(Q138+L139+H139&gt;G138,G138&lt;&gt;0),$C$29,IF(Q138=0,0,Q138+L139+H139+H140)))+IF(AND(E139=$C$10,$C$22&lt;&gt;"Нет"),MIN((I139-I139/$C$19*$C$23),Q138+H139-G138),0)</f>
        <v>0</v>
      </c>
      <c r="H139" s="24">
        <f>IF(AND(E139&gt;=$T$14,E139&lt;=$T$14+5),0,IF($C$9&gt;$AC$52,ROUND(Q138*$C$19*((F139-DATE(YEAR(F139),MONTH(F139),1)+1)/(DATE(YEAR(F139)+1,1,1)-DATE(YEAR(F139),1,1))+(EOMONTH(F138,0)-F138)/(DATE(YEAR(F138)+1,1,1)-DATE(YEAR(F138),1,1))),2),0))</f>
        <v>0</v>
      </c>
      <c r="I139" s="24">
        <f t="shared" ref="I139:I159" si="82">H139+I138</f>
        <v>849563.72000000009</v>
      </c>
      <c r="J139" s="24">
        <f>IF(AND(E139=$C$10,$C$22&lt;&gt;"Нет"),MIN((I139-I139/$C$19*$C$23),Q138+H139-G138),0)</f>
        <v>0</v>
      </c>
      <c r="K139" s="24">
        <f t="shared" si="78"/>
        <v>0</v>
      </c>
      <c r="L139" s="24">
        <f>IF(N139&gt;$C$29,$C$29-H139,IF(S139=0,0,O139))</f>
        <v>0</v>
      </c>
      <c r="M139" s="24">
        <f t="shared" si="61"/>
        <v>0</v>
      </c>
      <c r="N139" s="24">
        <f t="shared" si="62"/>
        <v>0</v>
      </c>
      <c r="O139" s="24">
        <f t="shared" si="80"/>
        <v>0</v>
      </c>
      <c r="P139" s="24">
        <f t="shared" si="81"/>
        <v>0</v>
      </c>
      <c r="Q139" s="24">
        <f t="shared" si="79"/>
        <v>0</v>
      </c>
      <c r="R139" s="36">
        <f t="shared" si="58"/>
        <v>0</v>
      </c>
      <c r="S139" s="36">
        <f>IF(ISERR(CEILING(FLOOR(NPER($C$19/12,-$AA$56,Q138),0.1),1))=TRUE,0,CEILING(FLOOR(NPER($C$19/12,-$AA$56,Q138),0.1),1))</f>
        <v>0</v>
      </c>
      <c r="T139" s="2">
        <f t="shared" si="74"/>
        <v>0</v>
      </c>
      <c r="U139" s="34">
        <f>IF(U138&lt;0,0,IF(T139=0,IF(T138=0,0,$U$46),G98)-IF(AND(T139&gt;0,T140=0),$C$26,0))</f>
        <v>0</v>
      </c>
      <c r="V139" s="57">
        <f t="shared" si="75"/>
        <v>75975</v>
      </c>
      <c r="W139" s="16">
        <f t="shared" si="76"/>
        <v>90</v>
      </c>
      <c r="AI139" s="2">
        <f t="shared" si="64"/>
        <v>0</v>
      </c>
      <c r="AJ139" s="34">
        <f t="shared" si="66"/>
        <v>0</v>
      </c>
      <c r="AK139" s="57">
        <f t="shared" si="67"/>
        <v>75610</v>
      </c>
      <c r="BB139" s="2" t="e">
        <f>IF(AND(E94&gt;=$T$14,E94&lt;=$T$14+5),0,IF($C$9&gt;$AC$52,ROUND(AW93*IF($D$23="",0,$D$23)/(DATEVALUE(CONCATENATE("01/01/",YEAR(AN94)+1))-DATEVALUE(CONCATENATE("01/01/",YEAR(AN94))))*(AN94-AN93),2),0))</f>
        <v>#VALUE!</v>
      </c>
    </row>
    <row r="140" spans="5:54" x14ac:dyDescent="0.2">
      <c r="E140" s="1055">
        <f t="shared" ref="E140:E159" si="83">E139+1</f>
        <v>132</v>
      </c>
      <c r="F140" s="1056">
        <f t="shared" si="77"/>
        <v>49333</v>
      </c>
      <c r="G140" s="24">
        <f>IF(AND(E140&gt;=$T$14,E140&lt;=$T$14+5),$T$15,IF(AND(Q139+L140+H140&gt;G139,G139&lt;&gt;0),$C$29,IF(Q139=0,0,Q139+L140+H140+H141)))+IF(AND(E140=$C$10,$C$22&lt;&gt;"Нет"),MIN((I140-I140/$C$19*$C$23),Q139+H140-G139),0)</f>
        <v>0</v>
      </c>
      <c r="H140" s="24">
        <f>IF(AND(E140&gt;=$T$14,E140&lt;=$T$14+5),0,IF($C$9&gt;$AC$52,ROUND(Q139*$C$19*((F140-DATE(YEAR(F140),MONTH(F140),1)+1)/(DATE(YEAR(F140)+1,1,1)-DATE(YEAR(F140),1,1))+(EOMONTH(F139,0)-F139)/(DATE(YEAR(F139)+1,1,1)-DATE(YEAR(F139),1,1))),2),0))</f>
        <v>0</v>
      </c>
      <c r="I140" s="24">
        <f t="shared" si="82"/>
        <v>849563.72000000009</v>
      </c>
      <c r="J140" s="24">
        <f>IF(AND(E140=$C$10,$C$22&lt;&gt;"Нет"),MIN((I140-I140/$C$19*$C$23),Q139+H140-G139),0)</f>
        <v>0</v>
      </c>
      <c r="K140" s="24">
        <f t="shared" si="78"/>
        <v>0</v>
      </c>
      <c r="L140" s="24">
        <f>IF(N140&gt;$C$29,$C$29-H140,IF(S140=0,0,O140))</f>
        <v>0</v>
      </c>
      <c r="M140" s="24">
        <f t="shared" si="61"/>
        <v>0</v>
      </c>
      <c r="N140" s="24">
        <f t="shared" si="62"/>
        <v>0</v>
      </c>
      <c r="O140" s="24">
        <f t="shared" si="80"/>
        <v>0</v>
      </c>
      <c r="P140" s="24">
        <f t="shared" si="81"/>
        <v>0</v>
      </c>
      <c r="Q140" s="24">
        <f t="shared" si="79"/>
        <v>0</v>
      </c>
      <c r="R140" s="36">
        <f t="shared" si="58"/>
        <v>0</v>
      </c>
      <c r="S140" s="36">
        <f>IF(ISERR(CEILING(FLOOR(NPER($C$19/12,-$AA$56,Q139),0.1),1))=TRUE,0,CEILING(FLOOR(NPER($C$19/12,-$AA$56,Q139),0.1),1))</f>
        <v>0</v>
      </c>
      <c r="T140" s="2">
        <f t="shared" si="74"/>
        <v>0</v>
      </c>
      <c r="U140" s="34">
        <f>IF(U139&lt;0,0,IF(T140=0,IF(T139=0,0,$U$46),G99)-IF(AND(T140&gt;0,T141=0),$C$26,0))</f>
        <v>0</v>
      </c>
      <c r="V140" s="57">
        <f t="shared" si="75"/>
        <v>75975</v>
      </c>
      <c r="W140" s="16">
        <f t="shared" si="76"/>
        <v>91</v>
      </c>
      <c r="AI140" s="2">
        <f t="shared" si="64"/>
        <v>0</v>
      </c>
      <c r="AJ140" s="34">
        <f t="shared" si="66"/>
        <v>0</v>
      </c>
      <c r="AK140" s="57">
        <f t="shared" si="67"/>
        <v>75610</v>
      </c>
      <c r="BB140" s="2" t="e">
        <f>IF(AND(E95&gt;=$T$14,E95&lt;=$T$14+5),0,IF($C$9&gt;$AC$52,ROUND(AW94*IF($D$23="",0,$D$23)/(DATEVALUE(CONCATENATE("01/01/",YEAR(AN95)+1))-DATEVALUE(CONCATENATE("01/01/",YEAR(AN95))))*(AN95-AN94),2),0))</f>
        <v>#VALUE!</v>
      </c>
    </row>
    <row r="141" spans="5:54" x14ac:dyDescent="0.2">
      <c r="E141" s="1055">
        <f t="shared" si="83"/>
        <v>133</v>
      </c>
      <c r="F141" s="1056">
        <f t="shared" si="77"/>
        <v>49364</v>
      </c>
      <c r="G141" s="24">
        <f>IF(AND(E141&gt;=$T$14,E141&lt;=$T$14+5),$T$15,IF(AND(Q140+L141+H141&gt;G140,G140&lt;&gt;0),$C$29,IF(Q140=0,0,Q140+L141+H141+H142)))+IF(AND(E141=$C$10,$C$22&lt;&gt;"Нет"),MIN((I141-I141/$C$19*$C$23),Q140+H141-G140),0)</f>
        <v>0</v>
      </c>
      <c r="H141" s="24">
        <f>IF(AND(E141&gt;=$T$14,E141&lt;=$T$14+5),0,IF($C$9&gt;$AC$52,ROUND(Q140*$C$19*((F141-DATE(YEAR(F141),MONTH(F141),1)+1)/(DATE(YEAR(F141)+1,1,1)-DATE(YEAR(F141),1,1))+(EOMONTH(F140,0)-F140)/(DATE(YEAR(F140)+1,1,1)-DATE(YEAR(F140),1,1))),2),0))</f>
        <v>0</v>
      </c>
      <c r="I141" s="24">
        <f t="shared" si="82"/>
        <v>849563.72000000009</v>
      </c>
      <c r="J141" s="24">
        <f>IF(AND(E141=$C$10,$C$22&lt;&gt;"Нет"),MIN((I141-I141/$C$19*$C$23),Q140+H141-G140),0)</f>
        <v>0</v>
      </c>
      <c r="K141" s="24">
        <f t="shared" si="78"/>
        <v>0</v>
      </c>
      <c r="L141" s="24">
        <f>IF(N141&gt;$C$29,$C$29-H141,IF(S141=0,0,O141))</f>
        <v>0</v>
      </c>
      <c r="M141" s="24">
        <f t="shared" si="61"/>
        <v>0</v>
      </c>
      <c r="N141" s="24">
        <f t="shared" si="62"/>
        <v>0</v>
      </c>
      <c r="O141" s="24">
        <f t="shared" si="80"/>
        <v>0</v>
      </c>
      <c r="P141" s="24">
        <f t="shared" si="81"/>
        <v>0</v>
      </c>
      <c r="Q141" s="24">
        <f t="shared" si="79"/>
        <v>0</v>
      </c>
      <c r="R141" s="36">
        <f t="shared" si="58"/>
        <v>0</v>
      </c>
      <c r="S141" s="36">
        <f>IF(ISERR(CEILING(FLOOR(NPER($C$19/12,-$AA$56,Q140),0.1),1))=TRUE,0,CEILING(FLOOR(NPER($C$19/12,-$AA$56,Q140),0.1),1))</f>
        <v>0</v>
      </c>
      <c r="T141" s="2">
        <f t="shared" si="74"/>
        <v>0</v>
      </c>
      <c r="U141" s="34">
        <f>IF(U140&lt;0,0,IF(T141=0,IF(T140=0,0,$U$46),G100)-IF(AND(T141&gt;0,T142=0),$C$26,0))</f>
        <v>0</v>
      </c>
      <c r="V141" s="57">
        <f t="shared" si="75"/>
        <v>75975</v>
      </c>
      <c r="W141" s="16">
        <f t="shared" si="76"/>
        <v>92</v>
      </c>
      <c r="AI141" s="2">
        <f t="shared" si="64"/>
        <v>0</v>
      </c>
      <c r="AJ141" s="34">
        <f t="shared" si="66"/>
        <v>0</v>
      </c>
      <c r="AK141" s="57">
        <f t="shared" si="67"/>
        <v>75610</v>
      </c>
      <c r="BB141" s="2" t="e">
        <f>IF(AND(E96&gt;=$T$14,E96&lt;=$T$14+5),0,IF($C$9&gt;$AC$52,ROUND(AW95*IF($D$23="",0,$D$23)/(DATEVALUE(CONCATENATE("01/01/",YEAR(AN96)+1))-DATEVALUE(CONCATENATE("01/01/",YEAR(AN96))))*(AN96-AN95),2),0))</f>
        <v>#VALUE!</v>
      </c>
    </row>
    <row r="142" spans="5:54" x14ac:dyDescent="0.2">
      <c r="E142" s="1055">
        <f t="shared" si="83"/>
        <v>134</v>
      </c>
      <c r="F142" s="1056">
        <f t="shared" si="77"/>
        <v>49392</v>
      </c>
      <c r="G142" s="24">
        <f>IF(AND(E142&gt;=$T$14,E142&lt;=$T$14+5),$T$15,IF(AND(Q141+L142+H142&gt;G141,G141&lt;&gt;0),$C$29,IF(Q141=0,0,Q141+L142+H142+H143)))+IF(AND(E142=$C$10,$C$22&lt;&gt;"Нет"),MIN((I142-I142/$C$19*$C$23),Q141+H142-G141),0)</f>
        <v>0</v>
      </c>
      <c r="H142" s="24">
        <f>IF(AND(E142&gt;=$T$14,E142&lt;=$T$14+5),0,IF($C$9&gt;$AC$52,ROUND(Q141*$C$19*((F142-DATE(YEAR(F142),MONTH(F142),1)+1)/(DATE(YEAR(F142)+1,1,1)-DATE(YEAR(F142),1,1))+(EOMONTH(F141,0)-F141)/(DATE(YEAR(F141)+1,1,1)-DATE(YEAR(F141),1,1))),2),0))</f>
        <v>0</v>
      </c>
      <c r="I142" s="24">
        <f t="shared" si="82"/>
        <v>849563.72000000009</v>
      </c>
      <c r="J142" s="24">
        <f>IF(AND(E142=$C$10,$C$22&lt;&gt;"Нет"),MIN((I142-I142/$C$19*$C$23),Q141+H142-G141),0)</f>
        <v>0</v>
      </c>
      <c r="K142" s="24">
        <f t="shared" si="78"/>
        <v>0</v>
      </c>
      <c r="L142" s="24">
        <f>IF(N142&gt;$C$29,$C$29-H142,IF(S142=0,0,O142))</f>
        <v>0</v>
      </c>
      <c r="M142" s="24">
        <f t="shared" si="61"/>
        <v>0</v>
      </c>
      <c r="N142" s="24">
        <f t="shared" si="62"/>
        <v>0</v>
      </c>
      <c r="O142" s="24">
        <f t="shared" si="80"/>
        <v>0</v>
      </c>
      <c r="P142" s="24">
        <f t="shared" si="81"/>
        <v>0</v>
      </c>
      <c r="Q142" s="24">
        <f t="shared" si="79"/>
        <v>0</v>
      </c>
      <c r="R142" s="36">
        <f t="shared" ref="R142:R159" si="84">IF((R141-1)&lt;0,0,R141-1)</f>
        <v>0</v>
      </c>
      <c r="S142" s="36">
        <f>IF(ISERR(CEILING(FLOOR(NPER($C$19/12,-$AA$56,Q141),0.1),1))=TRUE,0,CEILING(FLOOR(NPER($C$19/12,-$AA$56,Q141),0.1),1))</f>
        <v>0</v>
      </c>
      <c r="T142" s="2">
        <f t="shared" si="74"/>
        <v>0</v>
      </c>
      <c r="U142" s="34">
        <f>IF(U141&lt;0,0,IF(T142=0,IF(T141=0,0,$U$46),G101)-IF(AND(T142&gt;0,T143=0),$C$26,0))</f>
        <v>0</v>
      </c>
      <c r="V142" s="57">
        <f t="shared" si="75"/>
        <v>75975</v>
      </c>
      <c r="W142" s="16">
        <f t="shared" si="76"/>
        <v>93</v>
      </c>
      <c r="AI142" s="2">
        <f t="shared" si="64"/>
        <v>0</v>
      </c>
      <c r="AJ142" s="34">
        <f t="shared" si="66"/>
        <v>0</v>
      </c>
      <c r="AK142" s="57">
        <f t="shared" si="67"/>
        <v>75610</v>
      </c>
      <c r="BB142" s="2" t="e">
        <f>IF(AND(E97&gt;=$T$14,E97&lt;=$T$14+5),0,IF($C$9&gt;$AC$52,ROUND(AW96*IF($D$23="",0,$D$23)/(DATEVALUE(CONCATENATE("01/01/",YEAR(AN97)+1))-DATEVALUE(CONCATENATE("01/01/",YEAR(AN97))))*(AN97-AN96),2),0))</f>
        <v>#VALUE!</v>
      </c>
    </row>
    <row r="143" spans="5:54" x14ac:dyDescent="0.2">
      <c r="E143" s="1055">
        <f t="shared" si="83"/>
        <v>135</v>
      </c>
      <c r="F143" s="1056">
        <f t="shared" si="77"/>
        <v>49423</v>
      </c>
      <c r="G143" s="24">
        <f>IF(AND(E143&gt;=$T$14,E143&lt;=$T$14+5),$T$15,IF(AND(Q142+L143+H143&gt;G142,G142&lt;&gt;0),$C$29,IF(Q142=0,0,Q142+L143+H143+H144)))+IF(AND(E143=$C$10,$C$22&lt;&gt;"Нет"),MIN((I143-I143/$C$19*$C$23),Q142+H143-G142),0)</f>
        <v>0</v>
      </c>
      <c r="H143" s="24">
        <f>IF(AND(E143&gt;=$T$14,E143&lt;=$T$14+5),0,IF($C$9&gt;$AC$52,ROUND(Q142*$C$19*((F143-DATE(YEAR(F143),MONTH(F143),1)+1)/(DATE(YEAR(F143)+1,1,1)-DATE(YEAR(F143),1,1))+(EOMONTH(F142,0)-F142)/(DATE(YEAR(F142)+1,1,1)-DATE(YEAR(F142),1,1))),2),0))</f>
        <v>0</v>
      </c>
      <c r="I143" s="24">
        <f t="shared" si="82"/>
        <v>849563.72000000009</v>
      </c>
      <c r="J143" s="24">
        <f>IF(AND(E143=$C$10,$C$22&lt;&gt;"Нет"),MIN((I143-I143/$C$19*$C$23),Q142+H143-G142),0)</f>
        <v>0</v>
      </c>
      <c r="K143" s="24">
        <f t="shared" si="78"/>
        <v>0</v>
      </c>
      <c r="L143" s="24">
        <f>IF(N143&gt;$C$29,$C$29-H143,IF(S143=0,0,O143))</f>
        <v>0</v>
      </c>
      <c r="M143" s="24">
        <f t="shared" si="61"/>
        <v>0</v>
      </c>
      <c r="N143" s="24">
        <f t="shared" si="62"/>
        <v>0</v>
      </c>
      <c r="O143" s="24">
        <f t="shared" si="80"/>
        <v>0</v>
      </c>
      <c r="P143" s="24">
        <f t="shared" si="81"/>
        <v>0</v>
      </c>
      <c r="Q143" s="24">
        <f t="shared" si="79"/>
        <v>0</v>
      </c>
      <c r="R143" s="36">
        <f t="shared" si="84"/>
        <v>0</v>
      </c>
      <c r="S143" s="36">
        <f>IF(ISERR(CEILING(FLOOR(NPER($C$19/12,-$AA$56,Q142),0.1),1))=TRUE,0,CEILING(FLOOR(NPER($C$19/12,-$AA$56,Q142),0.1),1))</f>
        <v>0</v>
      </c>
      <c r="T143" s="2">
        <f t="shared" si="74"/>
        <v>0</v>
      </c>
      <c r="U143" s="34">
        <f>IF(U142&lt;0,0,IF(T143=0,IF(T142=0,0,$U$46),G102)-IF(AND(T143&gt;0,T144=0),$C$26,0))</f>
        <v>0</v>
      </c>
      <c r="V143" s="57">
        <f t="shared" si="75"/>
        <v>75975</v>
      </c>
      <c r="W143" s="16">
        <f t="shared" si="76"/>
        <v>94</v>
      </c>
      <c r="AI143" s="2">
        <f t="shared" si="64"/>
        <v>0</v>
      </c>
      <c r="AJ143" s="34">
        <f t="shared" si="66"/>
        <v>0</v>
      </c>
      <c r="AK143" s="57">
        <f t="shared" si="67"/>
        <v>75610</v>
      </c>
      <c r="BB143" s="2" t="e">
        <f>IF(AND(E98&gt;=$T$14,E98&lt;=$T$14+5),0,IF($C$9&gt;$AC$52,ROUND(AW97*IF($D$23="",0,$D$23)/(DATEVALUE(CONCATENATE("01/01/",YEAR(AN98)+1))-DATEVALUE(CONCATENATE("01/01/",YEAR(AN98))))*(AN98-AN97),2),0))</f>
        <v>#VALUE!</v>
      </c>
    </row>
    <row r="144" spans="5:54" x14ac:dyDescent="0.2">
      <c r="E144" s="1055">
        <f t="shared" si="83"/>
        <v>136</v>
      </c>
      <c r="F144" s="1056">
        <f t="shared" si="77"/>
        <v>49453</v>
      </c>
      <c r="G144" s="24">
        <f>IF(AND(E144&gt;=$T$14,E144&lt;=$T$14+5),$T$15,IF(AND(Q143+L144+H144&gt;G143,G143&lt;&gt;0),$C$29,IF(Q143=0,0,Q143+L144+H144+H145)))+IF(AND(E144=$C$10,$C$22&lt;&gt;"Нет"),MIN((I144-I144/$C$19*$C$23),Q143+H144-G143),0)</f>
        <v>0</v>
      </c>
      <c r="H144" s="24">
        <f>IF(AND(E144&gt;=$T$14,E144&lt;=$T$14+5),0,IF($C$9&gt;$AC$52,ROUND(Q143*$C$19*((F144-DATE(YEAR(F144),MONTH(F144),1)+1)/(DATE(YEAR(F144)+1,1,1)-DATE(YEAR(F144),1,1))+(EOMONTH(F143,0)-F143)/(DATE(YEAR(F143)+1,1,1)-DATE(YEAR(F143),1,1))),2),0))</f>
        <v>0</v>
      </c>
      <c r="I144" s="24">
        <f t="shared" si="82"/>
        <v>849563.72000000009</v>
      </c>
      <c r="J144" s="24">
        <f>IF(AND(E144=$C$10,$C$22&lt;&gt;"Нет"),MIN((I144-I144/$C$19*$C$23),Q143+H144-G143),0)</f>
        <v>0</v>
      </c>
      <c r="K144" s="24">
        <f t="shared" si="78"/>
        <v>0</v>
      </c>
      <c r="L144" s="24">
        <f>IF(N144&gt;$C$29,$C$29-H144,IF(S144=0,0,O144))</f>
        <v>0</v>
      </c>
      <c r="M144" s="24">
        <f t="shared" si="61"/>
        <v>0</v>
      </c>
      <c r="N144" s="24">
        <f t="shared" si="62"/>
        <v>0</v>
      </c>
      <c r="O144" s="24">
        <f t="shared" si="80"/>
        <v>0</v>
      </c>
      <c r="P144" s="24">
        <f t="shared" si="81"/>
        <v>0</v>
      </c>
      <c r="Q144" s="24">
        <f t="shared" si="79"/>
        <v>0</v>
      </c>
      <c r="R144" s="36">
        <f t="shared" si="84"/>
        <v>0</v>
      </c>
      <c r="S144" s="36">
        <f>IF(ISERR(CEILING(FLOOR(NPER($C$19/12,-$AA$56,Q143),0.1),1))=TRUE,0,CEILING(FLOOR(NPER($C$19/12,-$AA$56,Q143),0.1),1))</f>
        <v>0</v>
      </c>
      <c r="T144" s="2">
        <f t="shared" si="74"/>
        <v>0</v>
      </c>
      <c r="U144" s="34">
        <f>IF(U143&lt;0,0,IF(T144=0,IF(T143=0,0,$U$46),G103)-IF(AND(T144&gt;0,T145=0),$C$26,0))</f>
        <v>0</v>
      </c>
      <c r="V144" s="57">
        <f t="shared" si="75"/>
        <v>75975</v>
      </c>
      <c r="W144" s="16">
        <f t="shared" si="76"/>
        <v>95</v>
      </c>
      <c r="AI144" s="2">
        <f t="shared" si="64"/>
        <v>0</v>
      </c>
      <c r="AJ144" s="34">
        <f t="shared" si="66"/>
        <v>0</v>
      </c>
      <c r="AK144" s="57">
        <f t="shared" si="67"/>
        <v>75610</v>
      </c>
      <c r="BB144" s="2" t="e">
        <f>IF(AND(E99&gt;=$T$14,E99&lt;=$T$14+5),0,IF($C$9&gt;$AC$52,ROUND(AW98*IF($D$23="",0,$D$23)/(DATEVALUE(CONCATENATE("01/01/",YEAR(AN99)+1))-DATEVALUE(CONCATENATE("01/01/",YEAR(AN99))))*(AN99-AN98),2),0))</f>
        <v>#VALUE!</v>
      </c>
    </row>
    <row r="145" spans="5:54" x14ac:dyDescent="0.2">
      <c r="E145" s="1055">
        <f t="shared" si="83"/>
        <v>137</v>
      </c>
      <c r="F145" s="1056">
        <f t="shared" si="77"/>
        <v>49484</v>
      </c>
      <c r="G145" s="24">
        <f>IF(AND(E145&gt;=$T$14,E145&lt;=$T$14+5),$T$15,IF(AND(Q144+L145+H145&gt;G144,G144&lt;&gt;0),$C$29,IF(Q144=0,0,Q144+L145+H145+H146)))+IF(AND(E145=$C$10,$C$22&lt;&gt;"Нет"),MIN((I145-I145/$C$19*$C$23),Q144+H145-G144),0)</f>
        <v>0</v>
      </c>
      <c r="H145" s="24">
        <f>IF(AND(E145&gt;=$T$14,E145&lt;=$T$14+5),0,IF($C$9&gt;$AC$52,ROUND(Q144*$C$19*((F145-DATE(YEAR(F145),MONTH(F145),1)+1)/(DATE(YEAR(F145)+1,1,1)-DATE(YEAR(F145),1,1))+(EOMONTH(F144,0)-F144)/(DATE(YEAR(F144)+1,1,1)-DATE(YEAR(F144),1,1))),2),0))</f>
        <v>0</v>
      </c>
      <c r="I145" s="24">
        <f t="shared" si="82"/>
        <v>849563.72000000009</v>
      </c>
      <c r="J145" s="24">
        <f>IF(AND(E145=$C$10,$C$22&lt;&gt;"Нет"),MIN((I145-I145/$C$19*$C$23),Q144+H145-G144),0)</f>
        <v>0</v>
      </c>
      <c r="K145" s="24">
        <f t="shared" si="78"/>
        <v>0</v>
      </c>
      <c r="L145" s="24">
        <f>IF(N145&gt;$C$29,$C$29-H145,IF(S145=0,0,O145))</f>
        <v>0</v>
      </c>
      <c r="M145" s="24">
        <f t="shared" si="61"/>
        <v>0</v>
      </c>
      <c r="N145" s="24">
        <f t="shared" si="62"/>
        <v>0</v>
      </c>
      <c r="O145" s="24">
        <f t="shared" si="80"/>
        <v>0</v>
      </c>
      <c r="P145" s="24">
        <f t="shared" si="81"/>
        <v>0</v>
      </c>
      <c r="Q145" s="24">
        <f t="shared" si="79"/>
        <v>0</v>
      </c>
      <c r="R145" s="36">
        <f t="shared" si="84"/>
        <v>0</v>
      </c>
      <c r="S145" s="36">
        <f>IF(ISERR(CEILING(FLOOR(NPER($C$19/12,-$AA$56,Q144),0.1),1))=TRUE,0,CEILING(FLOOR(NPER($C$19/12,-$AA$56,Q144),0.1),1))</f>
        <v>0</v>
      </c>
      <c r="T145" s="2">
        <f t="shared" si="74"/>
        <v>0</v>
      </c>
      <c r="U145" s="34">
        <f>IF(U144&lt;0,0,IF(T145=0,IF(T144=0,0,$U$46),G104)-IF(AND(T145&gt;0,T146=0),$C$26,0))</f>
        <v>0</v>
      </c>
      <c r="V145" s="57">
        <f t="shared" si="75"/>
        <v>75975</v>
      </c>
      <c r="W145" s="16">
        <f t="shared" si="76"/>
        <v>96</v>
      </c>
      <c r="AI145" s="2">
        <f t="shared" si="64"/>
        <v>0</v>
      </c>
      <c r="AJ145" s="34">
        <f t="shared" si="66"/>
        <v>0</v>
      </c>
      <c r="AK145" s="57">
        <f t="shared" si="67"/>
        <v>75610</v>
      </c>
      <c r="BB145" s="2" t="e">
        <f>IF(AND(E100&gt;=$T$14,E100&lt;=$T$14+5),0,IF($C$9&gt;$AC$52,ROUND(AW99*IF($D$23="",0,$D$23)/(DATEVALUE(CONCATENATE("01/01/",YEAR(AN100)+1))-DATEVALUE(CONCATENATE("01/01/",YEAR(AN100))))*(AN100-AN99),2),0))</f>
        <v>#VALUE!</v>
      </c>
    </row>
    <row r="146" spans="5:54" x14ac:dyDescent="0.2">
      <c r="E146" s="1055">
        <f t="shared" si="83"/>
        <v>138</v>
      </c>
      <c r="F146" s="1056">
        <f t="shared" si="77"/>
        <v>49514</v>
      </c>
      <c r="G146" s="24">
        <f>IF(AND(E146&gt;=$T$14,E146&lt;=$T$14+5),$T$15,IF(AND(Q145+L146+H146&gt;G145,G145&lt;&gt;0),$C$29,IF(Q145=0,0,Q145+L146+H146+H147)))+IF(AND(E146=$C$10,$C$22&lt;&gt;"Нет"),MIN((I146-I146/$C$19*$C$23),Q145+H146-G145),0)</f>
        <v>0</v>
      </c>
      <c r="H146" s="24">
        <f>IF(AND(E146&gt;=$T$14,E146&lt;=$T$14+5),0,IF($C$9&gt;$AC$52,ROUND(Q145*$C$19*((F146-DATE(YEAR(F146),MONTH(F146),1)+1)/(DATE(YEAR(F146)+1,1,1)-DATE(YEAR(F146),1,1))+(EOMONTH(F145,0)-F145)/(DATE(YEAR(F145)+1,1,1)-DATE(YEAR(F145),1,1))),2),0))</f>
        <v>0</v>
      </c>
      <c r="I146" s="24">
        <f t="shared" si="82"/>
        <v>849563.72000000009</v>
      </c>
      <c r="J146" s="24">
        <f>IF(AND(E146=$C$10,$C$22&lt;&gt;"Нет"),MIN((I146-I146/$C$19*$C$23),Q145+H146-G145),0)</f>
        <v>0</v>
      </c>
      <c r="K146" s="24">
        <f t="shared" si="78"/>
        <v>0</v>
      </c>
      <c r="L146" s="24">
        <f>IF(N146&gt;$C$29,$C$29-H146,IF(S146=0,0,O146))</f>
        <v>0</v>
      </c>
      <c r="M146" s="24">
        <f t="shared" si="61"/>
        <v>0</v>
      </c>
      <c r="N146" s="24">
        <f t="shared" si="62"/>
        <v>0</v>
      </c>
      <c r="O146" s="24">
        <f t="shared" si="80"/>
        <v>0</v>
      </c>
      <c r="P146" s="24">
        <f t="shared" si="81"/>
        <v>0</v>
      </c>
      <c r="Q146" s="24">
        <f t="shared" si="79"/>
        <v>0</v>
      </c>
      <c r="R146" s="36">
        <f t="shared" si="84"/>
        <v>0</v>
      </c>
      <c r="S146" s="36">
        <f>IF(ISERR(CEILING(FLOOR(NPER($C$19/12,-$AA$56,Q145),0.1),1))=TRUE,0,CEILING(FLOOR(NPER($C$19/12,-$AA$56,Q145),0.1),1))</f>
        <v>0</v>
      </c>
      <c r="T146" s="2">
        <f t="shared" si="74"/>
        <v>0</v>
      </c>
      <c r="U146" s="34">
        <f>IF(U145&lt;0,0,IF(T146=0,IF(T145=0,0,$U$46),G105)-IF(AND(T146&gt;0,T147=0),$C$26,0))</f>
        <v>0</v>
      </c>
      <c r="V146" s="57">
        <f t="shared" si="75"/>
        <v>75975</v>
      </c>
      <c r="W146" s="16">
        <f t="shared" si="76"/>
        <v>97</v>
      </c>
      <c r="AI146" s="2">
        <f t="shared" si="64"/>
        <v>0</v>
      </c>
      <c r="AJ146" s="34">
        <f t="shared" si="66"/>
        <v>0</v>
      </c>
      <c r="AK146" s="57">
        <f t="shared" si="67"/>
        <v>75610</v>
      </c>
      <c r="BB146" s="2" t="e">
        <f>IF(AND(E101&gt;=$T$14,E101&lt;=$T$14+5),0,IF($C$9&gt;$AC$52,ROUND(AW100*IF($D$23="",0,$D$23)/(DATEVALUE(CONCATENATE("01/01/",YEAR(AN101)+1))-DATEVALUE(CONCATENATE("01/01/",YEAR(AN101))))*(AN101-AN100),2),0))</f>
        <v>#VALUE!</v>
      </c>
    </row>
    <row r="147" spans="5:54" x14ac:dyDescent="0.2">
      <c r="E147" s="1055">
        <f t="shared" si="83"/>
        <v>139</v>
      </c>
      <c r="F147" s="1056">
        <f t="shared" si="77"/>
        <v>49545</v>
      </c>
      <c r="G147" s="24">
        <f>IF(AND(E147&gt;=$T$14,E147&lt;=$T$14+5),$T$15,IF(AND(Q146+L147+H147&gt;G146,G146&lt;&gt;0),$C$29,IF(Q146=0,0,Q146+L147+H147+H148)))+IF(AND(E147=$C$10,$C$22&lt;&gt;"Нет"),MIN((I147-I147/$C$19*$C$23),Q146+H147-G146),0)</f>
        <v>0</v>
      </c>
      <c r="H147" s="24">
        <f>IF(AND(E147&gt;=$T$14,E147&lt;=$T$14+5),0,IF($C$9&gt;$AC$52,ROUND(Q146*$C$19*((F147-DATE(YEAR(F147),MONTH(F147),1)+1)/(DATE(YEAR(F147)+1,1,1)-DATE(YEAR(F147),1,1))+(EOMONTH(F146,0)-F146)/(DATE(YEAR(F146)+1,1,1)-DATE(YEAR(F146),1,1))),2),0))</f>
        <v>0</v>
      </c>
      <c r="I147" s="24">
        <f t="shared" si="82"/>
        <v>849563.72000000009</v>
      </c>
      <c r="J147" s="24">
        <f>IF(AND(E147=$C$10,$C$22&lt;&gt;"Нет"),MIN((I147-I147/$C$19*$C$23),Q146+H147-G146),0)</f>
        <v>0</v>
      </c>
      <c r="K147" s="24">
        <f t="shared" si="78"/>
        <v>0</v>
      </c>
      <c r="L147" s="24">
        <f>IF(N147&gt;$C$29,$C$29-H147,IF(S147=0,0,O147))</f>
        <v>0</v>
      </c>
      <c r="M147" s="24">
        <f t="shared" si="61"/>
        <v>0</v>
      </c>
      <c r="N147" s="24">
        <f t="shared" si="62"/>
        <v>0</v>
      </c>
      <c r="O147" s="24">
        <f t="shared" si="80"/>
        <v>0</v>
      </c>
      <c r="P147" s="24">
        <f t="shared" si="81"/>
        <v>0</v>
      </c>
      <c r="Q147" s="24">
        <f t="shared" si="79"/>
        <v>0</v>
      </c>
      <c r="R147" s="36">
        <f t="shared" si="84"/>
        <v>0</v>
      </c>
      <c r="S147" s="36">
        <f>IF(ISERR(CEILING(FLOOR(NPER($C$19/12,-$AA$56,Q146),0.1),1))=TRUE,0,CEILING(FLOOR(NPER($C$19/12,-$AA$56,Q146),0.1),1))</f>
        <v>0</v>
      </c>
      <c r="T147" s="2">
        <f t="shared" si="74"/>
        <v>0</v>
      </c>
      <c r="U147" s="34">
        <f>IF(U146&lt;0,0,IF(T147=0,IF(T146=0,0,$U$46),G106)-IF(AND(T147&gt;0,T148=0),$C$26,0))</f>
        <v>0</v>
      </c>
      <c r="V147" s="57">
        <f t="shared" si="75"/>
        <v>75975</v>
      </c>
      <c r="W147" s="16">
        <f t="shared" si="76"/>
        <v>98</v>
      </c>
      <c r="AI147" s="2">
        <f t="shared" si="64"/>
        <v>0</v>
      </c>
      <c r="AJ147" s="34">
        <f t="shared" si="66"/>
        <v>0</v>
      </c>
      <c r="AK147" s="57">
        <f t="shared" si="67"/>
        <v>75610</v>
      </c>
      <c r="BB147" s="2" t="e">
        <f>IF(AND(E102&gt;=$T$14,E102&lt;=$T$14+5),0,IF($C$9&gt;$AC$52,ROUND(AW101*IF($D$23="",0,$D$23)/(DATEVALUE(CONCATENATE("01/01/",YEAR(AN102)+1))-DATEVALUE(CONCATENATE("01/01/",YEAR(AN102))))*(AN102-AN101),2),0))</f>
        <v>#VALUE!</v>
      </c>
    </row>
    <row r="148" spans="5:54" x14ac:dyDescent="0.2">
      <c r="E148" s="1055">
        <f t="shared" si="83"/>
        <v>140</v>
      </c>
      <c r="F148" s="1056">
        <f t="shared" si="77"/>
        <v>49576</v>
      </c>
      <c r="G148" s="24">
        <f>IF(AND(E148&gt;=$T$14,E148&lt;=$T$14+5),$T$15,IF(AND(Q147+L148+H148&gt;G147,G147&lt;&gt;0),$C$29,IF(Q147=0,0,Q147+L148+H148+H149)))+IF(AND(E148=$C$10,$C$22&lt;&gt;"Нет"),MIN((I148-I148/$C$19*$C$23),Q147+H148-G147),0)</f>
        <v>0</v>
      </c>
      <c r="H148" s="24">
        <f>IF(AND(E148&gt;=$T$14,E148&lt;=$T$14+5),0,IF($C$9&gt;$AC$52,ROUND(Q147*$C$19*((F148-DATE(YEAR(F148),MONTH(F148),1)+1)/(DATE(YEAR(F148)+1,1,1)-DATE(YEAR(F148),1,1))+(EOMONTH(F147,0)-F147)/(DATE(YEAR(F147)+1,1,1)-DATE(YEAR(F147),1,1))),2),0))</f>
        <v>0</v>
      </c>
      <c r="I148" s="24">
        <f t="shared" si="82"/>
        <v>849563.72000000009</v>
      </c>
      <c r="J148" s="24">
        <f>IF(AND(E148=$C$10,$C$22&lt;&gt;"Нет"),MIN((I148-I148/$C$19*$C$23),Q147+H148-G147),0)</f>
        <v>0</v>
      </c>
      <c r="K148" s="24">
        <f t="shared" si="78"/>
        <v>0</v>
      </c>
      <c r="L148" s="24">
        <f>IF(N148&gt;$C$29,$C$29-H148,IF(S148=0,0,O148))</f>
        <v>0</v>
      </c>
      <c r="M148" s="24">
        <f t="shared" si="61"/>
        <v>0</v>
      </c>
      <c r="N148" s="24">
        <f t="shared" si="62"/>
        <v>0</v>
      </c>
      <c r="O148" s="24">
        <f t="shared" si="80"/>
        <v>0</v>
      </c>
      <c r="P148" s="24">
        <f t="shared" si="81"/>
        <v>0</v>
      </c>
      <c r="Q148" s="24">
        <f t="shared" si="79"/>
        <v>0</v>
      </c>
      <c r="R148" s="36">
        <f t="shared" si="84"/>
        <v>0</v>
      </c>
      <c r="S148" s="36">
        <f>IF(ISERR(CEILING(FLOOR(NPER($C$19/12,-$AA$56,Q147),0.1),1))=TRUE,0,CEILING(FLOOR(NPER($C$19/12,-$AA$56,Q147),0.1),1))</f>
        <v>0</v>
      </c>
      <c r="T148" s="2">
        <f t="shared" si="74"/>
        <v>0</v>
      </c>
      <c r="U148" s="34">
        <f>IF(U147&lt;0,0,IF(T148=0,IF(T147=0,0,$U$46),G107)-IF(AND(T148&gt;0,T149=0),$C$26,0))</f>
        <v>0</v>
      </c>
      <c r="V148" s="57">
        <f t="shared" si="75"/>
        <v>75975</v>
      </c>
      <c r="W148" s="16">
        <f t="shared" si="76"/>
        <v>99</v>
      </c>
      <c r="AI148" s="2">
        <f t="shared" si="64"/>
        <v>0</v>
      </c>
      <c r="AJ148" s="34">
        <f t="shared" si="66"/>
        <v>0</v>
      </c>
      <c r="AK148" s="57">
        <f t="shared" si="67"/>
        <v>75610</v>
      </c>
      <c r="BB148" s="2" t="e">
        <f>IF(AND(E103&gt;=$T$14,E103&lt;=$T$14+5),0,IF($C$9&gt;$AC$52,ROUND(AW102*IF($D$23="",0,$D$23)/(DATEVALUE(CONCATENATE("01/01/",YEAR(AN103)+1))-DATEVALUE(CONCATENATE("01/01/",YEAR(AN103))))*(AN103-AN102),2),0))</f>
        <v>#VALUE!</v>
      </c>
    </row>
    <row r="149" spans="5:54" x14ac:dyDescent="0.2">
      <c r="E149" s="1055">
        <f t="shared" si="83"/>
        <v>141</v>
      </c>
      <c r="F149" s="1056">
        <f t="shared" si="77"/>
        <v>49606</v>
      </c>
      <c r="G149" s="24">
        <f>IF(AND(E149&gt;=$T$14,E149&lt;=$T$14+5),$T$15,IF(AND(Q148+L149+H149&gt;G148,G148&lt;&gt;0),$C$29,IF(Q148=0,0,Q148+L149+H149+H150)))+IF(AND(E149=$C$10,$C$22&lt;&gt;"Нет"),MIN((I149-I149/$C$19*$C$23),Q148+H149-G148),0)</f>
        <v>0</v>
      </c>
      <c r="H149" s="24">
        <f>IF(AND(E149&gt;=$T$14,E149&lt;=$T$14+5),0,IF($C$9&gt;$AC$52,ROUND(Q148*$C$19*((F149-DATE(YEAR(F149),MONTH(F149),1)+1)/(DATE(YEAR(F149)+1,1,1)-DATE(YEAR(F149),1,1))+(EOMONTH(F148,0)-F148)/(DATE(YEAR(F148)+1,1,1)-DATE(YEAR(F148),1,1))),2),0))</f>
        <v>0</v>
      </c>
      <c r="I149" s="24">
        <f t="shared" si="82"/>
        <v>849563.72000000009</v>
      </c>
      <c r="J149" s="24">
        <f>IF(AND(E149=$C$10,$C$22&lt;&gt;"Нет"),MIN((I149-I149/$C$19*$C$23),Q148+H149-G148),0)</f>
        <v>0</v>
      </c>
      <c r="K149" s="24">
        <f t="shared" si="78"/>
        <v>0</v>
      </c>
      <c r="L149" s="24">
        <f>IF(N149&gt;$C$29,$C$29-H149,IF(S149=0,0,O149))</f>
        <v>0</v>
      </c>
      <c r="M149" s="24">
        <f t="shared" si="61"/>
        <v>0</v>
      </c>
      <c r="N149" s="24">
        <f t="shared" si="62"/>
        <v>0</v>
      </c>
      <c r="O149" s="24">
        <f t="shared" si="80"/>
        <v>0</v>
      </c>
      <c r="P149" s="24">
        <f t="shared" si="81"/>
        <v>0</v>
      </c>
      <c r="Q149" s="24">
        <f t="shared" si="79"/>
        <v>0</v>
      </c>
      <c r="R149" s="36">
        <f t="shared" si="84"/>
        <v>0</v>
      </c>
      <c r="S149" s="36">
        <f>IF(ISERR(CEILING(FLOOR(NPER($C$19/12,-$AA$56,Q148),0.1),1))=TRUE,0,CEILING(FLOOR(NPER($C$19/12,-$AA$56,Q148),0.1),1))</f>
        <v>0</v>
      </c>
      <c r="T149" s="2">
        <f t="shared" si="74"/>
        <v>0</v>
      </c>
      <c r="U149" s="34">
        <f>IF(U148&lt;0,0,IF(T149=0,IF(T148=0,0,$U$46),G108)-IF(AND(T149&gt;0,T150=0),$C$26,0))</f>
        <v>0</v>
      </c>
      <c r="V149" s="57">
        <f t="shared" si="75"/>
        <v>75975</v>
      </c>
      <c r="W149" s="16">
        <f t="shared" si="76"/>
        <v>100</v>
      </c>
      <c r="AI149" s="2">
        <f t="shared" si="64"/>
        <v>0</v>
      </c>
      <c r="AJ149" s="34">
        <f t="shared" si="66"/>
        <v>0</v>
      </c>
      <c r="AK149" s="57">
        <f t="shared" si="67"/>
        <v>75610</v>
      </c>
      <c r="BB149" s="2" t="e">
        <f>IF(AND(E104&gt;=$T$14,E104&lt;=$T$14+5),0,IF($C$9&gt;$AC$52,ROUND(AW103*IF($D$23="",0,$D$23)/(DATEVALUE(CONCATENATE("01/01/",YEAR(AN104)+1))-DATEVALUE(CONCATENATE("01/01/",YEAR(AN104))))*(AN104-AN103),2),0))</f>
        <v>#VALUE!</v>
      </c>
    </row>
    <row r="150" spans="5:54" x14ac:dyDescent="0.2">
      <c r="E150" s="1055">
        <f t="shared" si="83"/>
        <v>142</v>
      </c>
      <c r="F150" s="1056">
        <f t="shared" si="77"/>
        <v>49637</v>
      </c>
      <c r="G150" s="24">
        <f>IF(AND(E150&gt;=$T$14,E150&lt;=$T$14+5),$T$15,IF(AND(Q149+L150+H150&gt;G149,G149&lt;&gt;0),$C$29,IF(Q149=0,0,Q149+L150+H150+H151)))+IF(AND(E150=$C$10,$C$22&lt;&gt;"Нет"),MIN((I150-I150/$C$19*$C$23),Q149+H150-G149),0)</f>
        <v>0</v>
      </c>
      <c r="H150" s="24">
        <f>IF(AND(E150&gt;=$T$14,E150&lt;=$T$14+5),0,IF($C$9&gt;$AC$52,ROUND(Q149*$C$19*((F150-DATE(YEAR(F150),MONTH(F150),1)+1)/(DATE(YEAR(F150)+1,1,1)-DATE(YEAR(F150),1,1))+(EOMONTH(F149,0)-F149)/(DATE(YEAR(F149)+1,1,1)-DATE(YEAR(F149),1,1))),2),0))</f>
        <v>0</v>
      </c>
      <c r="I150" s="24">
        <f t="shared" si="82"/>
        <v>849563.72000000009</v>
      </c>
      <c r="J150" s="24">
        <f>IF(AND(E150=$C$10,$C$22&lt;&gt;"Нет"),MIN((I150-I150/$C$19*$C$23),Q149+H150-G149),0)</f>
        <v>0</v>
      </c>
      <c r="K150" s="24">
        <f t="shared" si="78"/>
        <v>0</v>
      </c>
      <c r="L150" s="24">
        <f>IF(N150&gt;$C$29,$C$29-H150,IF(S150=0,0,O150))</f>
        <v>0</v>
      </c>
      <c r="M150" s="24">
        <f t="shared" si="61"/>
        <v>0</v>
      </c>
      <c r="N150" s="24">
        <f t="shared" si="62"/>
        <v>0</v>
      </c>
      <c r="O150" s="24">
        <f t="shared" si="80"/>
        <v>0</v>
      </c>
      <c r="P150" s="24">
        <f t="shared" si="81"/>
        <v>0</v>
      </c>
      <c r="Q150" s="24">
        <f t="shared" si="79"/>
        <v>0</v>
      </c>
      <c r="R150" s="36">
        <f t="shared" si="84"/>
        <v>0</v>
      </c>
      <c r="S150" s="36">
        <f>IF(ISERR(CEILING(FLOOR(NPER($C$19/12,-$AA$56,Q149),0.1),1))=TRUE,0,CEILING(FLOOR(NPER($C$19/12,-$AA$56,Q149),0.1),1))</f>
        <v>0</v>
      </c>
      <c r="T150" s="2">
        <f t="shared" si="74"/>
        <v>0</v>
      </c>
      <c r="U150" s="34">
        <f>IF(U149&lt;0,0,IF(T150=0,IF(T149=0,0,$U$46),G109)-IF(AND(T150&gt;0,T151=0),$C$26,0))</f>
        <v>0</v>
      </c>
      <c r="V150" s="57">
        <f t="shared" si="75"/>
        <v>75975</v>
      </c>
      <c r="W150" s="16">
        <f t="shared" si="76"/>
        <v>101</v>
      </c>
      <c r="AI150" s="35">
        <f>SUM(AI50:AI149)</f>
        <v>645815.98999999976</v>
      </c>
      <c r="AJ150" s="35">
        <f>SUM(AJ50:AJ149)</f>
        <v>1209483.6199999999</v>
      </c>
      <c r="AK150" s="154">
        <f>XIRR(AJ48:AJ149,AK48:AK149)*12</f>
        <v>0.30749727487564099</v>
      </c>
      <c r="BB150" s="2" t="e">
        <f>IF(AND(E105&gt;=$T$14,E105&lt;=$T$14+5),0,IF($C$9&gt;$AC$52,ROUND(AW104*IF($D$23="",0,$D$23)/(DATEVALUE(CONCATENATE("01/01/",YEAR(AN105)+1))-DATEVALUE(CONCATENATE("01/01/",YEAR(AN105))))*(AN105-AN104),2),0))</f>
        <v>#VALUE!</v>
      </c>
    </row>
    <row r="151" spans="5:54" x14ac:dyDescent="0.2">
      <c r="E151" s="1055">
        <f t="shared" si="83"/>
        <v>143</v>
      </c>
      <c r="F151" s="1056">
        <f t="shared" si="77"/>
        <v>49667</v>
      </c>
      <c r="G151" s="24">
        <f>IF(AND(E151&gt;=$T$14,E151&lt;=$T$14+5),$T$15,IF(AND(Q150+L151+H151&gt;G150,G150&lt;&gt;0),$C$29,IF(Q150=0,0,Q150+L151+H151+H152)))+IF(AND(E151=$C$10,$C$22&lt;&gt;"Нет"),MIN((I151-I151/$C$19*$C$23),Q150+H151-G150),0)</f>
        <v>0</v>
      </c>
      <c r="H151" s="24">
        <f>IF(AND(E151&gt;=$T$14,E151&lt;=$T$14+5),0,IF($C$9&gt;$AC$52,ROUND(Q150*$C$19*((F151-DATE(YEAR(F151),MONTH(F151),1)+1)/(DATE(YEAR(F151)+1,1,1)-DATE(YEAR(F151),1,1))+(EOMONTH(F150,0)-F150)/(DATE(YEAR(F150)+1,1,1)-DATE(YEAR(F150),1,1))),2),0))</f>
        <v>0</v>
      </c>
      <c r="I151" s="24">
        <f t="shared" si="82"/>
        <v>849563.72000000009</v>
      </c>
      <c r="J151" s="24">
        <f>IF(AND(E151=$C$10,$C$22&lt;&gt;"Нет"),MIN((I151-I151/$C$19*$C$23),Q150+H151-G150),0)</f>
        <v>0</v>
      </c>
      <c r="K151" s="24">
        <f t="shared" si="78"/>
        <v>0</v>
      </c>
      <c r="L151" s="24">
        <f>IF(N151&gt;$C$29,$C$29-H151,IF(S151=0,0,O151))</f>
        <v>0</v>
      </c>
      <c r="M151" s="24">
        <f t="shared" ref="M151:M200" si="85">O150-L150</f>
        <v>0</v>
      </c>
      <c r="N151" s="24">
        <f t="shared" ref="N151:N200" si="86">H151+O151</f>
        <v>0</v>
      </c>
      <c r="O151" s="24">
        <f t="shared" si="80"/>
        <v>0</v>
      </c>
      <c r="P151" s="24">
        <f t="shared" si="81"/>
        <v>0</v>
      </c>
      <c r="Q151" s="24">
        <f t="shared" si="79"/>
        <v>0</v>
      </c>
      <c r="R151" s="36">
        <f t="shared" si="84"/>
        <v>0</v>
      </c>
      <c r="S151" s="36">
        <f>IF(ISERR(CEILING(FLOOR(NPER($C$19/12,-$AA$56,Q150),0.1),1))=TRUE,0,CEILING(FLOOR(NPER($C$19/12,-$AA$56,Q150),0.1),1))</f>
        <v>0</v>
      </c>
      <c r="T151" s="2">
        <f t="shared" si="74"/>
        <v>0</v>
      </c>
      <c r="U151" s="34">
        <f>IF(U150&lt;0,0,IF(T151=0,IF(T150=0,0,$U$46),G110)-IF(AND(T151&gt;0,T152=0),$C$26,0))</f>
        <v>0</v>
      </c>
      <c r="V151" s="57">
        <f t="shared" si="75"/>
        <v>75975</v>
      </c>
      <c r="W151" s="16">
        <f t="shared" si="76"/>
        <v>102</v>
      </c>
      <c r="BB151" s="2" t="e">
        <f>IF(AND(E106&gt;=$T$14,E106&lt;=$T$14+5),0,IF($C$9&gt;$AC$52,ROUND(AW105*IF($D$23="",0,$D$23)/(DATEVALUE(CONCATENATE("01/01/",YEAR(AN106)+1))-DATEVALUE(CONCATENATE("01/01/",YEAR(AN106))))*(AN106-AN105),2),0))</f>
        <v>#VALUE!</v>
      </c>
    </row>
    <row r="152" spans="5:54" x14ac:dyDescent="0.2">
      <c r="E152" s="1055">
        <f t="shared" si="83"/>
        <v>144</v>
      </c>
      <c r="F152" s="1056">
        <f t="shared" si="77"/>
        <v>49698</v>
      </c>
      <c r="G152" s="24">
        <f>IF(AND(E152&gt;=$T$14,E152&lt;=$T$14+5),$T$15,IF(AND(Q151+L152+H152&gt;G151,G151&lt;&gt;0),$C$29,IF(Q151=0,0,Q151+L152+H152+H153)))+IF(AND(E152=$C$10,$C$22&lt;&gt;"Нет"),MIN((I152-I152/$C$19*$C$23),Q151+H152-G151),0)</f>
        <v>0</v>
      </c>
      <c r="H152" s="24">
        <f>IF(AND(E152&gt;=$T$14,E152&lt;=$T$14+5),0,IF($C$9&gt;$AC$52,ROUND(Q151*$C$19*((F152-DATE(YEAR(F152),MONTH(F152),1)+1)/(DATE(YEAR(F152)+1,1,1)-DATE(YEAR(F152),1,1))+(EOMONTH(F151,0)-F151)/(DATE(YEAR(F151)+1,1,1)-DATE(YEAR(F151),1,1))),2),0))</f>
        <v>0</v>
      </c>
      <c r="I152" s="24">
        <f t="shared" si="82"/>
        <v>849563.72000000009</v>
      </c>
      <c r="J152" s="24">
        <f>IF(AND(E152=$C$10,$C$22&lt;&gt;"Нет"),MIN((I152-I152/$C$19*$C$23),Q151+H152-G151),0)</f>
        <v>0</v>
      </c>
      <c r="K152" s="24">
        <f t="shared" si="78"/>
        <v>0</v>
      </c>
      <c r="L152" s="24">
        <f>IF(N152&gt;$C$29,$C$29-H152,IF(S152=0,0,O152))</f>
        <v>0</v>
      </c>
      <c r="M152" s="24">
        <f t="shared" si="85"/>
        <v>0</v>
      </c>
      <c r="N152" s="24">
        <f t="shared" si="86"/>
        <v>0</v>
      </c>
      <c r="O152" s="24">
        <f t="shared" si="80"/>
        <v>0</v>
      </c>
      <c r="P152" s="24">
        <f t="shared" si="81"/>
        <v>0</v>
      </c>
      <c r="Q152" s="24">
        <f t="shared" si="79"/>
        <v>0</v>
      </c>
      <c r="R152" s="36">
        <f t="shared" si="84"/>
        <v>0</v>
      </c>
      <c r="S152" s="36">
        <f>IF(ISERR(CEILING(FLOOR(NPER($C$19/12,-$AA$56,Q151),0.1),1))=TRUE,0,CEILING(FLOOR(NPER($C$19/12,-$AA$56,Q151),0.1),1))</f>
        <v>0</v>
      </c>
      <c r="T152" s="2">
        <f t="shared" si="74"/>
        <v>0</v>
      </c>
      <c r="U152" s="34">
        <f>IF(U151&lt;0,0,IF(T152=0,IF(T151=0,0,$U$46),G111)-IF(AND(T152&gt;0,T153=0),$C$26,0))</f>
        <v>0</v>
      </c>
      <c r="V152" s="57">
        <f t="shared" si="75"/>
        <v>75975</v>
      </c>
      <c r="W152" s="16">
        <f t="shared" si="76"/>
        <v>103</v>
      </c>
      <c r="BB152" s="2" t="e">
        <f>IF(AND(E107&gt;=$T$14,E107&lt;=$T$14+5),0,IF($C$9&gt;$AC$52,ROUND(AW106*IF($D$23="",0,$D$23)/(DATEVALUE(CONCATENATE("01/01/",YEAR(AN107)+1))-DATEVALUE(CONCATENATE("01/01/",YEAR(AN107))))*(AN107-AN106),2),0))</f>
        <v>#VALUE!</v>
      </c>
    </row>
    <row r="153" spans="5:54" x14ac:dyDescent="0.2">
      <c r="E153" s="1055">
        <f t="shared" si="83"/>
        <v>145</v>
      </c>
      <c r="F153" s="1056">
        <f t="shared" si="77"/>
        <v>49729</v>
      </c>
      <c r="G153" s="24">
        <f>IF(AND(E153&gt;=$T$14,E153&lt;=$T$14+5),$T$15,IF(AND(Q152+L153+H153&gt;G152,G152&lt;&gt;0),$C$29,IF(Q152=0,0,Q152+L153+H153+H154)))+IF(AND(E153=$C$10,$C$22&lt;&gt;"Нет"),MIN((I153-I153/$C$19*$C$23),Q152+H153-G152),0)</f>
        <v>0</v>
      </c>
      <c r="H153" s="24">
        <f>IF(AND(E153&gt;=$T$14,E153&lt;=$T$14+5),0,IF($C$9&gt;$AC$52,ROUND(Q152*$C$19*((F153-DATE(YEAR(F153),MONTH(F153),1)+1)/(DATE(YEAR(F153)+1,1,1)-DATE(YEAR(F153),1,1))+(EOMONTH(F152,0)-F152)/(DATE(YEAR(F152)+1,1,1)-DATE(YEAR(F152),1,1))),2),0))</f>
        <v>0</v>
      </c>
      <c r="I153" s="24">
        <f t="shared" si="82"/>
        <v>849563.72000000009</v>
      </c>
      <c r="J153" s="24">
        <f>IF(AND(E153=$C$10,$C$22&lt;&gt;"Нет"),MIN((I153-I153/$C$19*$C$23),Q152+H153-G152),0)</f>
        <v>0</v>
      </c>
      <c r="K153" s="24">
        <f t="shared" si="78"/>
        <v>0</v>
      </c>
      <c r="L153" s="24">
        <f>IF(N153&gt;$C$29,$C$29-H153,IF(S153=0,0,O153))</f>
        <v>0</v>
      </c>
      <c r="M153" s="24">
        <f t="shared" si="85"/>
        <v>0</v>
      </c>
      <c r="N153" s="24">
        <f t="shared" si="86"/>
        <v>0</v>
      </c>
      <c r="O153" s="24">
        <f t="shared" si="80"/>
        <v>0</v>
      </c>
      <c r="P153" s="24">
        <f t="shared" si="81"/>
        <v>0</v>
      </c>
      <c r="Q153" s="24">
        <f t="shared" si="79"/>
        <v>0</v>
      </c>
      <c r="R153" s="36">
        <f t="shared" si="84"/>
        <v>0</v>
      </c>
      <c r="S153" s="36">
        <f>IF(ISERR(CEILING(FLOOR(NPER($C$19/12,-$AA$56,Q152),0.1),1))=TRUE,0,CEILING(FLOOR(NPER($C$19/12,-$AA$56,Q152),0.1),1))</f>
        <v>0</v>
      </c>
      <c r="T153" s="2">
        <f t="shared" si="74"/>
        <v>0</v>
      </c>
      <c r="U153" s="34">
        <f>IF(U152&lt;0,0,IF(T153=0,IF(T152=0,0,$U$46),G112)-IF(AND(T153&gt;0,T154=0),$C$26,0))</f>
        <v>0</v>
      </c>
      <c r="V153" s="57">
        <f t="shared" si="75"/>
        <v>75975</v>
      </c>
      <c r="W153" s="16">
        <f t="shared" si="76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055">
        <f t="shared" si="83"/>
        <v>146</v>
      </c>
      <c r="F154" s="1056">
        <f t="shared" si="77"/>
        <v>49758</v>
      </c>
      <c r="G154" s="24">
        <f>IF(AND(E154&gt;=$T$14,E154&lt;=$T$14+5),$T$15,IF(AND(Q153+L154+H154&gt;G153,G153&lt;&gt;0),$C$29,IF(Q153=0,0,Q153+L154+H154+H155)))+IF(AND(E154=$C$10,$C$22&lt;&gt;"Нет"),MIN((I154-I154/$C$19*$C$23),Q153+H154-G153),0)</f>
        <v>0</v>
      </c>
      <c r="H154" s="24">
        <f>IF(AND(E154&gt;=$T$14,E154&lt;=$T$14+5),0,IF($C$9&gt;$AC$52,ROUND(Q153*$C$19*((F154-DATE(YEAR(F154),MONTH(F154),1)+1)/(DATE(YEAR(F154)+1,1,1)-DATE(YEAR(F154),1,1))+(EOMONTH(F153,0)-F153)/(DATE(YEAR(F153)+1,1,1)-DATE(YEAR(F153),1,1))),2),0))</f>
        <v>0</v>
      </c>
      <c r="I154" s="24">
        <f t="shared" si="82"/>
        <v>849563.72000000009</v>
      </c>
      <c r="J154" s="24">
        <f>IF(AND(E154=$C$10,$C$22&lt;&gt;"Нет"),MIN((I154-I154/$C$19*$C$23),Q153+H154-G153),0)</f>
        <v>0</v>
      </c>
      <c r="K154" s="24">
        <f t="shared" si="78"/>
        <v>0</v>
      </c>
      <c r="L154" s="24">
        <f>IF(N154&gt;$C$29,$C$29-H154,IF(S154=0,0,O154))</f>
        <v>0</v>
      </c>
      <c r="M154" s="24">
        <f t="shared" si="85"/>
        <v>0</v>
      </c>
      <c r="N154" s="24">
        <f t="shared" si="86"/>
        <v>0</v>
      </c>
      <c r="O154" s="24">
        <f t="shared" si="80"/>
        <v>0</v>
      </c>
      <c r="P154" s="24">
        <f t="shared" si="81"/>
        <v>0</v>
      </c>
      <c r="Q154" s="24">
        <f t="shared" si="79"/>
        <v>0</v>
      </c>
      <c r="R154" s="36">
        <f t="shared" si="84"/>
        <v>0</v>
      </c>
      <c r="S154" s="36">
        <f>IF(ISERR(CEILING(FLOOR(NPER($C$19/12,-$AA$56,Q153),0.1),1))=TRUE,0,CEILING(FLOOR(NPER($C$19/12,-$AA$56,Q153),0.1),1))</f>
        <v>0</v>
      </c>
      <c r="T154" s="2">
        <f t="shared" si="74"/>
        <v>0</v>
      </c>
      <c r="U154" s="34">
        <f>IF(U153&lt;0,0,IF(T154=0,IF(T153=0,0,$U$46),G113)-IF(AND(T154&gt;0,T155=0),$C$26,0))</f>
        <v>0</v>
      </c>
      <c r="V154" s="57">
        <f t="shared" si="75"/>
        <v>75975</v>
      </c>
      <c r="W154" s="16">
        <f t="shared" si="76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055">
        <f t="shared" si="83"/>
        <v>147</v>
      </c>
      <c r="F155" s="1056">
        <f t="shared" si="77"/>
        <v>49789</v>
      </c>
      <c r="G155" s="24">
        <f>IF(AND(E155&gt;=$T$14,E155&lt;=$T$14+5),$T$15,IF(AND(Q154+L155+H155&gt;G154,G154&lt;&gt;0),$C$29,IF(Q154=0,0,Q154+L155+H155+H156)))+IF(AND(E155=$C$10,$C$22&lt;&gt;"Нет"),MIN((I155-I155/$C$19*$C$23),Q154+H155-G154),0)</f>
        <v>0</v>
      </c>
      <c r="H155" s="24">
        <f>IF(AND(E155&gt;=$T$14,E155&lt;=$T$14+5),0,IF($C$9&gt;$AC$52,ROUND(Q154*$C$19*((F155-DATE(YEAR(F155),MONTH(F155),1)+1)/(DATE(YEAR(F155)+1,1,1)-DATE(YEAR(F155),1,1))+(EOMONTH(F154,0)-F154)/(DATE(YEAR(F154)+1,1,1)-DATE(YEAR(F154),1,1))),2),0))</f>
        <v>0</v>
      </c>
      <c r="I155" s="24">
        <f t="shared" si="82"/>
        <v>849563.72000000009</v>
      </c>
      <c r="J155" s="24">
        <f>IF(AND(E155=$C$10,$C$22&lt;&gt;"Нет"),MIN((I155-I155/$C$19*$C$23),Q154+H155-G154),0)</f>
        <v>0</v>
      </c>
      <c r="K155" s="24">
        <f t="shared" si="78"/>
        <v>0</v>
      </c>
      <c r="L155" s="24">
        <f>IF(N155&gt;$C$29,$C$29-H155,IF(S155=0,0,O155))</f>
        <v>0</v>
      </c>
      <c r="M155" s="24">
        <f t="shared" si="85"/>
        <v>0</v>
      </c>
      <c r="N155" s="24">
        <f t="shared" si="86"/>
        <v>0</v>
      </c>
      <c r="O155" s="24">
        <f t="shared" si="80"/>
        <v>0</v>
      </c>
      <c r="P155" s="24">
        <f t="shared" si="81"/>
        <v>0</v>
      </c>
      <c r="Q155" s="24">
        <f t="shared" si="79"/>
        <v>0</v>
      </c>
      <c r="R155" s="36">
        <f t="shared" si="84"/>
        <v>0</v>
      </c>
      <c r="S155" s="36">
        <f>IF(ISERR(CEILING(FLOOR(NPER($C$19/12,-$AA$56,Q154),0.1),1))=TRUE,0,CEILING(FLOOR(NPER($C$19/12,-$AA$56,Q154),0.1),1))</f>
        <v>0</v>
      </c>
      <c r="T155" s="2">
        <f t="shared" si="74"/>
        <v>0</v>
      </c>
      <c r="U155" s="34">
        <f>IF(U154&lt;0,0,IF(T155=0,IF(T154=0,0,$U$46),G114)-IF(AND(T155&gt;0,T156=0),$C$26,0))</f>
        <v>0</v>
      </c>
      <c r="V155" s="57">
        <f t="shared" si="75"/>
        <v>75975</v>
      </c>
      <c r="W155" s="16">
        <f t="shared" si="76"/>
        <v>106</v>
      </c>
      <c r="BB155" s="35" t="e">
        <f>SUM(BB55:BB154)</f>
        <v>#VALUE!</v>
      </c>
    </row>
    <row r="156" spans="5:54" x14ac:dyDescent="0.2">
      <c r="E156" s="1055">
        <f t="shared" si="83"/>
        <v>148</v>
      </c>
      <c r="F156" s="1056">
        <f t="shared" si="77"/>
        <v>49819</v>
      </c>
      <c r="G156" s="24">
        <f>IF(AND(E156&gt;=$T$14,E156&lt;=$T$14+5),$T$15,IF(AND(Q155+L156+H156&gt;G155,G155&lt;&gt;0),$C$29,IF(Q155=0,0,Q155+L156+H156+H157)))+IF(AND(E156=$C$10,$C$22&lt;&gt;"Нет"),MIN((I156-I156/$C$19*$C$23),Q155+H156-G155),0)</f>
        <v>0</v>
      </c>
      <c r="H156" s="24">
        <f>IF(AND(E156&gt;=$T$14,E156&lt;=$T$14+5),0,IF($C$9&gt;$AC$52,ROUND(Q155*$C$19*((F156-DATE(YEAR(F156),MONTH(F156),1)+1)/(DATE(YEAR(F156)+1,1,1)-DATE(YEAR(F156),1,1))+(EOMONTH(F155,0)-F155)/(DATE(YEAR(F155)+1,1,1)-DATE(YEAR(F155),1,1))),2),0))</f>
        <v>0</v>
      </c>
      <c r="I156" s="24">
        <f t="shared" si="82"/>
        <v>849563.72000000009</v>
      </c>
      <c r="J156" s="24">
        <f>IF(AND(E156=$C$10,$C$22&lt;&gt;"Нет"),MIN((I156-I156/$C$19*$C$23),Q155+H156-G155),0)</f>
        <v>0</v>
      </c>
      <c r="K156" s="24">
        <f t="shared" si="78"/>
        <v>0</v>
      </c>
      <c r="L156" s="24">
        <f>IF(N156&gt;$C$29,$C$29-H156,IF(S156=0,0,O156))</f>
        <v>0</v>
      </c>
      <c r="M156" s="24">
        <f t="shared" si="85"/>
        <v>0</v>
      </c>
      <c r="N156" s="24">
        <f t="shared" si="86"/>
        <v>0</v>
      </c>
      <c r="O156" s="24">
        <f t="shared" si="80"/>
        <v>0</v>
      </c>
      <c r="P156" s="24">
        <f t="shared" si="81"/>
        <v>0</v>
      </c>
      <c r="Q156" s="24">
        <f t="shared" si="79"/>
        <v>0</v>
      </c>
      <c r="R156" s="36">
        <f t="shared" si="84"/>
        <v>0</v>
      </c>
      <c r="S156" s="36">
        <f>IF(ISERR(CEILING(FLOOR(NPER($C$19/12,-$AA$56,Q155),0.1),1))=TRUE,0,CEILING(FLOOR(NPER($C$19/12,-$AA$56,Q155),0.1),1))</f>
        <v>0</v>
      </c>
      <c r="T156" s="2">
        <f t="shared" si="74"/>
        <v>0</v>
      </c>
      <c r="U156" s="34">
        <f>IF(U155&lt;0,0,IF(T156=0,IF(T155=0,0,$U$46),G115)-IF(AND(T156&gt;0,T157=0),$C$26,0))</f>
        <v>0</v>
      </c>
      <c r="V156" s="57">
        <f t="shared" si="75"/>
        <v>75975</v>
      </c>
      <c r="W156" s="16">
        <f t="shared" si="76"/>
        <v>107</v>
      </c>
    </row>
    <row r="157" spans="5:54" x14ac:dyDescent="0.2">
      <c r="E157" s="1055">
        <f t="shared" si="83"/>
        <v>149</v>
      </c>
      <c r="F157" s="1056">
        <f t="shared" si="77"/>
        <v>49850</v>
      </c>
      <c r="G157" s="24">
        <f>IF(AND(E157&gt;=$T$14,E157&lt;=$T$14+5),$T$15,IF(AND(Q156+L157+H157&gt;G156,G156&lt;&gt;0),$C$29,IF(Q156=0,0,Q156+L157+H157+H158)))+IF(AND(E157=$C$10,$C$22&lt;&gt;"Нет"),MIN((I157-I157/$C$19*$C$23),Q156+H157-G156),0)</f>
        <v>0</v>
      </c>
      <c r="H157" s="24">
        <f>IF(AND(E157&gt;=$T$14,E157&lt;=$T$14+5),0,IF($C$9&gt;$AC$52,ROUND(Q156*$C$19*((F157-DATE(YEAR(F157),MONTH(F157),1)+1)/(DATE(YEAR(F157)+1,1,1)-DATE(YEAR(F157),1,1))+(EOMONTH(F156,0)-F156)/(DATE(YEAR(F156)+1,1,1)-DATE(YEAR(F156),1,1))),2),0))</f>
        <v>0</v>
      </c>
      <c r="I157" s="24">
        <f t="shared" si="82"/>
        <v>849563.72000000009</v>
      </c>
      <c r="J157" s="24">
        <f>IF(AND(E157=$C$10,$C$22&lt;&gt;"Нет"),MIN((I157-I157/$C$19*$C$23),Q156+H157-G156),0)</f>
        <v>0</v>
      </c>
      <c r="K157" s="24">
        <f t="shared" si="78"/>
        <v>0</v>
      </c>
      <c r="L157" s="24">
        <f>IF(N157&gt;$C$29,$C$29-H157,IF(S157=0,0,O157))</f>
        <v>0</v>
      </c>
      <c r="M157" s="24">
        <f t="shared" si="85"/>
        <v>0</v>
      </c>
      <c r="N157" s="24">
        <f t="shared" si="86"/>
        <v>0</v>
      </c>
      <c r="O157" s="24">
        <f>IF(S157=0,0,0)</f>
        <v>0</v>
      </c>
      <c r="P157" s="24">
        <f t="shared" si="81"/>
        <v>0</v>
      </c>
      <c r="Q157" s="24">
        <f t="shared" si="79"/>
        <v>0</v>
      </c>
      <c r="R157" s="36">
        <f t="shared" si="84"/>
        <v>0</v>
      </c>
      <c r="S157" s="36">
        <f>IF(ISERR(CEILING(FLOOR(NPER($C$19/12,-$AA$56,Q156),0.1),1))=TRUE,0,CEILING(FLOOR(NPER($C$19/12,-$AA$56,Q156),0.1),1))</f>
        <v>0</v>
      </c>
      <c r="T157" s="2">
        <f t="shared" si="74"/>
        <v>0</v>
      </c>
      <c r="U157" s="34">
        <f>IF(U156&lt;0,0,IF(T157=0,IF(T156=0,0,$U$46),G116)-IF(AND(T157&gt;0,T158=0),$C$26,0))</f>
        <v>0</v>
      </c>
      <c r="V157" s="57">
        <f t="shared" si="75"/>
        <v>75975</v>
      </c>
      <c r="W157" s="16">
        <f t="shared" si="76"/>
        <v>108</v>
      </c>
    </row>
    <row r="158" spans="5:54" x14ac:dyDescent="0.2">
      <c r="E158" s="1055">
        <f t="shared" si="83"/>
        <v>150</v>
      </c>
      <c r="F158" s="1056">
        <f t="shared" si="77"/>
        <v>49880</v>
      </c>
      <c r="G158" s="24">
        <f>IF(AND(E158&gt;=$T$14,E158&lt;=$T$14+5),$T$15,IF(AND(Q157+L158+H158&gt;G157,G157&lt;&gt;0),$C$29,IF(Q157=0,0,Q157+L158+H158+H159)))+IF(AND(E158=$C$10,$C$22&lt;&gt;"Нет"),MIN((I158-I158/$C$19*$C$23),Q157+H158-G157),0)</f>
        <v>0</v>
      </c>
      <c r="H158" s="24">
        <f>IF(AND(E158&gt;=$T$14,E158&lt;=$T$14+5),0,IF($C$9&gt;$AC$52,ROUND(Q157*$C$19*((F158-DATE(YEAR(F158),MONTH(F158),1)+1)/(DATE(YEAR(F158)+1,1,1)-DATE(YEAR(F158),1,1))+(EOMONTH(F157,0)-F157)/(DATE(YEAR(F157)+1,1,1)-DATE(YEAR(F157),1,1))),2),0))</f>
        <v>0</v>
      </c>
      <c r="I158" s="24">
        <f t="shared" si="82"/>
        <v>849563.72000000009</v>
      </c>
      <c r="J158" s="24">
        <f>IF(AND(E158=$C$10,$C$22&lt;&gt;"Нет"),MIN((I158-I158/$C$19*$C$23),Q157+H158-G157),0)</f>
        <v>0</v>
      </c>
      <c r="K158" s="24">
        <f t="shared" si="78"/>
        <v>0</v>
      </c>
      <c r="L158" s="24">
        <f>IF(N158&gt;$C$29,$C$29-H158,IF(S158=0,0,O158))</f>
        <v>0</v>
      </c>
      <c r="M158" s="24">
        <f t="shared" si="85"/>
        <v>0</v>
      </c>
      <c r="N158" s="24">
        <f t="shared" si="86"/>
        <v>0</v>
      </c>
      <c r="O158" s="24">
        <f>IF(S158=0,0,0)</f>
        <v>0</v>
      </c>
      <c r="P158" s="24">
        <f t="shared" si="81"/>
        <v>0</v>
      </c>
      <c r="Q158" s="24">
        <f t="shared" si="79"/>
        <v>0</v>
      </c>
      <c r="R158" s="36">
        <f t="shared" si="84"/>
        <v>0</v>
      </c>
      <c r="S158" s="36">
        <f>IF(ISERR(CEILING(FLOOR(NPER($C$19/12,-$AA$56,Q157),0.1),1))=TRUE,0,CEILING(FLOOR(NPER($C$19/12,-$AA$56,Q157),0.1),1))</f>
        <v>0</v>
      </c>
      <c r="T158" s="2">
        <f t="shared" si="74"/>
        <v>0</v>
      </c>
      <c r="U158" s="34">
        <f>IF(U157&lt;0,0,IF(T158=0,IF(T157=0,0,$U$46),G117)-IF(AND(T158&gt;0,T159=0),$C$26,0))</f>
        <v>0</v>
      </c>
      <c r="V158" s="57">
        <f t="shared" si="75"/>
        <v>75975</v>
      </c>
      <c r="W158" s="16">
        <f t="shared" si="76"/>
        <v>109</v>
      </c>
    </row>
    <row r="159" spans="5:54" x14ac:dyDescent="0.2">
      <c r="E159" s="1055">
        <f t="shared" si="83"/>
        <v>151</v>
      </c>
      <c r="F159" s="1056">
        <f t="shared" si="77"/>
        <v>49911</v>
      </c>
      <c r="G159" s="24">
        <f>IF(AND(E159&gt;=$T$14,E159&lt;=$T$14+5),$T$15,IF(AND(Q158+L159+H159&gt;G158,G158&lt;&gt;0),$C$29,IF(Q158=0,0,Q158+L159+H159+H160)))+IF(AND(E159=$C$10,$C$22&lt;&gt;"Нет"),MIN((I159-I159/$C$19*$C$23),Q158+H159-G158),0)</f>
        <v>0</v>
      </c>
      <c r="H159" s="24">
        <f>IF(AND(E159&gt;=$T$14,E159&lt;=$T$14+5),0,IF($C$9&gt;$AC$52,ROUND(Q158*$C$19*((F159-DATE(YEAR(F159),MONTH(F159),1)+1)/(DATE(YEAR(F159)+1,1,1)-DATE(YEAR(F159),1,1))+(EOMONTH(F158,0)-F158)/(DATE(YEAR(F158)+1,1,1)-DATE(YEAR(F158),1,1))),2),0))</f>
        <v>0</v>
      </c>
      <c r="I159" s="24">
        <f t="shared" si="82"/>
        <v>849563.72000000009</v>
      </c>
      <c r="J159" s="24">
        <f>IF(AND(E159=$C$10,$C$22&lt;&gt;"Нет"),MIN((I159-I159/$C$19*$C$23),Q158+H159-G158),0)</f>
        <v>0</v>
      </c>
      <c r="K159" s="24">
        <f t="shared" si="78"/>
        <v>0</v>
      </c>
      <c r="L159" s="24">
        <f>IF(N159&gt;$C$29,$C$29-H159,IF(S159=0,0,O159))</f>
        <v>0</v>
      </c>
      <c r="M159" s="24">
        <f t="shared" si="85"/>
        <v>0</v>
      </c>
      <c r="N159" s="24">
        <f t="shared" si="86"/>
        <v>0</v>
      </c>
      <c r="O159" s="24">
        <f>IF(S159=0,0,0)</f>
        <v>0</v>
      </c>
      <c r="P159" s="24">
        <f t="shared" si="81"/>
        <v>0</v>
      </c>
      <c r="Q159" s="24">
        <f t="shared" si="79"/>
        <v>0</v>
      </c>
      <c r="R159" s="36">
        <f t="shared" si="84"/>
        <v>0</v>
      </c>
      <c r="S159" s="36">
        <f>IF(ISERR(CEILING(FLOOR(NPER($C$19/12,-$AA$56,Q158),0.1),1))=TRUE,0,CEILING(FLOOR(NPER($C$19/12,-$AA$56,Q158),0.1),1))</f>
        <v>0</v>
      </c>
      <c r="T159" s="2">
        <f t="shared" si="74"/>
        <v>0</v>
      </c>
      <c r="U159" s="34">
        <f>IF(U158&lt;0,0,IF(T159=0,IF(T158=0,0,$U$46),G118)-IF(AND(T159&gt;0,T160=0),$C$26,0))</f>
        <v>0</v>
      </c>
      <c r="V159" s="57">
        <f t="shared" si="75"/>
        <v>75975</v>
      </c>
      <c r="W159" s="16">
        <f t="shared" si="76"/>
        <v>110</v>
      </c>
    </row>
    <row r="160" spans="5:54" x14ac:dyDescent="0.2">
      <c r="E160" s="1089"/>
      <c r="F160" s="1087" t="s">
        <v>7</v>
      </c>
      <c r="G160" s="1090">
        <f>(SUM(G9:G159)-IF(CODE(C18)=209,AF52,0))</f>
        <v>1381562.72</v>
      </c>
      <c r="H160" s="1090">
        <f>(SUM(H9:H159)-IF(CODE(D18)=209,AG52,0))</f>
        <v>849563.72000000009</v>
      </c>
      <c r="I160" s="1090"/>
      <c r="J160" s="1090">
        <f>SUM(J9:J159)</f>
        <v>154154.71999999994</v>
      </c>
      <c r="K160" s="1090">
        <f>SUM(K9:K159)</f>
        <v>531998.99999999988</v>
      </c>
      <c r="L160" s="1091">
        <f>SUM(L9:L159)</f>
        <v>0</v>
      </c>
      <c r="M160" s="1091"/>
      <c r="N160" s="1091"/>
      <c r="O160" s="1091"/>
      <c r="P160" s="1091"/>
      <c r="Q160" s="1091"/>
      <c r="R160" s="1091"/>
      <c r="S160" s="51"/>
      <c r="T160" s="2">
        <f t="shared" si="74"/>
        <v>0</v>
      </c>
      <c r="U160" s="34">
        <f>IF(U159&lt;0,0,IF(T160=0,IF(T159=0,0,$U$46),G119)-IF(AND(T160&gt;0,T161=0),$C$26,0))</f>
        <v>0</v>
      </c>
      <c r="V160" s="57">
        <f t="shared" si="75"/>
        <v>75975</v>
      </c>
      <c r="W160" s="16">
        <f t="shared" si="76"/>
        <v>111</v>
      </c>
    </row>
    <row r="161" spans="8:23" x14ac:dyDescent="0.2">
      <c r="T161" s="2">
        <f t="shared" si="74"/>
        <v>0</v>
      </c>
      <c r="U161" s="34">
        <f>IF(U160&lt;0,0,IF(T161=0,IF(T160=0,0,$U$46),G120)-IF(AND(T161&gt;0,T162=0),$C$26,0))</f>
        <v>0</v>
      </c>
      <c r="V161" s="57">
        <f t="shared" si="75"/>
        <v>75975</v>
      </c>
      <c r="W161" s="16">
        <f t="shared" si="76"/>
        <v>112</v>
      </c>
    </row>
    <row r="162" spans="8:23" x14ac:dyDescent="0.2">
      <c r="H162" s="132"/>
      <c r="T162" s="2">
        <f t="shared" si="74"/>
        <v>0</v>
      </c>
      <c r="U162" s="34">
        <f>IF(U161&lt;0,0,IF(T162=0,IF(T161=0,0,$U$46),G121)-IF(AND(T162&gt;0,T163=0),$C$26,0))</f>
        <v>0</v>
      </c>
      <c r="V162" s="57">
        <f t="shared" si="75"/>
        <v>75975</v>
      </c>
      <c r="W162" s="16">
        <f t="shared" si="76"/>
        <v>113</v>
      </c>
    </row>
    <row r="163" spans="8:23" x14ac:dyDescent="0.2">
      <c r="T163" s="2">
        <f t="shared" si="74"/>
        <v>0</v>
      </c>
      <c r="U163" s="34">
        <f>IF(U162&lt;0,0,IF(T163=0,IF(T162=0,0,$U$46),G122)-IF(AND(T163&gt;0,T164=0),$C$26,0))</f>
        <v>0</v>
      </c>
      <c r="V163" s="57">
        <f t="shared" si="75"/>
        <v>75975</v>
      </c>
      <c r="W163" s="16">
        <f t="shared" si="76"/>
        <v>114</v>
      </c>
    </row>
    <row r="164" spans="8:23" x14ac:dyDescent="0.2">
      <c r="T164" s="2">
        <f t="shared" si="74"/>
        <v>0</v>
      </c>
      <c r="U164" s="34">
        <f>IF(U163&lt;0,0,IF(T164=0,IF(T163=0,0,$U$46),G123)-IF(AND(T164&gt;0,T165=0),$C$26,0))</f>
        <v>0</v>
      </c>
      <c r="V164" s="57">
        <f t="shared" si="75"/>
        <v>75975</v>
      </c>
      <c r="W164" s="16">
        <f t="shared" si="76"/>
        <v>115</v>
      </c>
    </row>
    <row r="165" spans="8:23" x14ac:dyDescent="0.2">
      <c r="T165" s="2">
        <f t="shared" si="74"/>
        <v>0</v>
      </c>
      <c r="U165" s="34">
        <f>IF(U164&lt;0,0,IF(T165=0,IF(T164=0,0,$U$46),G124)-IF(AND(T165&gt;0,T166=0),$C$26,0))</f>
        <v>0</v>
      </c>
      <c r="V165" s="57">
        <f t="shared" si="75"/>
        <v>75975</v>
      </c>
      <c r="W165" s="16">
        <f t="shared" si="76"/>
        <v>116</v>
      </c>
    </row>
    <row r="166" spans="8:23" x14ac:dyDescent="0.2">
      <c r="T166" s="2">
        <f t="shared" si="74"/>
        <v>0</v>
      </c>
      <c r="U166" s="34">
        <f>IF(U165&lt;0,0,IF(T166=0,IF(T165=0,0,$U$46),G125)-IF(AND(T166&gt;0,T167=0),$C$26,0))</f>
        <v>0</v>
      </c>
      <c r="V166" s="57">
        <f t="shared" si="75"/>
        <v>75975</v>
      </c>
      <c r="W166" s="16">
        <f t="shared" si="76"/>
        <v>117</v>
      </c>
    </row>
    <row r="167" spans="8:23" x14ac:dyDescent="0.2">
      <c r="T167" s="2">
        <f t="shared" si="74"/>
        <v>0</v>
      </c>
      <c r="U167" s="34">
        <f>IF(U166&lt;0,0,IF(T167=0,IF(T166=0,0,$U$46),G126)-IF(AND(T167&gt;0,T168=0),$C$26,0))</f>
        <v>0</v>
      </c>
      <c r="V167" s="57">
        <f t="shared" si="75"/>
        <v>75975</v>
      </c>
      <c r="W167" s="16">
        <f t="shared" si="76"/>
        <v>118</v>
      </c>
    </row>
    <row r="168" spans="8:23" x14ac:dyDescent="0.2">
      <c r="T168" s="2">
        <f t="shared" si="74"/>
        <v>0</v>
      </c>
      <c r="U168" s="34">
        <f>IF(U167&lt;0,0,IF(T168=0,IF(T167=0,0,$U$46),G127)-IF(AND(T168&gt;0,T169=0),$C$26,0))</f>
        <v>0</v>
      </c>
      <c r="V168" s="57">
        <f t="shared" si="75"/>
        <v>75975</v>
      </c>
      <c r="W168" s="16">
        <f t="shared" si="76"/>
        <v>119</v>
      </c>
    </row>
    <row r="169" spans="8:23" x14ac:dyDescent="0.2">
      <c r="T169" s="2">
        <f t="shared" si="74"/>
        <v>0</v>
      </c>
      <c r="U169" s="34">
        <f>IF(U168&lt;0,0,IF(T169=0,IF(T168=0,0,$U$46),G128)-IF(AND(T169&gt;0,T170=0),$C$26,0))</f>
        <v>0</v>
      </c>
      <c r="V169" s="57">
        <f t="shared" si="75"/>
        <v>75975</v>
      </c>
      <c r="W169" s="16">
        <f t="shared" si="76"/>
        <v>120</v>
      </c>
    </row>
    <row r="170" spans="8:23" x14ac:dyDescent="0.2">
      <c r="T170" s="2">
        <f t="shared" si="74"/>
        <v>0</v>
      </c>
      <c r="U170" s="34">
        <f>IF(U169&lt;0,0,IF(T170=0,IF(T169=0,0,$U$46),G129)-IF(AND(T170&gt;0,T171=0),$C$26,0))</f>
        <v>0</v>
      </c>
      <c r="V170" s="57">
        <f t="shared" si="75"/>
        <v>75975</v>
      </c>
      <c r="W170" s="16">
        <f t="shared" si="76"/>
        <v>121</v>
      </c>
    </row>
    <row r="171" spans="8:23" x14ac:dyDescent="0.2">
      <c r="T171" s="2">
        <f t="shared" si="74"/>
        <v>0</v>
      </c>
      <c r="U171" s="34">
        <f>IF(U170&lt;0,0,IF(T171=0,IF(T170=0,0,$U$46),G130)-IF(AND(T171&gt;0,T172=0),$C$26,0))</f>
        <v>0</v>
      </c>
      <c r="V171" s="57">
        <f t="shared" si="75"/>
        <v>75975</v>
      </c>
      <c r="W171" s="16">
        <f t="shared" si="76"/>
        <v>122</v>
      </c>
    </row>
    <row r="172" spans="8:23" x14ac:dyDescent="0.2">
      <c r="T172" s="2">
        <f t="shared" si="74"/>
        <v>0</v>
      </c>
      <c r="U172" s="34">
        <f>IF(U171&lt;0,0,IF(T172=0,IF(T171=0,0,$U$46),G131)-IF(AND(T172&gt;0,T173=0),$C$26,0))</f>
        <v>0</v>
      </c>
      <c r="V172" s="57">
        <f t="shared" si="75"/>
        <v>75975</v>
      </c>
      <c r="W172" s="16">
        <f t="shared" si="76"/>
        <v>123</v>
      </c>
    </row>
    <row r="173" spans="8:23" x14ac:dyDescent="0.2">
      <c r="T173" s="2">
        <f t="shared" si="74"/>
        <v>0</v>
      </c>
      <c r="U173" s="34">
        <f>IF(U172&lt;0,0,IF(T173=0,IF(T172=0,0,$U$46),G132)-IF(AND(T173&gt;0,T174=0),$C$26,0))</f>
        <v>0</v>
      </c>
      <c r="V173" s="57">
        <f t="shared" si="75"/>
        <v>75975</v>
      </c>
      <c r="W173" s="16">
        <f t="shared" si="76"/>
        <v>124</v>
      </c>
    </row>
    <row r="174" spans="8:23" x14ac:dyDescent="0.2">
      <c r="T174" s="2">
        <f t="shared" si="74"/>
        <v>0</v>
      </c>
      <c r="U174" s="34">
        <f>IF(U173&lt;0,0,IF(T174=0,IF(T173=0,0,$U$46),G133)-IF(AND(T174&gt;0,T175=0),$C$26,0))</f>
        <v>0</v>
      </c>
      <c r="V174" s="57">
        <f t="shared" si="75"/>
        <v>75975</v>
      </c>
      <c r="W174" s="16">
        <f t="shared" si="76"/>
        <v>125</v>
      </c>
    </row>
    <row r="175" spans="8:23" x14ac:dyDescent="0.2">
      <c r="T175" s="2">
        <f t="shared" si="74"/>
        <v>0</v>
      </c>
      <c r="U175" s="34">
        <f>IF(U174&lt;0,0,IF(T175=0,IF(T174=0,0,$U$46),G134)-IF(AND(T175&gt;0,T176=0),$C$26,0))</f>
        <v>0</v>
      </c>
      <c r="V175" s="57">
        <f t="shared" si="75"/>
        <v>75975</v>
      </c>
      <c r="W175" s="16">
        <f t="shared" si="76"/>
        <v>126</v>
      </c>
    </row>
    <row r="176" spans="8:23" x14ac:dyDescent="0.2">
      <c r="T176" s="2">
        <f t="shared" si="74"/>
        <v>0</v>
      </c>
      <c r="U176" s="34">
        <f>IF(U175&lt;0,0,IF(T176=0,IF(T175=0,0,$U$46),G135)-IF(AND(T176&gt;0,T177=0),$C$26,0))</f>
        <v>0</v>
      </c>
      <c r="V176" s="57">
        <f t="shared" si="75"/>
        <v>75975</v>
      </c>
      <c r="W176" s="16">
        <f t="shared" si="76"/>
        <v>127</v>
      </c>
    </row>
    <row r="177" spans="20:23" x14ac:dyDescent="0.2">
      <c r="T177" s="2">
        <f t="shared" si="74"/>
        <v>0</v>
      </c>
      <c r="U177" s="34">
        <f>IF(U176&lt;0,0,IF(T177=0,IF(T176=0,0,$U$46),G136)-IF(AND(T177&gt;0,T178=0),$C$26,0))</f>
        <v>0</v>
      </c>
      <c r="V177" s="57">
        <f t="shared" si="75"/>
        <v>75975</v>
      </c>
      <c r="W177" s="16">
        <f t="shared" si="76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>IF(U177&lt;0,0,IF(T178=0,IF(T177=0,0,$U$46),G137)-IF(AND(T178&gt;0,T179=0),$C$26,0))</f>
        <v>0</v>
      </c>
      <c r="V178" s="57">
        <f t="shared" si="75"/>
        <v>75975</v>
      </c>
      <c r="W178" s="16">
        <f t="shared" si="76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>IF(U178&lt;0,0,IF(T179=0,IF(T178=0,0,$U$46),G138)-IF(AND(T179&gt;0,T180=0),$C$26,0))</f>
        <v>0</v>
      </c>
      <c r="V179" s="57">
        <f t="shared" ref="V179:V180" si="87">IF(T179=0,V178,V178+365)</f>
        <v>75975</v>
      </c>
      <c r="W179" s="16">
        <f t="shared" si="76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>IF(U179&lt;0,0,IF(T180=0,IF(T179=0,0,$U$46),G139)-IF(AND(T180&gt;0,T181=0),$C$26,0))</f>
        <v>0</v>
      </c>
      <c r="V180" s="57">
        <f t="shared" si="87"/>
        <v>75975</v>
      </c>
      <c r="W180" s="16">
        <f t="shared" si="76"/>
        <v>131</v>
      </c>
    </row>
    <row r="181" spans="20:23" x14ac:dyDescent="0.2">
      <c r="T181" s="35">
        <f>SUM(T50:T180)</f>
        <v>537019.70999999985</v>
      </c>
      <c r="U181" s="35">
        <f>SUM(U50:U180)</f>
        <v>1069014.1942474917</v>
      </c>
      <c r="V181" s="154">
        <f>XIRR(U48:U180,V48:V180)*12</f>
        <v>0.28547748327255246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X83:Y83"/>
    <mergeCell ref="X92:Y92"/>
    <mergeCell ref="A13:D16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BM21:BO21"/>
    <mergeCell ref="A22:A27"/>
    <mergeCell ref="BD13:BD14"/>
    <mergeCell ref="BE13:BE14"/>
    <mergeCell ref="BM16:BO16"/>
    <mergeCell ref="A17:B17"/>
    <mergeCell ref="A9:B9"/>
    <mergeCell ref="A10:B10"/>
    <mergeCell ref="BD10:BD11"/>
    <mergeCell ref="BE10:BE11"/>
    <mergeCell ref="A11:A12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1:D2"/>
    <mergeCell ref="A3:D3"/>
    <mergeCell ref="E3:R4"/>
    <mergeCell ref="AM3:AX4"/>
    <mergeCell ref="BD3:BJ3"/>
    <mergeCell ref="A5:D5"/>
  </mergeCells>
  <dataValidations count="3">
    <dataValidation type="list" allowBlank="1" showInputMessage="1" showErrorMessage="1" sqref="B33:B35 D22">
      <formula1>$Z$30:$AA$30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C18:D18">
      <formula1>$T$3:$X$3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TK185"/>
  <sheetViews>
    <sheetView view="pageBreakPreview" zoomScale="85" zoomScaleNormal="90" zoomScaleSheetLayoutView="85" workbookViewId="0">
      <selection activeCell="Y59" sqref="Y59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hidden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28" width="32.42578125" style="3" customWidth="1"/>
    <col min="29" max="29" width="31.140625" style="3" customWidth="1"/>
    <col min="30" max="30" width="14.42578125" style="3" customWidth="1"/>
    <col min="31" max="31" width="17" style="3" customWidth="1"/>
    <col min="32" max="32" width="13.42578125" style="2" customWidth="1"/>
    <col min="33" max="33" width="14.42578125" style="2" customWidth="1"/>
    <col min="34" max="34" width="14.42578125" style="57" customWidth="1"/>
    <col min="35" max="38" width="14.42578125" style="2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1.28515625" style="2" bestFit="1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7" ht="12.75" customHeight="1" x14ac:dyDescent="0.2">
      <c r="A1" s="832" t="s">
        <v>41</v>
      </c>
      <c r="B1" s="832"/>
      <c r="C1" s="832"/>
      <c r="D1" s="832"/>
      <c r="E1" s="2"/>
      <c r="F1" s="2" t="b">
        <f>IF(C17=17.9%,$V$15)</f>
        <v>0</v>
      </c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32"/>
      <c r="B2" s="832"/>
      <c r="C2" s="832"/>
      <c r="D2" s="832"/>
      <c r="E2" s="2"/>
      <c r="F2" s="607">
        <f>AB81</f>
        <v>465000</v>
      </c>
      <c r="G2" s="607">
        <f>AD81</f>
        <v>465000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thickBot="1" x14ac:dyDescent="0.3">
      <c r="A3" s="833" t="s">
        <v>412</v>
      </c>
      <c r="B3" s="833"/>
      <c r="C3" s="833"/>
      <c r="D3" s="833"/>
      <c r="E3" s="834" t="str">
        <f>"График платежей - Максимум + ГС "</f>
        <v xml:space="preserve">График платежей - Максимум + ГС </v>
      </c>
      <c r="F3" s="834"/>
      <c r="G3" s="834"/>
      <c r="H3" s="834"/>
      <c r="I3" s="834"/>
      <c r="J3" s="834"/>
      <c r="K3" s="834"/>
      <c r="L3" s="834"/>
      <c r="M3" s="834"/>
      <c r="N3" s="834"/>
      <c r="O3" s="834"/>
      <c r="P3" s="834"/>
      <c r="Q3" s="834"/>
      <c r="R3" s="834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35" t="str">
        <f>"График платежей - Оптимум"</f>
        <v>График платежей - Оптимум</v>
      </c>
      <c r="AN3" s="835"/>
      <c r="AO3" s="835"/>
      <c r="AP3" s="835"/>
      <c r="AQ3" s="835"/>
      <c r="AR3" s="835"/>
      <c r="AS3" s="835"/>
      <c r="AT3" s="835"/>
      <c r="AU3" s="835"/>
      <c r="AV3" s="835"/>
      <c r="AW3" s="835"/>
      <c r="AX3" s="835"/>
      <c r="AY3" s="102"/>
      <c r="AZ3" s="102"/>
      <c r="BA3" s="102"/>
      <c r="BD3" s="794" t="s">
        <v>94</v>
      </c>
      <c r="BE3" s="794"/>
      <c r="BF3" s="794"/>
      <c r="BG3" s="794"/>
      <c r="BH3" s="794"/>
      <c r="BI3" s="794"/>
      <c r="BJ3" s="794"/>
    </row>
    <row r="4" spans="1:67" ht="13.5" hidden="1" customHeight="1" thickBot="1" x14ac:dyDescent="0.25">
      <c r="A4" s="311"/>
      <c r="B4" s="311"/>
      <c r="C4" s="311"/>
      <c r="D4" s="311"/>
      <c r="E4" s="834"/>
      <c r="F4" s="834"/>
      <c r="G4" s="834"/>
      <c r="H4" s="834"/>
      <c r="I4" s="834"/>
      <c r="J4" s="834"/>
      <c r="K4" s="834"/>
      <c r="L4" s="834"/>
      <c r="M4" s="834"/>
      <c r="N4" s="834"/>
      <c r="O4" s="834"/>
      <c r="P4" s="834"/>
      <c r="Q4" s="834"/>
      <c r="R4" s="834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35"/>
      <c r="AN4" s="835"/>
      <c r="AO4" s="835"/>
      <c r="AP4" s="835"/>
      <c r="AQ4" s="835"/>
      <c r="AR4" s="835"/>
      <c r="AS4" s="835"/>
      <c r="AT4" s="835"/>
      <c r="AU4" s="835"/>
      <c r="AV4" s="835"/>
      <c r="AW4" s="835"/>
      <c r="AX4" s="835"/>
      <c r="AY4" s="102"/>
      <c r="AZ4" s="102"/>
      <c r="BA4" s="102"/>
      <c r="BB4" s="57"/>
    </row>
    <row r="5" spans="1:67" ht="12" hidden="1" customHeight="1" thickBot="1" x14ac:dyDescent="0.25">
      <c r="A5" s="830"/>
      <c r="B5" s="830"/>
      <c r="C5" s="831"/>
      <c r="D5" s="831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604"/>
      <c r="BA5" s="102"/>
      <c r="BB5" s="57"/>
    </row>
    <row r="6" spans="1:67" ht="16.5" customHeight="1" thickBot="1" x14ac:dyDescent="0.25">
      <c r="A6" s="839" t="s">
        <v>413</v>
      </c>
      <c r="B6" s="840"/>
      <c r="C6" s="608" t="s">
        <v>414</v>
      </c>
      <c r="D6" s="608" t="s">
        <v>415</v>
      </c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604"/>
      <c r="BA6" s="102"/>
      <c r="BB6" s="57"/>
      <c r="BD6" s="795" t="s">
        <v>95</v>
      </c>
      <c r="BE6" s="795"/>
      <c r="BF6" s="795"/>
      <c r="BG6" s="795"/>
      <c r="BH6" s="795"/>
      <c r="BI6" s="795"/>
      <c r="BJ6" s="795"/>
      <c r="BM6" s="836" t="s">
        <v>416</v>
      </c>
      <c r="BN6" s="837"/>
      <c r="BO6" s="838"/>
    </row>
    <row r="7" spans="1:67" ht="37.5" customHeight="1" thickBot="1" x14ac:dyDescent="0.55000000000000004">
      <c r="A7" s="841" t="s">
        <v>417</v>
      </c>
      <c r="B7" s="842"/>
      <c r="C7" s="609">
        <f>Оптимистичный!C7</f>
        <v>500000</v>
      </c>
      <c r="D7" s="610">
        <f>C7</f>
        <v>500000</v>
      </c>
      <c r="E7" s="611" t="s">
        <v>3</v>
      </c>
      <c r="F7" s="612" t="s">
        <v>4</v>
      </c>
      <c r="G7" s="612" t="s">
        <v>5</v>
      </c>
      <c r="H7" s="613" t="s">
        <v>12</v>
      </c>
      <c r="I7" s="613"/>
      <c r="J7" s="613"/>
      <c r="K7" s="613" t="s">
        <v>26</v>
      </c>
      <c r="L7" s="613" t="s">
        <v>36</v>
      </c>
      <c r="M7" s="613" t="s">
        <v>39</v>
      </c>
      <c r="N7" s="613" t="s">
        <v>38</v>
      </c>
      <c r="O7" s="613" t="s">
        <v>37</v>
      </c>
      <c r="P7" s="613" t="s">
        <v>40</v>
      </c>
      <c r="Q7" s="612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-506999</v>
      </c>
      <c r="BB7" s="61"/>
      <c r="BD7" s="784" t="s">
        <v>84</v>
      </c>
      <c r="BE7" s="777" t="s">
        <v>85</v>
      </c>
      <c r="BF7" s="127" t="s">
        <v>86</v>
      </c>
      <c r="BG7" s="124" t="s">
        <v>88</v>
      </c>
      <c r="BH7" s="798" t="s">
        <v>9</v>
      </c>
      <c r="BI7" s="800" t="s">
        <v>89</v>
      </c>
      <c r="BJ7" s="796">
        <v>1</v>
      </c>
      <c r="BM7" s="686" t="s">
        <v>418</v>
      </c>
      <c r="BN7" s="687" t="s">
        <v>419</v>
      </c>
      <c r="BO7" s="687" t="s">
        <v>420</v>
      </c>
    </row>
    <row r="8" spans="1:67" ht="16.5" customHeight="1" thickBot="1" x14ac:dyDescent="0.55000000000000004">
      <c r="A8" s="841" t="s">
        <v>421</v>
      </c>
      <c r="B8" s="842"/>
      <c r="C8" s="614" t="s">
        <v>35</v>
      </c>
      <c r="D8" s="615" t="s">
        <v>35</v>
      </c>
      <c r="E8" s="21"/>
      <c r="F8" s="22">
        <f>C9</f>
        <v>45315</v>
      </c>
      <c r="G8" s="23">
        <f>-C28</f>
        <v>-506999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506999</v>
      </c>
      <c r="R8" s="25"/>
      <c r="S8" s="36"/>
      <c r="T8" s="15">
        <v>0.14899999999999999</v>
      </c>
      <c r="U8" s="736">
        <v>0.17899999999999999</v>
      </c>
      <c r="V8" s="736">
        <v>0.11899999999999999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-506999</v>
      </c>
      <c r="AP8" s="105"/>
      <c r="AQ8" s="106"/>
      <c r="AR8" s="106"/>
      <c r="AS8" s="106"/>
      <c r="AT8" s="106"/>
      <c r="AU8" s="106"/>
      <c r="AV8" s="106"/>
      <c r="AW8" s="107">
        <f>D28</f>
        <v>506999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785"/>
      <c r="BE8" s="778"/>
      <c r="BF8" s="606" t="s">
        <v>87</v>
      </c>
      <c r="BG8" s="126" t="s">
        <v>88</v>
      </c>
      <c r="BH8" s="799"/>
      <c r="BI8" s="801"/>
      <c r="BJ8" s="797"/>
      <c r="BM8" s="684" t="s">
        <v>360</v>
      </c>
      <c r="BN8" s="685" t="s">
        <v>474</v>
      </c>
      <c r="BO8" s="685" t="s">
        <v>422</v>
      </c>
    </row>
    <row r="9" spans="1:67" ht="16.5" customHeight="1" thickBot="1" x14ac:dyDescent="0.25">
      <c r="A9" s="841" t="s">
        <v>25</v>
      </c>
      <c r="B9" s="842"/>
      <c r="C9" s="616">
        <f>Оптимистичный!C9</f>
        <v>45315</v>
      </c>
      <c r="D9" s="617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14471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12839.82</v>
      </c>
      <c r="I9" s="24">
        <f>H9</f>
        <v>12839.82</v>
      </c>
      <c r="J9" s="24"/>
      <c r="K9" s="24">
        <f t="shared" ref="K9:K72" si="7">IF(S9=0,0,IF(S9=1,Q8,IF(Q8+L9+H9&gt;G8,G9-H9-L9,Q8)))</f>
        <v>1631.1800000000003</v>
      </c>
      <c r="L9" s="24">
        <f>IF(N9&gt;$C$29,$C$29-H9,IF(S9=0,0,P9)+AF52)</f>
        <v>0</v>
      </c>
      <c r="M9" s="24">
        <f>O8-L8</f>
        <v>0</v>
      </c>
      <c r="N9" s="24">
        <f>H9+O9</f>
        <v>12839.82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505367.82</v>
      </c>
      <c r="R9" s="36">
        <f>C10</f>
        <v>84</v>
      </c>
      <c r="S9" s="36">
        <f t="shared" ref="S9:S72" si="9">IF(ISERR(CEILING(FLOOR(NPER($C$19/12,-$AA$56,Q8),0.1),1))=TRUE,0,CEILING(FLOOR(NPER($C$19/12,-$AA$56,Q8),0.1),1))</f>
        <v>84</v>
      </c>
      <c r="T9" s="15">
        <v>0.159</v>
      </c>
      <c r="U9" s="736">
        <v>0.20899999999999999</v>
      </c>
      <c r="V9" s="736">
        <v>0.14899999999999999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14501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12839.82</v>
      </c>
      <c r="AQ9" s="105">
        <f t="shared" ref="AQ9:AQ46" si="12">IF(AY9=0,0,IF(AY9=1,AW8,IF(AW8+AR9+AP9&gt;AO8,AO9-AP9-AR9,AW8)))</f>
        <v>1661.1800000000003</v>
      </c>
      <c r="AR9" s="105">
        <f>IF(AT9&gt;$D$29,$D$29-AP9,IF(AY9=0,0,AV9)+BN58)</f>
        <v>0</v>
      </c>
      <c r="AS9" s="105"/>
      <c r="AT9" s="105">
        <f>AP9+AU9</f>
        <v>12839.82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505337.82</v>
      </c>
      <c r="AX9" s="108">
        <f>C10</f>
        <v>84</v>
      </c>
      <c r="AY9" s="108">
        <f t="shared" ref="AY9:AY72" si="14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14471</v>
      </c>
      <c r="BC9" s="118">
        <f t="shared" si="4"/>
        <v>519838.82</v>
      </c>
      <c r="BM9" s="684" t="s">
        <v>424</v>
      </c>
      <c r="BN9" s="688" t="s">
        <v>429</v>
      </c>
      <c r="BO9" s="685" t="s">
        <v>426</v>
      </c>
    </row>
    <row r="10" spans="1:67" ht="16.5" customHeight="1" thickBot="1" x14ac:dyDescent="0.25">
      <c r="A10" s="843" t="s">
        <v>1</v>
      </c>
      <c r="B10" s="844"/>
      <c r="C10" s="618">
        <f>Оптимистичный!C10</f>
        <v>84</v>
      </c>
      <c r="D10" s="619">
        <f>C10</f>
        <v>84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14471</v>
      </c>
      <c r="H10" s="24">
        <f t="shared" si="6"/>
        <v>11972.8</v>
      </c>
      <c r="I10" s="24">
        <f>H10+I9</f>
        <v>24812.62</v>
      </c>
      <c r="J10" s="24">
        <f t="shared" ref="J10:J67" si="16">IF(E10=$C$10,MIN((I10-I10/$C$19*$C$23),Q9+H10-G9),0)</f>
        <v>0</v>
      </c>
      <c r="K10" s="24">
        <f t="shared" si="7"/>
        <v>2498.2000000000007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11972.8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502869.62</v>
      </c>
      <c r="R10" s="36">
        <f>IF((R9-1)&lt;0,0,R9-1)</f>
        <v>83</v>
      </c>
      <c r="S10" s="36">
        <f t="shared" si="9"/>
        <v>83</v>
      </c>
      <c r="T10" s="15">
        <v>0.19900000000000001</v>
      </c>
      <c r="U10" s="736">
        <v>0.189</v>
      </c>
      <c r="V10" s="736">
        <v>0.129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14501</v>
      </c>
      <c r="AP10" s="105">
        <f t="shared" si="11"/>
        <v>11972.09</v>
      </c>
      <c r="AQ10" s="105">
        <f t="shared" si="12"/>
        <v>2528.91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11972.09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502808.91000000003</v>
      </c>
      <c r="AX10" s="108">
        <f>IF((AX9-1)&lt;0,0,AX9-1)</f>
        <v>83</v>
      </c>
      <c r="AY10" s="108">
        <f t="shared" si="14"/>
        <v>83</v>
      </c>
      <c r="AZ10" s="22">
        <f t="shared" si="3"/>
        <v>45375</v>
      </c>
      <c r="BA10" s="108">
        <f t="shared" si="3"/>
        <v>14471</v>
      </c>
      <c r="BC10" s="118">
        <f t="shared" si="4"/>
        <v>517309.91000000003</v>
      </c>
      <c r="BD10" s="784" t="s">
        <v>90</v>
      </c>
      <c r="BE10" s="777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845" t="s">
        <v>427</v>
      </c>
      <c r="B11" s="621" t="s">
        <v>102</v>
      </c>
      <c r="C11" s="619" t="str">
        <f>Оптимистичный!C14</f>
        <v>Да</v>
      </c>
      <c r="D11" s="619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14471</v>
      </c>
      <c r="H11" s="24">
        <f t="shared" si="6"/>
        <v>12735.24</v>
      </c>
      <c r="I11" s="24">
        <f t="shared" ref="I11:I74" si="26">H11+I10</f>
        <v>37547.86</v>
      </c>
      <c r="J11" s="24">
        <f t="shared" si="16"/>
        <v>0</v>
      </c>
      <c r="K11" s="24">
        <f t="shared" si="7"/>
        <v>1735.7600000000002</v>
      </c>
      <c r="L11" s="24">
        <f t="shared" si="17"/>
        <v>0</v>
      </c>
      <c r="M11" s="24">
        <f>O10-L10</f>
        <v>0</v>
      </c>
      <c r="N11" s="24">
        <f t="shared" si="18"/>
        <v>12735.24</v>
      </c>
      <c r="O11" s="24">
        <f t="shared" si="19"/>
        <v>0</v>
      </c>
      <c r="P11" s="24">
        <f t="shared" si="20"/>
        <v>0</v>
      </c>
      <c r="Q11" s="24">
        <f t="shared" si="8"/>
        <v>501133.86</v>
      </c>
      <c r="R11" s="36">
        <f>IF((R10-1)&lt;0,0,R10-1)</f>
        <v>82</v>
      </c>
      <c r="S11" s="36">
        <f t="shared" si="9"/>
        <v>82</v>
      </c>
      <c r="T11" s="15">
        <v>0.219</v>
      </c>
      <c r="U11" s="736">
        <v>0.219</v>
      </c>
      <c r="V11" s="736">
        <v>0.159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14501</v>
      </c>
      <c r="AP11" s="105">
        <f t="shared" si="11"/>
        <v>12733.7</v>
      </c>
      <c r="AQ11" s="105">
        <f t="shared" si="12"/>
        <v>1767.2999999999993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12733.7</v>
      </c>
      <c r="AU11" s="105">
        <f t="shared" si="24"/>
        <v>0</v>
      </c>
      <c r="AV11" s="105">
        <f t="shared" si="25"/>
        <v>0</v>
      </c>
      <c r="AW11" s="105">
        <f t="shared" si="13"/>
        <v>501041.61000000004</v>
      </c>
      <c r="AX11" s="108">
        <f>IF((AX10-1)&lt;0,0,AX10-1)</f>
        <v>82</v>
      </c>
      <c r="AY11" s="108">
        <f t="shared" si="14"/>
        <v>82</v>
      </c>
      <c r="AZ11" s="22">
        <f t="shared" si="3"/>
        <v>45406</v>
      </c>
      <c r="BA11" s="108">
        <f t="shared" si="3"/>
        <v>14471</v>
      </c>
      <c r="BC11" s="118">
        <f t="shared" si="4"/>
        <v>515542.61000000004</v>
      </c>
      <c r="BD11" s="785"/>
      <c r="BE11" s="778"/>
      <c r="BF11" s="605" t="s">
        <v>91</v>
      </c>
      <c r="BM11" s="836" t="s">
        <v>428</v>
      </c>
      <c r="BN11" s="837"/>
      <c r="BO11" s="838"/>
    </row>
    <row r="12" spans="1:67" ht="16.5" customHeight="1" thickBot="1" x14ac:dyDescent="0.25">
      <c r="A12" s="846"/>
      <c r="B12" s="621" t="s">
        <v>105</v>
      </c>
      <c r="C12" s="623">
        <f>Оптимистичный!C15</f>
        <v>6999</v>
      </c>
      <c r="D12" s="623">
        <f>Оптимистичный!C15</f>
        <v>6999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14471</v>
      </c>
      <c r="H12" s="24">
        <f t="shared" si="6"/>
        <v>12281.89</v>
      </c>
      <c r="I12" s="24">
        <f t="shared" si="26"/>
        <v>49829.75</v>
      </c>
      <c r="J12" s="24">
        <f t="shared" si="16"/>
        <v>0</v>
      </c>
      <c r="K12" s="24">
        <f t="shared" si="7"/>
        <v>2189.1100000000006</v>
      </c>
      <c r="L12" s="24">
        <f t="shared" si="17"/>
        <v>0</v>
      </c>
      <c r="M12" s="24">
        <f t="shared" ref="M12:M86" si="29">O11-L11</f>
        <v>0</v>
      </c>
      <c r="N12" s="24">
        <f t="shared" si="18"/>
        <v>12281.89</v>
      </c>
      <c r="O12" s="24">
        <f t="shared" si="19"/>
        <v>0</v>
      </c>
      <c r="P12" s="24">
        <f t="shared" si="20"/>
        <v>0</v>
      </c>
      <c r="Q12" s="24">
        <f t="shared" si="8"/>
        <v>498944.75</v>
      </c>
      <c r="R12" s="36">
        <f t="shared" ref="R12:R75" si="30">IF((R11-1)&lt;0,0,R11-1)</f>
        <v>81</v>
      </c>
      <c r="S12" s="36">
        <f t="shared" si="9"/>
        <v>81</v>
      </c>
      <c r="T12" s="15">
        <v>0.27900000000000003</v>
      </c>
      <c r="U12" s="736">
        <v>0.22900000000000001</v>
      </c>
      <c r="V12" s="736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14501</v>
      </c>
      <c r="AP12" s="105">
        <f t="shared" si="11"/>
        <v>12279.63</v>
      </c>
      <c r="AQ12" s="105">
        <f t="shared" si="12"/>
        <v>2221.3700000000008</v>
      </c>
      <c r="AR12" s="105">
        <f t="shared" si="27"/>
        <v>0</v>
      </c>
      <c r="AS12" s="105">
        <f t="shared" si="22"/>
        <v>0</v>
      </c>
      <c r="AT12" s="105">
        <f t="shared" si="23"/>
        <v>12279.63</v>
      </c>
      <c r="AU12" s="105">
        <f t="shared" si="24"/>
        <v>0</v>
      </c>
      <c r="AV12" s="105">
        <f t="shared" si="25"/>
        <v>0</v>
      </c>
      <c r="AW12" s="105">
        <f t="shared" si="13"/>
        <v>498820.24000000005</v>
      </c>
      <c r="AX12" s="108">
        <f t="shared" ref="AX12:AX75" si="32">IF((AX11-1)&lt;0,0,AX11-1)</f>
        <v>81</v>
      </c>
      <c r="AY12" s="108">
        <f t="shared" si="14"/>
        <v>81</v>
      </c>
      <c r="AZ12" s="22">
        <f t="shared" si="3"/>
        <v>45436</v>
      </c>
      <c r="BA12" s="108">
        <f t="shared" si="3"/>
        <v>14471</v>
      </c>
      <c r="BC12" s="118">
        <f t="shared" si="4"/>
        <v>513321.24000000005</v>
      </c>
      <c r="BM12" s="686" t="s">
        <v>418</v>
      </c>
      <c r="BN12" s="687" t="s">
        <v>419</v>
      </c>
      <c r="BO12" s="687" t="s">
        <v>420</v>
      </c>
    </row>
    <row r="13" spans="1:67" ht="16.5" customHeight="1" thickBot="1" x14ac:dyDescent="0.25">
      <c r="A13" s="848" t="str">
        <f>IF($C$8="Нет","2. У вас не будет Льготного периода","2. Посмотрите, как изменится график при активации Льготного периода")</f>
        <v>2. У вас не будет Льготного периода</v>
      </c>
      <c r="B13" s="849"/>
      <c r="C13" s="849"/>
      <c r="D13" s="849"/>
      <c r="E13" s="114">
        <f>E12+1</f>
        <v>5</v>
      </c>
      <c r="F13" s="111">
        <f t="shared" si="15"/>
        <v>45467</v>
      </c>
      <c r="G13" s="24">
        <f t="shared" si="5"/>
        <v>14471</v>
      </c>
      <c r="H13" s="24">
        <f t="shared" si="6"/>
        <v>12635.84</v>
      </c>
      <c r="I13" s="24">
        <f t="shared" si="26"/>
        <v>62465.59</v>
      </c>
      <c r="J13" s="24">
        <f t="shared" si="16"/>
        <v>0</v>
      </c>
      <c r="K13" s="24">
        <f t="shared" si="7"/>
        <v>1835.1599999999999</v>
      </c>
      <c r="L13" s="24">
        <f t="shared" si="17"/>
        <v>0</v>
      </c>
      <c r="M13" s="24">
        <f t="shared" si="29"/>
        <v>0</v>
      </c>
      <c r="N13" s="24">
        <f t="shared" si="18"/>
        <v>12635.84</v>
      </c>
      <c r="O13" s="24">
        <f t="shared" si="19"/>
        <v>0</v>
      </c>
      <c r="P13" s="24">
        <f t="shared" si="20"/>
        <v>0</v>
      </c>
      <c r="Q13" s="24">
        <f t="shared" si="8"/>
        <v>497109.59</v>
      </c>
      <c r="R13" s="36">
        <f>IF((R12-1)&lt;0,0,R12-1)</f>
        <v>80</v>
      </c>
      <c r="S13" s="36">
        <f t="shared" si="9"/>
        <v>80</v>
      </c>
      <c r="T13" s="15"/>
      <c r="U13" s="736">
        <f>IF($C$17=29.9%,U12,IF($C$17=26.9%,U11,IF($C$17=23.9%,U10,IF($C$17=25.9%,U9,U8))))</f>
        <v>0.22900000000000001</v>
      </c>
      <c r="V13" s="736">
        <f>IF($C$17=29.9%,V12,IF($C$17=26.9%,V11,IF($C$17=23.9%,V10,IF($C$17=25.9%,V9,V8))))</f>
        <v>0.16900000000000001</v>
      </c>
      <c r="W13" s="15"/>
      <c r="X13" s="15"/>
      <c r="Y13" s="15"/>
      <c r="Z13" s="15"/>
      <c r="AA13" s="62" t="e">
        <f>INDEX(AA4:AA12,MATCH(C17,$T$4:$T$12,0))</f>
        <v>#N/A</v>
      </c>
      <c r="AB13" s="62" t="e">
        <f>INDEX(AB4:AB12,MATCH(D17,$T$4:$T$12,0))</f>
        <v>#N/A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14501</v>
      </c>
      <c r="AP13" s="105">
        <f t="shared" si="11"/>
        <v>12632.69</v>
      </c>
      <c r="AQ13" s="105">
        <f t="shared" si="12"/>
        <v>1868.3099999999995</v>
      </c>
      <c r="AR13" s="105">
        <f t="shared" si="27"/>
        <v>0</v>
      </c>
      <c r="AS13" s="105">
        <f t="shared" si="22"/>
        <v>0</v>
      </c>
      <c r="AT13" s="105">
        <f t="shared" si="23"/>
        <v>12632.69</v>
      </c>
      <c r="AU13" s="105">
        <f t="shared" si="24"/>
        <v>0</v>
      </c>
      <c r="AV13" s="105">
        <f t="shared" si="25"/>
        <v>0</v>
      </c>
      <c r="AW13" s="105">
        <f t="shared" si="13"/>
        <v>496951.93000000005</v>
      </c>
      <c r="AX13" s="108">
        <f>IF((AX12-1)&lt;0,0,AX12-1)</f>
        <v>80</v>
      </c>
      <c r="AY13" s="108">
        <f t="shared" si="14"/>
        <v>80</v>
      </c>
      <c r="AZ13" s="22">
        <f t="shared" si="3"/>
        <v>45467</v>
      </c>
      <c r="BA13" s="108">
        <f t="shared" si="3"/>
        <v>14471</v>
      </c>
      <c r="BC13" s="118">
        <f t="shared" si="4"/>
        <v>511452.93000000005</v>
      </c>
      <c r="BD13" s="784" t="s">
        <v>92</v>
      </c>
      <c r="BE13" s="777" t="s">
        <v>85</v>
      </c>
      <c r="BF13" s="129" t="s">
        <v>90</v>
      </c>
      <c r="BM13" s="684" t="s">
        <v>360</v>
      </c>
      <c r="BN13" s="685" t="s">
        <v>423</v>
      </c>
      <c r="BO13" s="685" t="s">
        <v>429</v>
      </c>
    </row>
    <row r="14" spans="1:67" ht="19.5" customHeight="1" thickBot="1" x14ac:dyDescent="0.25">
      <c r="A14" s="624"/>
      <c r="B14" s="624"/>
      <c r="C14" s="614" t="s">
        <v>430</v>
      </c>
      <c r="D14" s="614"/>
      <c r="E14" s="114">
        <f>E13+1</f>
        <v>6</v>
      </c>
      <c r="F14" s="111">
        <f t="shared" si="15"/>
        <v>45497</v>
      </c>
      <c r="G14" s="24">
        <f t="shared" si="5"/>
        <v>14471</v>
      </c>
      <c r="H14" s="24">
        <f t="shared" si="6"/>
        <v>12183.26</v>
      </c>
      <c r="I14" s="24">
        <f t="shared" si="26"/>
        <v>74648.849999999991</v>
      </c>
      <c r="J14" s="24">
        <f t="shared" si="16"/>
        <v>0</v>
      </c>
      <c r="K14" s="24">
        <f t="shared" si="7"/>
        <v>2287.7399999999998</v>
      </c>
      <c r="L14" s="24">
        <f t="shared" si="17"/>
        <v>0</v>
      </c>
      <c r="M14" s="24">
        <f>O13-L13</f>
        <v>0</v>
      </c>
      <c r="N14" s="24">
        <f t="shared" si="18"/>
        <v>12183.26</v>
      </c>
      <c r="O14" s="24">
        <f t="shared" si="19"/>
        <v>0</v>
      </c>
      <c r="P14" s="24">
        <f t="shared" si="20"/>
        <v>0</v>
      </c>
      <c r="Q14" s="24">
        <f t="shared" si="8"/>
        <v>494821.85000000003</v>
      </c>
      <c r="R14" s="36">
        <f>IF((R13-1)&lt;0,0,R13-1)</f>
        <v>79</v>
      </c>
      <c r="S14" s="36">
        <f t="shared" si="9"/>
        <v>79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0.29899999999999999</v>
      </c>
      <c r="AB14" s="15">
        <f>D19</f>
        <v>0.29899999999999999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14501</v>
      </c>
      <c r="AP14" s="105">
        <f t="shared" si="11"/>
        <v>12179.4</v>
      </c>
      <c r="AQ14" s="105">
        <f t="shared" si="12"/>
        <v>2321.6000000000004</v>
      </c>
      <c r="AR14" s="105">
        <f t="shared" si="27"/>
        <v>0</v>
      </c>
      <c r="AS14" s="105">
        <f t="shared" si="22"/>
        <v>0</v>
      </c>
      <c r="AT14" s="105">
        <f t="shared" si="23"/>
        <v>12179.4</v>
      </c>
      <c r="AU14" s="105">
        <f t="shared" si="24"/>
        <v>0</v>
      </c>
      <c r="AV14" s="105">
        <f t="shared" si="25"/>
        <v>0</v>
      </c>
      <c r="AW14" s="105">
        <f t="shared" si="13"/>
        <v>494630.33000000007</v>
      </c>
      <c r="AX14" s="108">
        <f>IF((AX13-1)&lt;0,0,AX13-1)</f>
        <v>79</v>
      </c>
      <c r="AY14" s="108">
        <f t="shared" si="14"/>
        <v>79</v>
      </c>
      <c r="AZ14" s="22">
        <f t="shared" si="3"/>
        <v>45497</v>
      </c>
      <c r="BA14" s="108">
        <f t="shared" si="3"/>
        <v>14471</v>
      </c>
      <c r="BC14" s="118">
        <f t="shared" si="4"/>
        <v>509131.33000000007</v>
      </c>
      <c r="BD14" s="785"/>
      <c r="BE14" s="778"/>
      <c r="BF14" s="605" t="s">
        <v>93</v>
      </c>
      <c r="BM14" s="684" t="s">
        <v>424</v>
      </c>
      <c r="BN14" s="688" t="s">
        <v>425</v>
      </c>
      <c r="BO14" s="685" t="s">
        <v>431</v>
      </c>
    </row>
    <row r="15" spans="1:67" ht="33" customHeight="1" thickBot="1" x14ac:dyDescent="0.25">
      <c r="A15" s="848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Рассчитайте выгоду от перехода на иной тарифный план в течение срока действия кредитного договора</v>
      </c>
      <c r="B15" s="849"/>
      <c r="C15" s="850"/>
      <c r="D15" s="850"/>
      <c r="E15" s="114">
        <f t="shared" si="28"/>
        <v>7</v>
      </c>
      <c r="F15" s="111">
        <f t="shared" si="15"/>
        <v>45528</v>
      </c>
      <c r="G15" s="24">
        <f t="shared" si="5"/>
        <v>14471</v>
      </c>
      <c r="H15" s="24">
        <f t="shared" si="6"/>
        <v>12531.43</v>
      </c>
      <c r="I15" s="24">
        <f t="shared" si="26"/>
        <v>87180.28</v>
      </c>
      <c r="J15" s="24">
        <f t="shared" si="16"/>
        <v>0</v>
      </c>
      <c r="K15" s="24">
        <f t="shared" si="7"/>
        <v>1939.5699999999997</v>
      </c>
      <c r="L15" s="24">
        <f t="shared" si="17"/>
        <v>0</v>
      </c>
      <c r="M15" s="24">
        <f t="shared" si="29"/>
        <v>0</v>
      </c>
      <c r="N15" s="24">
        <f t="shared" si="18"/>
        <v>12531.43</v>
      </c>
      <c r="O15" s="24">
        <f t="shared" si="19"/>
        <v>0</v>
      </c>
      <c r="P15" s="24">
        <f t="shared" si="20"/>
        <v>0</v>
      </c>
      <c r="Q15" s="24">
        <f t="shared" si="8"/>
        <v>492882.28</v>
      </c>
      <c r="R15" s="36">
        <f t="shared" si="30"/>
        <v>78</v>
      </c>
      <c r="S15" s="36">
        <f t="shared" si="9"/>
        <v>78</v>
      </c>
      <c r="T15" s="54">
        <f>ROUND(Q8*0.5%,-2)</f>
        <v>2500</v>
      </c>
      <c r="U15" s="54">
        <f>ROUND(Q8*0.5%,0)</f>
        <v>2535</v>
      </c>
      <c r="V15" s="15">
        <v>0</v>
      </c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14501</v>
      </c>
      <c r="AP15" s="105">
        <f t="shared" si="11"/>
        <v>12526.58</v>
      </c>
      <c r="AQ15" s="105">
        <f t="shared" si="12"/>
        <v>1974.42</v>
      </c>
      <c r="AR15" s="105">
        <f t="shared" si="27"/>
        <v>0</v>
      </c>
      <c r="AS15" s="105">
        <f t="shared" si="22"/>
        <v>0</v>
      </c>
      <c r="AT15" s="105">
        <f t="shared" si="23"/>
        <v>12526.58</v>
      </c>
      <c r="AU15" s="105">
        <f t="shared" si="24"/>
        <v>0</v>
      </c>
      <c r="AV15" s="105">
        <f t="shared" si="25"/>
        <v>0</v>
      </c>
      <c r="AW15" s="105">
        <f t="shared" si="13"/>
        <v>492655.91000000009</v>
      </c>
      <c r="AX15" s="108">
        <f t="shared" si="32"/>
        <v>78</v>
      </c>
      <c r="AY15" s="108">
        <f t="shared" si="14"/>
        <v>78</v>
      </c>
      <c r="AZ15" s="22">
        <f t="shared" si="3"/>
        <v>45528</v>
      </c>
      <c r="BA15" s="108">
        <f t="shared" si="3"/>
        <v>14471</v>
      </c>
      <c r="BC15" s="118">
        <f t="shared" si="4"/>
        <v>507156.91000000009</v>
      </c>
      <c r="BM15" s="620"/>
      <c r="BN15" s="620"/>
      <c r="BO15" s="620"/>
    </row>
    <row r="16" spans="1:67" ht="16.5" customHeight="1" thickBot="1" x14ac:dyDescent="0.25">
      <c r="A16" s="625"/>
      <c r="B16" s="626"/>
      <c r="C16" s="627" t="s">
        <v>81</v>
      </c>
      <c r="D16" s="628"/>
      <c r="E16" s="114">
        <f t="shared" si="28"/>
        <v>8</v>
      </c>
      <c r="F16" s="111">
        <f t="shared" si="15"/>
        <v>45559</v>
      </c>
      <c r="G16" s="24">
        <f t="shared" si="5"/>
        <v>14471</v>
      </c>
      <c r="H16" s="24">
        <f t="shared" si="6"/>
        <v>12482.31</v>
      </c>
      <c r="I16" s="24">
        <f t="shared" si="26"/>
        <v>99662.59</v>
      </c>
      <c r="J16" s="24">
        <f t="shared" si="16"/>
        <v>0</v>
      </c>
      <c r="K16" s="24">
        <f t="shared" si="7"/>
        <v>1988.6900000000005</v>
      </c>
      <c r="L16" s="24">
        <f t="shared" si="17"/>
        <v>0</v>
      </c>
      <c r="M16" s="24">
        <f t="shared" si="29"/>
        <v>0</v>
      </c>
      <c r="N16" s="24">
        <f t="shared" si="18"/>
        <v>12482.31</v>
      </c>
      <c r="O16" s="24">
        <f t="shared" si="19"/>
        <v>0</v>
      </c>
      <c r="P16" s="24">
        <f t="shared" si="20"/>
        <v>0</v>
      </c>
      <c r="Q16" s="24">
        <f t="shared" si="8"/>
        <v>490893.59</v>
      </c>
      <c r="R16" s="36">
        <f t="shared" si="30"/>
        <v>77</v>
      </c>
      <c r="S16" s="36">
        <f t="shared" si="9"/>
        <v>77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14501</v>
      </c>
      <c r="AP16" s="105">
        <f t="shared" si="11"/>
        <v>12476.58</v>
      </c>
      <c r="AQ16" s="105">
        <f t="shared" si="12"/>
        <v>2024.42</v>
      </c>
      <c r="AR16" s="105">
        <f t="shared" si="27"/>
        <v>0</v>
      </c>
      <c r="AS16" s="105">
        <f t="shared" si="22"/>
        <v>0</v>
      </c>
      <c r="AT16" s="105">
        <f t="shared" si="23"/>
        <v>12476.58</v>
      </c>
      <c r="AU16" s="105">
        <f t="shared" si="24"/>
        <v>0</v>
      </c>
      <c r="AV16" s="105">
        <f t="shared" si="25"/>
        <v>0</v>
      </c>
      <c r="AW16" s="105">
        <f t="shared" si="13"/>
        <v>490631.49000000011</v>
      </c>
      <c r="AX16" s="108">
        <f t="shared" si="32"/>
        <v>77</v>
      </c>
      <c r="AY16" s="108">
        <f t="shared" si="14"/>
        <v>77</v>
      </c>
      <c r="AZ16" s="22">
        <f t="shared" si="3"/>
        <v>45559</v>
      </c>
      <c r="BA16" s="108">
        <f t="shared" si="3"/>
        <v>14471</v>
      </c>
      <c r="BC16" s="118">
        <f t="shared" si="4"/>
        <v>505132.49000000011</v>
      </c>
      <c r="BD16" s="575" t="s">
        <v>368</v>
      </c>
      <c r="BE16" s="571" t="s">
        <v>369</v>
      </c>
      <c r="BF16" s="576" t="s">
        <v>370</v>
      </c>
      <c r="BM16" s="836" t="s">
        <v>432</v>
      </c>
      <c r="BN16" s="837"/>
      <c r="BO16" s="838"/>
    </row>
    <row r="17" spans="1:383" ht="16.5" customHeight="1" thickBot="1" x14ac:dyDescent="0.25">
      <c r="A17" s="851" t="s">
        <v>433</v>
      </c>
      <c r="B17" s="852"/>
      <c r="C17" s="629">
        <f>Оптимистичный!C11</f>
        <v>0.29899999999999999</v>
      </c>
      <c r="D17" s="630">
        <f>C17</f>
        <v>0.29899999999999999</v>
      </c>
      <c r="E17" s="114">
        <f t="shared" si="28"/>
        <v>9</v>
      </c>
      <c r="F17" s="111">
        <f t="shared" si="15"/>
        <v>45589</v>
      </c>
      <c r="G17" s="24">
        <f t="shared" si="5"/>
        <v>14471</v>
      </c>
      <c r="H17" s="24">
        <f t="shared" si="6"/>
        <v>12030.92</v>
      </c>
      <c r="I17" s="24">
        <f t="shared" si="26"/>
        <v>111693.51</v>
      </c>
      <c r="J17" s="24">
        <f t="shared" si="16"/>
        <v>0</v>
      </c>
      <c r="K17" s="24">
        <f t="shared" si="7"/>
        <v>2440.08</v>
      </c>
      <c r="L17" s="24">
        <f t="shared" si="17"/>
        <v>0</v>
      </c>
      <c r="M17" s="24">
        <f t="shared" si="29"/>
        <v>0</v>
      </c>
      <c r="N17" s="24">
        <f t="shared" si="18"/>
        <v>12030.92</v>
      </c>
      <c r="O17" s="24">
        <f t="shared" si="19"/>
        <v>0</v>
      </c>
      <c r="P17" s="24">
        <f t="shared" si="20"/>
        <v>0</v>
      </c>
      <c r="Q17" s="24">
        <f t="shared" si="8"/>
        <v>488453.51</v>
      </c>
      <c r="R17" s="36">
        <f t="shared" si="30"/>
        <v>76</v>
      </c>
      <c r="S17" s="36">
        <f t="shared" si="9"/>
        <v>76</v>
      </c>
      <c r="T17" s="64">
        <f>Z81/100</f>
        <v>7.0000000000000007E-2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14501</v>
      </c>
      <c r="AP17" s="105">
        <f t="shared" si="11"/>
        <v>12024.49</v>
      </c>
      <c r="AQ17" s="105">
        <f t="shared" si="12"/>
        <v>2476.5100000000002</v>
      </c>
      <c r="AR17" s="105">
        <f t="shared" si="27"/>
        <v>0</v>
      </c>
      <c r="AS17" s="105">
        <f t="shared" si="22"/>
        <v>0</v>
      </c>
      <c r="AT17" s="105">
        <f t="shared" si="23"/>
        <v>12024.49</v>
      </c>
      <c r="AU17" s="105">
        <f t="shared" si="24"/>
        <v>0</v>
      </c>
      <c r="AV17" s="105">
        <f t="shared" si="25"/>
        <v>0</v>
      </c>
      <c r="AW17" s="105">
        <f t="shared" si="13"/>
        <v>488154.9800000001</v>
      </c>
      <c r="AX17" s="108">
        <f t="shared" si="32"/>
        <v>76</v>
      </c>
      <c r="AY17" s="108">
        <f t="shared" si="14"/>
        <v>76</v>
      </c>
      <c r="AZ17" s="22">
        <f t="shared" si="3"/>
        <v>45589</v>
      </c>
      <c r="BA17" s="108">
        <f t="shared" si="3"/>
        <v>14471</v>
      </c>
      <c r="BC17" s="118">
        <f t="shared" si="4"/>
        <v>502655.9800000001</v>
      </c>
      <c r="BD17" s="583" t="s">
        <v>434</v>
      </c>
      <c r="BE17" s="572" t="s">
        <v>371</v>
      </c>
      <c r="BF17" s="573">
        <v>1.2E-2</v>
      </c>
      <c r="BM17" s="686" t="s">
        <v>418</v>
      </c>
      <c r="BN17" s="687" t="s">
        <v>419</v>
      </c>
      <c r="BO17" s="687" t="s">
        <v>435</v>
      </c>
    </row>
    <row r="18" spans="1:383" ht="16.5" customHeight="1" thickBot="1" x14ac:dyDescent="0.25">
      <c r="A18" s="853" t="s">
        <v>436</v>
      </c>
      <c r="B18" s="854"/>
      <c r="C18" s="631" t="s">
        <v>33</v>
      </c>
      <c r="D18" s="632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14471</v>
      </c>
      <c r="H18" s="24">
        <f t="shared" si="6"/>
        <v>12370.15</v>
      </c>
      <c r="I18" s="24">
        <f t="shared" si="26"/>
        <v>124063.65999999999</v>
      </c>
      <c r="J18" s="24">
        <f t="shared" si="16"/>
        <v>0</v>
      </c>
      <c r="K18" s="24">
        <f t="shared" si="7"/>
        <v>2100.8500000000004</v>
      </c>
      <c r="L18" s="24">
        <f t="shared" si="17"/>
        <v>0</v>
      </c>
      <c r="M18" s="24">
        <f t="shared" si="29"/>
        <v>0</v>
      </c>
      <c r="N18" s="24">
        <f t="shared" si="18"/>
        <v>12370.15</v>
      </c>
      <c r="O18" s="24">
        <f t="shared" si="19"/>
        <v>0</v>
      </c>
      <c r="P18" s="24">
        <f t="shared" si="20"/>
        <v>0</v>
      </c>
      <c r="Q18" s="24">
        <f t="shared" si="8"/>
        <v>486352.66000000003</v>
      </c>
      <c r="R18" s="36">
        <f t="shared" si="30"/>
        <v>75</v>
      </c>
      <c r="S18" s="36">
        <f t="shared" si="9"/>
        <v>75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14501</v>
      </c>
      <c r="AP18" s="105">
        <f t="shared" si="11"/>
        <v>12362.59</v>
      </c>
      <c r="AQ18" s="105">
        <f t="shared" si="12"/>
        <v>2138.41</v>
      </c>
      <c r="AR18" s="105">
        <f t="shared" si="27"/>
        <v>0</v>
      </c>
      <c r="AS18" s="105">
        <f t="shared" si="22"/>
        <v>0</v>
      </c>
      <c r="AT18" s="105">
        <f t="shared" si="23"/>
        <v>12362.59</v>
      </c>
      <c r="AU18" s="105">
        <f t="shared" si="24"/>
        <v>0</v>
      </c>
      <c r="AV18" s="105">
        <f t="shared" si="25"/>
        <v>0</v>
      </c>
      <c r="AW18" s="105">
        <f t="shared" si="13"/>
        <v>486016.57000000012</v>
      </c>
      <c r="AX18" s="108">
        <f t="shared" si="32"/>
        <v>75</v>
      </c>
      <c r="AY18" s="108">
        <f t="shared" si="14"/>
        <v>75</v>
      </c>
      <c r="AZ18" s="22">
        <f t="shared" si="3"/>
        <v>45620</v>
      </c>
      <c r="BA18" s="108">
        <f t="shared" si="3"/>
        <v>14471</v>
      </c>
      <c r="BC18" s="118">
        <f t="shared" si="4"/>
        <v>500517.57000000012</v>
      </c>
      <c r="BD18" s="574" t="s">
        <v>114</v>
      </c>
      <c r="BE18" s="572" t="s">
        <v>372</v>
      </c>
      <c r="BF18" s="573">
        <v>1.2E-2</v>
      </c>
      <c r="BM18" s="684" t="s">
        <v>360</v>
      </c>
      <c r="BN18" s="685" t="s">
        <v>423</v>
      </c>
      <c r="BO18" s="685" t="s">
        <v>429</v>
      </c>
    </row>
    <row r="19" spans="1:383" ht="12.75" customHeight="1" thickBot="1" x14ac:dyDescent="0.25">
      <c r="A19" s="855" t="s">
        <v>437</v>
      </c>
      <c r="B19" s="856"/>
      <c r="C19" s="630">
        <f>IF(OR(C8="Оптимум+",C8="Уверенность"),C17-6%,IF(C8="Оптимум",C17-4%,C17))</f>
        <v>0.29899999999999999</v>
      </c>
      <c r="D19" s="630">
        <f>IF(D8="Максимум",D17-6%,IF(D8="Оптимум",D17-4%,D17))</f>
        <v>0.29899999999999999</v>
      </c>
      <c r="E19" s="114">
        <f>E18+1</f>
        <v>11</v>
      </c>
      <c r="F19" s="111">
        <f t="shared" si="15"/>
        <v>45650</v>
      </c>
      <c r="G19" s="24">
        <f t="shared" si="5"/>
        <v>14471</v>
      </c>
      <c r="H19" s="24">
        <f t="shared" si="6"/>
        <v>11919.63</v>
      </c>
      <c r="I19" s="24">
        <f t="shared" si="26"/>
        <v>135983.28999999998</v>
      </c>
      <c r="J19" s="24">
        <f t="shared" si="16"/>
        <v>0</v>
      </c>
      <c r="K19" s="24">
        <f t="shared" si="7"/>
        <v>2551.3700000000008</v>
      </c>
      <c r="L19" s="24">
        <f t="shared" si="17"/>
        <v>0</v>
      </c>
      <c r="M19" s="24">
        <f>O18-L18</f>
        <v>0</v>
      </c>
      <c r="N19" s="24">
        <f t="shared" si="18"/>
        <v>11919.63</v>
      </c>
      <c r="O19" s="24">
        <f t="shared" si="19"/>
        <v>0</v>
      </c>
      <c r="P19" s="24">
        <f t="shared" si="20"/>
        <v>0</v>
      </c>
      <c r="Q19" s="24">
        <f t="shared" si="8"/>
        <v>483801.29000000004</v>
      </c>
      <c r="R19" s="36">
        <f>IF((R18-1)&lt;0,0,R18-1)</f>
        <v>74</v>
      </c>
      <c r="S19" s="36">
        <f t="shared" si="9"/>
        <v>74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14501</v>
      </c>
      <c r="AP19" s="105">
        <f t="shared" si="11"/>
        <v>11911.39</v>
      </c>
      <c r="AQ19" s="105">
        <f t="shared" si="12"/>
        <v>2589.6100000000006</v>
      </c>
      <c r="AR19" s="105">
        <f t="shared" si="27"/>
        <v>0</v>
      </c>
      <c r="AS19" s="105">
        <f t="shared" si="22"/>
        <v>0</v>
      </c>
      <c r="AT19" s="105">
        <f t="shared" si="23"/>
        <v>11911.39</v>
      </c>
      <c r="AU19" s="105">
        <f t="shared" si="24"/>
        <v>0</v>
      </c>
      <c r="AV19" s="105">
        <f t="shared" si="25"/>
        <v>0</v>
      </c>
      <c r="AW19" s="105">
        <f t="shared" si="13"/>
        <v>483426.96000000014</v>
      </c>
      <c r="AX19" s="108">
        <f t="shared" si="32"/>
        <v>74</v>
      </c>
      <c r="AY19" s="108">
        <f t="shared" si="14"/>
        <v>74</v>
      </c>
      <c r="AZ19" s="22">
        <f t="shared" si="3"/>
        <v>45650</v>
      </c>
      <c r="BA19" s="108">
        <f t="shared" si="3"/>
        <v>14471</v>
      </c>
      <c r="BC19" s="118">
        <f t="shared" si="4"/>
        <v>497927.96000000014</v>
      </c>
      <c r="BD19" s="574" t="s">
        <v>360</v>
      </c>
      <c r="BE19" s="572" t="s">
        <v>372</v>
      </c>
      <c r="BF19" s="573">
        <v>1.14E-2</v>
      </c>
      <c r="BM19" s="684" t="s">
        <v>424</v>
      </c>
      <c r="BN19" s="688" t="s">
        <v>425</v>
      </c>
      <c r="BO19" s="685" t="s">
        <v>431</v>
      </c>
    </row>
    <row r="20" spans="1:383" ht="21.75" customHeight="1" thickBot="1" x14ac:dyDescent="0.25">
      <c r="A20" s="857" t="s">
        <v>421</v>
      </c>
      <c r="B20" s="858"/>
      <c r="C20" s="630" t="str">
        <f>C8</f>
        <v>Нет</v>
      </c>
      <c r="D20" s="630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14471</v>
      </c>
      <c r="H20" s="24">
        <f t="shared" si="6"/>
        <v>12278.32</v>
      </c>
      <c r="I20" s="24">
        <f t="shared" si="26"/>
        <v>148261.60999999999</v>
      </c>
      <c r="J20" s="24">
        <f t="shared" si="16"/>
        <v>0</v>
      </c>
      <c r="K20" s="24">
        <f t="shared" si="7"/>
        <v>2192.6800000000003</v>
      </c>
      <c r="L20" s="24">
        <f t="shared" si="17"/>
        <v>0</v>
      </c>
      <c r="M20" s="24">
        <f>O19-L19</f>
        <v>0</v>
      </c>
      <c r="N20" s="24">
        <f t="shared" si="18"/>
        <v>12278.32</v>
      </c>
      <c r="O20" s="24">
        <f t="shared" si="19"/>
        <v>0</v>
      </c>
      <c r="P20" s="24">
        <f t="shared" si="20"/>
        <v>0</v>
      </c>
      <c r="Q20" s="24">
        <f t="shared" si="8"/>
        <v>481608.61000000004</v>
      </c>
      <c r="R20" s="36">
        <f>IF((R19-1)&lt;0,0,R19-1)</f>
        <v>73</v>
      </c>
      <c r="S20" s="36">
        <f t="shared" si="9"/>
        <v>73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14501</v>
      </c>
      <c r="AP20" s="105">
        <f t="shared" si="11"/>
        <v>12268.82</v>
      </c>
      <c r="AQ20" s="105">
        <f t="shared" si="12"/>
        <v>2232.1800000000003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12268.82</v>
      </c>
      <c r="AU20" s="105">
        <f t="shared" si="24"/>
        <v>0</v>
      </c>
      <c r="AV20" s="105">
        <f t="shared" si="25"/>
        <v>0</v>
      </c>
      <c r="AW20" s="105">
        <f t="shared" si="13"/>
        <v>481194.78000000014</v>
      </c>
      <c r="AX20" s="108">
        <f t="shared" si="32"/>
        <v>73</v>
      </c>
      <c r="AY20" s="108">
        <f t="shared" si="14"/>
        <v>73</v>
      </c>
      <c r="AZ20" s="22">
        <f t="shared" si="3"/>
        <v>45681</v>
      </c>
      <c r="BA20" s="108">
        <f t="shared" si="3"/>
        <v>14471</v>
      </c>
      <c r="BC20" s="118">
        <f t="shared" si="4"/>
        <v>495695.78000000014</v>
      </c>
      <c r="BF20" s="62"/>
      <c r="BM20" s="620"/>
      <c r="BN20" s="620"/>
      <c r="BO20" s="620"/>
    </row>
    <row r="21" spans="1:383" ht="16.5" customHeight="1" thickBot="1" x14ac:dyDescent="0.25">
      <c r="A21" s="855" t="s">
        <v>438</v>
      </c>
      <c r="B21" s="859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14471</v>
      </c>
      <c r="H21" s="24">
        <f t="shared" si="6"/>
        <v>12230.22</v>
      </c>
      <c r="I21" s="24">
        <f t="shared" si="26"/>
        <v>160491.82999999999</v>
      </c>
      <c r="J21" s="24">
        <f t="shared" si="16"/>
        <v>0</v>
      </c>
      <c r="K21" s="24">
        <f t="shared" si="7"/>
        <v>2240.7800000000007</v>
      </c>
      <c r="L21" s="24">
        <f t="shared" si="17"/>
        <v>0</v>
      </c>
      <c r="M21" s="24">
        <f t="shared" si="29"/>
        <v>0</v>
      </c>
      <c r="N21" s="24">
        <f t="shared" si="18"/>
        <v>12230.22</v>
      </c>
      <c r="O21" s="24">
        <f t="shared" si="19"/>
        <v>0</v>
      </c>
      <c r="P21" s="24">
        <f t="shared" si="20"/>
        <v>0</v>
      </c>
      <c r="Q21" s="24">
        <f t="shared" si="8"/>
        <v>479367.83</v>
      </c>
      <c r="R21" s="36">
        <f t="shared" si="30"/>
        <v>72</v>
      </c>
      <c r="S21" s="36">
        <f t="shared" si="9"/>
        <v>72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14501</v>
      </c>
      <c r="AP21" s="105">
        <f t="shared" si="11"/>
        <v>12219.71</v>
      </c>
      <c r="AQ21" s="105">
        <f t="shared" si="12"/>
        <v>2281.2900000000009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12219.71</v>
      </c>
      <c r="AU21" s="105">
        <f t="shared" si="24"/>
        <v>0</v>
      </c>
      <c r="AV21" s="105">
        <f t="shared" si="25"/>
        <v>0</v>
      </c>
      <c r="AW21" s="105">
        <f t="shared" si="13"/>
        <v>478913.49000000017</v>
      </c>
      <c r="AX21" s="108">
        <f t="shared" si="32"/>
        <v>72</v>
      </c>
      <c r="AY21" s="108">
        <f t="shared" si="14"/>
        <v>72</v>
      </c>
      <c r="AZ21" s="22">
        <f t="shared" si="3"/>
        <v>45712</v>
      </c>
      <c r="BA21" s="108">
        <f t="shared" si="3"/>
        <v>14471</v>
      </c>
      <c r="BD21" s="2" t="s">
        <v>377</v>
      </c>
      <c r="BK21" s="116"/>
      <c r="BM21" s="836" t="s">
        <v>439</v>
      </c>
      <c r="BN21" s="837"/>
      <c r="BO21" s="838"/>
    </row>
    <row r="22" spans="1:383" ht="16.5" customHeight="1" thickBot="1" x14ac:dyDescent="0.25">
      <c r="A22" s="847" t="s">
        <v>76</v>
      </c>
      <c r="B22" s="634" t="s">
        <v>102</v>
      </c>
      <c r="C22" s="622" t="s">
        <v>35</v>
      </c>
      <c r="D22" s="635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14471</v>
      </c>
      <c r="H22" s="24">
        <f t="shared" si="6"/>
        <v>10995.25</v>
      </c>
      <c r="I22" s="24">
        <f t="shared" si="26"/>
        <v>171487.08</v>
      </c>
      <c r="J22" s="24">
        <f t="shared" si="16"/>
        <v>0</v>
      </c>
      <c r="K22" s="24">
        <f t="shared" si="7"/>
        <v>3475.75</v>
      </c>
      <c r="L22" s="24">
        <f t="shared" si="17"/>
        <v>0</v>
      </c>
      <c r="M22" s="24">
        <f t="shared" si="29"/>
        <v>0</v>
      </c>
      <c r="N22" s="24">
        <f t="shared" si="18"/>
        <v>10995.25</v>
      </c>
      <c r="O22" s="24">
        <f t="shared" si="19"/>
        <v>0</v>
      </c>
      <c r="P22" s="24">
        <f t="shared" si="20"/>
        <v>0</v>
      </c>
      <c r="Q22" s="24">
        <f t="shared" si="8"/>
        <v>475892.08</v>
      </c>
      <c r="R22" s="36">
        <f t="shared" si="30"/>
        <v>71</v>
      </c>
      <c r="S22" s="36">
        <f t="shared" si="9"/>
        <v>71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8.9999999999999993E-3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14501</v>
      </c>
      <c r="AP22" s="105">
        <f t="shared" si="11"/>
        <v>10984.83</v>
      </c>
      <c r="AQ22" s="105">
        <f t="shared" si="12"/>
        <v>3516.17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10984.83</v>
      </c>
      <c r="AU22" s="105">
        <f t="shared" si="24"/>
        <v>0</v>
      </c>
      <c r="AV22" s="105">
        <f t="shared" si="25"/>
        <v>0</v>
      </c>
      <c r="AW22" s="105">
        <f t="shared" si="13"/>
        <v>475397.32000000018</v>
      </c>
      <c r="AX22" s="108">
        <f t="shared" si="32"/>
        <v>71</v>
      </c>
      <c r="AY22" s="108">
        <f t="shared" si="14"/>
        <v>71</v>
      </c>
      <c r="AZ22" s="22">
        <f t="shared" si="3"/>
        <v>45740</v>
      </c>
      <c r="BA22" s="108">
        <f t="shared" si="3"/>
        <v>14471</v>
      </c>
      <c r="BD22" s="2" t="s">
        <v>434</v>
      </c>
      <c r="BE22" s="2">
        <f>IF(AND(C10&lt;=47,C17=29.9%),7,IF(C10&lt;=47,8,IF(AND(C17=24.9%,C10&gt;47),10,9)))</f>
        <v>9</v>
      </c>
      <c r="BH22" s="2" t="s">
        <v>360</v>
      </c>
      <c r="BI22" s="2">
        <f>IF(AND(C10&lt;=47,C17=29.9%),4,IF(AND(C10&lt;=47,C17=24.9%),6,IF(C10&lt;=47,5,IF(C17=29.9%,5,IF(C17=19.9%,6,7)))))</f>
        <v>5</v>
      </c>
      <c r="BM22" s="686" t="s">
        <v>418</v>
      </c>
      <c r="BN22" s="687" t="s">
        <v>419</v>
      </c>
      <c r="BO22" s="687" t="s">
        <v>435</v>
      </c>
    </row>
    <row r="23" spans="1:383" ht="13.5" thickBot="1" x14ac:dyDescent="0.25">
      <c r="A23" s="847"/>
      <c r="B23" s="634" t="s">
        <v>440</v>
      </c>
      <c r="C23" s="636" t="str">
        <f>IF(C22="Нет",$X$60,IF(C8="Пакет БВ + ГС",$V$13,$U$13))</f>
        <v>Услуга не подключается</v>
      </c>
      <c r="D23" s="636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14471</v>
      </c>
      <c r="H23" s="24">
        <f t="shared" si="6"/>
        <v>12085.05</v>
      </c>
      <c r="I23" s="24">
        <f t="shared" si="26"/>
        <v>183572.12999999998</v>
      </c>
      <c r="J23" s="24">
        <f t="shared" si="16"/>
        <v>0</v>
      </c>
      <c r="K23" s="24">
        <f t="shared" si="7"/>
        <v>2385.9500000000007</v>
      </c>
      <c r="L23" s="24">
        <f t="shared" si="17"/>
        <v>0</v>
      </c>
      <c r="M23" s="24">
        <f t="shared" si="29"/>
        <v>0</v>
      </c>
      <c r="N23" s="24">
        <f t="shared" si="18"/>
        <v>12085.05</v>
      </c>
      <c r="O23" s="24">
        <f t="shared" si="19"/>
        <v>0</v>
      </c>
      <c r="P23" s="24">
        <f t="shared" si="20"/>
        <v>0</v>
      </c>
      <c r="Q23" s="24">
        <f t="shared" si="8"/>
        <v>473506.13</v>
      </c>
      <c r="R23" s="36">
        <f t="shared" si="30"/>
        <v>70</v>
      </c>
      <c r="S23" s="36">
        <f t="shared" si="9"/>
        <v>70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14501</v>
      </c>
      <c r="AP23" s="105">
        <f t="shared" si="11"/>
        <v>12072.49</v>
      </c>
      <c r="AQ23" s="105">
        <f t="shared" si="12"/>
        <v>2428.5100000000002</v>
      </c>
      <c r="AR23" s="105">
        <f t="shared" si="34"/>
        <v>0</v>
      </c>
      <c r="AS23" s="105">
        <f t="shared" si="22"/>
        <v>0</v>
      </c>
      <c r="AT23" s="105">
        <f t="shared" si="23"/>
        <v>12072.49</v>
      </c>
      <c r="AU23" s="105">
        <f t="shared" si="24"/>
        <v>0</v>
      </c>
      <c r="AV23" s="105">
        <f t="shared" si="25"/>
        <v>0</v>
      </c>
      <c r="AW23" s="105">
        <f t="shared" si="13"/>
        <v>472968.81000000017</v>
      </c>
      <c r="AX23" s="108">
        <f t="shared" si="32"/>
        <v>70</v>
      </c>
      <c r="AY23" s="108">
        <f t="shared" si="14"/>
        <v>70</v>
      </c>
      <c r="AZ23" s="22">
        <f t="shared" si="3"/>
        <v>45771</v>
      </c>
      <c r="BA23" s="108">
        <f t="shared" si="3"/>
        <v>14471</v>
      </c>
      <c r="BD23" s="16" t="s">
        <v>373</v>
      </c>
      <c r="BE23" s="637">
        <f>(C7+C12+C25)/(1-BF17*BE22)</f>
        <v>568384.52914798202</v>
      </c>
      <c r="BF23" s="16"/>
      <c r="BG23" s="16"/>
      <c r="BH23" s="16" t="s">
        <v>373</v>
      </c>
      <c r="BI23" s="143">
        <f>(C7+C12)/(1-BF19*BI22)</f>
        <v>537644.75079533411</v>
      </c>
      <c r="BM23" s="684" t="s">
        <v>360</v>
      </c>
      <c r="BN23" s="685" t="s">
        <v>422</v>
      </c>
      <c r="BO23" s="685" t="s">
        <v>423</v>
      </c>
    </row>
    <row r="24" spans="1:383" ht="16.5" customHeight="1" thickBot="1" x14ac:dyDescent="0.25">
      <c r="A24" s="847"/>
      <c r="B24" s="634" t="s">
        <v>441</v>
      </c>
      <c r="C24" s="638">
        <v>0.05</v>
      </c>
      <c r="D24" s="638"/>
      <c r="E24" s="114">
        <f t="shared" si="28"/>
        <v>16</v>
      </c>
      <c r="F24" s="111">
        <f t="shared" si="15"/>
        <v>45801</v>
      </c>
      <c r="G24" s="24">
        <f t="shared" si="5"/>
        <v>14471</v>
      </c>
      <c r="H24" s="24">
        <f t="shared" si="6"/>
        <v>11636.58</v>
      </c>
      <c r="I24" s="24">
        <f t="shared" si="26"/>
        <v>195208.70999999996</v>
      </c>
      <c r="J24" s="24">
        <f t="shared" si="16"/>
        <v>0</v>
      </c>
      <c r="K24" s="24">
        <f t="shared" si="7"/>
        <v>2834.42</v>
      </c>
      <c r="L24" s="24">
        <f t="shared" si="17"/>
        <v>0</v>
      </c>
      <c r="M24" s="24">
        <f t="shared" si="29"/>
        <v>0</v>
      </c>
      <c r="N24" s="24">
        <f t="shared" si="18"/>
        <v>11636.58</v>
      </c>
      <c r="O24" s="24">
        <f t="shared" si="19"/>
        <v>0</v>
      </c>
      <c r="P24" s="24">
        <f t="shared" si="20"/>
        <v>0</v>
      </c>
      <c r="Q24" s="24">
        <f t="shared" si="8"/>
        <v>470671.71</v>
      </c>
      <c r="R24" s="36">
        <f t="shared" si="30"/>
        <v>69</v>
      </c>
      <c r="S24" s="36">
        <f t="shared" si="9"/>
        <v>69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14501</v>
      </c>
      <c r="AP24" s="105">
        <f t="shared" si="11"/>
        <v>11623.37</v>
      </c>
      <c r="AQ24" s="105">
        <f t="shared" si="12"/>
        <v>2877.6299999999992</v>
      </c>
      <c r="AR24" s="105">
        <f t="shared" si="34"/>
        <v>0</v>
      </c>
      <c r="AS24" s="105">
        <f t="shared" si="22"/>
        <v>0</v>
      </c>
      <c r="AT24" s="105">
        <f t="shared" si="23"/>
        <v>11623.37</v>
      </c>
      <c r="AU24" s="105">
        <f t="shared" si="24"/>
        <v>0</v>
      </c>
      <c r="AV24" s="105">
        <f t="shared" si="25"/>
        <v>0</v>
      </c>
      <c r="AW24" s="105">
        <f t="shared" si="13"/>
        <v>470091.18000000017</v>
      </c>
      <c r="AX24" s="108">
        <f t="shared" si="32"/>
        <v>69</v>
      </c>
      <c r="AY24" s="108">
        <f t="shared" si="14"/>
        <v>69</v>
      </c>
      <c r="AZ24" s="22">
        <f t="shared" si="3"/>
        <v>45801</v>
      </c>
      <c r="BA24" s="108">
        <f t="shared" si="3"/>
        <v>14471</v>
      </c>
      <c r="BD24" s="16" t="s">
        <v>374</v>
      </c>
      <c r="BE24" s="143">
        <f>BE23*BF17*BE22</f>
        <v>61385.529147982059</v>
      </c>
      <c r="BF24" s="16"/>
      <c r="BG24" s="16"/>
      <c r="BH24" s="16" t="s">
        <v>374</v>
      </c>
      <c r="BI24" s="143">
        <f>BI23*BF19*BI22</f>
        <v>30645.750795334046</v>
      </c>
      <c r="BM24" s="684" t="s">
        <v>424</v>
      </c>
      <c r="BN24" s="685" t="s">
        <v>425</v>
      </c>
      <c r="BO24" s="685" t="s">
        <v>426</v>
      </c>
    </row>
    <row r="25" spans="1:383" ht="16.5" customHeight="1" x14ac:dyDescent="0.2">
      <c r="A25" s="847"/>
      <c r="B25" s="634" t="s">
        <v>442</v>
      </c>
      <c r="C25" s="639">
        <f>IF(C23&lt;&gt;X60,IF(C22="Нет",0,ROUND($C$7*C24,2)),0)</f>
        <v>0</v>
      </c>
      <c r="D25" s="639"/>
      <c r="E25" s="114">
        <f t="shared" si="28"/>
        <v>17</v>
      </c>
      <c r="F25" s="111">
        <f t="shared" si="15"/>
        <v>45832</v>
      </c>
      <c r="G25" s="24">
        <f t="shared" si="5"/>
        <v>14471</v>
      </c>
      <c r="H25" s="24">
        <f t="shared" si="6"/>
        <v>11952.48</v>
      </c>
      <c r="I25" s="24">
        <f t="shared" si="26"/>
        <v>207161.18999999997</v>
      </c>
      <c r="J25" s="24">
        <f t="shared" si="16"/>
        <v>0</v>
      </c>
      <c r="K25" s="24">
        <f t="shared" si="7"/>
        <v>2518.5200000000004</v>
      </c>
      <c r="L25" s="24">
        <f t="shared" si="17"/>
        <v>0</v>
      </c>
      <c r="M25" s="24">
        <f t="shared" si="29"/>
        <v>0</v>
      </c>
      <c r="N25" s="24">
        <f t="shared" si="18"/>
        <v>11952.48</v>
      </c>
      <c r="O25" s="24">
        <f t="shared" si="19"/>
        <v>0</v>
      </c>
      <c r="P25" s="24">
        <f t="shared" si="20"/>
        <v>0</v>
      </c>
      <c r="Q25" s="24">
        <f t="shared" si="8"/>
        <v>468153.19</v>
      </c>
      <c r="R25" s="36">
        <f t="shared" si="30"/>
        <v>68</v>
      </c>
      <c r="S25" s="36">
        <f t="shared" si="9"/>
        <v>68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14501</v>
      </c>
      <c r="AP25" s="105">
        <f t="shared" si="11"/>
        <v>11937.74</v>
      </c>
      <c r="AQ25" s="105">
        <f t="shared" si="12"/>
        <v>2563.2600000000002</v>
      </c>
      <c r="AR25" s="105">
        <f t="shared" si="34"/>
        <v>0</v>
      </c>
      <c r="AS25" s="105">
        <f t="shared" si="22"/>
        <v>0</v>
      </c>
      <c r="AT25" s="105">
        <f t="shared" si="23"/>
        <v>11937.74</v>
      </c>
      <c r="AU25" s="105">
        <f t="shared" si="24"/>
        <v>0</v>
      </c>
      <c r="AV25" s="105">
        <f t="shared" si="25"/>
        <v>0</v>
      </c>
      <c r="AW25" s="105">
        <f t="shared" si="13"/>
        <v>467527.92000000016</v>
      </c>
      <c r="AX25" s="108">
        <f t="shared" si="32"/>
        <v>68</v>
      </c>
      <c r="AY25" s="108">
        <f t="shared" si="14"/>
        <v>68</v>
      </c>
      <c r="AZ25" s="22">
        <f t="shared" si="3"/>
        <v>45832</v>
      </c>
      <c r="BA25" s="108">
        <f t="shared" si="3"/>
        <v>14471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47"/>
      <c r="B26" s="634" t="s">
        <v>443</v>
      </c>
      <c r="C26" s="639">
        <f>IF(AND($C$23&lt;&gt;X60,C22="Да"),H160-H160/C19*C23,0)</f>
        <v>0</v>
      </c>
      <c r="D26" s="640"/>
      <c r="E26" s="114">
        <f t="shared" si="28"/>
        <v>18</v>
      </c>
      <c r="F26" s="111">
        <f t="shared" si="15"/>
        <v>45862</v>
      </c>
      <c r="G26" s="24">
        <f t="shared" si="5"/>
        <v>14471</v>
      </c>
      <c r="H26" s="24">
        <f t="shared" si="6"/>
        <v>11505.02</v>
      </c>
      <c r="I26" s="24">
        <f t="shared" si="26"/>
        <v>218666.20999999996</v>
      </c>
      <c r="J26" s="24">
        <f t="shared" si="16"/>
        <v>0</v>
      </c>
      <c r="K26" s="24">
        <f t="shared" si="7"/>
        <v>2965.9799999999996</v>
      </c>
      <c r="L26" s="24">
        <f t="shared" si="17"/>
        <v>0</v>
      </c>
      <c r="M26" s="24">
        <f t="shared" si="29"/>
        <v>0</v>
      </c>
      <c r="N26" s="24">
        <f t="shared" si="18"/>
        <v>11505.02</v>
      </c>
      <c r="O26" s="24">
        <f t="shared" si="19"/>
        <v>0</v>
      </c>
      <c r="P26" s="24">
        <f t="shared" si="20"/>
        <v>0</v>
      </c>
      <c r="Q26" s="24">
        <f t="shared" si="8"/>
        <v>465187.21</v>
      </c>
      <c r="R26" s="36">
        <f t="shared" si="30"/>
        <v>67</v>
      </c>
      <c r="S26" s="36">
        <f t="shared" si="9"/>
        <v>67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14501</v>
      </c>
      <c r="AP26" s="105">
        <f t="shared" si="11"/>
        <v>11489.66</v>
      </c>
      <c r="AQ26" s="105">
        <f t="shared" si="12"/>
        <v>3011.34</v>
      </c>
      <c r="AR26" s="105">
        <f t="shared" si="34"/>
        <v>0</v>
      </c>
      <c r="AS26" s="105">
        <f t="shared" si="22"/>
        <v>0</v>
      </c>
      <c r="AT26" s="105">
        <f t="shared" si="23"/>
        <v>11489.66</v>
      </c>
      <c r="AU26" s="105">
        <f t="shared" si="24"/>
        <v>0</v>
      </c>
      <c r="AV26" s="105">
        <f t="shared" si="25"/>
        <v>0</v>
      </c>
      <c r="AW26" s="105">
        <f t="shared" si="13"/>
        <v>464516.58000000013</v>
      </c>
      <c r="AX26" s="108">
        <f t="shared" si="32"/>
        <v>67</v>
      </c>
      <c r="AY26" s="108">
        <f t="shared" si="14"/>
        <v>67</v>
      </c>
      <c r="AZ26" s="22">
        <f t="shared" si="3"/>
        <v>45862</v>
      </c>
      <c r="BA26" s="108">
        <f t="shared" si="3"/>
        <v>14471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47"/>
      <c r="B27" s="641" t="s">
        <v>444</v>
      </c>
      <c r="C27" s="642">
        <f>IF(AND($C$23&lt;&gt;X60,J160&gt;0),C26-J160,C26)</f>
        <v>0</v>
      </c>
      <c r="D27" s="643"/>
      <c r="E27" s="114">
        <f t="shared" si="28"/>
        <v>19</v>
      </c>
      <c r="F27" s="111">
        <f t="shared" si="15"/>
        <v>45893</v>
      </c>
      <c r="G27" s="24">
        <f t="shared" si="5"/>
        <v>14471</v>
      </c>
      <c r="H27" s="24">
        <f t="shared" si="6"/>
        <v>11813.21</v>
      </c>
      <c r="I27" s="24">
        <f t="shared" si="26"/>
        <v>230479.41999999995</v>
      </c>
      <c r="J27" s="24">
        <f t="shared" si="16"/>
        <v>0</v>
      </c>
      <c r="K27" s="24">
        <f t="shared" si="7"/>
        <v>2657.7900000000009</v>
      </c>
      <c r="L27" s="24">
        <f t="shared" si="17"/>
        <v>0</v>
      </c>
      <c r="M27" s="24">
        <f t="shared" si="29"/>
        <v>0</v>
      </c>
      <c r="N27" s="24">
        <f t="shared" si="18"/>
        <v>11813.21</v>
      </c>
      <c r="O27" s="24">
        <f t="shared" si="19"/>
        <v>0</v>
      </c>
      <c r="P27" s="24">
        <f t="shared" si="20"/>
        <v>0</v>
      </c>
      <c r="Q27" s="24">
        <f t="shared" si="8"/>
        <v>462529.42000000004</v>
      </c>
      <c r="R27" s="36">
        <f t="shared" si="30"/>
        <v>66</v>
      </c>
      <c r="S27" s="36">
        <f t="shared" si="9"/>
        <v>66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14501</v>
      </c>
      <c r="AP27" s="105">
        <f t="shared" si="11"/>
        <v>11796.18</v>
      </c>
      <c r="AQ27" s="105">
        <f t="shared" si="12"/>
        <v>2704.8199999999997</v>
      </c>
      <c r="AR27" s="105">
        <f t="shared" si="34"/>
        <v>0</v>
      </c>
      <c r="AS27" s="105">
        <f t="shared" si="22"/>
        <v>0</v>
      </c>
      <c r="AT27" s="105">
        <f t="shared" si="23"/>
        <v>11796.18</v>
      </c>
      <c r="AU27" s="105">
        <f t="shared" si="24"/>
        <v>0</v>
      </c>
      <c r="AV27" s="105">
        <f t="shared" si="25"/>
        <v>0</v>
      </c>
      <c r="AW27" s="105">
        <f t="shared" si="13"/>
        <v>461811.76000000013</v>
      </c>
      <c r="AX27" s="108">
        <f t="shared" si="32"/>
        <v>66</v>
      </c>
      <c r="AY27" s="108">
        <f t="shared" si="14"/>
        <v>66</v>
      </c>
      <c r="AZ27" s="22">
        <f t="shared" si="3"/>
        <v>45893</v>
      </c>
      <c r="BA27" s="108">
        <f t="shared" si="3"/>
        <v>14471</v>
      </c>
      <c r="BF27" s="16"/>
      <c r="BG27" s="16"/>
      <c r="BJ27" s="16"/>
    </row>
    <row r="28" spans="1:383" ht="22.5" customHeight="1" x14ac:dyDescent="0.2">
      <c r="A28" s="861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862"/>
      <c r="C28" s="644">
        <f>C7+C32+IF(C22="Да",C25,0)+IF(C11="Да",C12,0)</f>
        <v>506999</v>
      </c>
      <c r="D28" s="644">
        <f>D7+D32+IF(D22="Да",D25,0)+IF(D11="Да",D12,0)</f>
        <v>506999</v>
      </c>
      <c r="E28" s="114">
        <f t="shared" si="28"/>
        <v>20</v>
      </c>
      <c r="F28" s="111">
        <f t="shared" si="15"/>
        <v>45924</v>
      </c>
      <c r="G28" s="24">
        <f t="shared" si="5"/>
        <v>14471</v>
      </c>
      <c r="H28" s="24">
        <f t="shared" si="6"/>
        <v>11745.71</v>
      </c>
      <c r="I28" s="24">
        <f t="shared" si="26"/>
        <v>242225.12999999995</v>
      </c>
      <c r="J28" s="24">
        <f t="shared" si="16"/>
        <v>0</v>
      </c>
      <c r="K28" s="24">
        <f t="shared" si="7"/>
        <v>2725.2900000000009</v>
      </c>
      <c r="L28" s="24">
        <f t="shared" si="17"/>
        <v>0</v>
      </c>
      <c r="M28" s="24">
        <f t="shared" si="29"/>
        <v>0</v>
      </c>
      <c r="N28" s="24">
        <f t="shared" si="18"/>
        <v>11745.71</v>
      </c>
      <c r="O28" s="24">
        <f t="shared" si="19"/>
        <v>0</v>
      </c>
      <c r="P28" s="24">
        <f t="shared" si="20"/>
        <v>0</v>
      </c>
      <c r="Q28" s="24">
        <f t="shared" si="8"/>
        <v>459804.13000000006</v>
      </c>
      <c r="R28" s="36">
        <f t="shared" si="30"/>
        <v>65</v>
      </c>
      <c r="S28" s="36">
        <f t="shared" si="9"/>
        <v>65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14501</v>
      </c>
      <c r="AP28" s="105">
        <f t="shared" si="11"/>
        <v>11727.49</v>
      </c>
      <c r="AQ28" s="105">
        <f t="shared" si="12"/>
        <v>2773.51</v>
      </c>
      <c r="AR28" s="105">
        <f t="shared" si="34"/>
        <v>0</v>
      </c>
      <c r="AS28" s="105">
        <f t="shared" si="22"/>
        <v>0</v>
      </c>
      <c r="AT28" s="105">
        <f t="shared" si="23"/>
        <v>11727.49</v>
      </c>
      <c r="AU28" s="105">
        <f t="shared" si="24"/>
        <v>0</v>
      </c>
      <c r="AV28" s="105">
        <f t="shared" si="25"/>
        <v>0</v>
      </c>
      <c r="AW28" s="105">
        <f t="shared" si="13"/>
        <v>459038.25000000012</v>
      </c>
      <c r="AX28" s="108">
        <f t="shared" si="32"/>
        <v>65</v>
      </c>
      <c r="AY28" s="108">
        <f t="shared" si="14"/>
        <v>65</v>
      </c>
      <c r="AZ28" s="22">
        <f t="shared" si="3"/>
        <v>45924</v>
      </c>
      <c r="BA28" s="108">
        <f t="shared" si="3"/>
        <v>14471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61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862"/>
      <c r="C29" s="645">
        <f>IF(AND(C8="Нет",C22="Нет"),ROUNDUP(AB55/$AE$47,0)*$AE$47,D29)</f>
        <v>14471</v>
      </c>
      <c r="D29" s="646">
        <f>ROUNDUP(AD$55/$AE$47,0)*$AE$47</f>
        <v>14501</v>
      </c>
      <c r="E29" s="114">
        <f t="shared" si="28"/>
        <v>21</v>
      </c>
      <c r="F29" s="111">
        <f t="shared" si="15"/>
        <v>45954</v>
      </c>
      <c r="G29" s="24">
        <f t="shared" si="5"/>
        <v>14471</v>
      </c>
      <c r="H29" s="24">
        <f t="shared" si="6"/>
        <v>11299.84</v>
      </c>
      <c r="I29" s="24">
        <f t="shared" si="26"/>
        <v>253524.96999999994</v>
      </c>
      <c r="J29" s="24">
        <f t="shared" si="16"/>
        <v>0</v>
      </c>
      <c r="K29" s="24">
        <f t="shared" si="7"/>
        <v>3171.16</v>
      </c>
      <c r="L29" s="24">
        <f t="shared" si="17"/>
        <v>0</v>
      </c>
      <c r="M29" s="24">
        <f t="shared" si="29"/>
        <v>0</v>
      </c>
      <c r="N29" s="24">
        <f t="shared" si="18"/>
        <v>11299.84</v>
      </c>
      <c r="O29" s="24">
        <f t="shared" si="19"/>
        <v>0</v>
      </c>
      <c r="P29" s="24">
        <f t="shared" si="20"/>
        <v>0</v>
      </c>
      <c r="Q29" s="24">
        <f t="shared" si="8"/>
        <v>456632.97000000009</v>
      </c>
      <c r="R29" s="36">
        <f t="shared" si="30"/>
        <v>64</v>
      </c>
      <c r="S29" s="36">
        <f t="shared" si="9"/>
        <v>64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14501</v>
      </c>
      <c r="AP29" s="105">
        <f t="shared" si="11"/>
        <v>11281.02</v>
      </c>
      <c r="AQ29" s="105">
        <f t="shared" si="12"/>
        <v>3219.9799999999996</v>
      </c>
      <c r="AR29" s="105">
        <f t="shared" si="34"/>
        <v>0</v>
      </c>
      <c r="AS29" s="105">
        <f t="shared" si="22"/>
        <v>0</v>
      </c>
      <c r="AT29" s="105">
        <f t="shared" si="23"/>
        <v>11281.02</v>
      </c>
      <c r="AU29" s="105">
        <f t="shared" si="24"/>
        <v>0</v>
      </c>
      <c r="AV29" s="105">
        <f t="shared" si="25"/>
        <v>0</v>
      </c>
      <c r="AW29" s="105">
        <f t="shared" si="13"/>
        <v>455818.27000000014</v>
      </c>
      <c r="AX29" s="108">
        <f t="shared" si="32"/>
        <v>64</v>
      </c>
      <c r="AY29" s="108">
        <f t="shared" si="14"/>
        <v>64</v>
      </c>
      <c r="AZ29" s="22">
        <f t="shared" si="3"/>
        <v>45954</v>
      </c>
      <c r="BA29" s="108">
        <f t="shared" si="3"/>
        <v>14471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41" t="s">
        <v>445</v>
      </c>
      <c r="B30" s="863"/>
      <c r="C30" s="647">
        <v>12</v>
      </c>
      <c r="D30" s="648">
        <v>12</v>
      </c>
      <c r="E30" s="114">
        <f t="shared" si="28"/>
        <v>22</v>
      </c>
      <c r="F30" s="111">
        <f t="shared" si="15"/>
        <v>45985</v>
      </c>
      <c r="G30" s="24">
        <f t="shared" si="5"/>
        <v>14471</v>
      </c>
      <c r="H30" s="24">
        <f t="shared" si="6"/>
        <v>11595.98</v>
      </c>
      <c r="I30" s="24">
        <f t="shared" si="26"/>
        <v>265120.94999999995</v>
      </c>
      <c r="J30" s="24">
        <f t="shared" si="16"/>
        <v>0</v>
      </c>
      <c r="K30" s="24">
        <f t="shared" si="7"/>
        <v>2875.0200000000004</v>
      </c>
      <c r="L30" s="24">
        <f t="shared" si="17"/>
        <v>0</v>
      </c>
      <c r="M30" s="24">
        <f t="shared" si="29"/>
        <v>0</v>
      </c>
      <c r="N30" s="24">
        <f t="shared" si="18"/>
        <v>11595.98</v>
      </c>
      <c r="O30" s="24">
        <f t="shared" si="19"/>
        <v>0</v>
      </c>
      <c r="P30" s="24">
        <f t="shared" si="20"/>
        <v>0</v>
      </c>
      <c r="Q30" s="24">
        <f t="shared" si="8"/>
        <v>453757.95000000007</v>
      </c>
      <c r="R30" s="36">
        <f t="shared" si="30"/>
        <v>63</v>
      </c>
      <c r="S30" s="36">
        <f t="shared" si="9"/>
        <v>63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14501</v>
      </c>
      <c r="AP30" s="105">
        <f t="shared" si="11"/>
        <v>11575.29</v>
      </c>
      <c r="AQ30" s="105">
        <f t="shared" si="12"/>
        <v>2925.7099999999991</v>
      </c>
      <c r="AR30" s="105">
        <f t="shared" si="34"/>
        <v>0</v>
      </c>
      <c r="AS30" s="105">
        <f t="shared" si="22"/>
        <v>0</v>
      </c>
      <c r="AT30" s="105">
        <f t="shared" si="23"/>
        <v>11575.29</v>
      </c>
      <c r="AU30" s="105">
        <f t="shared" si="24"/>
        <v>0</v>
      </c>
      <c r="AV30" s="105">
        <f t="shared" si="25"/>
        <v>0</v>
      </c>
      <c r="AW30" s="105">
        <f t="shared" si="13"/>
        <v>452892.56000000011</v>
      </c>
      <c r="AX30" s="108">
        <f t="shared" si="32"/>
        <v>63</v>
      </c>
      <c r="AY30" s="108">
        <f t="shared" si="14"/>
        <v>63</v>
      </c>
      <c r="AZ30" s="22">
        <f t="shared" si="3"/>
        <v>45985</v>
      </c>
      <c r="BA30" s="108">
        <f t="shared" si="3"/>
        <v>14471</v>
      </c>
    </row>
    <row r="31" spans="1:383" ht="21" customHeight="1" x14ac:dyDescent="0.2">
      <c r="A31" s="841" t="s">
        <v>100</v>
      </c>
      <c r="B31" s="842"/>
      <c r="C31" s="649">
        <f>IF(OR(C8="Оптимум+",C8="Уверенность"),$BF$17,IF(C8="нет",0,IF(C8="Оптимум",$BF$19,0)))</f>
        <v>0</v>
      </c>
      <c r="D31" s="649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14471</v>
      </c>
      <c r="H31" s="24">
        <f t="shared" si="6"/>
        <v>11151.26</v>
      </c>
      <c r="I31" s="24">
        <f t="shared" si="26"/>
        <v>276272.20999999996</v>
      </c>
      <c r="J31" s="24">
        <f t="shared" si="16"/>
        <v>0</v>
      </c>
      <c r="K31" s="24">
        <f t="shared" si="7"/>
        <v>3319.74</v>
      </c>
      <c r="L31" s="24">
        <f t="shared" si="17"/>
        <v>0</v>
      </c>
      <c r="M31" s="24">
        <f t="shared" si="29"/>
        <v>0</v>
      </c>
      <c r="N31" s="24">
        <f t="shared" si="18"/>
        <v>11151.26</v>
      </c>
      <c r="O31" s="24">
        <f t="shared" si="19"/>
        <v>0</v>
      </c>
      <c r="P31" s="24">
        <f t="shared" si="20"/>
        <v>0</v>
      </c>
      <c r="Q31" s="24">
        <f t="shared" si="8"/>
        <v>450438.21000000008</v>
      </c>
      <c r="R31" s="36">
        <f t="shared" si="30"/>
        <v>62</v>
      </c>
      <c r="S31" s="36">
        <f t="shared" si="9"/>
        <v>62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14501</v>
      </c>
      <c r="AP31" s="105">
        <f t="shared" si="11"/>
        <v>11129.99</v>
      </c>
      <c r="AQ31" s="105">
        <f t="shared" si="12"/>
        <v>3371.01</v>
      </c>
      <c r="AR31" s="105">
        <f t="shared" si="34"/>
        <v>0</v>
      </c>
      <c r="AS31" s="105">
        <f t="shared" si="22"/>
        <v>0</v>
      </c>
      <c r="AT31" s="105">
        <f t="shared" si="23"/>
        <v>11129.99</v>
      </c>
      <c r="AU31" s="105">
        <f t="shared" si="24"/>
        <v>0</v>
      </c>
      <c r="AV31" s="105">
        <f t="shared" si="25"/>
        <v>0</v>
      </c>
      <c r="AW31" s="105">
        <f t="shared" si="13"/>
        <v>449521.5500000001</v>
      </c>
      <c r="AX31" s="108">
        <f t="shared" si="32"/>
        <v>62</v>
      </c>
      <c r="AY31" s="108">
        <f t="shared" si="14"/>
        <v>62</v>
      </c>
      <c r="AZ31" s="22">
        <f t="shared" si="3"/>
        <v>46015</v>
      </c>
      <c r="BA31" s="108">
        <f t="shared" si="3"/>
        <v>14471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41" t="s">
        <v>446</v>
      </c>
      <c r="B32" s="842"/>
      <c r="C32" s="650">
        <f>IF(OR(C8="Оптимум+",C8="Уверенность"),$BE$24,IF(C8="нет",0,IF(C8="Оптимум",$BI$24,0)))</f>
        <v>0</v>
      </c>
      <c r="D32" s="650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14471</v>
      </c>
      <c r="H32" s="24">
        <f t="shared" si="6"/>
        <v>11438.66</v>
      </c>
      <c r="I32" s="24">
        <f t="shared" si="26"/>
        <v>287710.86999999994</v>
      </c>
      <c r="J32" s="24">
        <f t="shared" si="16"/>
        <v>0</v>
      </c>
      <c r="K32" s="24">
        <f t="shared" si="7"/>
        <v>3032.34</v>
      </c>
      <c r="L32" s="24">
        <f t="shared" si="17"/>
        <v>0</v>
      </c>
      <c r="M32" s="24">
        <f t="shared" si="29"/>
        <v>0</v>
      </c>
      <c r="N32" s="24">
        <f t="shared" si="18"/>
        <v>11438.66</v>
      </c>
      <c r="O32" s="24">
        <f t="shared" si="19"/>
        <v>0</v>
      </c>
      <c r="P32" s="24">
        <f t="shared" si="20"/>
        <v>0</v>
      </c>
      <c r="Q32" s="24">
        <f t="shared" si="8"/>
        <v>447405.87000000005</v>
      </c>
      <c r="R32" s="36">
        <f t="shared" si="30"/>
        <v>61</v>
      </c>
      <c r="S32" s="36">
        <f t="shared" si="9"/>
        <v>61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8.9999999999999993E-3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14501</v>
      </c>
      <c r="AP32" s="105">
        <f t="shared" si="11"/>
        <v>11415.38</v>
      </c>
      <c r="AQ32" s="105">
        <f t="shared" si="12"/>
        <v>3085.6200000000008</v>
      </c>
      <c r="AR32" s="105">
        <f t="shared" si="34"/>
        <v>0</v>
      </c>
      <c r="AS32" s="105">
        <f t="shared" si="22"/>
        <v>0</v>
      </c>
      <c r="AT32" s="105">
        <f t="shared" si="23"/>
        <v>11415.38</v>
      </c>
      <c r="AU32" s="105">
        <f t="shared" si="24"/>
        <v>0</v>
      </c>
      <c r="AV32" s="105">
        <f t="shared" si="25"/>
        <v>0</v>
      </c>
      <c r="AW32" s="105">
        <f t="shared" si="13"/>
        <v>446435.93000000011</v>
      </c>
      <c r="AX32" s="108">
        <f t="shared" si="32"/>
        <v>61</v>
      </c>
      <c r="AY32" s="108">
        <f t="shared" si="14"/>
        <v>61</v>
      </c>
      <c r="AZ32" s="22">
        <f t="shared" si="3"/>
        <v>46046</v>
      </c>
      <c r="BA32" s="108">
        <f t="shared" si="3"/>
        <v>14471</v>
      </c>
    </row>
    <row r="33" spans="1:1207" ht="19.5" customHeight="1" x14ac:dyDescent="0.2">
      <c r="A33" s="2" t="s">
        <v>447</v>
      </c>
      <c r="B33" s="622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14471</v>
      </c>
      <c r="H33" s="24">
        <f t="shared" si="6"/>
        <v>11361.66</v>
      </c>
      <c r="I33" s="24">
        <f t="shared" si="26"/>
        <v>299072.52999999991</v>
      </c>
      <c r="J33" s="24">
        <f t="shared" si="16"/>
        <v>0</v>
      </c>
      <c r="K33" s="24">
        <f t="shared" si="7"/>
        <v>3109.34</v>
      </c>
      <c r="L33" s="24">
        <f t="shared" si="17"/>
        <v>0</v>
      </c>
      <c r="M33" s="24">
        <f t="shared" si="29"/>
        <v>0</v>
      </c>
      <c r="N33" s="24">
        <f t="shared" si="18"/>
        <v>11361.66</v>
      </c>
      <c r="O33" s="24">
        <f t="shared" si="19"/>
        <v>0</v>
      </c>
      <c r="P33" s="24">
        <f t="shared" si="20"/>
        <v>0</v>
      </c>
      <c r="Q33" s="24">
        <f t="shared" si="8"/>
        <v>444296.53</v>
      </c>
      <c r="R33" s="36">
        <f t="shared" si="30"/>
        <v>60</v>
      </c>
      <c r="S33" s="36">
        <f t="shared" si="9"/>
        <v>60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14501</v>
      </c>
      <c r="AP33" s="105">
        <f t="shared" si="11"/>
        <v>11337.03</v>
      </c>
      <c r="AQ33" s="105">
        <f t="shared" si="12"/>
        <v>3163.9699999999993</v>
      </c>
      <c r="AR33" s="105">
        <f t="shared" si="34"/>
        <v>0</v>
      </c>
      <c r="AS33" s="105">
        <f t="shared" si="22"/>
        <v>0</v>
      </c>
      <c r="AT33" s="105">
        <f t="shared" si="23"/>
        <v>11337.03</v>
      </c>
      <c r="AU33" s="105">
        <f t="shared" si="24"/>
        <v>0</v>
      </c>
      <c r="AV33" s="105">
        <f t="shared" si="25"/>
        <v>0</v>
      </c>
      <c r="AW33" s="105">
        <f t="shared" si="13"/>
        <v>443271.96000000014</v>
      </c>
      <c r="AX33" s="108">
        <f t="shared" si="32"/>
        <v>60</v>
      </c>
      <c r="AY33" s="108">
        <f t="shared" si="14"/>
        <v>60</v>
      </c>
      <c r="AZ33" s="22">
        <f t="shared" si="3"/>
        <v>46077</v>
      </c>
      <c r="BA33" s="108">
        <f t="shared" si="3"/>
        <v>14471</v>
      </c>
      <c r="BD33" s="782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22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14471</v>
      </c>
      <c r="H34" s="24">
        <f t="shared" si="6"/>
        <v>10190.82</v>
      </c>
      <c r="I34" s="24">
        <f t="shared" si="26"/>
        <v>309263.34999999992</v>
      </c>
      <c r="J34" s="24">
        <f t="shared" si="16"/>
        <v>0</v>
      </c>
      <c r="K34" s="24">
        <f t="shared" si="7"/>
        <v>4280.18</v>
      </c>
      <c r="L34" s="24">
        <f t="shared" si="17"/>
        <v>0</v>
      </c>
      <c r="M34" s="24">
        <f t="shared" si="29"/>
        <v>0</v>
      </c>
      <c r="N34" s="24">
        <f t="shared" si="18"/>
        <v>10190.82</v>
      </c>
      <c r="O34" s="24">
        <f t="shared" si="19"/>
        <v>0</v>
      </c>
      <c r="P34" s="24">
        <f t="shared" si="20"/>
        <v>0</v>
      </c>
      <c r="Q34" s="24">
        <f t="shared" si="8"/>
        <v>440016.35000000003</v>
      </c>
      <c r="R34" s="36">
        <f t="shared" si="30"/>
        <v>59</v>
      </c>
      <c r="S34" s="36">
        <f t="shared" si="9"/>
        <v>59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14501</v>
      </c>
      <c r="AP34" s="105">
        <f t="shared" si="11"/>
        <v>10167.32</v>
      </c>
      <c r="AQ34" s="105">
        <f t="shared" si="12"/>
        <v>4333.68</v>
      </c>
      <c r="AR34" s="105">
        <f t="shared" si="34"/>
        <v>0</v>
      </c>
      <c r="AS34" s="105">
        <f t="shared" si="22"/>
        <v>0</v>
      </c>
      <c r="AT34" s="105">
        <f t="shared" si="23"/>
        <v>10167.32</v>
      </c>
      <c r="AU34" s="105">
        <f t="shared" si="24"/>
        <v>0</v>
      </c>
      <c r="AV34" s="105">
        <f t="shared" si="25"/>
        <v>0</v>
      </c>
      <c r="AW34" s="105">
        <f t="shared" si="13"/>
        <v>438938.28000000014</v>
      </c>
      <c r="AX34" s="108">
        <f t="shared" si="32"/>
        <v>59</v>
      </c>
      <c r="AY34" s="108">
        <f t="shared" si="14"/>
        <v>59</v>
      </c>
      <c r="AZ34" s="22">
        <f t="shared" si="3"/>
        <v>46105</v>
      </c>
      <c r="BA34" s="108">
        <f t="shared" si="3"/>
        <v>14471</v>
      </c>
      <c r="BD34" s="782"/>
    </row>
    <row r="35" spans="1:1207" ht="25.5" customHeight="1" x14ac:dyDescent="0.25">
      <c r="A35" s="2" t="s">
        <v>451</v>
      </c>
      <c r="B35" s="622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14471</v>
      </c>
      <c r="H35" s="24">
        <f t="shared" si="6"/>
        <v>11174</v>
      </c>
      <c r="I35" s="24">
        <f t="shared" si="26"/>
        <v>320437.34999999992</v>
      </c>
      <c r="J35" s="24">
        <f t="shared" si="16"/>
        <v>0</v>
      </c>
      <c r="K35" s="24">
        <f t="shared" si="7"/>
        <v>3297</v>
      </c>
      <c r="L35" s="24">
        <f t="shared" si="17"/>
        <v>0</v>
      </c>
      <c r="M35" s="24">
        <f t="shared" si="29"/>
        <v>0</v>
      </c>
      <c r="N35" s="24">
        <f t="shared" si="18"/>
        <v>11174</v>
      </c>
      <c r="O35" s="24">
        <f t="shared" si="19"/>
        <v>0</v>
      </c>
      <c r="P35" s="24">
        <f t="shared" si="20"/>
        <v>0</v>
      </c>
      <c r="Q35" s="24">
        <f t="shared" si="8"/>
        <v>436719.35000000003</v>
      </c>
      <c r="R35" s="36">
        <f t="shared" si="30"/>
        <v>58</v>
      </c>
      <c r="S35" s="36">
        <f t="shared" si="9"/>
        <v>58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14501</v>
      </c>
      <c r="AP35" s="105">
        <f t="shared" si="11"/>
        <v>11146.63</v>
      </c>
      <c r="AQ35" s="105">
        <f t="shared" si="12"/>
        <v>3354.3700000000008</v>
      </c>
      <c r="AR35" s="105">
        <f t="shared" si="34"/>
        <v>0</v>
      </c>
      <c r="AS35" s="105">
        <f t="shared" si="22"/>
        <v>0</v>
      </c>
      <c r="AT35" s="105">
        <f t="shared" si="23"/>
        <v>11146.63</v>
      </c>
      <c r="AU35" s="105">
        <f t="shared" si="24"/>
        <v>0</v>
      </c>
      <c r="AV35" s="105">
        <f t="shared" si="25"/>
        <v>0</v>
      </c>
      <c r="AW35" s="105">
        <f t="shared" si="13"/>
        <v>435583.91000000015</v>
      </c>
      <c r="AX35" s="108">
        <f t="shared" si="32"/>
        <v>58</v>
      </c>
      <c r="AY35" s="108">
        <f t="shared" si="14"/>
        <v>58</v>
      </c>
      <c r="AZ35" s="22">
        <f t="shared" si="3"/>
        <v>46136</v>
      </c>
      <c r="BA35" s="108">
        <f t="shared" si="3"/>
        <v>14471</v>
      </c>
      <c r="BD35" s="782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14471</v>
      </c>
      <c r="H36" s="24">
        <f t="shared" si="6"/>
        <v>10732.53</v>
      </c>
      <c r="I36" s="24">
        <f t="shared" si="26"/>
        <v>331169.87999999995</v>
      </c>
      <c r="J36" s="24">
        <f t="shared" si="16"/>
        <v>0</v>
      </c>
      <c r="K36" s="24">
        <f t="shared" si="7"/>
        <v>3738.4699999999993</v>
      </c>
      <c r="L36" s="24">
        <f t="shared" si="17"/>
        <v>0</v>
      </c>
      <c r="M36" s="24">
        <f t="shared" si="29"/>
        <v>0</v>
      </c>
      <c r="N36" s="24">
        <f t="shared" si="18"/>
        <v>10732.53</v>
      </c>
      <c r="O36" s="24">
        <f t="shared" si="19"/>
        <v>0</v>
      </c>
      <c r="P36" s="24">
        <f t="shared" si="20"/>
        <v>0</v>
      </c>
      <c r="Q36" s="24">
        <f t="shared" si="8"/>
        <v>432980.88000000006</v>
      </c>
      <c r="R36" s="36">
        <f t="shared" si="30"/>
        <v>57</v>
      </c>
      <c r="S36" s="36">
        <f t="shared" si="9"/>
        <v>57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14501</v>
      </c>
      <c r="AP36" s="105">
        <f t="shared" si="11"/>
        <v>10704.62</v>
      </c>
      <c r="AQ36" s="105">
        <f t="shared" si="12"/>
        <v>3796.3799999999992</v>
      </c>
      <c r="AR36" s="105">
        <f t="shared" si="34"/>
        <v>0</v>
      </c>
      <c r="AS36" s="105">
        <f t="shared" si="22"/>
        <v>0</v>
      </c>
      <c r="AT36" s="105">
        <f t="shared" si="23"/>
        <v>10704.62</v>
      </c>
      <c r="AU36" s="105">
        <f t="shared" si="24"/>
        <v>0</v>
      </c>
      <c r="AV36" s="105">
        <f t="shared" si="25"/>
        <v>0</v>
      </c>
      <c r="AW36" s="105">
        <f t="shared" si="13"/>
        <v>431787.53000000014</v>
      </c>
      <c r="AX36" s="108">
        <f t="shared" si="32"/>
        <v>57</v>
      </c>
      <c r="AY36" s="108">
        <f t="shared" si="14"/>
        <v>57</v>
      </c>
      <c r="AZ36" s="22">
        <f t="shared" si="3"/>
        <v>46166</v>
      </c>
      <c r="BA36" s="108">
        <f t="shared" si="3"/>
        <v>14471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14471</v>
      </c>
      <c r="H37" s="24">
        <f t="shared" si="6"/>
        <v>10995.34</v>
      </c>
      <c r="I37" s="24">
        <f t="shared" si="26"/>
        <v>342165.22</v>
      </c>
      <c r="J37" s="24">
        <f t="shared" si="16"/>
        <v>0</v>
      </c>
      <c r="K37" s="24">
        <f t="shared" si="7"/>
        <v>3475.66</v>
      </c>
      <c r="L37" s="24">
        <f t="shared" si="17"/>
        <v>0</v>
      </c>
      <c r="M37" s="24">
        <f t="shared" si="29"/>
        <v>0</v>
      </c>
      <c r="N37" s="24">
        <f t="shared" si="18"/>
        <v>10995.34</v>
      </c>
      <c r="O37" s="24">
        <f t="shared" si="19"/>
        <v>0</v>
      </c>
      <c r="P37" s="24">
        <f t="shared" si="20"/>
        <v>0</v>
      </c>
      <c r="Q37" s="24">
        <f t="shared" si="8"/>
        <v>429505.22000000009</v>
      </c>
      <c r="R37" s="36">
        <f t="shared" si="30"/>
        <v>56</v>
      </c>
      <c r="S37" s="36">
        <f t="shared" si="9"/>
        <v>56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14501</v>
      </c>
      <c r="AP37" s="105">
        <f t="shared" si="11"/>
        <v>10965.04</v>
      </c>
      <c r="AQ37" s="105">
        <f t="shared" si="12"/>
        <v>3535.9599999999991</v>
      </c>
      <c r="AR37" s="105">
        <f t="shared" si="34"/>
        <v>0</v>
      </c>
      <c r="AS37" s="105">
        <f t="shared" si="22"/>
        <v>0</v>
      </c>
      <c r="AT37" s="105">
        <f t="shared" si="23"/>
        <v>10965.04</v>
      </c>
      <c r="AU37" s="105">
        <f t="shared" si="24"/>
        <v>0</v>
      </c>
      <c r="AV37" s="105">
        <f t="shared" si="25"/>
        <v>0</v>
      </c>
      <c r="AW37" s="105">
        <f t="shared" si="13"/>
        <v>428251.57000000012</v>
      </c>
      <c r="AX37" s="108">
        <f t="shared" si="32"/>
        <v>56</v>
      </c>
      <c r="AY37" s="108">
        <f t="shared" si="14"/>
        <v>56</v>
      </c>
      <c r="AZ37" s="22">
        <f t="shared" si="3"/>
        <v>46197</v>
      </c>
      <c r="BA37" s="108">
        <f t="shared" si="3"/>
        <v>14471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14471</v>
      </c>
      <c r="H38" s="24">
        <f t="shared" si="6"/>
        <v>10555.24</v>
      </c>
      <c r="I38" s="24">
        <f t="shared" si="26"/>
        <v>352720.45999999996</v>
      </c>
      <c r="J38" s="24">
        <f t="shared" si="16"/>
        <v>0</v>
      </c>
      <c r="K38" s="24">
        <f t="shared" si="7"/>
        <v>3915.76</v>
      </c>
      <c r="L38" s="24">
        <f t="shared" si="17"/>
        <v>0</v>
      </c>
      <c r="M38" s="24">
        <f t="shared" si="29"/>
        <v>0</v>
      </c>
      <c r="N38" s="24">
        <f t="shared" si="18"/>
        <v>10555.24</v>
      </c>
      <c r="O38" s="24">
        <f t="shared" si="19"/>
        <v>0</v>
      </c>
      <c r="P38" s="24">
        <f t="shared" si="20"/>
        <v>0</v>
      </c>
      <c r="Q38" s="24">
        <f t="shared" si="8"/>
        <v>425589.46000000008</v>
      </c>
      <c r="R38" s="36">
        <f t="shared" si="30"/>
        <v>55</v>
      </c>
      <c r="S38" s="36">
        <f t="shared" si="9"/>
        <v>55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14501</v>
      </c>
      <c r="AP38" s="105">
        <f t="shared" si="11"/>
        <v>10524.43</v>
      </c>
      <c r="AQ38" s="105">
        <f t="shared" si="12"/>
        <v>3976.5699999999997</v>
      </c>
      <c r="AR38" s="105">
        <f t="shared" si="34"/>
        <v>0</v>
      </c>
      <c r="AS38" s="105">
        <f t="shared" si="22"/>
        <v>0</v>
      </c>
      <c r="AT38" s="105">
        <f t="shared" si="23"/>
        <v>10524.43</v>
      </c>
      <c r="AU38" s="105">
        <f t="shared" si="24"/>
        <v>0</v>
      </c>
      <c r="AV38" s="105">
        <f t="shared" si="25"/>
        <v>0</v>
      </c>
      <c r="AW38" s="105">
        <f t="shared" si="13"/>
        <v>424275.00000000012</v>
      </c>
      <c r="AX38" s="108">
        <f t="shared" si="32"/>
        <v>55</v>
      </c>
      <c r="AY38" s="108">
        <f t="shared" si="14"/>
        <v>55</v>
      </c>
      <c r="AZ38" s="22">
        <f t="shared" si="3"/>
        <v>46227</v>
      </c>
      <c r="BA38" s="108">
        <f t="shared" si="3"/>
        <v>14471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14471</v>
      </c>
      <c r="H39" s="24">
        <f t="shared" si="6"/>
        <v>10807.64</v>
      </c>
      <c r="I39" s="24">
        <f t="shared" si="26"/>
        <v>363528.1</v>
      </c>
      <c r="J39" s="24">
        <f t="shared" si="16"/>
        <v>0</v>
      </c>
      <c r="K39" s="24">
        <f t="shared" si="7"/>
        <v>3663.3600000000006</v>
      </c>
      <c r="L39" s="24">
        <f t="shared" si="17"/>
        <v>0</v>
      </c>
      <c r="M39" s="24">
        <f t="shared" si="29"/>
        <v>0</v>
      </c>
      <c r="N39" s="24">
        <f t="shared" si="18"/>
        <v>10807.64</v>
      </c>
      <c r="O39" s="24">
        <f t="shared" si="19"/>
        <v>0</v>
      </c>
      <c r="P39" s="24">
        <f t="shared" si="20"/>
        <v>0</v>
      </c>
      <c r="Q39" s="24">
        <f t="shared" si="8"/>
        <v>421926.10000000009</v>
      </c>
      <c r="R39" s="36">
        <f t="shared" si="30"/>
        <v>54</v>
      </c>
      <c r="S39" s="36">
        <f t="shared" si="9"/>
        <v>54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14501</v>
      </c>
      <c r="AP39" s="105">
        <f t="shared" si="11"/>
        <v>10774.26</v>
      </c>
      <c r="AQ39" s="105">
        <f t="shared" si="12"/>
        <v>3726.74</v>
      </c>
      <c r="AR39" s="105">
        <f t="shared" si="34"/>
        <v>0</v>
      </c>
      <c r="AS39" s="105">
        <f t="shared" si="22"/>
        <v>0</v>
      </c>
      <c r="AT39" s="105">
        <f t="shared" si="23"/>
        <v>10774.26</v>
      </c>
      <c r="AU39" s="105">
        <f t="shared" si="24"/>
        <v>0</v>
      </c>
      <c r="AV39" s="105">
        <f t="shared" si="25"/>
        <v>0</v>
      </c>
      <c r="AW39" s="105">
        <f t="shared" si="13"/>
        <v>420548.26000000013</v>
      </c>
      <c r="AX39" s="108">
        <f t="shared" si="32"/>
        <v>54</v>
      </c>
      <c r="AY39" s="108">
        <f t="shared" si="14"/>
        <v>54</v>
      </c>
      <c r="AZ39" s="22">
        <f t="shared" si="3"/>
        <v>46258</v>
      </c>
      <c r="BA39" s="108">
        <f t="shared" si="3"/>
        <v>14471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14471</v>
      </c>
      <c r="H40" s="24">
        <f t="shared" si="6"/>
        <v>10714.61</v>
      </c>
      <c r="I40" s="24">
        <f t="shared" si="26"/>
        <v>374242.70999999996</v>
      </c>
      <c r="J40" s="24">
        <f t="shared" si="16"/>
        <v>0</v>
      </c>
      <c r="K40" s="24">
        <f t="shared" si="7"/>
        <v>3756.3899999999994</v>
      </c>
      <c r="L40" s="24">
        <f t="shared" si="17"/>
        <v>0</v>
      </c>
      <c r="M40" s="24">
        <f t="shared" si="29"/>
        <v>0</v>
      </c>
      <c r="N40" s="24">
        <f t="shared" si="18"/>
        <v>10714.61</v>
      </c>
      <c r="O40" s="24">
        <f t="shared" si="19"/>
        <v>0</v>
      </c>
      <c r="P40" s="24">
        <f t="shared" si="20"/>
        <v>0</v>
      </c>
      <c r="Q40" s="24">
        <f t="shared" si="8"/>
        <v>418169.71000000008</v>
      </c>
      <c r="R40" s="36">
        <f t="shared" si="30"/>
        <v>53</v>
      </c>
      <c r="S40" s="36">
        <f t="shared" si="9"/>
        <v>53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14501</v>
      </c>
      <c r="AP40" s="105">
        <f t="shared" si="11"/>
        <v>10679.62</v>
      </c>
      <c r="AQ40" s="105">
        <f t="shared" si="12"/>
        <v>3821.3799999999992</v>
      </c>
      <c r="AR40" s="105">
        <f t="shared" si="34"/>
        <v>0</v>
      </c>
      <c r="AS40" s="105">
        <f t="shared" si="22"/>
        <v>0</v>
      </c>
      <c r="AT40" s="105">
        <f t="shared" si="23"/>
        <v>10679.62</v>
      </c>
      <c r="AU40" s="105">
        <f t="shared" si="24"/>
        <v>0</v>
      </c>
      <c r="AV40" s="105">
        <f t="shared" si="25"/>
        <v>0</v>
      </c>
      <c r="AW40" s="105">
        <f t="shared" si="13"/>
        <v>416726.88000000012</v>
      </c>
      <c r="AX40" s="108">
        <f t="shared" si="32"/>
        <v>53</v>
      </c>
      <c r="AY40" s="108">
        <f t="shared" si="14"/>
        <v>53</v>
      </c>
      <c r="AZ40" s="22">
        <f t="shared" ref="AZ40:BA71" si="36">F40</f>
        <v>46289</v>
      </c>
      <c r="BA40" s="108">
        <f t="shared" si="36"/>
        <v>14471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14471</v>
      </c>
      <c r="H41" s="24">
        <f t="shared" si="6"/>
        <v>10276.66</v>
      </c>
      <c r="I41" s="24">
        <f t="shared" si="26"/>
        <v>384519.36999999994</v>
      </c>
      <c r="J41" s="24">
        <f t="shared" si="16"/>
        <v>0</v>
      </c>
      <c r="K41" s="24">
        <f t="shared" si="7"/>
        <v>4194.34</v>
      </c>
      <c r="L41" s="24">
        <f t="shared" si="17"/>
        <v>0</v>
      </c>
      <c r="M41" s="24">
        <f t="shared" si="29"/>
        <v>0</v>
      </c>
      <c r="N41" s="24">
        <f t="shared" si="18"/>
        <v>10276.66</v>
      </c>
      <c r="O41" s="24">
        <f t="shared" si="19"/>
        <v>0</v>
      </c>
      <c r="P41" s="24">
        <f t="shared" si="20"/>
        <v>0</v>
      </c>
      <c r="Q41" s="24">
        <f t="shared" si="8"/>
        <v>413975.37000000005</v>
      </c>
      <c r="R41" s="36">
        <f t="shared" si="30"/>
        <v>52</v>
      </c>
      <c r="S41" s="36">
        <f t="shared" si="9"/>
        <v>52</v>
      </c>
      <c r="T41" s="2">
        <f>IF(C11="Да",IF($C$10&gt;=Z35,Z41,IF($C$10&gt;=Y35,Y41,IF($C$10&gt;=X35,X41,IF($C$10&gt;=W35,W41,IF($C$10&gt;=W35,W41,V41))))),"")</f>
        <v>10999</v>
      </c>
      <c r="U41" s="2"/>
      <c r="V41" s="2">
        <f>IF($C$7&lt;=$U$37,V37,IF($C$7&lt;=$U$38,V38,IF($C$7&lt;=$U$39,V39,V40)))</f>
        <v>3499</v>
      </c>
      <c r="W41" s="2">
        <f>IF($C$7&lt;=$U$37,W37,IF($C$7&lt;=$U$38,W38,IF($C$7&lt;=$U$39,W39,W40)))</f>
        <v>4999</v>
      </c>
      <c r="X41" s="2">
        <f>IF($C$7&lt;=$U$37,X37,IF($C$7&lt;=$U$38,X38,IF($C$7&lt;=$U$39,X39,X40)))</f>
        <v>6999</v>
      </c>
      <c r="Y41" s="2">
        <f>IF($C$7&lt;=$U$37,Y37,IF($C$7&lt;=$U$38,Y38,IF($C$7&lt;=$U$39,Y39,Y40)))</f>
        <v>0</v>
      </c>
      <c r="Z41" s="2">
        <f>IF($C$7&lt;$U$37,Z37,IF($C$7&lt;$U$38,Z38,IF($C$7&lt;$U$39,Z39,Z40)))</f>
        <v>10999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14501</v>
      </c>
      <c r="AP41" s="105">
        <f t="shared" si="11"/>
        <v>10241.209999999999</v>
      </c>
      <c r="AQ41" s="105">
        <f t="shared" si="12"/>
        <v>4259.7900000000009</v>
      </c>
      <c r="AR41" s="105">
        <f t="shared" si="34"/>
        <v>0</v>
      </c>
      <c r="AS41" s="105">
        <f t="shared" si="22"/>
        <v>0</v>
      </c>
      <c r="AT41" s="105">
        <f t="shared" si="23"/>
        <v>10241.209999999999</v>
      </c>
      <c r="AU41" s="105">
        <f t="shared" si="24"/>
        <v>0</v>
      </c>
      <c r="AV41" s="105">
        <f t="shared" si="25"/>
        <v>0</v>
      </c>
      <c r="AW41" s="105">
        <f t="shared" si="13"/>
        <v>412467.09000000014</v>
      </c>
      <c r="AX41" s="108">
        <f t="shared" si="32"/>
        <v>52</v>
      </c>
      <c r="AY41" s="108">
        <f t="shared" si="14"/>
        <v>52</v>
      </c>
      <c r="AZ41" s="22">
        <f t="shared" si="36"/>
        <v>46319</v>
      </c>
      <c r="BA41" s="108">
        <f t="shared" si="36"/>
        <v>14471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14471</v>
      </c>
      <c r="H42" s="24">
        <f t="shared" si="6"/>
        <v>10512.71</v>
      </c>
      <c r="I42" s="24">
        <f t="shared" si="26"/>
        <v>395032.07999999996</v>
      </c>
      <c r="J42" s="24">
        <f t="shared" si="16"/>
        <v>0</v>
      </c>
      <c r="K42" s="24">
        <f t="shared" si="7"/>
        <v>3958.2900000000009</v>
      </c>
      <c r="L42" s="24">
        <f t="shared" si="17"/>
        <v>0</v>
      </c>
      <c r="M42" s="24">
        <f t="shared" si="29"/>
        <v>0</v>
      </c>
      <c r="N42" s="24">
        <f t="shared" si="18"/>
        <v>10512.71</v>
      </c>
      <c r="O42" s="24">
        <f t="shared" si="19"/>
        <v>0</v>
      </c>
      <c r="P42" s="24">
        <f t="shared" si="20"/>
        <v>0</v>
      </c>
      <c r="Q42" s="24">
        <f t="shared" si="8"/>
        <v>410017.08000000007</v>
      </c>
      <c r="R42" s="36">
        <f t="shared" si="30"/>
        <v>51</v>
      </c>
      <c r="S42" s="36">
        <f t="shared" si="9"/>
        <v>51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14501</v>
      </c>
      <c r="AP42" s="105">
        <f t="shared" si="11"/>
        <v>10474.4</v>
      </c>
      <c r="AQ42" s="105">
        <f t="shared" si="12"/>
        <v>4026.6000000000004</v>
      </c>
      <c r="AR42" s="105">
        <f t="shared" si="34"/>
        <v>0</v>
      </c>
      <c r="AS42" s="105">
        <f t="shared" si="22"/>
        <v>0</v>
      </c>
      <c r="AT42" s="105">
        <f t="shared" si="23"/>
        <v>10474.4</v>
      </c>
      <c r="AU42" s="105">
        <f t="shared" si="24"/>
        <v>0</v>
      </c>
      <c r="AV42" s="105">
        <f t="shared" si="25"/>
        <v>0</v>
      </c>
      <c r="AW42" s="105">
        <f t="shared" si="13"/>
        <v>408440.49000000017</v>
      </c>
      <c r="AX42" s="108">
        <f t="shared" si="32"/>
        <v>51</v>
      </c>
      <c r="AY42" s="108">
        <f t="shared" si="14"/>
        <v>51</v>
      </c>
      <c r="AZ42" s="22">
        <f t="shared" si="36"/>
        <v>46350</v>
      </c>
      <c r="BA42" s="108">
        <f t="shared" si="36"/>
        <v>14471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14471</v>
      </c>
      <c r="H43" s="24">
        <f t="shared" si="6"/>
        <v>10076.31</v>
      </c>
      <c r="I43" s="24">
        <f t="shared" si="26"/>
        <v>405108.38999999996</v>
      </c>
      <c r="J43" s="24">
        <f t="shared" si="16"/>
        <v>0</v>
      </c>
      <c r="K43" s="24">
        <f t="shared" si="7"/>
        <v>4394.6900000000005</v>
      </c>
      <c r="L43" s="24">
        <f t="shared" si="17"/>
        <v>0</v>
      </c>
      <c r="M43" s="24">
        <f t="shared" si="29"/>
        <v>0</v>
      </c>
      <c r="N43" s="24">
        <f t="shared" si="18"/>
        <v>10076.31</v>
      </c>
      <c r="O43" s="24">
        <f t="shared" si="19"/>
        <v>0</v>
      </c>
      <c r="P43" s="24">
        <f t="shared" si="20"/>
        <v>0</v>
      </c>
      <c r="Q43" s="24">
        <f t="shared" si="8"/>
        <v>405622.39000000007</v>
      </c>
      <c r="R43" s="36">
        <f t="shared" si="30"/>
        <v>50</v>
      </c>
      <c r="S43" s="36">
        <f t="shared" si="9"/>
        <v>50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14501</v>
      </c>
      <c r="AP43" s="105">
        <f t="shared" si="11"/>
        <v>10037.56</v>
      </c>
      <c r="AQ43" s="105">
        <f t="shared" si="12"/>
        <v>4463.4400000000005</v>
      </c>
      <c r="AR43" s="105">
        <f t="shared" si="34"/>
        <v>0</v>
      </c>
      <c r="AS43" s="105">
        <f t="shared" si="22"/>
        <v>0</v>
      </c>
      <c r="AT43" s="105">
        <f t="shared" si="23"/>
        <v>10037.56</v>
      </c>
      <c r="AU43" s="105">
        <f t="shared" si="24"/>
        <v>0</v>
      </c>
      <c r="AV43" s="105">
        <f t="shared" si="25"/>
        <v>0</v>
      </c>
      <c r="AW43" s="105">
        <f t="shared" si="13"/>
        <v>403977.05000000016</v>
      </c>
      <c r="AX43" s="108">
        <f t="shared" si="32"/>
        <v>50</v>
      </c>
      <c r="AY43" s="108">
        <f t="shared" si="14"/>
        <v>50</v>
      </c>
      <c r="AZ43" s="22">
        <f t="shared" si="36"/>
        <v>46380</v>
      </c>
      <c r="BA43" s="108">
        <f t="shared" si="36"/>
        <v>14471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14471</v>
      </c>
      <c r="H44" s="24">
        <f t="shared" si="6"/>
        <v>10300.59</v>
      </c>
      <c r="I44" s="24">
        <f t="shared" si="26"/>
        <v>415408.98</v>
      </c>
      <c r="J44" s="24">
        <f t="shared" si="16"/>
        <v>0</v>
      </c>
      <c r="K44" s="24">
        <f t="shared" si="7"/>
        <v>4170.41</v>
      </c>
      <c r="L44" s="24">
        <f t="shared" si="17"/>
        <v>0</v>
      </c>
      <c r="M44" s="24">
        <f t="shared" si="29"/>
        <v>0</v>
      </c>
      <c r="N44" s="24">
        <f t="shared" si="18"/>
        <v>10300.59</v>
      </c>
      <c r="O44" s="24">
        <f t="shared" si="19"/>
        <v>0</v>
      </c>
      <c r="P44" s="24">
        <f t="shared" si="20"/>
        <v>0</v>
      </c>
      <c r="Q44" s="24">
        <f t="shared" si="8"/>
        <v>401451.9800000001</v>
      </c>
      <c r="R44" s="36">
        <f t="shared" si="30"/>
        <v>49</v>
      </c>
      <c r="S44" s="36">
        <f t="shared" si="9"/>
        <v>49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14501</v>
      </c>
      <c r="AP44" s="105">
        <f t="shared" si="11"/>
        <v>10258.799999999999</v>
      </c>
      <c r="AQ44" s="105">
        <f t="shared" si="12"/>
        <v>4242.2000000000007</v>
      </c>
      <c r="AR44" s="105">
        <f t="shared" si="34"/>
        <v>0</v>
      </c>
      <c r="AS44" s="105">
        <f t="shared" si="22"/>
        <v>0</v>
      </c>
      <c r="AT44" s="105">
        <f t="shared" si="23"/>
        <v>10258.799999999999</v>
      </c>
      <c r="AU44" s="105">
        <f t="shared" si="24"/>
        <v>0</v>
      </c>
      <c r="AV44" s="105">
        <f t="shared" si="25"/>
        <v>0</v>
      </c>
      <c r="AW44" s="105">
        <f t="shared" si="13"/>
        <v>399734.85000000015</v>
      </c>
      <c r="AX44" s="108">
        <f t="shared" si="32"/>
        <v>49</v>
      </c>
      <c r="AY44" s="108">
        <f t="shared" si="14"/>
        <v>49</v>
      </c>
      <c r="AZ44" s="22">
        <f t="shared" si="36"/>
        <v>46411</v>
      </c>
      <c r="BA44" s="108">
        <f t="shared" si="36"/>
        <v>14471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14471</v>
      </c>
      <c r="H45" s="24">
        <f t="shared" si="6"/>
        <v>10194.68</v>
      </c>
      <c r="I45" s="24">
        <f t="shared" si="26"/>
        <v>425603.66</v>
      </c>
      <c r="J45" s="24">
        <f t="shared" si="16"/>
        <v>0</v>
      </c>
      <c r="K45" s="24">
        <f t="shared" si="7"/>
        <v>4276.32</v>
      </c>
      <c r="L45" s="24">
        <f t="shared" si="17"/>
        <v>0</v>
      </c>
      <c r="M45" s="24">
        <f t="shared" si="29"/>
        <v>0</v>
      </c>
      <c r="N45" s="24">
        <f t="shared" si="18"/>
        <v>10194.68</v>
      </c>
      <c r="O45" s="24">
        <f t="shared" si="19"/>
        <v>0</v>
      </c>
      <c r="P45" s="24">
        <f t="shared" si="20"/>
        <v>0</v>
      </c>
      <c r="Q45" s="24">
        <f t="shared" si="8"/>
        <v>397175.66000000009</v>
      </c>
      <c r="R45" s="36">
        <f t="shared" si="30"/>
        <v>48</v>
      </c>
      <c r="S45" s="36">
        <f t="shared" si="9"/>
        <v>48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14501</v>
      </c>
      <c r="AP45" s="105">
        <f t="shared" si="11"/>
        <v>10151.07</v>
      </c>
      <c r="AQ45" s="105">
        <f t="shared" si="12"/>
        <v>4349.93</v>
      </c>
      <c r="AR45" s="105">
        <f t="shared" si="34"/>
        <v>0</v>
      </c>
      <c r="AS45" s="105">
        <f t="shared" si="22"/>
        <v>0</v>
      </c>
      <c r="AT45" s="105">
        <f t="shared" si="23"/>
        <v>10151.07</v>
      </c>
      <c r="AU45" s="105">
        <f t="shared" si="24"/>
        <v>0</v>
      </c>
      <c r="AV45" s="105">
        <f t="shared" si="25"/>
        <v>0</v>
      </c>
      <c r="AW45" s="105">
        <f t="shared" si="13"/>
        <v>395384.92000000016</v>
      </c>
      <c r="AX45" s="108">
        <f t="shared" si="32"/>
        <v>48</v>
      </c>
      <c r="AY45" s="108">
        <f t="shared" si="14"/>
        <v>48</v>
      </c>
      <c r="AZ45" s="22">
        <f t="shared" si="36"/>
        <v>46442</v>
      </c>
      <c r="BA45" s="108">
        <f t="shared" si="36"/>
        <v>14471</v>
      </c>
    </row>
    <row r="46" spans="1:1207" s="16" customFormat="1" x14ac:dyDescent="0.2">
      <c r="A46" s="2"/>
      <c r="B46" s="607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14471</v>
      </c>
      <c r="H46" s="24">
        <f t="shared" si="6"/>
        <v>9110.01</v>
      </c>
      <c r="I46" s="24">
        <f t="shared" si="26"/>
        <v>434713.67</v>
      </c>
      <c r="J46" s="24">
        <f t="shared" si="16"/>
        <v>0</v>
      </c>
      <c r="K46" s="24">
        <f t="shared" si="7"/>
        <v>5360.99</v>
      </c>
      <c r="L46" s="24">
        <f t="shared" si="17"/>
        <v>0</v>
      </c>
      <c r="M46" s="24">
        <f t="shared" si="29"/>
        <v>0</v>
      </c>
      <c r="N46" s="24">
        <f t="shared" si="18"/>
        <v>9110.01</v>
      </c>
      <c r="O46" s="24">
        <f t="shared" si="19"/>
        <v>0</v>
      </c>
      <c r="P46" s="24">
        <f t="shared" si="20"/>
        <v>0</v>
      </c>
      <c r="Q46" s="24">
        <f t="shared" si="8"/>
        <v>391814.6700000001</v>
      </c>
      <c r="R46" s="36">
        <f t="shared" si="30"/>
        <v>47</v>
      </c>
      <c r="S46" s="36">
        <f t="shared" si="9"/>
        <v>47</v>
      </c>
      <c r="T46" s="62">
        <f>IF(C23&lt;&gt;X60, C23,AA14)</f>
        <v>0.29899999999999999</v>
      </c>
      <c r="U46" s="2">
        <f>IF(OR($C$26=0,B34="Нет"),0,-$C$26)</f>
        <v>0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0.29899999999999999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14501</v>
      </c>
      <c r="AP46" s="105">
        <f t="shared" si="11"/>
        <v>9068.94</v>
      </c>
      <c r="AQ46" s="105">
        <f t="shared" si="12"/>
        <v>5432.0599999999995</v>
      </c>
      <c r="AR46" s="105">
        <f t="shared" si="34"/>
        <v>0</v>
      </c>
      <c r="AS46" s="105">
        <f t="shared" si="22"/>
        <v>0</v>
      </c>
      <c r="AT46" s="105">
        <f t="shared" si="23"/>
        <v>9068.94</v>
      </c>
      <c r="AU46" s="105">
        <f t="shared" si="24"/>
        <v>0</v>
      </c>
      <c r="AV46" s="105">
        <f t="shared" si="25"/>
        <v>0</v>
      </c>
      <c r="AW46" s="105">
        <f t="shared" si="13"/>
        <v>389952.86000000016</v>
      </c>
      <c r="AX46" s="108">
        <f t="shared" si="32"/>
        <v>47</v>
      </c>
      <c r="AY46" s="108">
        <f t="shared" si="14"/>
        <v>47</v>
      </c>
      <c r="AZ46" s="22">
        <f t="shared" si="36"/>
        <v>46470</v>
      </c>
      <c r="BA46" s="108">
        <f t="shared" si="36"/>
        <v>14471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14471</v>
      </c>
      <c r="H47" s="24">
        <f t="shared" si="6"/>
        <v>9949.9500000000007</v>
      </c>
      <c r="I47" s="24">
        <f t="shared" si="26"/>
        <v>444663.62</v>
      </c>
      <c r="J47" s="24">
        <f t="shared" si="16"/>
        <v>0</v>
      </c>
      <c r="K47" s="24">
        <f t="shared" si="7"/>
        <v>4521.0499999999993</v>
      </c>
      <c r="L47" s="24">
        <f t="shared" si="17"/>
        <v>0</v>
      </c>
      <c r="M47" s="24">
        <f>O46-L46</f>
        <v>0</v>
      </c>
      <c r="N47" s="24">
        <f>H47+O47</f>
        <v>9949.9500000000007</v>
      </c>
      <c r="O47" s="24">
        <f>IF(S47=0,0,0)</f>
        <v>0</v>
      </c>
      <c r="P47" s="24">
        <f>IF(S47=0,0,0)</f>
        <v>0</v>
      </c>
      <c r="Q47" s="24">
        <f t="shared" si="8"/>
        <v>387293.62000000011</v>
      </c>
      <c r="R47" s="36">
        <f t="shared" si="30"/>
        <v>46</v>
      </c>
      <c r="S47" s="36">
        <f t="shared" si="9"/>
        <v>46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14501</v>
      </c>
      <c r="AP47" s="105">
        <f t="shared" si="11"/>
        <v>9902.67</v>
      </c>
      <c r="AQ47" s="105">
        <f>IF(AY47=0,0,IF(AY47=1,AW46,IF(AW46+AR47+AP47&gt;AO46,AO47-AP47-AR47,AW46)))</f>
        <v>4598.33</v>
      </c>
      <c r="AR47" s="105">
        <f t="shared" si="34"/>
        <v>0</v>
      </c>
      <c r="AS47" s="105">
        <f>AU46-AR46</f>
        <v>0</v>
      </c>
      <c r="AT47" s="105">
        <f>AP47+AU47</f>
        <v>9902.67</v>
      </c>
      <c r="AU47" s="105">
        <f>IF(AY47=0,0,0)</f>
        <v>0</v>
      </c>
      <c r="AV47" s="105">
        <f>IF(AY47=0,0,0)</f>
        <v>0</v>
      </c>
      <c r="AW47" s="105">
        <f>IF(OR(AY47=1,AW46=0),0,AW46-AQ47)</f>
        <v>385354.53000000014</v>
      </c>
      <c r="AX47" s="108">
        <f t="shared" si="32"/>
        <v>46</v>
      </c>
      <c r="AY47" s="108">
        <f t="shared" si="14"/>
        <v>46</v>
      </c>
      <c r="AZ47" s="22">
        <f t="shared" si="36"/>
        <v>46501</v>
      </c>
      <c r="BA47" s="108">
        <f t="shared" si="36"/>
        <v>14471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14471</v>
      </c>
      <c r="H48" s="24">
        <f t="shared" si="6"/>
        <v>9517.8700000000008</v>
      </c>
      <c r="I48" s="24">
        <f t="shared" si="26"/>
        <v>454181.49</v>
      </c>
      <c r="J48" s="24">
        <f t="shared" si="16"/>
        <v>0</v>
      </c>
      <c r="K48" s="24">
        <f t="shared" si="7"/>
        <v>4953.1299999999992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9517.8700000000008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382340.49000000011</v>
      </c>
      <c r="R48" s="36">
        <f t="shared" si="30"/>
        <v>45</v>
      </c>
      <c r="S48" s="36">
        <f t="shared" si="9"/>
        <v>45</v>
      </c>
      <c r="T48" s="2"/>
      <c r="U48" s="18">
        <f>G8</f>
        <v>-506999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-506999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14501</v>
      </c>
      <c r="AP48" s="105">
        <f t="shared" si="11"/>
        <v>9470.2199999999993</v>
      </c>
      <c r="AQ48" s="105">
        <f t="shared" ref="AQ48:AQ111" si="41">IF(AY48=0,0,IF(AY48=1,AW47,IF(AW47+AR48+AP48&gt;AO47,AO48-AP48-AR48,AW47)))</f>
        <v>5030.7800000000007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9470.2199999999993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380323.75000000012</v>
      </c>
      <c r="AX48" s="108">
        <f t="shared" si="32"/>
        <v>45</v>
      </c>
      <c r="AY48" s="108">
        <f t="shared" si="14"/>
        <v>45</v>
      </c>
      <c r="AZ48" s="22">
        <f t="shared" si="36"/>
        <v>46531</v>
      </c>
      <c r="BA48" s="108">
        <f t="shared" si="36"/>
        <v>14471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14471</v>
      </c>
      <c r="H49" s="24">
        <f t="shared" si="6"/>
        <v>9709.35</v>
      </c>
      <c r="I49" s="24">
        <f t="shared" si="26"/>
        <v>463890.83999999997</v>
      </c>
      <c r="J49" s="24">
        <f t="shared" si="16"/>
        <v>0</v>
      </c>
      <c r="K49" s="24">
        <f t="shared" si="7"/>
        <v>4761.6499999999996</v>
      </c>
      <c r="L49" s="24">
        <f t="shared" si="17"/>
        <v>0</v>
      </c>
      <c r="M49" s="24">
        <f t="shared" si="37"/>
        <v>0</v>
      </c>
      <c r="N49" s="24">
        <f t="shared" si="38"/>
        <v>9709.35</v>
      </c>
      <c r="O49" s="24">
        <f t="shared" si="39"/>
        <v>0</v>
      </c>
      <c r="P49" s="24">
        <f t="shared" si="40"/>
        <v>0</v>
      </c>
      <c r="Q49" s="24">
        <f t="shared" si="8"/>
        <v>377578.84000000008</v>
      </c>
      <c r="R49" s="36">
        <f t="shared" si="30"/>
        <v>44</v>
      </c>
      <c r="S49" s="36">
        <f t="shared" si="9"/>
        <v>44</v>
      </c>
      <c r="U49" s="34">
        <f>IF(B35="Да",C32,0)+IF(AND(C22="Да",B34="Да"),C25,0)</f>
        <v>0</v>
      </c>
      <c r="V49" s="57">
        <f>F8</f>
        <v>45315</v>
      </c>
      <c r="X49" s="5" t="s">
        <v>11</v>
      </c>
      <c r="Y49" s="37"/>
      <c r="Z49" s="39">
        <f>C7*(1-Z48)</f>
        <v>500000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6999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14501</v>
      </c>
      <c r="AP49" s="105">
        <f t="shared" si="11"/>
        <v>9658.14</v>
      </c>
      <c r="AQ49" s="105">
        <f t="shared" si="41"/>
        <v>4842.8600000000006</v>
      </c>
      <c r="AR49" s="105">
        <f t="shared" si="34"/>
        <v>0</v>
      </c>
      <c r="AS49" s="105">
        <f t="shared" si="42"/>
        <v>0</v>
      </c>
      <c r="AT49" s="105">
        <f t="shared" si="43"/>
        <v>9658.14</v>
      </c>
      <c r="AU49" s="105">
        <f t="shared" si="44"/>
        <v>0</v>
      </c>
      <c r="AV49" s="105">
        <f t="shared" si="45"/>
        <v>0</v>
      </c>
      <c r="AW49" s="105">
        <f t="shared" si="46"/>
        <v>375480.89000000013</v>
      </c>
      <c r="AX49" s="108">
        <f t="shared" si="32"/>
        <v>44</v>
      </c>
      <c r="AY49" s="108">
        <f t="shared" si="14"/>
        <v>44</v>
      </c>
      <c r="AZ49" s="22">
        <f t="shared" si="36"/>
        <v>46562</v>
      </c>
      <c r="BA49" s="108">
        <f t="shared" si="36"/>
        <v>14471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14471</v>
      </c>
      <c r="H50" s="24">
        <f t="shared" si="6"/>
        <v>9279.1299999999992</v>
      </c>
      <c r="I50" s="24">
        <f t="shared" si="26"/>
        <v>473169.97</v>
      </c>
      <c r="J50" s="24">
        <f t="shared" si="16"/>
        <v>0</v>
      </c>
      <c r="K50" s="24">
        <f t="shared" si="7"/>
        <v>5191.8700000000008</v>
      </c>
      <c r="L50" s="24">
        <f t="shared" si="17"/>
        <v>0</v>
      </c>
      <c r="M50" s="24">
        <f t="shared" si="37"/>
        <v>0</v>
      </c>
      <c r="N50" s="24">
        <f t="shared" si="38"/>
        <v>9279.1299999999992</v>
      </c>
      <c r="O50" s="24">
        <f t="shared" si="39"/>
        <v>0</v>
      </c>
      <c r="P50" s="24">
        <f t="shared" si="40"/>
        <v>0</v>
      </c>
      <c r="Q50" s="24">
        <f t="shared" si="8"/>
        <v>372386.97000000009</v>
      </c>
      <c r="R50" s="36">
        <f t="shared" si="30"/>
        <v>43</v>
      </c>
      <c r="S50" s="36">
        <f t="shared" si="9"/>
        <v>43</v>
      </c>
      <c r="T50" s="2">
        <f t="shared" ref="T50:T113" si="47">IF(AND(E9&gt;=$T$14,E9&lt;=$T$14+5),0,IF($C$9&gt;$AC$52,ROUND(Q8*$T$46/(DATEVALUE(CONCATENATE("01/01/",YEAR(F9)+1))-DATEVALUE(CONCATENATE("01/01/",YEAR(F9))))*(F9-F8),2),0))</f>
        <v>12839.82</v>
      </c>
      <c r="U50" s="34">
        <f t="shared" ref="U50:U108" si="48">IF(U49&lt;0,0,IF(T50=0,IF(T49=0,0,$U$46),G9)-IF(AND(T50&gt;0,T51=0),$C$26,0))</f>
        <v>14471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14480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12839.82</v>
      </c>
      <c r="AJ50" s="34">
        <f t="shared" ref="AJ50:AJ69" si="50">IF(AI50=0,IF(AI49=0,0,$AJ$46),AO9)</f>
        <v>14501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14501</v>
      </c>
      <c r="AP50" s="105">
        <f t="shared" si="11"/>
        <v>9227.57</v>
      </c>
      <c r="AQ50" s="105">
        <f t="shared" si="41"/>
        <v>5273.43</v>
      </c>
      <c r="AR50" s="105">
        <f t="shared" si="34"/>
        <v>0</v>
      </c>
      <c r="AS50" s="105">
        <f t="shared" si="42"/>
        <v>0</v>
      </c>
      <c r="AT50" s="105">
        <f t="shared" si="43"/>
        <v>9227.57</v>
      </c>
      <c r="AU50" s="105">
        <f t="shared" si="44"/>
        <v>0</v>
      </c>
      <c r="AV50" s="105">
        <f t="shared" si="45"/>
        <v>0</v>
      </c>
      <c r="AW50" s="105">
        <f t="shared" si="46"/>
        <v>370207.46000000014</v>
      </c>
      <c r="AX50" s="108">
        <f t="shared" si="32"/>
        <v>43</v>
      </c>
      <c r="AY50" s="108">
        <f t="shared" si="14"/>
        <v>43</v>
      </c>
      <c r="AZ50" s="22">
        <f t="shared" si="36"/>
        <v>46592</v>
      </c>
      <c r="BA50" s="108">
        <f t="shared" si="36"/>
        <v>14471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14471</v>
      </c>
      <c r="H51" s="24">
        <f t="shared" si="6"/>
        <v>9456.59</v>
      </c>
      <c r="I51" s="24">
        <f t="shared" si="26"/>
        <v>482626.56</v>
      </c>
      <c r="J51" s="24">
        <f t="shared" si="16"/>
        <v>0</v>
      </c>
      <c r="K51" s="24">
        <f t="shared" si="7"/>
        <v>5014.41</v>
      </c>
      <c r="L51" s="24">
        <f t="shared" si="17"/>
        <v>0</v>
      </c>
      <c r="M51" s="24">
        <f t="shared" si="37"/>
        <v>0</v>
      </c>
      <c r="N51" s="24">
        <f t="shared" si="38"/>
        <v>9456.59</v>
      </c>
      <c r="O51" s="24">
        <f t="shared" si="39"/>
        <v>0</v>
      </c>
      <c r="P51" s="24">
        <f t="shared" si="40"/>
        <v>0</v>
      </c>
      <c r="Q51" s="24">
        <f t="shared" si="8"/>
        <v>367372.56000000011</v>
      </c>
      <c r="R51" s="36">
        <f t="shared" si="30"/>
        <v>42</v>
      </c>
      <c r="S51" s="36">
        <f t="shared" si="9"/>
        <v>42</v>
      </c>
      <c r="T51" s="2">
        <f t="shared" si="47"/>
        <v>11972.8</v>
      </c>
      <c r="U51" s="34">
        <f t="shared" si="48"/>
        <v>14471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 t="e">
        <f>IF(C9&gt;AD51,XIRR(U49:U159,V49:V159)*12,XIRR(U49:U158,F8:F87))</f>
        <v>#NUM!</v>
      </c>
      <c r="AF51" s="2"/>
      <c r="AG51" s="2"/>
      <c r="AH51" s="2"/>
      <c r="AI51" s="2">
        <f t="shared" si="49"/>
        <v>11972.09</v>
      </c>
      <c r="AJ51" s="34">
        <f t="shared" si="50"/>
        <v>14501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14501</v>
      </c>
      <c r="AP51" s="105">
        <f t="shared" si="11"/>
        <v>9401.24</v>
      </c>
      <c r="AQ51" s="105">
        <f t="shared" si="41"/>
        <v>5099.76</v>
      </c>
      <c r="AR51" s="105">
        <f t="shared" si="34"/>
        <v>0</v>
      </c>
      <c r="AS51" s="105">
        <f t="shared" si="42"/>
        <v>0</v>
      </c>
      <c r="AT51" s="105">
        <f t="shared" si="43"/>
        <v>9401.24</v>
      </c>
      <c r="AU51" s="105">
        <f t="shared" si="44"/>
        <v>0</v>
      </c>
      <c r="AV51" s="105">
        <f t="shared" si="45"/>
        <v>0</v>
      </c>
      <c r="AW51" s="105">
        <f t="shared" si="46"/>
        <v>365107.70000000013</v>
      </c>
      <c r="AX51" s="108">
        <f t="shared" si="32"/>
        <v>42</v>
      </c>
      <c r="AY51" s="108">
        <f t="shared" si="14"/>
        <v>42</v>
      </c>
      <c r="AZ51" s="22">
        <f t="shared" si="36"/>
        <v>46623</v>
      </c>
      <c r="BA51" s="108">
        <f t="shared" si="36"/>
        <v>14471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14471</v>
      </c>
      <c r="H52" s="24">
        <f t="shared" si="6"/>
        <v>9329.25</v>
      </c>
      <c r="I52" s="24">
        <f t="shared" si="26"/>
        <v>491955.81</v>
      </c>
      <c r="J52" s="24">
        <f t="shared" si="16"/>
        <v>0</v>
      </c>
      <c r="K52" s="24">
        <f t="shared" si="7"/>
        <v>5141.75</v>
      </c>
      <c r="L52" s="24">
        <f t="shared" si="17"/>
        <v>0</v>
      </c>
      <c r="M52" s="24">
        <f t="shared" si="37"/>
        <v>0</v>
      </c>
      <c r="N52" s="24">
        <f t="shared" si="38"/>
        <v>9329.25</v>
      </c>
      <c r="O52" s="24">
        <f t="shared" si="39"/>
        <v>0</v>
      </c>
      <c r="P52" s="24">
        <f t="shared" si="40"/>
        <v>0</v>
      </c>
      <c r="Q52" s="24">
        <f t="shared" si="8"/>
        <v>362230.81000000011</v>
      </c>
      <c r="R52" s="36">
        <f t="shared" si="30"/>
        <v>41</v>
      </c>
      <c r="S52" s="36">
        <f t="shared" si="9"/>
        <v>41</v>
      </c>
      <c r="T52" s="2">
        <f t="shared" si="47"/>
        <v>12735.24</v>
      </c>
      <c r="U52" s="34">
        <f t="shared" si="48"/>
        <v>14471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12733.7</v>
      </c>
      <c r="AJ52" s="34">
        <f t="shared" si="50"/>
        <v>14501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14501</v>
      </c>
      <c r="AP52" s="105">
        <f t="shared" si="11"/>
        <v>9271.73</v>
      </c>
      <c r="AQ52" s="105">
        <f t="shared" si="41"/>
        <v>5229.2700000000004</v>
      </c>
      <c r="AR52" s="105">
        <f t="shared" si="34"/>
        <v>0</v>
      </c>
      <c r="AS52" s="105">
        <f t="shared" si="42"/>
        <v>0</v>
      </c>
      <c r="AT52" s="105">
        <f t="shared" si="43"/>
        <v>9271.73</v>
      </c>
      <c r="AU52" s="105">
        <f t="shared" si="44"/>
        <v>0</v>
      </c>
      <c r="AV52" s="105">
        <f t="shared" si="45"/>
        <v>0</v>
      </c>
      <c r="AW52" s="105">
        <f t="shared" si="46"/>
        <v>359878.43000000011</v>
      </c>
      <c r="AX52" s="108">
        <f t="shared" si="32"/>
        <v>41</v>
      </c>
      <c r="AY52" s="108">
        <f t="shared" si="14"/>
        <v>41</v>
      </c>
      <c r="AZ52" s="22">
        <f t="shared" si="36"/>
        <v>46654</v>
      </c>
      <c r="BA52" s="108">
        <f t="shared" si="36"/>
        <v>14471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14471</v>
      </c>
      <c r="H53" s="24">
        <f t="shared" si="6"/>
        <v>8901.9500000000007</v>
      </c>
      <c r="I53" s="24">
        <f t="shared" si="26"/>
        <v>500857.76</v>
      </c>
      <c r="J53" s="24">
        <f t="shared" si="16"/>
        <v>0</v>
      </c>
      <c r="K53" s="24">
        <f t="shared" si="7"/>
        <v>5569.0499999999993</v>
      </c>
      <c r="L53" s="24">
        <f t="shared" si="17"/>
        <v>0</v>
      </c>
      <c r="M53" s="24">
        <f t="shared" si="37"/>
        <v>0</v>
      </c>
      <c r="N53" s="24">
        <f t="shared" si="38"/>
        <v>8901.9500000000007</v>
      </c>
      <c r="O53" s="24">
        <f t="shared" si="39"/>
        <v>0</v>
      </c>
      <c r="P53" s="24">
        <f t="shared" si="40"/>
        <v>0</v>
      </c>
      <c r="Q53" s="24">
        <f t="shared" si="8"/>
        <v>356661.76000000013</v>
      </c>
      <c r="R53" s="36">
        <f t="shared" si="30"/>
        <v>40</v>
      </c>
      <c r="S53" s="36">
        <f t="shared" si="9"/>
        <v>40</v>
      </c>
      <c r="T53" s="2">
        <f t="shared" si="47"/>
        <v>12281.89</v>
      </c>
      <c r="U53" s="34">
        <f t="shared" si="48"/>
        <v>14471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0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12279.63</v>
      </c>
      <c r="AJ53" s="34">
        <f t="shared" si="50"/>
        <v>14501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14501</v>
      </c>
      <c r="AP53" s="105">
        <f t="shared" si="11"/>
        <v>8844.14</v>
      </c>
      <c r="AQ53" s="105">
        <f t="shared" si="41"/>
        <v>5656.8600000000006</v>
      </c>
      <c r="AR53" s="105">
        <f t="shared" si="34"/>
        <v>0</v>
      </c>
      <c r="AS53" s="105">
        <f t="shared" si="42"/>
        <v>0</v>
      </c>
      <c r="AT53" s="105">
        <f t="shared" si="43"/>
        <v>8844.14</v>
      </c>
      <c r="AU53" s="105">
        <f t="shared" si="44"/>
        <v>0</v>
      </c>
      <c r="AV53" s="105">
        <f t="shared" si="45"/>
        <v>0</v>
      </c>
      <c r="AW53" s="105">
        <f t="shared" si="46"/>
        <v>354221.57000000012</v>
      </c>
      <c r="AX53" s="108">
        <f t="shared" si="32"/>
        <v>40</v>
      </c>
      <c r="AY53" s="108">
        <f t="shared" si="14"/>
        <v>40</v>
      </c>
      <c r="AZ53" s="22">
        <f t="shared" si="36"/>
        <v>46684</v>
      </c>
      <c r="BA53" s="108">
        <f t="shared" si="36"/>
        <v>14471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14471</v>
      </c>
      <c r="H54" s="24">
        <f t="shared" si="6"/>
        <v>9057.25</v>
      </c>
      <c r="I54" s="24">
        <f t="shared" si="26"/>
        <v>509915.01</v>
      </c>
      <c r="J54" s="24">
        <f t="shared" si="16"/>
        <v>0</v>
      </c>
      <c r="K54" s="24">
        <f t="shared" si="7"/>
        <v>5413.75</v>
      </c>
      <c r="L54" s="24">
        <f t="shared" si="17"/>
        <v>0</v>
      </c>
      <c r="M54" s="24">
        <f t="shared" si="37"/>
        <v>0</v>
      </c>
      <c r="N54" s="24">
        <f t="shared" si="38"/>
        <v>9057.25</v>
      </c>
      <c r="O54" s="24">
        <f t="shared" si="39"/>
        <v>0</v>
      </c>
      <c r="P54" s="24">
        <f t="shared" si="40"/>
        <v>0</v>
      </c>
      <c r="Q54" s="24">
        <f t="shared" si="8"/>
        <v>351248.01000000013</v>
      </c>
      <c r="R54" s="36">
        <f t="shared" si="30"/>
        <v>39</v>
      </c>
      <c r="S54" s="36">
        <f t="shared" si="9"/>
        <v>39</v>
      </c>
      <c r="T54" s="2">
        <f t="shared" si="47"/>
        <v>12635.84</v>
      </c>
      <c r="U54" s="34">
        <f t="shared" si="48"/>
        <v>14471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12632.69</v>
      </c>
      <c r="AJ54" s="34">
        <f t="shared" si="50"/>
        <v>14501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14501</v>
      </c>
      <c r="AP54" s="105">
        <f t="shared" si="11"/>
        <v>8995.2900000000009</v>
      </c>
      <c r="AQ54" s="105">
        <f t="shared" si="41"/>
        <v>5505.7099999999991</v>
      </c>
      <c r="AR54" s="105">
        <f t="shared" si="34"/>
        <v>0</v>
      </c>
      <c r="AS54" s="105">
        <f t="shared" si="42"/>
        <v>0</v>
      </c>
      <c r="AT54" s="105">
        <f t="shared" si="43"/>
        <v>8995.2900000000009</v>
      </c>
      <c r="AU54" s="105">
        <f t="shared" si="44"/>
        <v>0</v>
      </c>
      <c r="AV54" s="105">
        <f t="shared" si="45"/>
        <v>0</v>
      </c>
      <c r="AW54" s="105">
        <f t="shared" si="46"/>
        <v>348715.8600000001</v>
      </c>
      <c r="AX54" s="108">
        <f t="shared" si="32"/>
        <v>39</v>
      </c>
      <c r="AY54" s="108">
        <f t="shared" si="14"/>
        <v>39</v>
      </c>
      <c r="AZ54" s="22">
        <f t="shared" si="36"/>
        <v>46715</v>
      </c>
      <c r="BA54" s="108">
        <f t="shared" si="36"/>
        <v>14471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14471</v>
      </c>
      <c r="H55" s="24">
        <f t="shared" si="6"/>
        <v>8632.0400000000009</v>
      </c>
      <c r="I55" s="24">
        <f t="shared" si="26"/>
        <v>518547.05</v>
      </c>
      <c r="J55" s="24">
        <f t="shared" si="16"/>
        <v>0</v>
      </c>
      <c r="K55" s="24">
        <f t="shared" si="7"/>
        <v>5838.9599999999991</v>
      </c>
      <c r="L55" s="24">
        <f t="shared" si="17"/>
        <v>0</v>
      </c>
      <c r="M55" s="24">
        <f t="shared" si="37"/>
        <v>0</v>
      </c>
      <c r="N55" s="24">
        <f t="shared" si="38"/>
        <v>8632.0400000000009</v>
      </c>
      <c r="O55" s="24">
        <f t="shared" si="39"/>
        <v>0</v>
      </c>
      <c r="P55" s="24">
        <f t="shared" si="40"/>
        <v>0</v>
      </c>
      <c r="Q55" s="24">
        <f t="shared" si="8"/>
        <v>345409.0500000001</v>
      </c>
      <c r="R55" s="36">
        <f t="shared" si="30"/>
        <v>38</v>
      </c>
      <c r="S55" s="36">
        <f t="shared" si="9"/>
        <v>38</v>
      </c>
      <c r="T55" s="2">
        <f t="shared" si="47"/>
        <v>12183.26</v>
      </c>
      <c r="U55" s="34">
        <f t="shared" si="48"/>
        <v>14471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(C28+AF52)*AA14/12*(1+AA14/12)^(C10)/((1+AA14/12)^(C10)-1)+C28/10000*IF(C10&lt;11,20,IF(C10&lt;34,0.7,IF(C10&lt;64,0.3,IF(C10&lt;261,0.1,-0.02))))*IF(AA14&lt;0.3,AA14/0.2,AA14/0.1)</f>
        <v>14470.113608810238</v>
      </c>
      <c r="AC55" s="2"/>
      <c r="AD55" s="47">
        <f>(D28)*AB14/12*(1+AB14/12)^(D10)/((1+AB14/12)^(D10)-1)+D28/10000*IF(D10&lt;11,20,IF(D10&lt;20,2.5,IF(D10&lt;37,1.5,IF(D10&lt;60,0.7,0.5))))*IF(AA14&lt;0.3,AA14/0.2,AA14/0.1)</f>
        <v>14500.432149010237</v>
      </c>
      <c r="AE55" s="2"/>
      <c r="AF55" s="2"/>
      <c r="AG55" s="2"/>
      <c r="AH55" s="2"/>
      <c r="AI55" s="2">
        <f t="shared" si="49"/>
        <v>12179.4</v>
      </c>
      <c r="AJ55" s="34">
        <f t="shared" si="50"/>
        <v>14501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14501</v>
      </c>
      <c r="AP55" s="105">
        <f t="shared" si="11"/>
        <v>8569.81</v>
      </c>
      <c r="AQ55" s="105">
        <f t="shared" si="41"/>
        <v>5931.1900000000005</v>
      </c>
      <c r="AR55" s="105">
        <f t="shared" si="34"/>
        <v>0</v>
      </c>
      <c r="AS55" s="105">
        <f t="shared" si="42"/>
        <v>0</v>
      </c>
      <c r="AT55" s="105">
        <f t="shared" si="43"/>
        <v>8569.81</v>
      </c>
      <c r="AU55" s="105">
        <f t="shared" si="44"/>
        <v>0</v>
      </c>
      <c r="AV55" s="105">
        <f t="shared" si="45"/>
        <v>0</v>
      </c>
      <c r="AW55" s="105">
        <f t="shared" si="46"/>
        <v>342784.6700000001</v>
      </c>
      <c r="AX55" s="108">
        <f t="shared" si="32"/>
        <v>38</v>
      </c>
      <c r="AY55" s="108">
        <f t="shared" si="14"/>
        <v>38</v>
      </c>
      <c r="AZ55" s="22">
        <f t="shared" si="36"/>
        <v>46745</v>
      </c>
      <c r="BA55" s="108">
        <f t="shared" si="36"/>
        <v>14471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14471</v>
      </c>
      <c r="H56" s="24">
        <f t="shared" si="6"/>
        <v>8752.94</v>
      </c>
      <c r="I56" s="24">
        <f t="shared" si="26"/>
        <v>527299.99</v>
      </c>
      <c r="J56" s="24">
        <f t="shared" si="16"/>
        <v>0</v>
      </c>
      <c r="K56" s="24">
        <f t="shared" si="7"/>
        <v>5718.0599999999995</v>
      </c>
      <c r="L56" s="24">
        <f t="shared" si="17"/>
        <v>0</v>
      </c>
      <c r="M56" s="24">
        <f t="shared" si="37"/>
        <v>0</v>
      </c>
      <c r="N56" s="24">
        <f t="shared" si="38"/>
        <v>8752.94</v>
      </c>
      <c r="O56" s="24">
        <f t="shared" si="39"/>
        <v>0</v>
      </c>
      <c r="P56" s="24">
        <f t="shared" si="40"/>
        <v>0</v>
      </c>
      <c r="Q56" s="24">
        <f t="shared" si="8"/>
        <v>339690.99000000011</v>
      </c>
      <c r="R56" s="36">
        <f t="shared" si="30"/>
        <v>37</v>
      </c>
      <c r="S56" s="36">
        <f t="shared" si="9"/>
        <v>37</v>
      </c>
      <c r="T56" s="2">
        <f t="shared" si="47"/>
        <v>12531.43</v>
      </c>
      <c r="U56" s="34">
        <f t="shared" si="48"/>
        <v>14471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14470.113608810238</v>
      </c>
      <c r="AB56" s="156">
        <f>(C28+AF52)*AA14/12*(1+AA14/12)^(C10)/((1+AA14/12)^(C10)-1)+C28/10000*IF(C10&lt;11,20,IF(C10&lt;34,0.7,IF(C10&lt;58,0.3,0.1)))*IF(AA14&lt;0.3,AA14/0.2,AA14/0.1)</f>
        <v>14470.113608810238</v>
      </c>
      <c r="AC56" s="13">
        <f>IF(DAY(C9)&lt;4,AD55,IF(DAY(C9)&gt;28,AD57,AD56))</f>
        <v>14462.533973760237</v>
      </c>
      <c r="AD56" s="47">
        <f>(D28)*AB14/12*(1+AB14/12)^(C10)/((1+AB14/12)^(C10)-1)</f>
        <v>14462.533973760237</v>
      </c>
      <c r="AE56" s="2"/>
      <c r="AF56" s="2"/>
      <c r="AG56" s="2"/>
      <c r="AH56" s="2"/>
      <c r="AI56" s="2">
        <f t="shared" si="49"/>
        <v>12526.58</v>
      </c>
      <c r="AJ56" s="34">
        <f t="shared" si="50"/>
        <v>14501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14501</v>
      </c>
      <c r="AP56" s="105">
        <f t="shared" si="11"/>
        <v>8686.44</v>
      </c>
      <c r="AQ56" s="105">
        <f t="shared" si="41"/>
        <v>5814.5599999999995</v>
      </c>
      <c r="AR56" s="105">
        <f t="shared" si="34"/>
        <v>0</v>
      </c>
      <c r="AS56" s="105">
        <f t="shared" si="42"/>
        <v>0</v>
      </c>
      <c r="AT56" s="105">
        <f t="shared" si="43"/>
        <v>8686.44</v>
      </c>
      <c r="AU56" s="105">
        <f t="shared" si="44"/>
        <v>0</v>
      </c>
      <c r="AV56" s="105">
        <f t="shared" si="45"/>
        <v>0</v>
      </c>
      <c r="AW56" s="105">
        <f t="shared" si="46"/>
        <v>336970.1100000001</v>
      </c>
      <c r="AX56" s="108">
        <f t="shared" si="32"/>
        <v>37</v>
      </c>
      <c r="AY56" s="108">
        <f t="shared" si="14"/>
        <v>37</v>
      </c>
      <c r="AZ56" s="22">
        <f t="shared" si="36"/>
        <v>46776</v>
      </c>
      <c r="BA56" s="108">
        <f t="shared" si="36"/>
        <v>14471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14471</v>
      </c>
      <c r="H57" s="24">
        <f t="shared" si="6"/>
        <v>8602.7199999999993</v>
      </c>
      <c r="I57" s="24">
        <f t="shared" si="26"/>
        <v>535902.71</v>
      </c>
      <c r="J57" s="24">
        <f t="shared" si="16"/>
        <v>0</v>
      </c>
      <c r="K57" s="24">
        <f t="shared" si="7"/>
        <v>5868.2800000000007</v>
      </c>
      <c r="L57" s="24">
        <f t="shared" si="17"/>
        <v>0</v>
      </c>
      <c r="M57" s="24">
        <f t="shared" si="37"/>
        <v>0</v>
      </c>
      <c r="N57" s="24">
        <f t="shared" si="38"/>
        <v>8602.7199999999993</v>
      </c>
      <c r="O57" s="24">
        <f t="shared" si="39"/>
        <v>0</v>
      </c>
      <c r="P57" s="24">
        <f t="shared" si="40"/>
        <v>0</v>
      </c>
      <c r="Q57" s="24">
        <f t="shared" si="8"/>
        <v>333822.71000000008</v>
      </c>
      <c r="R57" s="36">
        <f t="shared" si="30"/>
        <v>36</v>
      </c>
      <c r="S57" s="36">
        <f t="shared" si="9"/>
        <v>36</v>
      </c>
      <c r="T57" s="2">
        <f t="shared" si="47"/>
        <v>12482.31</v>
      </c>
      <c r="U57" s="34">
        <f t="shared" si="48"/>
        <v>14471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13410</v>
      </c>
      <c r="AA57" s="13">
        <f>(C28+AF52)*Z58/12*(1+Z58/12)^(C10+AA58)/((1+Z58/12)^(C10+AA58)-1)+10*C28/100000*IF(C10+AA58&lt;24,4,IF(C10+AA58&lt;36,3,IF(C10+AA58&lt;48,2,IF(C10+AA58&lt;60,1.5,1))))*Z58/0.2</f>
        <v>13403.765554836786</v>
      </c>
      <c r="AB57" s="157">
        <f>(C28+AF52)*AA14/12*(1+AA14/12)^(C10)/((1+AA14/12)^(C10)-1)+C28/10000*IF(C10&lt;11,20,IF(C10&lt;34,0.7,IF(C10&lt;48,0.3,0)))*IF(AA14&lt;0.3,AA14/0.2,AA14/0.1)</f>
        <v>14462.533973760237</v>
      </c>
      <c r="AC57" s="13">
        <f>(D28+AF52)*AC58/12*(1+AC58/12)^(C10+AA58)/((1+AC58/12)^(C10+AA58)-1)+10*D28/100000*IF(C10+AA58&lt;24,4,IF(C10+AA58&lt;36,3,IF(C10+AA58&lt;48,2,IF(C10+AA58&lt;60,1.5,1))))*AC58/0.2</f>
        <v>13403.765554836786</v>
      </c>
      <c r="AD57" s="47">
        <f>(D28)*AB14/12*(1+AB14/12)^(C10)/((1+AB14/12)^(C10)-1)</f>
        <v>14462.533973760237</v>
      </c>
      <c r="AE57" s="2"/>
      <c r="AF57" s="2"/>
      <c r="AG57" s="2"/>
      <c r="AH57" s="2"/>
      <c r="AI57" s="2">
        <f t="shared" si="49"/>
        <v>12476.58</v>
      </c>
      <c r="AJ57" s="34">
        <f t="shared" si="50"/>
        <v>14501</v>
      </c>
      <c r="AK57" s="57">
        <f t="shared" si="52"/>
        <v>48235</v>
      </c>
      <c r="AL57" s="130">
        <f t="shared" si="21"/>
        <v>1</v>
      </c>
      <c r="AM57" s="109">
        <f t="shared" si="31"/>
        <v>49</v>
      </c>
      <c r="AN57" s="110">
        <f t="shared" si="10"/>
        <v>46807</v>
      </c>
      <c r="AO57" s="105">
        <f t="shared" si="35"/>
        <v>14501</v>
      </c>
      <c r="AP57" s="105">
        <f t="shared" si="11"/>
        <v>8533.81</v>
      </c>
      <c r="AQ57" s="105">
        <f t="shared" si="41"/>
        <v>5967.1900000000005</v>
      </c>
      <c r="AR57" s="105">
        <f t="shared" si="34"/>
        <v>0</v>
      </c>
      <c r="AS57" s="105">
        <f t="shared" si="42"/>
        <v>0</v>
      </c>
      <c r="AT57" s="105">
        <f t="shared" si="43"/>
        <v>8533.81</v>
      </c>
      <c r="AU57" s="105">
        <f t="shared" si="44"/>
        <v>0</v>
      </c>
      <c r="AV57" s="105">
        <f t="shared" si="45"/>
        <v>0</v>
      </c>
      <c r="AW57" s="105">
        <f t="shared" si="46"/>
        <v>331002.9200000001</v>
      </c>
      <c r="AX57" s="108">
        <f t="shared" si="32"/>
        <v>36</v>
      </c>
      <c r="AY57" s="108">
        <f t="shared" si="14"/>
        <v>36</v>
      </c>
      <c r="AZ57" s="22">
        <f t="shared" si="36"/>
        <v>46807</v>
      </c>
      <c r="BA57" s="108">
        <f t="shared" si="36"/>
        <v>14471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14471</v>
      </c>
      <c r="H58" s="24">
        <f t="shared" si="6"/>
        <v>7908.68</v>
      </c>
      <c r="I58" s="24">
        <f t="shared" si="26"/>
        <v>543811.39</v>
      </c>
      <c r="J58" s="24">
        <f t="shared" si="16"/>
        <v>0</v>
      </c>
      <c r="K58" s="24">
        <f t="shared" si="7"/>
        <v>6562.32</v>
      </c>
      <c r="L58" s="24">
        <f t="shared" si="17"/>
        <v>0</v>
      </c>
      <c r="M58" s="24">
        <f t="shared" si="37"/>
        <v>0</v>
      </c>
      <c r="N58" s="24">
        <f t="shared" si="38"/>
        <v>7908.68</v>
      </c>
      <c r="O58" s="24">
        <f t="shared" si="39"/>
        <v>0</v>
      </c>
      <c r="P58" s="24">
        <f t="shared" si="40"/>
        <v>0</v>
      </c>
      <c r="Q58" s="24">
        <f t="shared" si="8"/>
        <v>327260.39000000007</v>
      </c>
      <c r="R58" s="36">
        <f t="shared" si="30"/>
        <v>35</v>
      </c>
      <c r="S58" s="36">
        <f t="shared" si="9"/>
        <v>35</v>
      </c>
      <c r="T58" s="2">
        <f t="shared" si="47"/>
        <v>12030.92</v>
      </c>
      <c r="U58" s="34">
        <f t="shared" si="48"/>
        <v>14471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14462.533973760237</v>
      </c>
      <c r="AC58" s="15">
        <f>IF(C9&gt;AE49,D17,D17+0.05)</f>
        <v>0.29899999999999999</v>
      </c>
      <c r="AD58" s="47">
        <f>(D28)*AB14/12*(1+AB14/12)^(C10)/((1+AB14/12)^(C10)-1)</f>
        <v>14462.533973760237</v>
      </c>
      <c r="AE58" s="2"/>
      <c r="AF58" s="2"/>
      <c r="AG58" s="2"/>
      <c r="AH58" s="2"/>
      <c r="AI58" s="2">
        <f t="shared" si="49"/>
        <v>12024.49</v>
      </c>
      <c r="AJ58" s="34">
        <f t="shared" si="50"/>
        <v>14501</v>
      </c>
      <c r="AK58" s="57">
        <f t="shared" si="52"/>
        <v>48600</v>
      </c>
      <c r="AL58" s="130">
        <f t="shared" si="21"/>
        <v>1</v>
      </c>
      <c r="AM58" s="109">
        <f t="shared" si="31"/>
        <v>50</v>
      </c>
      <c r="AN58" s="110">
        <f t="shared" si="10"/>
        <v>46836</v>
      </c>
      <c r="AO58" s="105">
        <f t="shared" si="35"/>
        <v>14501</v>
      </c>
      <c r="AP58" s="105">
        <f t="shared" si="11"/>
        <v>7841.88</v>
      </c>
      <c r="AQ58" s="105">
        <f t="shared" si="41"/>
        <v>6659.12</v>
      </c>
      <c r="AR58" s="105">
        <f t="shared" si="34"/>
        <v>0</v>
      </c>
      <c r="AS58" s="105">
        <f t="shared" si="42"/>
        <v>0</v>
      </c>
      <c r="AT58" s="105">
        <f t="shared" si="43"/>
        <v>7841.88</v>
      </c>
      <c r="AU58" s="105">
        <f t="shared" si="44"/>
        <v>0</v>
      </c>
      <c r="AV58" s="105">
        <f t="shared" si="45"/>
        <v>0</v>
      </c>
      <c r="AW58" s="105">
        <f t="shared" si="46"/>
        <v>324343.8000000001</v>
      </c>
      <c r="AX58" s="108">
        <f t="shared" si="32"/>
        <v>35</v>
      </c>
      <c r="AY58" s="108">
        <f t="shared" si="14"/>
        <v>35</v>
      </c>
      <c r="AZ58" s="22">
        <f t="shared" si="36"/>
        <v>46836</v>
      </c>
      <c r="BA58" s="108">
        <f t="shared" si="36"/>
        <v>14471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14471</v>
      </c>
      <c r="H59" s="24">
        <f t="shared" si="6"/>
        <v>8287.91</v>
      </c>
      <c r="I59" s="24">
        <f t="shared" si="26"/>
        <v>552099.30000000005</v>
      </c>
      <c r="J59" s="24">
        <f t="shared" si="16"/>
        <v>0</v>
      </c>
      <c r="K59" s="24">
        <f t="shared" si="7"/>
        <v>6183.09</v>
      </c>
      <c r="L59" s="24">
        <f t="shared" si="17"/>
        <v>0</v>
      </c>
      <c r="M59" s="24">
        <f t="shared" si="37"/>
        <v>0</v>
      </c>
      <c r="N59" s="24">
        <f t="shared" si="38"/>
        <v>8287.91</v>
      </c>
      <c r="O59" s="24">
        <f t="shared" si="39"/>
        <v>0</v>
      </c>
      <c r="P59" s="24">
        <f t="shared" si="40"/>
        <v>0</v>
      </c>
      <c r="Q59" s="24">
        <f t="shared" si="8"/>
        <v>321077.30000000005</v>
      </c>
      <c r="R59" s="36">
        <f t="shared" si="30"/>
        <v>34</v>
      </c>
      <c r="S59" s="36">
        <f t="shared" si="9"/>
        <v>34</v>
      </c>
      <c r="T59" s="2">
        <f t="shared" si="47"/>
        <v>12370.15</v>
      </c>
      <c r="U59" s="34">
        <f t="shared" si="48"/>
        <v>14471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49"/>
        <v>12362.59</v>
      </c>
      <c r="AJ59" s="34">
        <f t="shared" si="50"/>
        <v>14501</v>
      </c>
      <c r="AK59" s="57">
        <f t="shared" si="52"/>
        <v>48965</v>
      </c>
      <c r="AL59" s="130">
        <f t="shared" si="21"/>
        <v>1</v>
      </c>
      <c r="AM59" s="109">
        <f t="shared" si="31"/>
        <v>51</v>
      </c>
      <c r="AN59" s="110">
        <f t="shared" si="10"/>
        <v>46867</v>
      </c>
      <c r="AO59" s="105">
        <f t="shared" si="35"/>
        <v>14501</v>
      </c>
      <c r="AP59" s="105">
        <f t="shared" si="11"/>
        <v>8214.0499999999993</v>
      </c>
      <c r="AQ59" s="105">
        <f t="shared" si="41"/>
        <v>6286.9500000000007</v>
      </c>
      <c r="AR59" s="105">
        <f t="shared" si="34"/>
        <v>0</v>
      </c>
      <c r="AS59" s="105">
        <f t="shared" si="42"/>
        <v>0</v>
      </c>
      <c r="AT59" s="105">
        <f t="shared" si="43"/>
        <v>8214.0499999999993</v>
      </c>
      <c r="AU59" s="105">
        <f t="shared" si="44"/>
        <v>0</v>
      </c>
      <c r="AV59" s="105">
        <f t="shared" si="45"/>
        <v>0</v>
      </c>
      <c r="AW59" s="105">
        <f t="shared" si="46"/>
        <v>318056.85000000009</v>
      </c>
      <c r="AX59" s="108">
        <f t="shared" si="32"/>
        <v>34</v>
      </c>
      <c r="AY59" s="108">
        <f t="shared" si="14"/>
        <v>34</v>
      </c>
      <c r="AZ59" s="22">
        <f t="shared" si="36"/>
        <v>46867</v>
      </c>
      <c r="BA59" s="108">
        <f t="shared" si="36"/>
        <v>14471</v>
      </c>
      <c r="BB59" s="2" t="e">
        <f t="shared" si="54"/>
        <v>#VALUE!</v>
      </c>
    </row>
    <row r="60" spans="1:54" s="16" customFormat="1" ht="12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14471</v>
      </c>
      <c r="H60" s="24">
        <f t="shared" si="6"/>
        <v>7869.03</v>
      </c>
      <c r="I60" s="24">
        <f t="shared" si="26"/>
        <v>559968.33000000007</v>
      </c>
      <c r="J60" s="24">
        <f t="shared" si="16"/>
        <v>0</v>
      </c>
      <c r="K60" s="24">
        <f t="shared" si="7"/>
        <v>6601.97</v>
      </c>
      <c r="L60" s="24">
        <f t="shared" si="17"/>
        <v>0</v>
      </c>
      <c r="M60" s="24">
        <f t="shared" si="37"/>
        <v>0</v>
      </c>
      <c r="N60" s="24">
        <f t="shared" si="38"/>
        <v>7869.03</v>
      </c>
      <c r="O60" s="24">
        <f t="shared" si="39"/>
        <v>0</v>
      </c>
      <c r="P60" s="24">
        <f t="shared" si="40"/>
        <v>0</v>
      </c>
      <c r="Q60" s="24">
        <f t="shared" si="8"/>
        <v>314475.33000000007</v>
      </c>
      <c r="R60" s="36">
        <f t="shared" si="30"/>
        <v>33</v>
      </c>
      <c r="S60" s="36">
        <f t="shared" si="9"/>
        <v>33</v>
      </c>
      <c r="T60" s="2">
        <f t="shared" si="47"/>
        <v>11919.63</v>
      </c>
      <c r="U60" s="34">
        <f t="shared" si="48"/>
        <v>14471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483</v>
      </c>
      <c r="AF60" s="145" t="s">
        <v>484</v>
      </c>
      <c r="AG60" s="2" t="s">
        <v>35</v>
      </c>
      <c r="AH60" s="2"/>
      <c r="AI60" s="2">
        <f t="shared" si="49"/>
        <v>11911.39</v>
      </c>
      <c r="AJ60" s="34">
        <f t="shared" si="50"/>
        <v>14501</v>
      </c>
      <c r="AK60" s="57">
        <f>IF(AI60=0,AK59,AK59+365)</f>
        <v>49330</v>
      </c>
      <c r="AL60" s="130">
        <f t="shared" si="21"/>
        <v>1</v>
      </c>
      <c r="AM60" s="109">
        <f t="shared" si="31"/>
        <v>52</v>
      </c>
      <c r="AN60" s="110">
        <f t="shared" si="10"/>
        <v>46897</v>
      </c>
      <c r="AO60" s="105">
        <f t="shared" si="35"/>
        <v>14501</v>
      </c>
      <c r="AP60" s="105">
        <f t="shared" si="11"/>
        <v>7795</v>
      </c>
      <c r="AQ60" s="105">
        <f t="shared" si="41"/>
        <v>6706</v>
      </c>
      <c r="AR60" s="105">
        <f t="shared" si="34"/>
        <v>0</v>
      </c>
      <c r="AS60" s="105">
        <f t="shared" si="42"/>
        <v>0</v>
      </c>
      <c r="AT60" s="105">
        <f t="shared" si="43"/>
        <v>7795</v>
      </c>
      <c r="AU60" s="105">
        <f t="shared" si="44"/>
        <v>0</v>
      </c>
      <c r="AV60" s="105">
        <f t="shared" si="45"/>
        <v>0</v>
      </c>
      <c r="AW60" s="105">
        <f t="shared" si="46"/>
        <v>311350.85000000009</v>
      </c>
      <c r="AX60" s="108">
        <f t="shared" si="32"/>
        <v>33</v>
      </c>
      <c r="AY60" s="108">
        <f t="shared" si="14"/>
        <v>33</v>
      </c>
      <c r="AZ60" s="22">
        <f t="shared" si="36"/>
        <v>46897</v>
      </c>
      <c r="BA60" s="108">
        <f t="shared" si="36"/>
        <v>14471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14471</v>
      </c>
      <c r="H61" s="24">
        <f t="shared" si="6"/>
        <v>7964.13</v>
      </c>
      <c r="I61" s="24">
        <f t="shared" si="26"/>
        <v>567932.46000000008</v>
      </c>
      <c r="J61" s="24">
        <f t="shared" si="16"/>
        <v>0</v>
      </c>
      <c r="K61" s="24">
        <f t="shared" si="7"/>
        <v>6506.87</v>
      </c>
      <c r="L61" s="24">
        <f t="shared" si="17"/>
        <v>0</v>
      </c>
      <c r="M61" s="24">
        <f t="shared" si="37"/>
        <v>0</v>
      </c>
      <c r="N61" s="24">
        <f t="shared" si="38"/>
        <v>7964.13</v>
      </c>
      <c r="O61" s="24">
        <f t="shared" si="39"/>
        <v>0</v>
      </c>
      <c r="P61" s="24">
        <f t="shared" si="40"/>
        <v>0</v>
      </c>
      <c r="Q61" s="24">
        <f t="shared" si="8"/>
        <v>307968.46000000008</v>
      </c>
      <c r="R61" s="36">
        <f t="shared" si="30"/>
        <v>32</v>
      </c>
      <c r="S61" s="36">
        <f t="shared" si="9"/>
        <v>32</v>
      </c>
      <c r="T61" s="2">
        <f t="shared" si="47"/>
        <v>12285.9</v>
      </c>
      <c r="U61" s="34">
        <f t="shared" si="48"/>
        <v>14471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12276.4</v>
      </c>
      <c r="AJ61" s="34">
        <f t="shared" si="50"/>
        <v>14501</v>
      </c>
      <c r="AK61" s="57">
        <f t="shared" si="52"/>
        <v>49695</v>
      </c>
      <c r="AL61" s="130">
        <f t="shared" si="21"/>
        <v>1</v>
      </c>
      <c r="AM61" s="109">
        <f t="shared" si="31"/>
        <v>53</v>
      </c>
      <c r="AN61" s="110">
        <f t="shared" si="10"/>
        <v>46928</v>
      </c>
      <c r="AO61" s="105">
        <f t="shared" si="35"/>
        <v>14501</v>
      </c>
      <c r="AP61" s="105">
        <f t="shared" si="11"/>
        <v>7885</v>
      </c>
      <c r="AQ61" s="105">
        <f t="shared" si="41"/>
        <v>6616</v>
      </c>
      <c r="AR61" s="105">
        <f t="shared" si="34"/>
        <v>0</v>
      </c>
      <c r="AS61" s="105">
        <f t="shared" si="42"/>
        <v>0</v>
      </c>
      <c r="AT61" s="105">
        <f t="shared" si="43"/>
        <v>7885</v>
      </c>
      <c r="AU61" s="105">
        <f t="shared" si="44"/>
        <v>0</v>
      </c>
      <c r="AV61" s="105">
        <f t="shared" si="45"/>
        <v>0</v>
      </c>
      <c r="AW61" s="105">
        <f t="shared" si="46"/>
        <v>304734.85000000009</v>
      </c>
      <c r="AX61" s="108">
        <f t="shared" si="32"/>
        <v>32</v>
      </c>
      <c r="AY61" s="108">
        <f t="shared" si="14"/>
        <v>32</v>
      </c>
      <c r="AZ61" s="22">
        <f t="shared" si="36"/>
        <v>46928</v>
      </c>
      <c r="BA61" s="108">
        <f t="shared" si="36"/>
        <v>14471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14471</v>
      </c>
      <c r="H62" s="24">
        <f t="shared" si="6"/>
        <v>7547.75</v>
      </c>
      <c r="I62" s="24">
        <f t="shared" si="26"/>
        <v>575480.21000000008</v>
      </c>
      <c r="J62" s="24">
        <f t="shared" si="16"/>
        <v>0</v>
      </c>
      <c r="K62" s="24">
        <f t="shared" si="7"/>
        <v>6923.25</v>
      </c>
      <c r="L62" s="24">
        <f t="shared" si="17"/>
        <v>0</v>
      </c>
      <c r="M62" s="24">
        <f t="shared" si="37"/>
        <v>0</v>
      </c>
      <c r="N62" s="24">
        <f t="shared" si="38"/>
        <v>7547.75</v>
      </c>
      <c r="O62" s="24">
        <f t="shared" si="39"/>
        <v>0</v>
      </c>
      <c r="P62" s="24">
        <f t="shared" si="40"/>
        <v>0</v>
      </c>
      <c r="Q62" s="24">
        <f t="shared" si="8"/>
        <v>301045.21000000008</v>
      </c>
      <c r="R62" s="36">
        <f t="shared" si="30"/>
        <v>31</v>
      </c>
      <c r="S62" s="36">
        <f t="shared" si="9"/>
        <v>31</v>
      </c>
      <c r="T62" s="2">
        <f t="shared" si="47"/>
        <v>12230.22</v>
      </c>
      <c r="U62" s="34">
        <f t="shared" si="48"/>
        <v>14471</v>
      </c>
      <c r="V62" s="57">
        <f t="shared" si="51"/>
        <v>50060</v>
      </c>
      <c r="W62" s="16">
        <f t="shared" si="53"/>
        <v>13</v>
      </c>
      <c r="Y62" s="171">
        <v>200000</v>
      </c>
      <c r="Z62" s="651">
        <v>3.5000000000000001E-3</v>
      </c>
      <c r="AA62" s="651">
        <v>8.3000000000000001E-4</v>
      </c>
      <c r="AB62" s="651">
        <v>3.5000000000000001E-3</v>
      </c>
      <c r="AC62" s="133">
        <v>3.0000000000000001E-3</v>
      </c>
      <c r="AD62" s="133">
        <v>3.0000000000000001E-3</v>
      </c>
      <c r="AE62" s="133">
        <v>0.01</v>
      </c>
      <c r="AF62" s="133">
        <v>0.01</v>
      </c>
      <c r="AG62" s="2"/>
      <c r="AH62" s="2"/>
      <c r="AI62" s="2">
        <f t="shared" si="49"/>
        <v>12219.71</v>
      </c>
      <c r="AJ62" s="34">
        <f t="shared" si="50"/>
        <v>14501</v>
      </c>
      <c r="AK62" s="57">
        <f t="shared" si="52"/>
        <v>50060</v>
      </c>
      <c r="AL62" s="130">
        <f t="shared" si="21"/>
        <v>1</v>
      </c>
      <c r="AM62" s="109">
        <f t="shared" si="31"/>
        <v>54</v>
      </c>
      <c r="AN62" s="110">
        <f t="shared" si="10"/>
        <v>46958</v>
      </c>
      <c r="AO62" s="105">
        <f t="shared" si="35"/>
        <v>14501</v>
      </c>
      <c r="AP62" s="105">
        <f t="shared" si="11"/>
        <v>7468.5</v>
      </c>
      <c r="AQ62" s="105">
        <f t="shared" si="41"/>
        <v>7032.5</v>
      </c>
      <c r="AR62" s="105">
        <f t="shared" si="34"/>
        <v>0</v>
      </c>
      <c r="AS62" s="105">
        <f t="shared" si="42"/>
        <v>0</v>
      </c>
      <c r="AT62" s="105">
        <f t="shared" si="43"/>
        <v>7468.5</v>
      </c>
      <c r="AU62" s="105">
        <f t="shared" si="44"/>
        <v>0</v>
      </c>
      <c r="AV62" s="105">
        <f t="shared" si="45"/>
        <v>0</v>
      </c>
      <c r="AW62" s="105">
        <f t="shared" si="46"/>
        <v>297702.35000000009</v>
      </c>
      <c r="AX62" s="108">
        <f t="shared" si="32"/>
        <v>31</v>
      </c>
      <c r="AY62" s="108">
        <f t="shared" si="14"/>
        <v>31</v>
      </c>
      <c r="AZ62" s="22">
        <f t="shared" si="36"/>
        <v>46958</v>
      </c>
      <c r="BA62" s="108">
        <f t="shared" si="36"/>
        <v>14471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14471</v>
      </c>
      <c r="H63" s="24">
        <f t="shared" si="6"/>
        <v>7624.01</v>
      </c>
      <c r="I63" s="24">
        <f t="shared" si="26"/>
        <v>583104.22000000009</v>
      </c>
      <c r="J63" s="24">
        <f t="shared" si="16"/>
        <v>0</v>
      </c>
      <c r="K63" s="24">
        <f t="shared" si="7"/>
        <v>6846.99</v>
      </c>
      <c r="L63" s="24">
        <f t="shared" si="17"/>
        <v>0</v>
      </c>
      <c r="M63" s="24">
        <f t="shared" si="37"/>
        <v>0</v>
      </c>
      <c r="N63" s="24">
        <f t="shared" si="38"/>
        <v>7624.01</v>
      </c>
      <c r="O63" s="24">
        <f t="shared" si="39"/>
        <v>0</v>
      </c>
      <c r="P63" s="24">
        <f t="shared" si="40"/>
        <v>0</v>
      </c>
      <c r="Q63" s="24">
        <f t="shared" si="8"/>
        <v>294198.22000000009</v>
      </c>
      <c r="R63" s="36">
        <f t="shared" si="30"/>
        <v>30</v>
      </c>
      <c r="S63" s="36">
        <f t="shared" si="9"/>
        <v>30</v>
      </c>
      <c r="T63" s="2">
        <f t="shared" si="47"/>
        <v>10995.25</v>
      </c>
      <c r="U63" s="34">
        <f t="shared" si="48"/>
        <v>14471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51">
        <v>3.0000000000000001E-3</v>
      </c>
      <c r="AA63" s="651">
        <v>8.3000000000000001E-4</v>
      </c>
      <c r="AB63" s="651">
        <v>3.0000000000000001E-3</v>
      </c>
      <c r="AC63" s="133">
        <v>3.0000000000000001E-3</v>
      </c>
      <c r="AD63" s="133">
        <v>3.0000000000000001E-3</v>
      </c>
      <c r="AE63" s="133">
        <v>0.01</v>
      </c>
      <c r="AF63" s="133">
        <v>0.01</v>
      </c>
      <c r="AG63" s="2"/>
      <c r="AH63" s="2"/>
      <c r="AI63" s="2">
        <f t="shared" si="49"/>
        <v>10984.83</v>
      </c>
      <c r="AJ63" s="34">
        <f t="shared" si="50"/>
        <v>14501</v>
      </c>
      <c r="AK63" s="57">
        <f t="shared" si="52"/>
        <v>50425</v>
      </c>
      <c r="AL63" s="130">
        <f t="shared" si="21"/>
        <v>1</v>
      </c>
      <c r="AM63" s="109">
        <f t="shared" si="31"/>
        <v>55</v>
      </c>
      <c r="AN63" s="110">
        <f t="shared" si="10"/>
        <v>46989</v>
      </c>
      <c r="AO63" s="105">
        <f t="shared" si="35"/>
        <v>14501</v>
      </c>
      <c r="AP63" s="105">
        <f t="shared" si="11"/>
        <v>7539.35</v>
      </c>
      <c r="AQ63" s="105">
        <f t="shared" si="41"/>
        <v>6961.65</v>
      </c>
      <c r="AR63" s="105">
        <f t="shared" si="34"/>
        <v>0</v>
      </c>
      <c r="AS63" s="105">
        <f t="shared" si="42"/>
        <v>0</v>
      </c>
      <c r="AT63" s="105">
        <f t="shared" si="43"/>
        <v>7539.35</v>
      </c>
      <c r="AU63" s="105">
        <f t="shared" si="44"/>
        <v>0</v>
      </c>
      <c r="AV63" s="105">
        <f t="shared" si="45"/>
        <v>0</v>
      </c>
      <c r="AW63" s="105">
        <f t="shared" si="46"/>
        <v>290740.70000000007</v>
      </c>
      <c r="AX63" s="108">
        <f t="shared" si="32"/>
        <v>30</v>
      </c>
      <c r="AY63" s="108">
        <f t="shared" si="14"/>
        <v>30</v>
      </c>
      <c r="AZ63" s="22">
        <f t="shared" si="36"/>
        <v>46989</v>
      </c>
      <c r="BA63" s="108">
        <f t="shared" si="36"/>
        <v>14471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14471</v>
      </c>
      <c r="H64" s="24">
        <f t="shared" si="6"/>
        <v>7450.61</v>
      </c>
      <c r="I64" s="24">
        <f t="shared" si="26"/>
        <v>590554.83000000007</v>
      </c>
      <c r="J64" s="24">
        <f t="shared" si="16"/>
        <v>0</v>
      </c>
      <c r="K64" s="24">
        <f t="shared" si="7"/>
        <v>7020.39</v>
      </c>
      <c r="L64" s="24">
        <f t="shared" si="17"/>
        <v>0</v>
      </c>
      <c r="M64" s="24">
        <f t="shared" si="29"/>
        <v>0</v>
      </c>
      <c r="N64" s="24">
        <f t="shared" si="18"/>
        <v>7450.61</v>
      </c>
      <c r="O64" s="24">
        <f t="shared" si="19"/>
        <v>0</v>
      </c>
      <c r="P64" s="24">
        <f t="shared" si="20"/>
        <v>0</v>
      </c>
      <c r="Q64" s="24">
        <f t="shared" si="8"/>
        <v>287177.83000000007</v>
      </c>
      <c r="R64" s="36">
        <f t="shared" si="30"/>
        <v>29</v>
      </c>
      <c r="S64" s="36">
        <f t="shared" si="9"/>
        <v>29</v>
      </c>
      <c r="T64" s="2">
        <f t="shared" si="47"/>
        <v>12085.05</v>
      </c>
      <c r="U64" s="34">
        <f t="shared" si="48"/>
        <v>14471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51">
        <v>2.5000000000000001E-3</v>
      </c>
      <c r="AA64" s="651">
        <v>8.3000000000000001E-4</v>
      </c>
      <c r="AB64" s="651">
        <v>2.5000000000000001E-3</v>
      </c>
      <c r="AC64" s="133">
        <v>3.0000000000000001E-3</v>
      </c>
      <c r="AD64" s="133">
        <v>3.0000000000000001E-3</v>
      </c>
      <c r="AE64" s="133">
        <v>0.01</v>
      </c>
      <c r="AF64" s="133">
        <v>0.01</v>
      </c>
      <c r="AH64" s="2"/>
      <c r="AI64" s="2">
        <f t="shared" si="49"/>
        <v>12072.49</v>
      </c>
      <c r="AJ64" s="34">
        <f t="shared" si="50"/>
        <v>14501</v>
      </c>
      <c r="AK64" s="57">
        <f t="shared" si="52"/>
        <v>50790</v>
      </c>
      <c r="AL64" s="130">
        <f t="shared" si="21"/>
        <v>1</v>
      </c>
      <c r="AM64" s="109">
        <f t="shared" si="31"/>
        <v>56</v>
      </c>
      <c r="AN64" s="110">
        <f t="shared" si="10"/>
        <v>47020</v>
      </c>
      <c r="AO64" s="105">
        <f t="shared" si="35"/>
        <v>14501</v>
      </c>
      <c r="AP64" s="105">
        <f t="shared" si="11"/>
        <v>7363.05</v>
      </c>
      <c r="AQ64" s="105">
        <f t="shared" si="41"/>
        <v>7137.95</v>
      </c>
      <c r="AR64" s="105">
        <f t="shared" si="34"/>
        <v>0</v>
      </c>
      <c r="AS64" s="105">
        <f t="shared" si="42"/>
        <v>0</v>
      </c>
      <c r="AT64" s="105">
        <f t="shared" si="43"/>
        <v>7363.05</v>
      </c>
      <c r="AU64" s="105">
        <f t="shared" si="44"/>
        <v>0</v>
      </c>
      <c r="AV64" s="105">
        <f t="shared" si="45"/>
        <v>0</v>
      </c>
      <c r="AW64" s="105">
        <f t="shared" si="46"/>
        <v>283602.75000000006</v>
      </c>
      <c r="AX64" s="108">
        <f t="shared" si="32"/>
        <v>29</v>
      </c>
      <c r="AY64" s="108">
        <f t="shared" si="14"/>
        <v>29</v>
      </c>
      <c r="AZ64" s="22">
        <f t="shared" si="36"/>
        <v>47020</v>
      </c>
      <c r="BA64" s="108">
        <f t="shared" si="36"/>
        <v>14471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14471</v>
      </c>
      <c r="H65" s="24">
        <f t="shared" si="6"/>
        <v>7038.21</v>
      </c>
      <c r="I65" s="24">
        <f t="shared" si="26"/>
        <v>597593.04</v>
      </c>
      <c r="J65" s="24">
        <f t="shared" si="16"/>
        <v>0</v>
      </c>
      <c r="K65" s="24">
        <f t="shared" si="7"/>
        <v>7432.79</v>
      </c>
      <c r="L65" s="24">
        <f t="shared" si="17"/>
        <v>0</v>
      </c>
      <c r="M65" s="24">
        <f t="shared" si="29"/>
        <v>0</v>
      </c>
      <c r="N65" s="24">
        <f t="shared" si="18"/>
        <v>7038.21</v>
      </c>
      <c r="O65" s="24">
        <f t="shared" si="19"/>
        <v>0</v>
      </c>
      <c r="P65" s="24">
        <f t="shared" si="20"/>
        <v>0</v>
      </c>
      <c r="Q65" s="24">
        <f t="shared" si="8"/>
        <v>279745.0400000001</v>
      </c>
      <c r="R65" s="36">
        <f t="shared" si="30"/>
        <v>28</v>
      </c>
      <c r="S65" s="36">
        <f t="shared" si="9"/>
        <v>28</v>
      </c>
      <c r="T65" s="2">
        <f t="shared" si="47"/>
        <v>11636.58</v>
      </c>
      <c r="U65" s="34">
        <f t="shared" si="48"/>
        <v>14471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51">
        <v>2E-3</v>
      </c>
      <c r="AA65" s="651">
        <v>8.3000000000000001E-4</v>
      </c>
      <c r="AB65" s="651">
        <v>2E-3</v>
      </c>
      <c r="AC65" s="133">
        <v>3.0000000000000001E-3</v>
      </c>
      <c r="AD65" s="133">
        <v>3.0000000000000001E-3</v>
      </c>
      <c r="AE65" s="133">
        <v>0.01</v>
      </c>
      <c r="AF65" s="133">
        <v>0.01</v>
      </c>
      <c r="AH65" s="2"/>
      <c r="AI65" s="2">
        <f t="shared" si="49"/>
        <v>11623.37</v>
      </c>
      <c r="AJ65" s="34">
        <f t="shared" si="50"/>
        <v>14501</v>
      </c>
      <c r="AK65" s="57">
        <f t="shared" si="52"/>
        <v>51155</v>
      </c>
      <c r="AL65" s="130">
        <f t="shared" si="21"/>
        <v>1</v>
      </c>
      <c r="AM65" s="109">
        <f t="shared" si="31"/>
        <v>57</v>
      </c>
      <c r="AN65" s="110">
        <f t="shared" si="10"/>
        <v>47050</v>
      </c>
      <c r="AO65" s="105">
        <f t="shared" si="35"/>
        <v>14501</v>
      </c>
      <c r="AP65" s="105">
        <f t="shared" si="11"/>
        <v>6950.59</v>
      </c>
      <c r="AQ65" s="105">
        <f t="shared" si="41"/>
        <v>7550.41</v>
      </c>
      <c r="AR65" s="105">
        <f t="shared" si="34"/>
        <v>0</v>
      </c>
      <c r="AS65" s="105">
        <f t="shared" si="42"/>
        <v>0</v>
      </c>
      <c r="AT65" s="105">
        <f t="shared" si="43"/>
        <v>6950.59</v>
      </c>
      <c r="AU65" s="105">
        <f t="shared" si="44"/>
        <v>0</v>
      </c>
      <c r="AV65" s="105">
        <f t="shared" si="45"/>
        <v>0</v>
      </c>
      <c r="AW65" s="105">
        <f t="shared" si="46"/>
        <v>276052.34000000008</v>
      </c>
      <c r="AX65" s="108">
        <f t="shared" si="32"/>
        <v>28</v>
      </c>
      <c r="AY65" s="108">
        <f t="shared" si="14"/>
        <v>28</v>
      </c>
      <c r="AZ65" s="22">
        <f t="shared" si="36"/>
        <v>47050</v>
      </c>
      <c r="BA65" s="108">
        <f t="shared" si="36"/>
        <v>14471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14471</v>
      </c>
      <c r="H66" s="24">
        <f t="shared" si="6"/>
        <v>7084.58</v>
      </c>
      <c r="I66" s="24">
        <f t="shared" si="26"/>
        <v>604677.62</v>
      </c>
      <c r="J66" s="24">
        <f t="shared" si="16"/>
        <v>0</v>
      </c>
      <c r="K66" s="24">
        <f t="shared" si="7"/>
        <v>7386.42</v>
      </c>
      <c r="L66" s="24">
        <f t="shared" si="17"/>
        <v>0</v>
      </c>
      <c r="M66" s="24">
        <f t="shared" si="29"/>
        <v>0</v>
      </c>
      <c r="N66" s="24">
        <f t="shared" si="18"/>
        <v>7084.58</v>
      </c>
      <c r="O66" s="24">
        <f t="shared" si="19"/>
        <v>0</v>
      </c>
      <c r="P66" s="24">
        <f t="shared" si="20"/>
        <v>0</v>
      </c>
      <c r="Q66" s="24">
        <f t="shared" si="8"/>
        <v>272358.62000000011</v>
      </c>
      <c r="R66" s="36">
        <f t="shared" si="30"/>
        <v>27</v>
      </c>
      <c r="S66" s="36">
        <f t="shared" si="9"/>
        <v>27</v>
      </c>
      <c r="T66" s="2">
        <f t="shared" si="47"/>
        <v>11952.48</v>
      </c>
      <c r="U66" s="34">
        <f t="shared" si="48"/>
        <v>14471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51">
        <v>8.3000000000000001E-4</v>
      </c>
      <c r="AB66" s="66">
        <f>IF(AB81&gt;1000000,AB65,IF(AB81&gt;600000,AB64,IF(AB81&gt;200000,AB63,AB62)))</f>
        <v>3.0000000000000001E-3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33">
        <v>0.01</v>
      </c>
      <c r="AF66" s="133">
        <v>0.01</v>
      </c>
      <c r="AH66" s="2"/>
      <c r="AI66" s="2">
        <f t="shared" si="49"/>
        <v>11937.74</v>
      </c>
      <c r="AJ66" s="34">
        <f t="shared" si="50"/>
        <v>14501</v>
      </c>
      <c r="AK66" s="57">
        <f t="shared" si="52"/>
        <v>51520</v>
      </c>
      <c r="AL66" s="130">
        <f t="shared" si="21"/>
        <v>1</v>
      </c>
      <c r="AM66" s="109">
        <f t="shared" si="31"/>
        <v>58</v>
      </c>
      <c r="AN66" s="110">
        <f t="shared" si="10"/>
        <v>47081</v>
      </c>
      <c r="AO66" s="105">
        <f t="shared" si="35"/>
        <v>14501</v>
      </c>
      <c r="AP66" s="105">
        <f t="shared" si="11"/>
        <v>6991.06</v>
      </c>
      <c r="AQ66" s="105">
        <f t="shared" si="41"/>
        <v>7509.94</v>
      </c>
      <c r="AR66" s="105">
        <f t="shared" si="34"/>
        <v>0</v>
      </c>
      <c r="AS66" s="105">
        <f t="shared" si="42"/>
        <v>0</v>
      </c>
      <c r="AT66" s="105">
        <f t="shared" si="43"/>
        <v>6991.06</v>
      </c>
      <c r="AU66" s="105">
        <f t="shared" si="44"/>
        <v>0</v>
      </c>
      <c r="AV66" s="105">
        <f t="shared" si="45"/>
        <v>0</v>
      </c>
      <c r="AW66" s="105">
        <f t="shared" si="46"/>
        <v>268542.40000000008</v>
      </c>
      <c r="AX66" s="108">
        <f t="shared" si="32"/>
        <v>27</v>
      </c>
      <c r="AY66" s="108">
        <f t="shared" si="14"/>
        <v>27</v>
      </c>
      <c r="AZ66" s="22">
        <f t="shared" si="36"/>
        <v>47081</v>
      </c>
      <c r="BA66" s="108">
        <f t="shared" si="36"/>
        <v>14471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14471</v>
      </c>
      <c r="H67" s="24">
        <f t="shared" si="6"/>
        <v>6675.02</v>
      </c>
      <c r="I67" s="24">
        <f t="shared" si="26"/>
        <v>611352.64</v>
      </c>
      <c r="J67" s="24">
        <f t="shared" si="16"/>
        <v>0</v>
      </c>
      <c r="K67" s="24">
        <f t="shared" si="7"/>
        <v>7795.98</v>
      </c>
      <c r="L67" s="24">
        <f t="shared" si="17"/>
        <v>0</v>
      </c>
      <c r="M67" s="24">
        <f t="shared" si="29"/>
        <v>0</v>
      </c>
      <c r="N67" s="24">
        <f t="shared" si="18"/>
        <v>6675.02</v>
      </c>
      <c r="O67" s="24">
        <f t="shared" si="19"/>
        <v>0</v>
      </c>
      <c r="P67" s="24">
        <f t="shared" si="20"/>
        <v>0</v>
      </c>
      <c r="Q67" s="24">
        <f t="shared" si="8"/>
        <v>264562.64000000013</v>
      </c>
      <c r="R67" s="36">
        <f t="shared" si="30"/>
        <v>26</v>
      </c>
      <c r="S67" s="36">
        <f t="shared" si="9"/>
        <v>26</v>
      </c>
      <c r="T67" s="2">
        <f t="shared" si="47"/>
        <v>11505.02</v>
      </c>
      <c r="U67" s="34">
        <f t="shared" si="48"/>
        <v>14471</v>
      </c>
      <c r="V67" s="57">
        <f t="shared" si="51"/>
        <v>51885</v>
      </c>
      <c r="W67" s="16">
        <f t="shared" si="53"/>
        <v>18</v>
      </c>
      <c r="Z67" s="143">
        <f>Z66*Z81*$C$10</f>
        <v>2.0580000000000003</v>
      </c>
      <c r="AA67" s="143">
        <f>AA66*AA81*$C$10</f>
        <v>38346</v>
      </c>
      <c r="AB67" s="143">
        <f>AB66*AB81*$C$10</f>
        <v>117180</v>
      </c>
      <c r="AC67" s="143">
        <f>AC66*AC81*$C$10</f>
        <v>180180</v>
      </c>
      <c r="AD67" s="143">
        <f>AD66*AD81*$C$10</f>
        <v>117180</v>
      </c>
      <c r="AE67" s="143">
        <f>AE66*AE81*$C$30</f>
        <v>60000</v>
      </c>
      <c r="AF67" s="143">
        <f>AF66*AF81*$C$30</f>
        <v>60000</v>
      </c>
      <c r="AH67" s="2">
        <v>25176.799999999999</v>
      </c>
      <c r="AI67" s="2">
        <f t="shared" si="49"/>
        <v>11489.66</v>
      </c>
      <c r="AJ67" s="34">
        <f t="shared" si="50"/>
        <v>14501</v>
      </c>
      <c r="AK67" s="57">
        <f t="shared" si="52"/>
        <v>51885</v>
      </c>
      <c r="AL67" s="130">
        <f t="shared" si="21"/>
        <v>1</v>
      </c>
      <c r="AM67" s="109">
        <f t="shared" si="31"/>
        <v>59</v>
      </c>
      <c r="AN67" s="110">
        <f t="shared" si="10"/>
        <v>47111</v>
      </c>
      <c r="AO67" s="105">
        <f t="shared" si="35"/>
        <v>14501</v>
      </c>
      <c r="AP67" s="105">
        <f t="shared" si="11"/>
        <v>6581.49</v>
      </c>
      <c r="AQ67" s="105">
        <f t="shared" si="41"/>
        <v>7919.51</v>
      </c>
      <c r="AR67" s="105">
        <f t="shared" si="34"/>
        <v>0</v>
      </c>
      <c r="AS67" s="105">
        <f t="shared" si="42"/>
        <v>0</v>
      </c>
      <c r="AT67" s="105">
        <f t="shared" si="43"/>
        <v>6581.49</v>
      </c>
      <c r="AU67" s="105">
        <f t="shared" si="44"/>
        <v>0</v>
      </c>
      <c r="AV67" s="105">
        <f t="shared" si="45"/>
        <v>0</v>
      </c>
      <c r="AW67" s="105">
        <f t="shared" si="46"/>
        <v>260622.89000000007</v>
      </c>
      <c r="AX67" s="108">
        <f t="shared" si="32"/>
        <v>26</v>
      </c>
      <c r="AY67" s="108">
        <f t="shared" si="14"/>
        <v>26</v>
      </c>
      <c r="AZ67" s="22">
        <f t="shared" si="36"/>
        <v>47111</v>
      </c>
      <c r="BA67" s="108">
        <f t="shared" si="36"/>
        <v>14471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14471</v>
      </c>
      <c r="H68" s="24">
        <f t="shared" si="6"/>
        <v>6714.3</v>
      </c>
      <c r="I68" s="24">
        <f t="shared" si="26"/>
        <v>618066.94000000006</v>
      </c>
      <c r="J68" s="24">
        <f>IF(AND(E68=$C$10,$C$22&lt;&gt;"Нет"),MIN((I68-I68/$C$19*$C$23),Q67+H68-G67),0)</f>
        <v>0</v>
      </c>
      <c r="K68" s="24">
        <f t="shared" si="7"/>
        <v>7756.7</v>
      </c>
      <c r="L68" s="24">
        <f t="shared" si="17"/>
        <v>0</v>
      </c>
      <c r="M68" s="24">
        <f t="shared" si="29"/>
        <v>0</v>
      </c>
      <c r="N68" s="24">
        <f t="shared" si="18"/>
        <v>6714.3</v>
      </c>
      <c r="O68" s="24">
        <f t="shared" si="19"/>
        <v>0</v>
      </c>
      <c r="P68" s="24">
        <f t="shared" si="20"/>
        <v>0</v>
      </c>
      <c r="Q68" s="24">
        <f t="shared" si="8"/>
        <v>256805.94000000012</v>
      </c>
      <c r="R68" s="36">
        <f t="shared" si="30"/>
        <v>25</v>
      </c>
      <c r="S68" s="36">
        <f t="shared" si="9"/>
        <v>25</v>
      </c>
      <c r="T68" s="2">
        <f t="shared" si="47"/>
        <v>11813.21</v>
      </c>
      <c r="U68" s="34">
        <f t="shared" si="48"/>
        <v>14471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38346</v>
      </c>
      <c r="AB68" s="16">
        <v>0</v>
      </c>
      <c r="AC68" s="16">
        <v>0</v>
      </c>
      <c r="AD68" s="16">
        <v>0</v>
      </c>
      <c r="AE68" s="143">
        <f>AA67</f>
        <v>38346</v>
      </c>
      <c r="AF68" s="143">
        <f>AA67</f>
        <v>38346</v>
      </c>
      <c r="AH68" s="143">
        <f>AH67-AE67</f>
        <v>-34823.199999999997</v>
      </c>
      <c r="AI68" s="2">
        <f t="shared" si="49"/>
        <v>11796.18</v>
      </c>
      <c r="AJ68" s="34">
        <f t="shared" si="50"/>
        <v>14501</v>
      </c>
      <c r="AK68" s="57">
        <f t="shared" si="52"/>
        <v>52250</v>
      </c>
      <c r="AL68" s="130">
        <f t="shared" si="21"/>
        <v>1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14501</v>
      </c>
      <c r="AP68" s="105">
        <f t="shared" si="11"/>
        <v>6614.31</v>
      </c>
      <c r="AQ68" s="105">
        <f>IF(AY68=0,0,IF(AY68=1,AW67,IF(AW67+AR68+AP68&gt;AO67,AO68-AP68-AR68,AW67)))</f>
        <v>7886.69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6614.31</v>
      </c>
      <c r="AU68" s="105">
        <f>IF(AY68=0,0,0)</f>
        <v>0</v>
      </c>
      <c r="AV68" s="105">
        <f>IF(AY68=0,0,0)</f>
        <v>0</v>
      </c>
      <c r="AW68" s="105">
        <f>IF(OR(AY68=1,AW67=0),0,AW67-AQ68)</f>
        <v>252736.20000000007</v>
      </c>
      <c r="AX68" s="108">
        <f t="shared" si="32"/>
        <v>25</v>
      </c>
      <c r="AY68" s="108">
        <f t="shared" si="14"/>
        <v>25</v>
      </c>
      <c r="AZ68" s="22">
        <f t="shared" si="36"/>
        <v>47142</v>
      </c>
      <c r="BA68" s="108">
        <f t="shared" si="36"/>
        <v>14471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14471</v>
      </c>
      <c r="H69" s="24">
        <f t="shared" si="6"/>
        <v>6521.46</v>
      </c>
      <c r="I69" s="24">
        <f t="shared" si="26"/>
        <v>624588.4</v>
      </c>
      <c r="J69" s="24">
        <f t="shared" ref="J69:J132" si="55">IF(AND(E69=$C$10,$C$22&lt;&gt;"Нет"),MIN((I69-I69/$C$19*$C$23),Q68+H69-G68),0)</f>
        <v>0</v>
      </c>
      <c r="K69" s="24">
        <f t="shared" si="7"/>
        <v>7949.54</v>
      </c>
      <c r="L69" s="24">
        <f t="shared" si="17"/>
        <v>0</v>
      </c>
      <c r="M69" s="24">
        <f t="shared" si="29"/>
        <v>0</v>
      </c>
      <c r="N69" s="24">
        <f t="shared" si="18"/>
        <v>6521.46</v>
      </c>
      <c r="O69" s="24">
        <f t="shared" si="19"/>
        <v>0</v>
      </c>
      <c r="P69" s="24">
        <f t="shared" si="20"/>
        <v>0</v>
      </c>
      <c r="Q69" s="24">
        <f t="shared" si="8"/>
        <v>248856.40000000011</v>
      </c>
      <c r="R69" s="36">
        <f t="shared" si="30"/>
        <v>24</v>
      </c>
      <c r="S69" s="36">
        <f t="shared" si="9"/>
        <v>24</v>
      </c>
      <c r="T69" s="2">
        <f t="shared" si="47"/>
        <v>11745.71</v>
      </c>
      <c r="U69" s="34">
        <f t="shared" si="48"/>
        <v>14471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11727.49</v>
      </c>
      <c r="AJ69" s="34">
        <f t="shared" si="50"/>
        <v>14501</v>
      </c>
      <c r="AK69" s="57">
        <f>IF(AI69=0,AK68,AK68+365)</f>
        <v>52615</v>
      </c>
      <c r="AL69" s="130">
        <f t="shared" si="21"/>
        <v>1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14501</v>
      </c>
      <c r="AP69" s="105">
        <f t="shared" si="11"/>
        <v>6418.11</v>
      </c>
      <c r="AQ69" s="105">
        <f>IF(AY69=0,0,IF(AY69=1,AW68,IF(AW68+AR69+AP69&gt;AO68,AO69-AP69-AR69,AW68)))</f>
        <v>8082.89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6418.11</v>
      </c>
      <c r="AU69" s="105">
        <f>IF(AY69=0,0,0)</f>
        <v>0</v>
      </c>
      <c r="AV69" s="105">
        <f>IF(AY69=0,0,0)</f>
        <v>0</v>
      </c>
      <c r="AW69" s="105">
        <f>IF(OR(AY69=1,AW68=0),0,AW68-AQ69)</f>
        <v>244653.31000000006</v>
      </c>
      <c r="AX69" s="108">
        <f t="shared" si="32"/>
        <v>24</v>
      </c>
      <c r="AY69" s="108">
        <f t="shared" si="14"/>
        <v>24</v>
      </c>
      <c r="AZ69" s="22">
        <f t="shared" si="36"/>
        <v>47173</v>
      </c>
      <c r="BA69" s="108">
        <f t="shared" si="36"/>
        <v>14471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14471</v>
      </c>
      <c r="H70" s="24">
        <f t="shared" si="6"/>
        <v>5708.02</v>
      </c>
      <c r="I70" s="24">
        <f t="shared" si="26"/>
        <v>630296.42000000004</v>
      </c>
      <c r="J70" s="24">
        <f t="shared" si="55"/>
        <v>0</v>
      </c>
      <c r="K70" s="24">
        <f t="shared" si="7"/>
        <v>8762.98</v>
      </c>
      <c r="L70" s="24">
        <f t="shared" si="17"/>
        <v>0</v>
      </c>
      <c r="M70" s="24">
        <f t="shared" si="29"/>
        <v>0</v>
      </c>
      <c r="N70" s="24">
        <f t="shared" si="18"/>
        <v>5708.02</v>
      </c>
      <c r="O70" s="24">
        <f t="shared" si="19"/>
        <v>0</v>
      </c>
      <c r="P70" s="24">
        <f t="shared" si="20"/>
        <v>0</v>
      </c>
      <c r="Q70" s="24">
        <f t="shared" si="8"/>
        <v>240093.4200000001</v>
      </c>
      <c r="R70" s="36">
        <f t="shared" si="30"/>
        <v>23</v>
      </c>
      <c r="S70" s="36">
        <f t="shared" si="9"/>
        <v>23</v>
      </c>
      <c r="T70" s="2">
        <f t="shared" si="47"/>
        <v>11299.84</v>
      </c>
      <c r="U70" s="34">
        <f t="shared" si="48"/>
        <v>14471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11281.02</v>
      </c>
      <c r="AJ70" s="34">
        <f>IF(AI70=0,IF(AI69=0,0,$AJ$46),AO29)</f>
        <v>14501</v>
      </c>
      <c r="AK70" s="57">
        <f t="shared" si="52"/>
        <v>52980</v>
      </c>
      <c r="AL70" s="130">
        <f t="shared" si="21"/>
        <v>1</v>
      </c>
      <c r="AM70" s="109">
        <f t="shared" si="31"/>
        <v>62</v>
      </c>
      <c r="AN70" s="110">
        <f t="shared" si="10"/>
        <v>47201</v>
      </c>
      <c r="AO70" s="105">
        <f t="shared" si="35"/>
        <v>14501</v>
      </c>
      <c r="AP70" s="105">
        <f t="shared" si="11"/>
        <v>5611.61</v>
      </c>
      <c r="AQ70" s="105">
        <f t="shared" si="41"/>
        <v>8889.39</v>
      </c>
      <c r="AR70" s="105">
        <f t="shared" si="34"/>
        <v>0</v>
      </c>
      <c r="AS70" s="105">
        <f t="shared" si="42"/>
        <v>0</v>
      </c>
      <c r="AT70" s="105">
        <f t="shared" si="43"/>
        <v>5611.61</v>
      </c>
      <c r="AU70" s="105">
        <f t="shared" si="44"/>
        <v>0</v>
      </c>
      <c r="AV70" s="105">
        <f t="shared" si="45"/>
        <v>0</v>
      </c>
      <c r="AW70" s="105">
        <f t="shared" si="46"/>
        <v>235763.92000000004</v>
      </c>
      <c r="AX70" s="108">
        <f t="shared" si="32"/>
        <v>23</v>
      </c>
      <c r="AY70" s="108">
        <f t="shared" si="14"/>
        <v>23</v>
      </c>
      <c r="AZ70" s="22">
        <f t="shared" si="36"/>
        <v>47201</v>
      </c>
      <c r="BA70" s="108">
        <f t="shared" si="36"/>
        <v>14471</v>
      </c>
      <c r="BB70" s="2" t="e">
        <f t="shared" si="54"/>
        <v>#VALUE!</v>
      </c>
    </row>
    <row r="71" spans="1:54" s="16" customFormat="1" ht="12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14471</v>
      </c>
      <c r="H71" s="24">
        <f t="shared" si="6"/>
        <v>6097.06</v>
      </c>
      <c r="I71" s="24">
        <f t="shared" si="26"/>
        <v>636393.4800000001</v>
      </c>
      <c r="J71" s="24">
        <f t="shared" si="55"/>
        <v>0</v>
      </c>
      <c r="K71" s="24">
        <f t="shared" si="7"/>
        <v>8373.9399999999987</v>
      </c>
      <c r="L71" s="24">
        <f t="shared" si="17"/>
        <v>0</v>
      </c>
      <c r="M71" s="24">
        <f t="shared" si="29"/>
        <v>0</v>
      </c>
      <c r="N71" s="24">
        <f t="shared" si="18"/>
        <v>6097.06</v>
      </c>
      <c r="O71" s="24">
        <f t="shared" si="19"/>
        <v>0</v>
      </c>
      <c r="P71" s="24">
        <f t="shared" si="20"/>
        <v>0</v>
      </c>
      <c r="Q71" s="24">
        <f t="shared" si="8"/>
        <v>231719.4800000001</v>
      </c>
      <c r="R71" s="36">
        <f t="shared" si="30"/>
        <v>22</v>
      </c>
      <c r="S71" s="36">
        <f t="shared" si="9"/>
        <v>22</v>
      </c>
      <c r="T71" s="2">
        <f t="shared" si="47"/>
        <v>11595.98</v>
      </c>
      <c r="U71" s="34">
        <f t="shared" si="48"/>
        <v>14471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483</v>
      </c>
      <c r="AF71" s="145" t="s">
        <v>484</v>
      </c>
      <c r="AG71" s="63"/>
      <c r="AH71" s="63"/>
      <c r="AI71" s="2">
        <f t="shared" si="49"/>
        <v>11575.29</v>
      </c>
      <c r="AJ71" s="34">
        <f t="shared" ref="AJ71:AJ82" si="56">IF(AI71=0,IF(AI70=0,0,$AJ$46),AO30)</f>
        <v>14501</v>
      </c>
      <c r="AK71" s="57">
        <f>IF(AI71=0,AK70,AK70+365)</f>
        <v>53345</v>
      </c>
      <c r="AL71" s="130">
        <f t="shared" si="21"/>
        <v>1</v>
      </c>
      <c r="AM71" s="109">
        <f t="shared" si="31"/>
        <v>63</v>
      </c>
      <c r="AN71" s="110">
        <f t="shared" si="10"/>
        <v>47232</v>
      </c>
      <c r="AO71" s="105">
        <f t="shared" si="35"/>
        <v>14501</v>
      </c>
      <c r="AP71" s="105">
        <f t="shared" si="11"/>
        <v>5987.11</v>
      </c>
      <c r="AQ71" s="105">
        <f t="shared" si="41"/>
        <v>8513.89</v>
      </c>
      <c r="AR71" s="105">
        <f t="shared" si="34"/>
        <v>0</v>
      </c>
      <c r="AS71" s="105">
        <f t="shared" si="42"/>
        <v>0</v>
      </c>
      <c r="AT71" s="105">
        <f t="shared" si="43"/>
        <v>5987.11</v>
      </c>
      <c r="AU71" s="105">
        <f t="shared" si="44"/>
        <v>0</v>
      </c>
      <c r="AV71" s="105">
        <f t="shared" si="45"/>
        <v>0</v>
      </c>
      <c r="AW71" s="105">
        <f t="shared" si="46"/>
        <v>227250.03000000003</v>
      </c>
      <c r="AX71" s="108">
        <f t="shared" si="32"/>
        <v>22</v>
      </c>
      <c r="AY71" s="108">
        <f t="shared" si="14"/>
        <v>22</v>
      </c>
      <c r="AZ71" s="22">
        <f t="shared" si="36"/>
        <v>47232</v>
      </c>
      <c r="BA71" s="108">
        <f t="shared" si="36"/>
        <v>14471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14471</v>
      </c>
      <c r="H72" s="24">
        <f t="shared" si="6"/>
        <v>5694.59</v>
      </c>
      <c r="I72" s="24">
        <f t="shared" si="26"/>
        <v>642088.07000000007</v>
      </c>
      <c r="J72" s="24">
        <f t="shared" si="55"/>
        <v>0</v>
      </c>
      <c r="K72" s="24">
        <f t="shared" si="7"/>
        <v>8776.41</v>
      </c>
      <c r="L72" s="24">
        <f t="shared" si="17"/>
        <v>0</v>
      </c>
      <c r="M72" s="24">
        <f t="shared" si="29"/>
        <v>0</v>
      </c>
      <c r="N72" s="24">
        <f t="shared" si="18"/>
        <v>5694.59</v>
      </c>
      <c r="O72" s="24">
        <f t="shared" si="19"/>
        <v>0</v>
      </c>
      <c r="P72" s="24">
        <f t="shared" si="20"/>
        <v>0</v>
      </c>
      <c r="Q72" s="24">
        <f t="shared" si="8"/>
        <v>222943.07000000009</v>
      </c>
      <c r="R72" s="36">
        <f t="shared" si="30"/>
        <v>21</v>
      </c>
      <c r="S72" s="36">
        <f t="shared" si="9"/>
        <v>21</v>
      </c>
      <c r="T72" s="2">
        <f t="shared" si="47"/>
        <v>11151.26</v>
      </c>
      <c r="U72" s="34">
        <f t="shared" si="48"/>
        <v>14471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028"/>
      <c r="AF72" s="1028"/>
      <c r="AG72" s="63"/>
      <c r="AH72" s="63"/>
      <c r="AI72" s="2">
        <f t="shared" si="49"/>
        <v>11129.99</v>
      </c>
      <c r="AJ72" s="34">
        <f t="shared" si="56"/>
        <v>14501</v>
      </c>
      <c r="AK72" s="57">
        <f t="shared" si="52"/>
        <v>53710</v>
      </c>
      <c r="AL72" s="130">
        <f t="shared" si="21"/>
        <v>1</v>
      </c>
      <c r="AM72" s="109">
        <f t="shared" si="31"/>
        <v>64</v>
      </c>
      <c r="AN72" s="110">
        <f t="shared" si="10"/>
        <v>47262</v>
      </c>
      <c r="AO72" s="105">
        <f t="shared" si="35"/>
        <v>14501</v>
      </c>
      <c r="AP72" s="105">
        <f t="shared" si="11"/>
        <v>5584.75</v>
      </c>
      <c r="AQ72" s="105">
        <f t="shared" si="41"/>
        <v>8916.25</v>
      </c>
      <c r="AR72" s="105">
        <f t="shared" si="34"/>
        <v>0</v>
      </c>
      <c r="AS72" s="105">
        <f t="shared" si="42"/>
        <v>0</v>
      </c>
      <c r="AT72" s="105">
        <f t="shared" si="43"/>
        <v>5584.75</v>
      </c>
      <c r="AU72" s="105">
        <f t="shared" si="44"/>
        <v>0</v>
      </c>
      <c r="AV72" s="105">
        <f t="shared" si="45"/>
        <v>0</v>
      </c>
      <c r="AW72" s="105">
        <f t="shared" si="46"/>
        <v>218333.78000000003</v>
      </c>
      <c r="AX72" s="108">
        <f t="shared" si="32"/>
        <v>21</v>
      </c>
      <c r="AY72" s="108">
        <f t="shared" si="14"/>
        <v>21</v>
      </c>
      <c r="AZ72" s="22">
        <f t="shared" ref="AZ72:BA107" si="57">F72</f>
        <v>47262</v>
      </c>
      <c r="BA72" s="108">
        <f t="shared" si="57"/>
        <v>14471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14471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5661.53</v>
      </c>
      <c r="I73" s="24">
        <f t="shared" si="26"/>
        <v>647749.60000000009</v>
      </c>
      <c r="J73" s="24">
        <f t="shared" si="55"/>
        <v>0</v>
      </c>
      <c r="K73" s="24">
        <f t="shared" ref="K73:K136" si="60">IF(S73=0,0,IF(S73=1,Q72,IF(Q72+L73+H73&gt;G72,G73-H73-L73,Q72)))</f>
        <v>8809.4700000000012</v>
      </c>
      <c r="L73" s="24">
        <f t="shared" si="17"/>
        <v>0</v>
      </c>
      <c r="M73" s="24">
        <f t="shared" si="29"/>
        <v>0</v>
      </c>
      <c r="N73" s="24">
        <f t="shared" si="18"/>
        <v>5661.53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214133.60000000009</v>
      </c>
      <c r="R73" s="36">
        <f t="shared" si="30"/>
        <v>20</v>
      </c>
      <c r="S73" s="36">
        <f t="shared" ref="S73:S136" si="62">IF(ISERR(CEILING(FLOOR(NPER($C$19/12,-$AA$56,Q72),0.1),1))=TRUE,0,CEILING(FLOOR(NPER($C$19/12,-$AA$56,Q72),0.1),1))</f>
        <v>20</v>
      </c>
      <c r="T73" s="2">
        <f t="shared" si="47"/>
        <v>11438.66</v>
      </c>
      <c r="U73" s="34">
        <f t="shared" si="48"/>
        <v>14471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1.35</v>
      </c>
      <c r="AC73" s="134">
        <v>1.43</v>
      </c>
      <c r="AD73" s="134">
        <f>IF($C$10&gt;48,AB94,IF($C$94&gt;36,AA94,Z94))</f>
        <v>1.7</v>
      </c>
      <c r="AE73" s="1028">
        <v>1</v>
      </c>
      <c r="AF73" s="1028">
        <v>1</v>
      </c>
      <c r="AG73" s="63"/>
      <c r="AH73" s="63"/>
      <c r="AI73" s="2">
        <f t="shared" si="49"/>
        <v>11415.38</v>
      </c>
      <c r="AJ73" s="34">
        <f t="shared" si="56"/>
        <v>14501</v>
      </c>
      <c r="AK73" s="57">
        <f t="shared" si="52"/>
        <v>54075</v>
      </c>
      <c r="AL73" s="130">
        <f t="shared" si="21"/>
        <v>1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14501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5544.48</v>
      </c>
      <c r="AQ73" s="105">
        <f t="shared" si="41"/>
        <v>8956.52</v>
      </c>
      <c r="AR73" s="105">
        <f t="shared" si="34"/>
        <v>0</v>
      </c>
      <c r="AS73" s="105">
        <f t="shared" si="42"/>
        <v>0</v>
      </c>
      <c r="AT73" s="105">
        <f t="shared" si="43"/>
        <v>5544.48</v>
      </c>
      <c r="AU73" s="105">
        <f t="shared" si="44"/>
        <v>0</v>
      </c>
      <c r="AV73" s="105">
        <f t="shared" si="45"/>
        <v>0</v>
      </c>
      <c r="AW73" s="105">
        <f t="shared" si="46"/>
        <v>209377.26000000004</v>
      </c>
      <c r="AX73" s="108">
        <f t="shared" si="32"/>
        <v>20</v>
      </c>
      <c r="AY73" s="108">
        <f t="shared" ref="AY73:AY129" si="65">IF(ISERR(CEILING(FLOOR(NPER($D$19/12,-$AC$56,AW72),0.1),1))=TRUE,0,CEILING(FLOOR(NPER($D$19/12,-$AC$56,AW72),0.1),1))</f>
        <v>20</v>
      </c>
      <c r="AZ73" s="22">
        <f t="shared" si="57"/>
        <v>47293</v>
      </c>
      <c r="BA73" s="108">
        <f t="shared" si="57"/>
        <v>14471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14471</v>
      </c>
      <c r="H74" s="24">
        <f t="shared" si="59"/>
        <v>5262.41</v>
      </c>
      <c r="I74" s="24">
        <f t="shared" si="26"/>
        <v>653012.01000000013</v>
      </c>
      <c r="J74" s="24">
        <f t="shared" si="55"/>
        <v>0</v>
      </c>
      <c r="K74" s="24">
        <f t="shared" si="60"/>
        <v>9208.59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5262.41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204925.0100000001</v>
      </c>
      <c r="R74" s="36">
        <f t="shared" si="30"/>
        <v>19</v>
      </c>
      <c r="S74" s="36">
        <f t="shared" si="62"/>
        <v>19</v>
      </c>
      <c r="T74" s="2">
        <f t="shared" si="47"/>
        <v>11361.66</v>
      </c>
      <c r="U74" s="34">
        <f t="shared" si="48"/>
        <v>14471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1.35</v>
      </c>
      <c r="AC74" s="134">
        <v>1.43</v>
      </c>
      <c r="AD74" s="134">
        <f>IF($C$10&gt;48,AB95,IF($C$94&gt;36,AA95,Z95))</f>
        <v>1.7</v>
      </c>
      <c r="AE74" s="1028">
        <v>1</v>
      </c>
      <c r="AF74" s="1028">
        <v>1</v>
      </c>
      <c r="AG74" s="63"/>
      <c r="AH74" s="63"/>
      <c r="AI74" s="2">
        <f t="shared" si="49"/>
        <v>11337.03</v>
      </c>
      <c r="AJ74" s="34">
        <f t="shared" si="56"/>
        <v>14501</v>
      </c>
      <c r="AK74" s="57">
        <f t="shared" si="52"/>
        <v>54440</v>
      </c>
      <c r="AL74" s="130">
        <f t="shared" si="21"/>
        <v>1</v>
      </c>
      <c r="AM74" s="109">
        <f t="shared" si="31"/>
        <v>66</v>
      </c>
      <c r="AN74" s="110">
        <f t="shared" si="63"/>
        <v>47323</v>
      </c>
      <c r="AO74" s="105">
        <f t="shared" si="35"/>
        <v>14501</v>
      </c>
      <c r="AP74" s="105">
        <f t="shared" si="64"/>
        <v>5145.5200000000004</v>
      </c>
      <c r="AQ74" s="105">
        <f t="shared" si="41"/>
        <v>9355.48</v>
      </c>
      <c r="AR74" s="105">
        <f t="shared" si="34"/>
        <v>0</v>
      </c>
      <c r="AS74" s="105">
        <f t="shared" si="42"/>
        <v>0</v>
      </c>
      <c r="AT74" s="105">
        <f t="shared" si="43"/>
        <v>5145.5200000000004</v>
      </c>
      <c r="AU74" s="105">
        <f t="shared" si="44"/>
        <v>0</v>
      </c>
      <c r="AV74" s="105">
        <f t="shared" si="45"/>
        <v>0</v>
      </c>
      <c r="AW74" s="105">
        <f t="shared" si="46"/>
        <v>200021.78000000003</v>
      </c>
      <c r="AX74" s="108">
        <f t="shared" si="32"/>
        <v>19</v>
      </c>
      <c r="AY74" s="108">
        <f t="shared" si="65"/>
        <v>19</v>
      </c>
      <c r="AZ74" s="22">
        <f t="shared" si="57"/>
        <v>47323</v>
      </c>
      <c r="BA74" s="108">
        <f t="shared" si="57"/>
        <v>14471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14471</v>
      </c>
      <c r="H75" s="24">
        <f t="shared" si="59"/>
        <v>5203.97</v>
      </c>
      <c r="I75" s="24">
        <f t="shared" ref="I75:I138" si="70">H75+I74</f>
        <v>658215.9800000001</v>
      </c>
      <c r="J75" s="24">
        <f t="shared" si="55"/>
        <v>0</v>
      </c>
      <c r="K75" s="24">
        <f t="shared" si="60"/>
        <v>9267.0299999999988</v>
      </c>
      <c r="L75" s="24">
        <f t="shared" si="67"/>
        <v>0</v>
      </c>
      <c r="M75" s="24">
        <f t="shared" si="29"/>
        <v>0</v>
      </c>
      <c r="N75" s="24">
        <f t="shared" si="18"/>
        <v>5203.97</v>
      </c>
      <c r="O75" s="24">
        <f t="shared" si="68"/>
        <v>0</v>
      </c>
      <c r="P75" s="24">
        <f t="shared" si="69"/>
        <v>0</v>
      </c>
      <c r="Q75" s="24">
        <f t="shared" si="61"/>
        <v>195657.9800000001</v>
      </c>
      <c r="R75" s="36">
        <f t="shared" si="30"/>
        <v>18</v>
      </c>
      <c r="S75" s="36">
        <f t="shared" si="62"/>
        <v>18</v>
      </c>
      <c r="T75" s="2">
        <f t="shared" si="47"/>
        <v>10190.82</v>
      </c>
      <c r="U75" s="34">
        <f t="shared" si="48"/>
        <v>14471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1.35</v>
      </c>
      <c r="AC75" s="134">
        <v>1.43</v>
      </c>
      <c r="AD75" s="134">
        <f>IF($C$10&gt;48,AB96,IF($C$94&gt;36,AA96,Z96))</f>
        <v>1.7</v>
      </c>
      <c r="AE75" s="1028">
        <v>1</v>
      </c>
      <c r="AF75" s="1028">
        <v>1</v>
      </c>
      <c r="AG75" s="63"/>
      <c r="AH75" s="63"/>
      <c r="AI75" s="2">
        <f t="shared" si="49"/>
        <v>10167.32</v>
      </c>
      <c r="AJ75" s="34">
        <f t="shared" si="56"/>
        <v>14501</v>
      </c>
      <c r="AK75" s="57">
        <f t="shared" si="52"/>
        <v>54805</v>
      </c>
      <c r="AL75" s="130">
        <f t="shared" ref="AL75:AL109" si="71">IF(OR(AO75="",AO75=0),0,1)</f>
        <v>1</v>
      </c>
      <c r="AM75" s="109">
        <f t="shared" si="31"/>
        <v>67</v>
      </c>
      <c r="AN75" s="110">
        <f t="shared" si="63"/>
        <v>47354</v>
      </c>
      <c r="AO75" s="105">
        <f t="shared" si="35"/>
        <v>14501</v>
      </c>
      <c r="AP75" s="105">
        <f t="shared" si="64"/>
        <v>5079.46</v>
      </c>
      <c r="AQ75" s="105">
        <f t="shared" si="41"/>
        <v>9421.5400000000009</v>
      </c>
      <c r="AR75" s="105">
        <f t="shared" si="34"/>
        <v>0</v>
      </c>
      <c r="AS75" s="105">
        <f t="shared" si="42"/>
        <v>0</v>
      </c>
      <c r="AT75" s="105">
        <f t="shared" si="43"/>
        <v>5079.46</v>
      </c>
      <c r="AU75" s="105">
        <f t="shared" si="44"/>
        <v>0</v>
      </c>
      <c r="AV75" s="105">
        <f t="shared" si="45"/>
        <v>0</v>
      </c>
      <c r="AW75" s="105">
        <f t="shared" si="46"/>
        <v>190600.24000000002</v>
      </c>
      <c r="AX75" s="108">
        <f t="shared" si="32"/>
        <v>18</v>
      </c>
      <c r="AY75" s="108">
        <f t="shared" si="65"/>
        <v>18</v>
      </c>
      <c r="AZ75" s="22">
        <f t="shared" si="57"/>
        <v>47354</v>
      </c>
      <c r="BA75" s="108">
        <f t="shared" si="57"/>
        <v>14471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14471</v>
      </c>
      <c r="H76" s="24">
        <f t="shared" si="59"/>
        <v>4968.6400000000003</v>
      </c>
      <c r="I76" s="24">
        <f t="shared" si="70"/>
        <v>663184.62000000011</v>
      </c>
      <c r="J76" s="24">
        <f t="shared" si="55"/>
        <v>0</v>
      </c>
      <c r="K76" s="24">
        <f t="shared" si="60"/>
        <v>9502.36</v>
      </c>
      <c r="L76" s="24">
        <f t="shared" si="67"/>
        <v>0</v>
      </c>
      <c r="M76" s="24">
        <f t="shared" si="29"/>
        <v>0</v>
      </c>
      <c r="N76" s="24">
        <f t="shared" si="18"/>
        <v>4968.6400000000003</v>
      </c>
      <c r="O76" s="24">
        <f t="shared" si="68"/>
        <v>0</v>
      </c>
      <c r="P76" s="24">
        <f t="shared" si="69"/>
        <v>0</v>
      </c>
      <c r="Q76" s="24">
        <f t="shared" si="61"/>
        <v>186155.62000000011</v>
      </c>
      <c r="R76" s="36">
        <f t="shared" ref="R76" si="73">IF((R75-1)&lt;0,0,R75-1)</f>
        <v>17</v>
      </c>
      <c r="S76" s="36">
        <f t="shared" si="62"/>
        <v>17</v>
      </c>
      <c r="T76" s="2">
        <f t="shared" si="47"/>
        <v>11174</v>
      </c>
      <c r="U76" s="34">
        <f t="shared" si="48"/>
        <v>14471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0.93</v>
      </c>
      <c r="AC76" s="134">
        <v>1.43</v>
      </c>
      <c r="AD76" s="134">
        <f>IF($C$10&gt;48,AB97,IF($C$94&gt;36,AA97,Z97))</f>
        <v>0.93</v>
      </c>
      <c r="AE76" s="1028">
        <v>1</v>
      </c>
      <c r="AF76" s="1028">
        <v>1</v>
      </c>
      <c r="AG76" s="63"/>
      <c r="AH76" s="63"/>
      <c r="AI76" s="2">
        <f t="shared" si="49"/>
        <v>11146.63</v>
      </c>
      <c r="AJ76" s="34">
        <f t="shared" si="56"/>
        <v>14501</v>
      </c>
      <c r="AK76" s="57">
        <f t="shared" si="52"/>
        <v>55170</v>
      </c>
      <c r="AL76" s="130">
        <f t="shared" si="71"/>
        <v>1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14501</v>
      </c>
      <c r="AP76" s="105">
        <f t="shared" si="64"/>
        <v>4840.2</v>
      </c>
      <c r="AQ76" s="105">
        <f t="shared" si="41"/>
        <v>9660.7999999999993</v>
      </c>
      <c r="AR76" s="105">
        <f t="shared" si="34"/>
        <v>0</v>
      </c>
      <c r="AS76" s="105">
        <f t="shared" si="42"/>
        <v>0</v>
      </c>
      <c r="AT76" s="105">
        <f t="shared" si="43"/>
        <v>4840.2</v>
      </c>
      <c r="AU76" s="105">
        <f t="shared" si="44"/>
        <v>0</v>
      </c>
      <c r="AV76" s="105">
        <f t="shared" si="45"/>
        <v>0</v>
      </c>
      <c r="AW76" s="105">
        <f t="shared" si="46"/>
        <v>180939.44000000003</v>
      </c>
      <c r="AX76" s="108">
        <f t="shared" ref="AX76:AX129" si="75">IF((AX75-1)&lt;0,0,AX75-1)</f>
        <v>17</v>
      </c>
      <c r="AY76" s="108">
        <f t="shared" si="65"/>
        <v>17</v>
      </c>
      <c r="AZ76" s="22">
        <f t="shared" si="57"/>
        <v>47385</v>
      </c>
      <c r="BA76" s="108">
        <f t="shared" si="57"/>
        <v>14471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14471</v>
      </c>
      <c r="H77" s="24">
        <f t="shared" si="59"/>
        <v>4574.84</v>
      </c>
      <c r="I77" s="24">
        <f t="shared" si="70"/>
        <v>667759.46000000008</v>
      </c>
      <c r="J77" s="24">
        <f t="shared" si="55"/>
        <v>0</v>
      </c>
      <c r="K77" s="24">
        <f t="shared" si="60"/>
        <v>9896.16</v>
      </c>
      <c r="L77" s="24">
        <f t="shared" si="67"/>
        <v>0</v>
      </c>
      <c r="M77" s="24">
        <f t="shared" si="29"/>
        <v>0</v>
      </c>
      <c r="N77" s="24">
        <f t="shared" si="18"/>
        <v>4574.84</v>
      </c>
      <c r="O77" s="24">
        <f t="shared" si="68"/>
        <v>0</v>
      </c>
      <c r="P77" s="24">
        <f t="shared" si="69"/>
        <v>0</v>
      </c>
      <c r="Q77" s="24">
        <f t="shared" si="61"/>
        <v>176259.46000000011</v>
      </c>
      <c r="R77" s="36">
        <f>IF((R76-1)&lt;0,0,R76-1)</f>
        <v>16</v>
      </c>
      <c r="S77" s="36">
        <f t="shared" si="62"/>
        <v>16</v>
      </c>
      <c r="T77" s="2">
        <f t="shared" si="47"/>
        <v>10732.53</v>
      </c>
      <c r="U77" s="34">
        <f t="shared" si="48"/>
        <v>14471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1028">
        <v>1</v>
      </c>
      <c r="AF77" s="1028">
        <v>1</v>
      </c>
      <c r="AG77" s="63"/>
      <c r="AH77" s="63"/>
      <c r="AI77" s="2">
        <f t="shared" si="49"/>
        <v>10704.62</v>
      </c>
      <c r="AJ77" s="34">
        <f t="shared" si="56"/>
        <v>14501</v>
      </c>
      <c r="AK77" s="57">
        <f t="shared" si="52"/>
        <v>55535</v>
      </c>
      <c r="AL77" s="130">
        <f t="shared" si="71"/>
        <v>1</v>
      </c>
      <c r="AM77" s="109">
        <f t="shared" si="74"/>
        <v>69</v>
      </c>
      <c r="AN77" s="110">
        <f t="shared" si="63"/>
        <v>47415</v>
      </c>
      <c r="AO77" s="105">
        <f t="shared" si="35"/>
        <v>14501</v>
      </c>
      <c r="AP77" s="105">
        <f t="shared" si="64"/>
        <v>4446.6499999999996</v>
      </c>
      <c r="AQ77" s="105">
        <f t="shared" si="41"/>
        <v>10054.35</v>
      </c>
      <c r="AR77" s="105">
        <f t="shared" si="34"/>
        <v>0</v>
      </c>
      <c r="AS77" s="105">
        <f t="shared" si="42"/>
        <v>0</v>
      </c>
      <c r="AT77" s="105">
        <f t="shared" si="43"/>
        <v>4446.6499999999996</v>
      </c>
      <c r="AU77" s="105">
        <f t="shared" si="44"/>
        <v>0</v>
      </c>
      <c r="AV77" s="105">
        <f t="shared" si="45"/>
        <v>0</v>
      </c>
      <c r="AW77" s="105">
        <f t="shared" si="46"/>
        <v>170885.09000000003</v>
      </c>
      <c r="AX77" s="108">
        <f t="shared" si="75"/>
        <v>16</v>
      </c>
      <c r="AY77" s="108">
        <f t="shared" si="65"/>
        <v>16</v>
      </c>
      <c r="AZ77" s="22">
        <f t="shared" si="57"/>
        <v>47415</v>
      </c>
      <c r="BA77" s="108">
        <f t="shared" si="57"/>
        <v>14471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14471</v>
      </c>
      <c r="H78" s="24">
        <f t="shared" si="59"/>
        <v>4476.0200000000004</v>
      </c>
      <c r="I78" s="24">
        <f t="shared" si="70"/>
        <v>672235.4800000001</v>
      </c>
      <c r="J78" s="24">
        <f t="shared" si="55"/>
        <v>0</v>
      </c>
      <c r="K78" s="24">
        <f t="shared" si="60"/>
        <v>9994.98</v>
      </c>
      <c r="L78" s="24">
        <f t="shared" si="67"/>
        <v>0</v>
      </c>
      <c r="M78" s="24">
        <f t="shared" si="29"/>
        <v>0</v>
      </c>
      <c r="N78" s="24">
        <f t="shared" si="18"/>
        <v>4476.0200000000004</v>
      </c>
      <c r="O78" s="24">
        <f t="shared" si="68"/>
        <v>0</v>
      </c>
      <c r="P78" s="24">
        <f t="shared" si="69"/>
        <v>0</v>
      </c>
      <c r="Q78" s="24">
        <f t="shared" si="61"/>
        <v>166264.4800000001</v>
      </c>
      <c r="R78" s="36">
        <f t="shared" ref="R78:R141" si="76">IF((R77-1)&lt;0,0,R77-1)</f>
        <v>15</v>
      </c>
      <c r="S78" s="36">
        <f t="shared" si="62"/>
        <v>15</v>
      </c>
      <c r="T78" s="2">
        <f t="shared" si="47"/>
        <v>10995.34</v>
      </c>
      <c r="U78" s="34">
        <f t="shared" si="48"/>
        <v>14471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1028">
        <v>1</v>
      </c>
      <c r="AF78" s="1028">
        <v>1</v>
      </c>
      <c r="AG78" s="63"/>
      <c r="AH78" s="63"/>
      <c r="AI78" s="2">
        <f t="shared" si="49"/>
        <v>10965.04</v>
      </c>
      <c r="AJ78" s="34">
        <f t="shared" si="56"/>
        <v>14501</v>
      </c>
      <c r="AK78" s="57">
        <f t="shared" si="52"/>
        <v>55900</v>
      </c>
      <c r="AL78" s="130">
        <f t="shared" si="71"/>
        <v>1</v>
      </c>
      <c r="AM78" s="109">
        <f t="shared" si="74"/>
        <v>70</v>
      </c>
      <c r="AN78" s="110">
        <f t="shared" si="63"/>
        <v>47446</v>
      </c>
      <c r="AO78" s="105">
        <f t="shared" si="35"/>
        <v>14501</v>
      </c>
      <c r="AP78" s="105">
        <f t="shared" si="64"/>
        <v>4339.54</v>
      </c>
      <c r="AQ78" s="105">
        <f t="shared" si="41"/>
        <v>10161.459999999999</v>
      </c>
      <c r="AR78" s="105">
        <f t="shared" si="34"/>
        <v>0</v>
      </c>
      <c r="AS78" s="105">
        <f t="shared" si="42"/>
        <v>0</v>
      </c>
      <c r="AT78" s="105">
        <f t="shared" si="43"/>
        <v>4339.54</v>
      </c>
      <c r="AU78" s="105">
        <f t="shared" si="44"/>
        <v>0</v>
      </c>
      <c r="AV78" s="105">
        <f t="shared" si="45"/>
        <v>0</v>
      </c>
      <c r="AW78" s="105">
        <f t="shared" si="46"/>
        <v>160723.63000000003</v>
      </c>
      <c r="AX78" s="108">
        <f t="shared" si="75"/>
        <v>15</v>
      </c>
      <c r="AY78" s="108">
        <f t="shared" si="65"/>
        <v>15</v>
      </c>
      <c r="AZ78" s="22">
        <f t="shared" si="57"/>
        <v>47446</v>
      </c>
      <c r="BA78" s="108">
        <f t="shared" si="57"/>
        <v>14471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14471</v>
      </c>
      <c r="H79" s="24">
        <f t="shared" si="59"/>
        <v>4086.01</v>
      </c>
      <c r="I79" s="24">
        <f t="shared" si="70"/>
        <v>676321.49000000011</v>
      </c>
      <c r="J79" s="24">
        <f t="shared" si="55"/>
        <v>0</v>
      </c>
      <c r="K79" s="24">
        <f t="shared" si="60"/>
        <v>10384.99</v>
      </c>
      <c r="L79" s="24">
        <f t="shared" si="67"/>
        <v>0</v>
      </c>
      <c r="M79" s="24">
        <f t="shared" si="29"/>
        <v>0</v>
      </c>
      <c r="N79" s="24">
        <f t="shared" si="18"/>
        <v>4086.01</v>
      </c>
      <c r="O79" s="24">
        <f t="shared" si="68"/>
        <v>0</v>
      </c>
      <c r="P79" s="24">
        <f t="shared" si="69"/>
        <v>0</v>
      </c>
      <c r="Q79" s="24">
        <f t="shared" si="61"/>
        <v>155879.49000000011</v>
      </c>
      <c r="R79" s="36">
        <f t="shared" si="76"/>
        <v>14</v>
      </c>
      <c r="S79" s="36">
        <f t="shared" si="62"/>
        <v>14</v>
      </c>
      <c r="T79" s="2">
        <f t="shared" si="47"/>
        <v>10555.24</v>
      </c>
      <c r="U79" s="34">
        <f t="shared" si="48"/>
        <v>14471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E79" s="16">
        <v>2</v>
      </c>
      <c r="AF79" s="16">
        <v>2</v>
      </c>
      <c r="AG79" s="63"/>
      <c r="AH79" s="63"/>
      <c r="AI79" s="2">
        <f t="shared" si="49"/>
        <v>10524.43</v>
      </c>
      <c r="AJ79" s="34">
        <f t="shared" si="56"/>
        <v>14501</v>
      </c>
      <c r="AK79" s="57">
        <f t="shared" si="52"/>
        <v>56265</v>
      </c>
      <c r="AL79" s="130">
        <f t="shared" si="71"/>
        <v>1</v>
      </c>
      <c r="AM79" s="109">
        <f t="shared" si="74"/>
        <v>71</v>
      </c>
      <c r="AN79" s="110">
        <f t="shared" si="63"/>
        <v>47476</v>
      </c>
      <c r="AO79" s="105">
        <f t="shared" si="35"/>
        <v>14501</v>
      </c>
      <c r="AP79" s="105">
        <f t="shared" si="64"/>
        <v>3949.84</v>
      </c>
      <c r="AQ79" s="105">
        <f t="shared" si="41"/>
        <v>10551.16</v>
      </c>
      <c r="AR79" s="105">
        <f t="shared" si="34"/>
        <v>0</v>
      </c>
      <c r="AS79" s="105">
        <f t="shared" si="42"/>
        <v>0</v>
      </c>
      <c r="AT79" s="105">
        <f t="shared" si="43"/>
        <v>3949.84</v>
      </c>
      <c r="AU79" s="105">
        <f t="shared" si="44"/>
        <v>0</v>
      </c>
      <c r="AV79" s="105">
        <f t="shared" si="45"/>
        <v>0</v>
      </c>
      <c r="AW79" s="105">
        <f t="shared" si="46"/>
        <v>150172.47000000003</v>
      </c>
      <c r="AX79" s="108">
        <f t="shared" si="75"/>
        <v>14</v>
      </c>
      <c r="AY79" s="108">
        <f t="shared" si="65"/>
        <v>14</v>
      </c>
      <c r="AZ79" s="22">
        <f t="shared" si="57"/>
        <v>47476</v>
      </c>
      <c r="BA79" s="108">
        <f t="shared" si="57"/>
        <v>14471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14471</v>
      </c>
      <c r="H80" s="24">
        <f t="shared" si="59"/>
        <v>3958.48</v>
      </c>
      <c r="I80" s="24">
        <f t="shared" si="70"/>
        <v>680279.97000000009</v>
      </c>
      <c r="J80" s="24">
        <f t="shared" si="55"/>
        <v>0</v>
      </c>
      <c r="K80" s="24">
        <f t="shared" si="60"/>
        <v>10512.52</v>
      </c>
      <c r="L80" s="24">
        <f t="shared" si="67"/>
        <v>0</v>
      </c>
      <c r="M80" s="24">
        <f t="shared" si="29"/>
        <v>0</v>
      </c>
      <c r="N80" s="24">
        <f t="shared" si="18"/>
        <v>3958.48</v>
      </c>
      <c r="O80" s="24">
        <f t="shared" si="68"/>
        <v>0</v>
      </c>
      <c r="P80" s="24">
        <f t="shared" si="69"/>
        <v>0</v>
      </c>
      <c r="Q80" s="24">
        <f t="shared" si="61"/>
        <v>145366.97000000012</v>
      </c>
      <c r="R80" s="36">
        <f t="shared" si="76"/>
        <v>13</v>
      </c>
      <c r="S80" s="36">
        <f t="shared" si="62"/>
        <v>13</v>
      </c>
      <c r="T80" s="2">
        <f t="shared" si="47"/>
        <v>10807.64</v>
      </c>
      <c r="U80" s="34">
        <f t="shared" si="48"/>
        <v>14471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10774.26</v>
      </c>
      <c r="AJ80" s="34">
        <f t="shared" si="56"/>
        <v>14501</v>
      </c>
      <c r="AK80" s="57">
        <f t="shared" si="52"/>
        <v>56630</v>
      </c>
      <c r="AL80" s="130">
        <f t="shared" si="71"/>
        <v>1</v>
      </c>
      <c r="AM80" s="109">
        <f t="shared" si="74"/>
        <v>72</v>
      </c>
      <c r="AN80" s="110">
        <f t="shared" si="63"/>
        <v>47507</v>
      </c>
      <c r="AO80" s="105">
        <f t="shared" si="35"/>
        <v>14501</v>
      </c>
      <c r="AP80" s="105">
        <f t="shared" si="64"/>
        <v>3813.56</v>
      </c>
      <c r="AQ80" s="105">
        <f t="shared" si="41"/>
        <v>10687.44</v>
      </c>
      <c r="AR80" s="105">
        <f t="shared" si="34"/>
        <v>0</v>
      </c>
      <c r="AS80" s="105">
        <f t="shared" si="42"/>
        <v>0</v>
      </c>
      <c r="AT80" s="105">
        <f t="shared" si="43"/>
        <v>3813.56</v>
      </c>
      <c r="AU80" s="105">
        <f t="shared" si="44"/>
        <v>0</v>
      </c>
      <c r="AV80" s="105">
        <f t="shared" si="45"/>
        <v>0</v>
      </c>
      <c r="AW80" s="105">
        <f t="shared" si="46"/>
        <v>139485.03000000003</v>
      </c>
      <c r="AX80" s="108">
        <f t="shared" si="75"/>
        <v>13</v>
      </c>
      <c r="AY80" s="108">
        <f t="shared" si="65"/>
        <v>13</v>
      </c>
      <c r="AZ80" s="22">
        <f t="shared" si="57"/>
        <v>47507</v>
      </c>
      <c r="BA80" s="108">
        <f t="shared" si="57"/>
        <v>14471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14471</v>
      </c>
      <c r="H81" s="24">
        <f t="shared" si="59"/>
        <v>3691.52</v>
      </c>
      <c r="I81" s="24">
        <f t="shared" si="70"/>
        <v>683971.49000000011</v>
      </c>
      <c r="J81" s="24">
        <f t="shared" si="55"/>
        <v>0</v>
      </c>
      <c r="K81" s="24">
        <f t="shared" si="60"/>
        <v>10779.48</v>
      </c>
      <c r="L81" s="24">
        <f t="shared" si="67"/>
        <v>0</v>
      </c>
      <c r="M81" s="24">
        <f t="shared" si="29"/>
        <v>0</v>
      </c>
      <c r="N81" s="24">
        <f t="shared" si="18"/>
        <v>3691.52</v>
      </c>
      <c r="O81" s="24">
        <f t="shared" si="68"/>
        <v>0</v>
      </c>
      <c r="P81" s="24">
        <f t="shared" si="69"/>
        <v>0</v>
      </c>
      <c r="Q81" s="24">
        <f t="shared" si="61"/>
        <v>134587.49000000011</v>
      </c>
      <c r="R81" s="36">
        <f t="shared" si="76"/>
        <v>12</v>
      </c>
      <c r="S81" s="36">
        <f t="shared" si="62"/>
        <v>12</v>
      </c>
      <c r="T81" s="2">
        <f t="shared" si="47"/>
        <v>10714.61</v>
      </c>
      <c r="U81" s="34">
        <f t="shared" si="48"/>
        <v>14471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7</v>
      </c>
      <c r="AA81" s="143">
        <f>$C$7*IF($C$7&gt;=$X$78,AA78,IF($C$7&gt;=$X$77,AA77,IF($C$7&gt;=$X$76,AA76,IF($C$7&gt;=$X$75,AA75,IF($C$7&gt;=$X$74,AA74,AA73)))))</f>
        <v>550000</v>
      </c>
      <c r="AB81" s="143">
        <f>$C$7*IF($C$7&gt;=$X$78,AB78,IF($C$7&gt;=$X$77,AB77,IF($C$7&gt;=$X$76,AB76,IF($C$7&gt;=$X$75,AB75,IF($C$7&gt;=$X$74,AB74,AB73)))))</f>
        <v>465000</v>
      </c>
      <c r="AC81" s="143">
        <f>$C$7*IF($C$7&gt;=$X$78,AC78,IF($C$7&gt;=$X$77,AC77,IF($C$7&gt;=$X$76,AC76,IF($C$7&gt;=$X$75,AC75,IF($C$7&gt;=$X$74,AC74,AC73)))))</f>
        <v>715000</v>
      </c>
      <c r="AD81" s="143">
        <f>$C$7*IF($C$7&gt;=$X$78,AD78,IF($C$7&gt;=$X$77,AD77,IF($C$7&gt;=$X$76,AD76,IF($C$7&gt;=$X$75,AD75,IF($C$7&gt;=$X$74,AD74,AD73)))))</f>
        <v>465000</v>
      </c>
      <c r="AE81" s="143">
        <f t="shared" ref="AE81:AF81" si="77">$C$7*IF($C$7&gt;=$X$78,AE78,IF($C$7&gt;=$X$77,AE77,IF($C$7&gt;=$X$76,AE76,IF($C$7&gt;=$X$75,AE75,IF($C$7&gt;=$X$74,AE74,AE73)))))</f>
        <v>500000</v>
      </c>
      <c r="AF81" s="143">
        <f t="shared" si="77"/>
        <v>500000</v>
      </c>
      <c r="AI81" s="2">
        <f t="shared" si="49"/>
        <v>10679.62</v>
      </c>
      <c r="AJ81" s="34">
        <f t="shared" si="56"/>
        <v>14501</v>
      </c>
      <c r="AK81" s="57">
        <f t="shared" si="52"/>
        <v>56995</v>
      </c>
      <c r="AL81" s="130">
        <f t="shared" si="71"/>
        <v>1</v>
      </c>
      <c r="AM81" s="109">
        <f t="shared" si="74"/>
        <v>73</v>
      </c>
      <c r="AN81" s="110">
        <f t="shared" si="63"/>
        <v>47538</v>
      </c>
      <c r="AO81" s="105">
        <f t="shared" si="35"/>
        <v>14501</v>
      </c>
      <c r="AP81" s="105">
        <f t="shared" si="64"/>
        <v>3542.16</v>
      </c>
      <c r="AQ81" s="105">
        <f t="shared" si="41"/>
        <v>10958.84</v>
      </c>
      <c r="AR81" s="105">
        <f t="shared" si="34"/>
        <v>0</v>
      </c>
      <c r="AS81" s="105">
        <f t="shared" si="42"/>
        <v>0</v>
      </c>
      <c r="AT81" s="105">
        <f t="shared" si="43"/>
        <v>3542.16</v>
      </c>
      <c r="AU81" s="105">
        <f t="shared" si="44"/>
        <v>0</v>
      </c>
      <c r="AV81" s="105">
        <f t="shared" si="45"/>
        <v>0</v>
      </c>
      <c r="AW81" s="105">
        <f t="shared" si="46"/>
        <v>128526.19000000003</v>
      </c>
      <c r="AX81" s="108">
        <f t="shared" si="75"/>
        <v>12</v>
      </c>
      <c r="AY81" s="108">
        <f t="shared" si="65"/>
        <v>12</v>
      </c>
      <c r="AZ81" s="22">
        <f t="shared" si="57"/>
        <v>47538</v>
      </c>
      <c r="BA81" s="108">
        <f t="shared" si="57"/>
        <v>14471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14471</v>
      </c>
      <c r="H82" s="24">
        <f t="shared" si="59"/>
        <v>3087.03</v>
      </c>
      <c r="I82" s="24">
        <f t="shared" si="70"/>
        <v>687058.52000000014</v>
      </c>
      <c r="J82" s="24">
        <f t="shared" si="55"/>
        <v>0</v>
      </c>
      <c r="K82" s="24">
        <f t="shared" si="60"/>
        <v>11383.97</v>
      </c>
      <c r="L82" s="24">
        <f t="shared" si="67"/>
        <v>0</v>
      </c>
      <c r="M82" s="24">
        <f t="shared" si="29"/>
        <v>0</v>
      </c>
      <c r="N82" s="24">
        <f t="shared" si="18"/>
        <v>3087.03</v>
      </c>
      <c r="O82" s="24">
        <f t="shared" si="68"/>
        <v>0</v>
      </c>
      <c r="P82" s="24">
        <f t="shared" si="69"/>
        <v>0</v>
      </c>
      <c r="Q82" s="24">
        <f t="shared" si="61"/>
        <v>123203.52000000011</v>
      </c>
      <c r="R82" s="36">
        <f t="shared" si="76"/>
        <v>11</v>
      </c>
      <c r="S82" s="36">
        <f t="shared" si="62"/>
        <v>11</v>
      </c>
      <c r="T82" s="2">
        <f t="shared" si="47"/>
        <v>10276.66</v>
      </c>
      <c r="U82" s="34">
        <f t="shared" si="48"/>
        <v>14471</v>
      </c>
      <c r="V82" s="57">
        <f t="shared" si="51"/>
        <v>57360</v>
      </c>
      <c r="W82" s="16">
        <f t="shared" si="53"/>
        <v>33</v>
      </c>
      <c r="AI82" s="2">
        <f t="shared" si="49"/>
        <v>10241.209999999999</v>
      </c>
      <c r="AJ82" s="34">
        <f t="shared" si="56"/>
        <v>14501</v>
      </c>
      <c r="AK82" s="57">
        <f>IF(AI82=0,AK81,AK81+365)</f>
        <v>57360</v>
      </c>
      <c r="AL82" s="130">
        <f t="shared" si="71"/>
        <v>1</v>
      </c>
      <c r="AM82" s="109">
        <f t="shared" si="74"/>
        <v>74</v>
      </c>
      <c r="AN82" s="110">
        <f t="shared" si="63"/>
        <v>47566</v>
      </c>
      <c r="AO82" s="105">
        <f t="shared" si="35"/>
        <v>14501</v>
      </c>
      <c r="AP82" s="105">
        <f t="shared" si="64"/>
        <v>2948</v>
      </c>
      <c r="AQ82" s="105">
        <f t="shared" si="41"/>
        <v>11553</v>
      </c>
      <c r="AR82" s="105">
        <f t="shared" si="34"/>
        <v>0</v>
      </c>
      <c r="AS82" s="105">
        <f t="shared" si="42"/>
        <v>0</v>
      </c>
      <c r="AT82" s="105">
        <f t="shared" si="43"/>
        <v>2948</v>
      </c>
      <c r="AU82" s="105">
        <f t="shared" si="44"/>
        <v>0</v>
      </c>
      <c r="AV82" s="105">
        <f t="shared" si="45"/>
        <v>0</v>
      </c>
      <c r="AW82" s="105">
        <f t="shared" si="46"/>
        <v>116973.19000000003</v>
      </c>
      <c r="AX82" s="108">
        <f t="shared" si="75"/>
        <v>11</v>
      </c>
      <c r="AY82" s="108">
        <f t="shared" si="65"/>
        <v>11</v>
      </c>
      <c r="AZ82" s="22">
        <f t="shared" si="57"/>
        <v>47566</v>
      </c>
      <c r="BA82" s="108">
        <f t="shared" si="57"/>
        <v>14471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14471</v>
      </c>
      <c r="H83" s="24">
        <f t="shared" si="59"/>
        <v>3128.69</v>
      </c>
      <c r="I83" s="24">
        <f t="shared" si="70"/>
        <v>690187.21000000008</v>
      </c>
      <c r="J83" s="24">
        <f t="shared" si="55"/>
        <v>0</v>
      </c>
      <c r="K83" s="24">
        <f t="shared" si="60"/>
        <v>11342.31</v>
      </c>
      <c r="L83" s="24">
        <f t="shared" si="67"/>
        <v>0</v>
      </c>
      <c r="M83" s="24">
        <f t="shared" si="29"/>
        <v>0</v>
      </c>
      <c r="N83" s="24">
        <f t="shared" si="18"/>
        <v>3128.69</v>
      </c>
      <c r="O83" s="24">
        <f t="shared" si="68"/>
        <v>0</v>
      </c>
      <c r="P83" s="24">
        <f t="shared" si="69"/>
        <v>0</v>
      </c>
      <c r="Q83" s="24">
        <f t="shared" si="61"/>
        <v>111861.21000000011</v>
      </c>
      <c r="R83" s="36">
        <f t="shared" si="76"/>
        <v>10</v>
      </c>
      <c r="S83" s="36">
        <f t="shared" si="62"/>
        <v>10</v>
      </c>
      <c r="T83" s="2">
        <f t="shared" si="47"/>
        <v>10512.71</v>
      </c>
      <c r="U83" s="34">
        <f t="shared" si="48"/>
        <v>14471</v>
      </c>
      <c r="V83" s="57">
        <f t="shared" si="51"/>
        <v>57725</v>
      </c>
      <c r="W83" s="16">
        <f t="shared" si="53"/>
        <v>34</v>
      </c>
      <c r="X83" s="860" t="s">
        <v>111</v>
      </c>
      <c r="Y83" s="86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10474.4</v>
      </c>
      <c r="AJ83" s="34">
        <f>IF(AI83=0,IF(AI82=0,0,$AJ$46),AO42)</f>
        <v>14501</v>
      </c>
      <c r="AK83" s="57">
        <f t="shared" si="52"/>
        <v>57725</v>
      </c>
      <c r="AL83" s="130">
        <f t="shared" si="71"/>
        <v>1</v>
      </c>
      <c r="AM83" s="109">
        <f t="shared" si="74"/>
        <v>75</v>
      </c>
      <c r="AN83" s="110">
        <f t="shared" si="63"/>
        <v>47597</v>
      </c>
      <c r="AO83" s="105">
        <f t="shared" si="35"/>
        <v>14501</v>
      </c>
      <c r="AP83" s="105">
        <f t="shared" si="64"/>
        <v>2970.48</v>
      </c>
      <c r="AQ83" s="105">
        <f t="shared" si="41"/>
        <v>11530.52</v>
      </c>
      <c r="AR83" s="105">
        <f t="shared" si="34"/>
        <v>0</v>
      </c>
      <c r="AS83" s="105">
        <f t="shared" si="42"/>
        <v>0</v>
      </c>
      <c r="AT83" s="105">
        <f t="shared" si="43"/>
        <v>2970.48</v>
      </c>
      <c r="AU83" s="105">
        <f t="shared" si="44"/>
        <v>0</v>
      </c>
      <c r="AV83" s="105">
        <f t="shared" si="45"/>
        <v>0</v>
      </c>
      <c r="AW83" s="105">
        <f t="shared" si="46"/>
        <v>105442.67000000003</v>
      </c>
      <c r="AX83" s="108">
        <f t="shared" si="75"/>
        <v>10</v>
      </c>
      <c r="AY83" s="108">
        <f t="shared" si="65"/>
        <v>10</v>
      </c>
      <c r="AZ83" s="22">
        <f t="shared" si="57"/>
        <v>47597</v>
      </c>
      <c r="BA83" s="108">
        <f t="shared" si="57"/>
        <v>14471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14471</v>
      </c>
      <c r="H84" s="24">
        <f t="shared" si="59"/>
        <v>2749.03</v>
      </c>
      <c r="I84" s="24">
        <f t="shared" si="70"/>
        <v>692936.24000000011</v>
      </c>
      <c r="J84" s="24">
        <f t="shared" si="55"/>
        <v>0</v>
      </c>
      <c r="K84" s="24">
        <f t="shared" si="60"/>
        <v>11721.97</v>
      </c>
      <c r="L84" s="24">
        <f t="shared" si="67"/>
        <v>0</v>
      </c>
      <c r="M84" s="24">
        <f t="shared" si="29"/>
        <v>0</v>
      </c>
      <c r="N84" s="24">
        <f t="shared" si="18"/>
        <v>2749.03</v>
      </c>
      <c r="O84" s="24">
        <f t="shared" si="68"/>
        <v>0</v>
      </c>
      <c r="P84" s="24">
        <f t="shared" si="69"/>
        <v>0</v>
      </c>
      <c r="Q84" s="24">
        <f t="shared" si="61"/>
        <v>100139.24000000011</v>
      </c>
      <c r="R84" s="36">
        <f t="shared" si="76"/>
        <v>9</v>
      </c>
      <c r="S84" s="36">
        <f t="shared" si="62"/>
        <v>9</v>
      </c>
      <c r="T84" s="2">
        <f t="shared" si="47"/>
        <v>10076.31</v>
      </c>
      <c r="U84" s="34">
        <f t="shared" si="48"/>
        <v>14471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10037.56</v>
      </c>
      <c r="AJ84" s="34">
        <f>IF(AI84=0,IF(AI83=0,0,$AJ$46),AO43)</f>
        <v>14501</v>
      </c>
      <c r="AK84" s="57">
        <f t="shared" si="52"/>
        <v>58090</v>
      </c>
      <c r="AL84" s="130">
        <f t="shared" si="71"/>
        <v>1</v>
      </c>
      <c r="AM84" s="109">
        <f t="shared" si="74"/>
        <v>76</v>
      </c>
      <c r="AN84" s="110">
        <f t="shared" si="63"/>
        <v>47627</v>
      </c>
      <c r="AO84" s="105">
        <f t="shared" si="35"/>
        <v>14501</v>
      </c>
      <c r="AP84" s="105">
        <f t="shared" si="64"/>
        <v>2591.29</v>
      </c>
      <c r="AQ84" s="105">
        <f t="shared" si="41"/>
        <v>11909.71</v>
      </c>
      <c r="AR84" s="105">
        <f t="shared" si="34"/>
        <v>0</v>
      </c>
      <c r="AS84" s="105">
        <f t="shared" si="42"/>
        <v>0</v>
      </c>
      <c r="AT84" s="105">
        <f t="shared" si="43"/>
        <v>2591.29</v>
      </c>
      <c r="AU84" s="105">
        <f t="shared" si="44"/>
        <v>0</v>
      </c>
      <c r="AV84" s="105">
        <f t="shared" si="45"/>
        <v>0</v>
      </c>
      <c r="AW84" s="105">
        <f t="shared" si="46"/>
        <v>93532.960000000021</v>
      </c>
      <c r="AX84" s="108">
        <f t="shared" si="75"/>
        <v>9</v>
      </c>
      <c r="AY84" s="108">
        <f t="shared" si="65"/>
        <v>9</v>
      </c>
      <c r="AZ84" s="22">
        <f t="shared" si="57"/>
        <v>47627</v>
      </c>
      <c r="BA84" s="108">
        <f t="shared" si="57"/>
        <v>14471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14471</v>
      </c>
      <c r="H85" s="24">
        <f t="shared" si="59"/>
        <v>2542.9899999999998</v>
      </c>
      <c r="I85" s="24">
        <f t="shared" si="70"/>
        <v>695479.2300000001</v>
      </c>
      <c r="J85" s="24">
        <f t="shared" si="55"/>
        <v>0</v>
      </c>
      <c r="K85" s="24">
        <f t="shared" si="60"/>
        <v>11928.01</v>
      </c>
      <c r="L85" s="24">
        <f t="shared" si="67"/>
        <v>0</v>
      </c>
      <c r="M85" s="24">
        <f t="shared" si="29"/>
        <v>0</v>
      </c>
      <c r="N85" s="24">
        <f t="shared" si="18"/>
        <v>2542.9899999999998</v>
      </c>
      <c r="O85" s="24">
        <f t="shared" si="68"/>
        <v>0</v>
      </c>
      <c r="P85" s="24">
        <f t="shared" si="69"/>
        <v>0</v>
      </c>
      <c r="Q85" s="24">
        <f t="shared" si="61"/>
        <v>88211.230000000112</v>
      </c>
      <c r="R85" s="36">
        <f t="shared" si="76"/>
        <v>8</v>
      </c>
      <c r="S85" s="36">
        <f t="shared" si="62"/>
        <v>8</v>
      </c>
      <c r="T85" s="2">
        <f t="shared" si="47"/>
        <v>10300.59</v>
      </c>
      <c r="U85" s="34">
        <f t="shared" si="48"/>
        <v>14471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34"/>
      <c r="AD85" s="134"/>
      <c r="AE85" s="16">
        <f>IF($C$10&gt;48,AB85,IF($C$94&gt;36,AA85,Z85))</f>
        <v>1.35</v>
      </c>
      <c r="AI85" s="2">
        <f t="shared" si="49"/>
        <v>10258.799999999999</v>
      </c>
      <c r="AJ85" s="34">
        <f>IF(AI85=0,IF(AI84=0,0,$AJ$46),AO44)</f>
        <v>14501</v>
      </c>
      <c r="AK85" s="57">
        <f t="shared" si="52"/>
        <v>58455</v>
      </c>
      <c r="AL85" s="130">
        <f t="shared" si="71"/>
        <v>1</v>
      </c>
      <c r="AM85" s="109">
        <f t="shared" si="74"/>
        <v>77</v>
      </c>
      <c r="AN85" s="110">
        <f t="shared" si="63"/>
        <v>47658</v>
      </c>
      <c r="AO85" s="105">
        <f t="shared" si="35"/>
        <v>14501</v>
      </c>
      <c r="AP85" s="105">
        <f t="shared" si="64"/>
        <v>2375.2199999999998</v>
      </c>
      <c r="AQ85" s="105">
        <f t="shared" si="41"/>
        <v>12125.78</v>
      </c>
      <c r="AR85" s="105">
        <f t="shared" si="34"/>
        <v>0</v>
      </c>
      <c r="AS85" s="105">
        <f t="shared" si="42"/>
        <v>0</v>
      </c>
      <c r="AT85" s="105">
        <f t="shared" si="43"/>
        <v>2375.2199999999998</v>
      </c>
      <c r="AU85" s="105">
        <f t="shared" si="44"/>
        <v>0</v>
      </c>
      <c r="AV85" s="105">
        <f t="shared" si="45"/>
        <v>0</v>
      </c>
      <c r="AW85" s="105">
        <f t="shared" si="46"/>
        <v>81407.180000000022</v>
      </c>
      <c r="AX85" s="108">
        <f t="shared" si="75"/>
        <v>8</v>
      </c>
      <c r="AY85" s="108">
        <f t="shared" si="65"/>
        <v>8</v>
      </c>
      <c r="AZ85" s="22">
        <f t="shared" si="57"/>
        <v>47658</v>
      </c>
      <c r="BA85" s="108">
        <f t="shared" si="57"/>
        <v>14471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14471</v>
      </c>
      <c r="H86" s="24">
        <f t="shared" si="59"/>
        <v>2167.8200000000002</v>
      </c>
      <c r="I86" s="24">
        <f t="shared" si="70"/>
        <v>697647.05</v>
      </c>
      <c r="J86" s="24">
        <f t="shared" si="55"/>
        <v>0</v>
      </c>
      <c r="K86" s="24">
        <f t="shared" si="60"/>
        <v>12303.18</v>
      </c>
      <c r="L86" s="24">
        <f t="shared" si="67"/>
        <v>0</v>
      </c>
      <c r="M86" s="24">
        <f t="shared" si="29"/>
        <v>0</v>
      </c>
      <c r="N86" s="24">
        <f t="shared" si="18"/>
        <v>2167.8200000000002</v>
      </c>
      <c r="O86" s="24">
        <f t="shared" si="68"/>
        <v>0</v>
      </c>
      <c r="P86" s="24">
        <f t="shared" si="69"/>
        <v>0</v>
      </c>
      <c r="Q86" s="24">
        <f t="shared" si="61"/>
        <v>75908.050000000105</v>
      </c>
      <c r="R86" s="36">
        <f t="shared" si="76"/>
        <v>7</v>
      </c>
      <c r="S86" s="36">
        <f t="shared" si="62"/>
        <v>7</v>
      </c>
      <c r="T86" s="2">
        <f t="shared" si="47"/>
        <v>10194.68</v>
      </c>
      <c r="U86" s="34">
        <f t="shared" si="48"/>
        <v>14471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34"/>
      <c r="AD86" s="134"/>
      <c r="AE86" s="16">
        <f>IF($C$10&gt;48,AB86,IF($C$94&gt;36,AA86,Z86))</f>
        <v>1.35</v>
      </c>
      <c r="AI86" s="2">
        <f t="shared" si="49"/>
        <v>10151.07</v>
      </c>
      <c r="AJ86" s="34">
        <f>IF(AI86=0,IF(AI85=0,0,$AJ$46),AO45)</f>
        <v>14501</v>
      </c>
      <c r="AK86" s="57">
        <f t="shared" si="52"/>
        <v>58820</v>
      </c>
      <c r="AL86" s="130">
        <f t="shared" si="71"/>
        <v>1</v>
      </c>
      <c r="AM86" s="109">
        <f t="shared" si="74"/>
        <v>78</v>
      </c>
      <c r="AN86" s="110">
        <f t="shared" si="63"/>
        <v>47688</v>
      </c>
      <c r="AO86" s="105">
        <f t="shared" si="35"/>
        <v>14501</v>
      </c>
      <c r="AP86" s="105">
        <f t="shared" si="64"/>
        <v>2000.61</v>
      </c>
      <c r="AQ86" s="105">
        <f t="shared" si="41"/>
        <v>12500.39</v>
      </c>
      <c r="AR86" s="105">
        <f t="shared" ref="AR86:AR129" si="78">IF(AT86&gt;$D$29,$D$29-AP86,IF(AY86=0,0,AV86)+BN135)</f>
        <v>0</v>
      </c>
      <c r="AS86" s="105">
        <f t="shared" si="42"/>
        <v>0</v>
      </c>
      <c r="AT86" s="105">
        <f t="shared" si="43"/>
        <v>2000.61</v>
      </c>
      <c r="AU86" s="105">
        <f t="shared" si="44"/>
        <v>0</v>
      </c>
      <c r="AV86" s="105">
        <f t="shared" si="45"/>
        <v>0</v>
      </c>
      <c r="AW86" s="105">
        <f t="shared" si="46"/>
        <v>68906.790000000023</v>
      </c>
      <c r="AX86" s="108">
        <f t="shared" si="75"/>
        <v>7</v>
      </c>
      <c r="AY86" s="108">
        <f t="shared" si="65"/>
        <v>7</v>
      </c>
      <c r="AZ86" s="22">
        <f t="shared" si="57"/>
        <v>47688</v>
      </c>
      <c r="BA86" s="108">
        <f t="shared" si="57"/>
        <v>14471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14471</v>
      </c>
      <c r="H87" s="24">
        <f t="shared" si="59"/>
        <v>1927.65</v>
      </c>
      <c r="I87" s="24">
        <f t="shared" si="70"/>
        <v>699574.70000000007</v>
      </c>
      <c r="J87" s="24">
        <f t="shared" si="55"/>
        <v>0</v>
      </c>
      <c r="K87" s="24">
        <f t="shared" si="60"/>
        <v>12543.35</v>
      </c>
      <c r="L87" s="24">
        <f t="shared" si="67"/>
        <v>0</v>
      </c>
      <c r="M87" s="24">
        <f t="shared" ref="M87:M150" si="79">O86-L86</f>
        <v>0</v>
      </c>
      <c r="N87" s="24">
        <f t="shared" ref="N87:N150" si="80">H87+O87</f>
        <v>1927.65</v>
      </c>
      <c r="O87" s="24">
        <f t="shared" si="68"/>
        <v>0</v>
      </c>
      <c r="P87" s="24">
        <f t="shared" si="69"/>
        <v>0</v>
      </c>
      <c r="Q87" s="24">
        <f t="shared" si="61"/>
        <v>63364.700000000106</v>
      </c>
      <c r="R87" s="36">
        <f t="shared" si="76"/>
        <v>6</v>
      </c>
      <c r="S87" s="36">
        <f t="shared" si="62"/>
        <v>6</v>
      </c>
      <c r="T87" s="2">
        <f t="shared" si="47"/>
        <v>9110.01</v>
      </c>
      <c r="U87" s="34">
        <f t="shared" si="48"/>
        <v>14471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34"/>
      <c r="AD87" s="134"/>
      <c r="AE87" s="16">
        <f>IF($C$10&gt;48,AB87,IF($C$94&gt;36,AA87,Z87))</f>
        <v>1.35</v>
      </c>
      <c r="AI87" s="2">
        <f t="shared" si="49"/>
        <v>9068.94</v>
      </c>
      <c r="AJ87" s="34">
        <f>IF(AI87=0,IF(AI86=0,0,$AJ$46),AO46)</f>
        <v>14501</v>
      </c>
      <c r="AK87" s="57">
        <f t="shared" si="52"/>
        <v>59185</v>
      </c>
      <c r="AL87" s="130">
        <f t="shared" si="71"/>
        <v>1</v>
      </c>
      <c r="AM87" s="109">
        <f t="shared" si="74"/>
        <v>79</v>
      </c>
      <c r="AN87" s="110">
        <f t="shared" si="63"/>
        <v>47719</v>
      </c>
      <c r="AO87" s="105">
        <f t="shared" si="35"/>
        <v>14501</v>
      </c>
      <c r="AP87" s="105">
        <f t="shared" si="64"/>
        <v>1749.85</v>
      </c>
      <c r="AQ87" s="105">
        <f t="shared" si="41"/>
        <v>12751.15</v>
      </c>
      <c r="AR87" s="105">
        <f t="shared" si="78"/>
        <v>0</v>
      </c>
      <c r="AS87" s="105">
        <f t="shared" si="42"/>
        <v>0</v>
      </c>
      <c r="AT87" s="105">
        <f t="shared" si="43"/>
        <v>1749.85</v>
      </c>
      <c r="AU87" s="105">
        <f t="shared" si="44"/>
        <v>0</v>
      </c>
      <c r="AV87" s="105">
        <f t="shared" si="45"/>
        <v>0</v>
      </c>
      <c r="AW87" s="105">
        <f t="shared" si="46"/>
        <v>56155.640000000021</v>
      </c>
      <c r="AX87" s="108">
        <f t="shared" si="75"/>
        <v>6</v>
      </c>
      <c r="AY87" s="108">
        <f t="shared" si="65"/>
        <v>6</v>
      </c>
      <c r="AZ87" s="22">
        <f t="shared" si="57"/>
        <v>47719</v>
      </c>
      <c r="BA87" s="108">
        <f t="shared" si="57"/>
        <v>14471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14471</v>
      </c>
      <c r="H88" s="24">
        <f t="shared" si="59"/>
        <v>1609.12</v>
      </c>
      <c r="I88" s="24">
        <f t="shared" si="70"/>
        <v>701183.82000000007</v>
      </c>
      <c r="J88" s="24">
        <f t="shared" si="55"/>
        <v>0</v>
      </c>
      <c r="K88" s="24">
        <f t="shared" si="60"/>
        <v>12861.880000000001</v>
      </c>
      <c r="L88" s="24">
        <f t="shared" si="67"/>
        <v>0</v>
      </c>
      <c r="M88" s="24">
        <f t="shared" si="79"/>
        <v>0</v>
      </c>
      <c r="N88" s="24">
        <f t="shared" si="80"/>
        <v>1609.12</v>
      </c>
      <c r="O88" s="24">
        <f t="shared" si="68"/>
        <v>0</v>
      </c>
      <c r="P88" s="24">
        <f t="shared" si="69"/>
        <v>0</v>
      </c>
      <c r="Q88" s="24">
        <f t="shared" si="61"/>
        <v>50502.820000000109</v>
      </c>
      <c r="R88" s="36">
        <f t="shared" si="76"/>
        <v>5</v>
      </c>
      <c r="S88" s="36">
        <f t="shared" si="62"/>
        <v>5</v>
      </c>
      <c r="T88" s="2">
        <f t="shared" si="47"/>
        <v>9949.9500000000007</v>
      </c>
      <c r="U88" s="34">
        <f t="shared" si="48"/>
        <v>14471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19485.89</v>
      </c>
      <c r="AJ88" s="34">
        <f t="shared" ref="AJ88:AJ108" si="81">IF(AI88=0,IF(AI87=0,0,$AJ$46),AO48)</f>
        <v>14501</v>
      </c>
      <c r="AK88" s="57">
        <f t="shared" si="52"/>
        <v>59550</v>
      </c>
      <c r="AL88" s="130">
        <f t="shared" si="71"/>
        <v>1</v>
      </c>
      <c r="AM88" s="109">
        <f t="shared" si="74"/>
        <v>80</v>
      </c>
      <c r="AN88" s="110">
        <f t="shared" si="63"/>
        <v>47750</v>
      </c>
      <c r="AO88" s="105">
        <f t="shared" si="35"/>
        <v>14501</v>
      </c>
      <c r="AP88" s="105">
        <f t="shared" si="64"/>
        <v>1426.05</v>
      </c>
      <c r="AQ88" s="105">
        <f t="shared" si="41"/>
        <v>13074.95</v>
      </c>
      <c r="AR88" s="105">
        <f t="shared" si="78"/>
        <v>0</v>
      </c>
      <c r="AS88" s="105">
        <f t="shared" si="42"/>
        <v>0</v>
      </c>
      <c r="AT88" s="105">
        <f t="shared" si="43"/>
        <v>1426.05</v>
      </c>
      <c r="AU88" s="105">
        <f t="shared" si="44"/>
        <v>0</v>
      </c>
      <c r="AV88" s="105">
        <f t="shared" si="45"/>
        <v>0</v>
      </c>
      <c r="AW88" s="105">
        <f t="shared" si="46"/>
        <v>43080.690000000017</v>
      </c>
      <c r="AX88" s="108">
        <f t="shared" si="75"/>
        <v>5</v>
      </c>
      <c r="AY88" s="108">
        <f t="shared" si="65"/>
        <v>5</v>
      </c>
      <c r="AZ88" s="22">
        <f t="shared" si="57"/>
        <v>47750</v>
      </c>
      <c r="BA88" s="108">
        <f t="shared" si="57"/>
        <v>14471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14471</v>
      </c>
      <c r="H89" s="24">
        <f t="shared" si="59"/>
        <v>1241.1199999999999</v>
      </c>
      <c r="I89" s="24">
        <f t="shared" si="70"/>
        <v>702424.94000000006</v>
      </c>
      <c r="J89" s="24">
        <f t="shared" si="55"/>
        <v>0</v>
      </c>
      <c r="K89" s="24">
        <f t="shared" si="60"/>
        <v>13229.880000000001</v>
      </c>
      <c r="L89" s="24">
        <f t="shared" si="67"/>
        <v>0</v>
      </c>
      <c r="M89" s="24">
        <f t="shared" si="79"/>
        <v>0</v>
      </c>
      <c r="N89" s="24">
        <f t="shared" si="80"/>
        <v>1241.1199999999999</v>
      </c>
      <c r="O89" s="24">
        <f t="shared" si="68"/>
        <v>0</v>
      </c>
      <c r="P89" s="24">
        <f t="shared" si="69"/>
        <v>0</v>
      </c>
      <c r="Q89" s="24">
        <f t="shared" si="61"/>
        <v>37272.940000000104</v>
      </c>
      <c r="R89" s="36">
        <f t="shared" si="76"/>
        <v>4</v>
      </c>
      <c r="S89" s="36">
        <f t="shared" si="62"/>
        <v>4</v>
      </c>
      <c r="T89" s="2">
        <f t="shared" si="47"/>
        <v>9517.8700000000008</v>
      </c>
      <c r="U89" s="34">
        <f t="shared" si="48"/>
        <v>14471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2">IF(AND(AM49&gt;=$T$14,AM49&lt;=$T$14+5),0,IF($C$9&gt;$AC$52,ROUND(AW48*$AI$46/(DATEVALUE(CONCATENATE("01/01/",YEAR(AN49)+1))-DATEVALUE(CONCATENATE("01/01/",YEAR(AN49))))*(AN49-AN48),2),0))</f>
        <v>9658.14</v>
      </c>
      <c r="AJ89" s="34">
        <f t="shared" si="81"/>
        <v>14501</v>
      </c>
      <c r="AK89" s="57">
        <f t="shared" si="52"/>
        <v>59915</v>
      </c>
      <c r="AL89" s="130">
        <f t="shared" si="71"/>
        <v>1</v>
      </c>
      <c r="AM89" s="109">
        <f t="shared" si="74"/>
        <v>81</v>
      </c>
      <c r="AN89" s="110">
        <f t="shared" si="63"/>
        <v>47780</v>
      </c>
      <c r="AO89" s="105">
        <f t="shared" si="35"/>
        <v>14501</v>
      </c>
      <c r="AP89" s="105">
        <f t="shared" si="64"/>
        <v>1058.72</v>
      </c>
      <c r="AQ89" s="105">
        <f t="shared" si="41"/>
        <v>13442.28</v>
      </c>
      <c r="AR89" s="105">
        <f t="shared" si="78"/>
        <v>0</v>
      </c>
      <c r="AS89" s="105">
        <f t="shared" si="42"/>
        <v>0</v>
      </c>
      <c r="AT89" s="105">
        <f t="shared" si="43"/>
        <v>1058.72</v>
      </c>
      <c r="AU89" s="105">
        <f t="shared" si="44"/>
        <v>0</v>
      </c>
      <c r="AV89" s="105">
        <f t="shared" si="45"/>
        <v>0</v>
      </c>
      <c r="AW89" s="105">
        <f t="shared" si="46"/>
        <v>29638.410000000018</v>
      </c>
      <c r="AX89" s="108">
        <f t="shared" si="75"/>
        <v>4</v>
      </c>
      <c r="AY89" s="108">
        <f t="shared" si="65"/>
        <v>4</v>
      </c>
      <c r="AZ89" s="22">
        <f t="shared" si="57"/>
        <v>47780</v>
      </c>
      <c r="BA89" s="108">
        <f t="shared" si="57"/>
        <v>14471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14471</v>
      </c>
      <c r="H90" s="24">
        <f t="shared" si="59"/>
        <v>946.53</v>
      </c>
      <c r="I90" s="24">
        <f t="shared" si="70"/>
        <v>703371.47000000009</v>
      </c>
      <c r="J90" s="24">
        <f t="shared" si="55"/>
        <v>0</v>
      </c>
      <c r="K90" s="24">
        <f t="shared" si="60"/>
        <v>13524.47</v>
      </c>
      <c r="L90" s="24">
        <f t="shared" si="67"/>
        <v>0</v>
      </c>
      <c r="M90" s="24">
        <f t="shared" si="79"/>
        <v>0</v>
      </c>
      <c r="N90" s="24">
        <f t="shared" si="80"/>
        <v>946.53</v>
      </c>
      <c r="O90" s="24">
        <f t="shared" si="68"/>
        <v>0</v>
      </c>
      <c r="P90" s="24">
        <f t="shared" si="69"/>
        <v>0</v>
      </c>
      <c r="Q90" s="24">
        <f t="shared" si="61"/>
        <v>23748.470000000103</v>
      </c>
      <c r="R90" s="36">
        <f t="shared" si="76"/>
        <v>3</v>
      </c>
      <c r="S90" s="36">
        <f t="shared" si="62"/>
        <v>3</v>
      </c>
      <c r="T90" s="2">
        <f t="shared" si="47"/>
        <v>9709.35</v>
      </c>
      <c r="U90" s="34">
        <f t="shared" si="48"/>
        <v>14471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2"/>
        <v>9227.57</v>
      </c>
      <c r="AJ90" s="34">
        <f t="shared" si="81"/>
        <v>14501</v>
      </c>
      <c r="AK90" s="57">
        <f t="shared" si="52"/>
        <v>60280</v>
      </c>
      <c r="AL90" s="130">
        <f t="shared" si="71"/>
        <v>1</v>
      </c>
      <c r="AM90" s="109">
        <f t="shared" si="74"/>
        <v>82</v>
      </c>
      <c r="AN90" s="110">
        <f t="shared" si="63"/>
        <v>47811</v>
      </c>
      <c r="AO90" s="105">
        <f t="shared" si="35"/>
        <v>14501</v>
      </c>
      <c r="AP90" s="105">
        <f t="shared" si="64"/>
        <v>752.65</v>
      </c>
      <c r="AQ90" s="105">
        <f t="shared" si="41"/>
        <v>13748.35</v>
      </c>
      <c r="AR90" s="105">
        <f t="shared" si="78"/>
        <v>0</v>
      </c>
      <c r="AS90" s="105">
        <f t="shared" si="42"/>
        <v>0</v>
      </c>
      <c r="AT90" s="105">
        <f t="shared" si="43"/>
        <v>752.65</v>
      </c>
      <c r="AU90" s="105">
        <f t="shared" si="44"/>
        <v>0</v>
      </c>
      <c r="AV90" s="105">
        <f t="shared" si="45"/>
        <v>0</v>
      </c>
      <c r="AW90" s="105">
        <f t="shared" si="46"/>
        <v>15890.060000000018</v>
      </c>
      <c r="AX90" s="108">
        <f t="shared" si="75"/>
        <v>3</v>
      </c>
      <c r="AY90" s="108">
        <f t="shared" si="65"/>
        <v>3</v>
      </c>
      <c r="AZ90" s="22">
        <f t="shared" si="57"/>
        <v>47811</v>
      </c>
      <c r="BA90" s="108">
        <f t="shared" si="57"/>
        <v>14471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14471</v>
      </c>
      <c r="H91" s="24">
        <f t="shared" si="59"/>
        <v>583.63</v>
      </c>
      <c r="I91" s="24">
        <f t="shared" si="70"/>
        <v>703955.10000000009</v>
      </c>
      <c r="J91" s="24">
        <f t="shared" si="55"/>
        <v>0</v>
      </c>
      <c r="K91" s="24">
        <f t="shared" si="60"/>
        <v>13887.37</v>
      </c>
      <c r="L91" s="24">
        <f t="shared" si="67"/>
        <v>0</v>
      </c>
      <c r="M91" s="24">
        <f t="shared" si="79"/>
        <v>0</v>
      </c>
      <c r="N91" s="24">
        <f t="shared" si="80"/>
        <v>583.63</v>
      </c>
      <c r="O91" s="24">
        <f t="shared" si="68"/>
        <v>0</v>
      </c>
      <c r="P91" s="24">
        <f t="shared" si="69"/>
        <v>0</v>
      </c>
      <c r="Q91" s="24">
        <f t="shared" si="61"/>
        <v>9861.1000000001022</v>
      </c>
      <c r="R91" s="36">
        <f t="shared" si="76"/>
        <v>2</v>
      </c>
      <c r="S91" s="36">
        <f t="shared" si="62"/>
        <v>2</v>
      </c>
      <c r="T91" s="2">
        <f t="shared" si="47"/>
        <v>9279.1299999999992</v>
      </c>
      <c r="U91" s="34">
        <f t="shared" si="48"/>
        <v>14471</v>
      </c>
      <c r="V91" s="57">
        <f t="shared" si="51"/>
        <v>60645</v>
      </c>
      <c r="W91" s="16">
        <f t="shared" si="53"/>
        <v>42</v>
      </c>
      <c r="AI91" s="2">
        <f t="shared" si="82"/>
        <v>9401.24</v>
      </c>
      <c r="AJ91" s="34">
        <f t="shared" si="81"/>
        <v>14501</v>
      </c>
      <c r="AK91" s="57">
        <f t="shared" si="52"/>
        <v>60645</v>
      </c>
      <c r="AL91" s="130">
        <f t="shared" si="71"/>
        <v>1</v>
      </c>
      <c r="AM91" s="109">
        <f t="shared" si="74"/>
        <v>83</v>
      </c>
      <c r="AN91" s="110">
        <f t="shared" si="63"/>
        <v>47841</v>
      </c>
      <c r="AO91" s="105">
        <f t="shared" si="35"/>
        <v>14501</v>
      </c>
      <c r="AP91" s="105">
        <f t="shared" si="64"/>
        <v>390.5</v>
      </c>
      <c r="AQ91" s="105">
        <f t="shared" si="41"/>
        <v>14110.5</v>
      </c>
      <c r="AR91" s="105">
        <f t="shared" si="78"/>
        <v>0</v>
      </c>
      <c r="AS91" s="105">
        <f t="shared" si="42"/>
        <v>0</v>
      </c>
      <c r="AT91" s="105">
        <f t="shared" si="43"/>
        <v>390.5</v>
      </c>
      <c r="AU91" s="105">
        <f t="shared" si="44"/>
        <v>0</v>
      </c>
      <c r="AV91" s="105">
        <f t="shared" si="45"/>
        <v>0</v>
      </c>
      <c r="AW91" s="105">
        <f t="shared" si="46"/>
        <v>1779.5600000000177</v>
      </c>
      <c r="AX91" s="108">
        <f t="shared" si="75"/>
        <v>2</v>
      </c>
      <c r="AY91" s="108">
        <f t="shared" si="65"/>
        <v>2</v>
      </c>
      <c r="AZ91" s="22">
        <f t="shared" si="57"/>
        <v>47841</v>
      </c>
      <c r="BA91" s="108">
        <f t="shared" si="57"/>
        <v>14471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10111.520000000102</v>
      </c>
      <c r="H92" s="24">
        <f t="shared" si="59"/>
        <v>250.42</v>
      </c>
      <c r="I92" s="24">
        <f t="shared" si="70"/>
        <v>704205.52000000014</v>
      </c>
      <c r="J92" s="24">
        <f t="shared" si="55"/>
        <v>0</v>
      </c>
      <c r="K92" s="24">
        <f t="shared" si="60"/>
        <v>9861.1000000001022</v>
      </c>
      <c r="L92" s="24">
        <f t="shared" si="67"/>
        <v>0</v>
      </c>
      <c r="M92" s="24">
        <f t="shared" si="79"/>
        <v>0</v>
      </c>
      <c r="N92" s="24">
        <f t="shared" si="80"/>
        <v>250.42</v>
      </c>
      <c r="O92" s="24">
        <f t="shared" si="68"/>
        <v>0</v>
      </c>
      <c r="P92" s="24">
        <f t="shared" si="69"/>
        <v>0</v>
      </c>
      <c r="Q92" s="24">
        <f t="shared" si="61"/>
        <v>0</v>
      </c>
      <c r="R92" s="36">
        <f t="shared" si="76"/>
        <v>1</v>
      </c>
      <c r="S92" s="36">
        <f t="shared" si="62"/>
        <v>1</v>
      </c>
      <c r="T92" s="2">
        <f t="shared" si="47"/>
        <v>9456.59</v>
      </c>
      <c r="U92" s="34">
        <f t="shared" si="48"/>
        <v>14471</v>
      </c>
      <c r="V92" s="57">
        <f t="shared" si="51"/>
        <v>61010</v>
      </c>
      <c r="W92" s="16">
        <f t="shared" si="53"/>
        <v>43</v>
      </c>
      <c r="X92" s="860" t="s">
        <v>115</v>
      </c>
      <c r="Y92" s="86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2"/>
        <v>9271.73</v>
      </c>
      <c r="AJ92" s="34">
        <f t="shared" si="81"/>
        <v>14501</v>
      </c>
      <c r="AK92" s="57">
        <f t="shared" si="52"/>
        <v>61010</v>
      </c>
      <c r="AL92" s="130">
        <f t="shared" si="71"/>
        <v>1</v>
      </c>
      <c r="AM92" s="109">
        <f t="shared" si="74"/>
        <v>84</v>
      </c>
      <c r="AN92" s="110">
        <f t="shared" si="63"/>
        <v>47872</v>
      </c>
      <c r="AO92" s="105">
        <f t="shared" si="35"/>
        <v>1824.7500000000177</v>
      </c>
      <c r="AP92" s="105">
        <f t="shared" si="64"/>
        <v>45.19</v>
      </c>
      <c r="AQ92" s="105">
        <f t="shared" si="41"/>
        <v>1779.5600000000177</v>
      </c>
      <c r="AR92" s="105">
        <f t="shared" si="78"/>
        <v>0</v>
      </c>
      <c r="AS92" s="105">
        <f t="shared" si="42"/>
        <v>0</v>
      </c>
      <c r="AT92" s="105">
        <f t="shared" si="43"/>
        <v>45.19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1</v>
      </c>
      <c r="AY92" s="108">
        <f t="shared" si="65"/>
        <v>1</v>
      </c>
      <c r="AZ92" s="22">
        <f t="shared" si="57"/>
        <v>47872</v>
      </c>
      <c r="BA92" s="108">
        <f t="shared" si="57"/>
        <v>10111.520000000102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0</v>
      </c>
      <c r="H93" s="24">
        <f t="shared" si="59"/>
        <v>0</v>
      </c>
      <c r="I93" s="24">
        <f t="shared" si="70"/>
        <v>704205.52000000014</v>
      </c>
      <c r="J93" s="24">
        <f t="shared" si="55"/>
        <v>0</v>
      </c>
      <c r="K93" s="24">
        <f t="shared" si="60"/>
        <v>0</v>
      </c>
      <c r="L93" s="24">
        <f t="shared" si="67"/>
        <v>0</v>
      </c>
      <c r="M93" s="24">
        <f t="shared" si="79"/>
        <v>0</v>
      </c>
      <c r="N93" s="24">
        <f t="shared" si="80"/>
        <v>0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0</v>
      </c>
      <c r="T93" s="2">
        <f t="shared" si="47"/>
        <v>9329.25</v>
      </c>
      <c r="U93" s="34">
        <f t="shared" si="48"/>
        <v>14471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2"/>
        <v>8844.14</v>
      </c>
      <c r="AJ93" s="34">
        <f t="shared" si="81"/>
        <v>14501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8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704205.52000000014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9"/>
        <v>0</v>
      </c>
      <c r="N94" s="24">
        <f t="shared" si="80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8901.9500000000007</v>
      </c>
      <c r="U94" s="34">
        <f t="shared" si="48"/>
        <v>14471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34"/>
      <c r="AD94" s="134"/>
      <c r="AI94" s="2">
        <f t="shared" si="82"/>
        <v>8995.2900000000009</v>
      </c>
      <c r="AJ94" s="34">
        <f t="shared" si="81"/>
        <v>14501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8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3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704205.52000000014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9"/>
        <v>0</v>
      </c>
      <c r="N95" s="24">
        <f t="shared" si="80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9057.25</v>
      </c>
      <c r="U95" s="34">
        <f t="shared" si="48"/>
        <v>14471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34"/>
      <c r="AD95" s="134"/>
      <c r="AI95" s="2">
        <f t="shared" si="82"/>
        <v>8569.81</v>
      </c>
      <c r="AJ95" s="34">
        <f t="shared" si="81"/>
        <v>14501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8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3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704205.52000000014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9"/>
        <v>0</v>
      </c>
      <c r="N96" s="24">
        <f t="shared" si="80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8632.0400000000009</v>
      </c>
      <c r="U96" s="34">
        <f t="shared" si="48"/>
        <v>14471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34"/>
      <c r="AD96" s="134"/>
      <c r="AI96" s="2">
        <f t="shared" si="82"/>
        <v>8681.07</v>
      </c>
      <c r="AJ96" s="34">
        <f t="shared" si="81"/>
        <v>14501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8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3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704205.52000000014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9"/>
        <v>0</v>
      </c>
      <c r="N97" s="24">
        <f t="shared" si="80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8747.5300000000007</v>
      </c>
      <c r="U97" s="34">
        <f t="shared" si="48"/>
        <v>14471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34"/>
      <c r="AD97" s="134"/>
      <c r="AI97" s="2">
        <f t="shared" si="82"/>
        <v>8533.81</v>
      </c>
      <c r="AJ97" s="34">
        <f t="shared" si="81"/>
        <v>14501</v>
      </c>
      <c r="AK97" s="57">
        <f t="shared" si="52"/>
        <v>62835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8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3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704205.52000000014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9"/>
        <v>0</v>
      </c>
      <c r="N98" s="24">
        <f t="shared" si="80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8602.7199999999993</v>
      </c>
      <c r="U98" s="34">
        <f t="shared" si="48"/>
        <v>14471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2"/>
        <v>7841.88</v>
      </c>
      <c r="AJ98" s="34">
        <f t="shared" si="81"/>
        <v>14501</v>
      </c>
      <c r="AK98" s="57">
        <f t="shared" si="52"/>
        <v>63200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8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3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704205.52000000014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9"/>
        <v>0</v>
      </c>
      <c r="N99" s="24">
        <f t="shared" si="80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7908.68</v>
      </c>
      <c r="U99" s="34">
        <f t="shared" si="48"/>
        <v>14471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2"/>
        <v>8214.0499999999993</v>
      </c>
      <c r="AJ99" s="34">
        <f t="shared" si="81"/>
        <v>14501</v>
      </c>
      <c r="AK99" s="57">
        <f t="shared" si="52"/>
        <v>63565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8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3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704205.52000000014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9"/>
        <v>0</v>
      </c>
      <c r="N100" s="24">
        <f t="shared" si="80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8287.91</v>
      </c>
      <c r="U100" s="34">
        <f t="shared" si="48"/>
        <v>14471</v>
      </c>
      <c r="V100" s="57">
        <f t="shared" si="51"/>
        <v>63930</v>
      </c>
      <c r="W100" s="16">
        <f t="shared" si="53"/>
        <v>51</v>
      </c>
      <c r="AI100" s="2">
        <f t="shared" si="82"/>
        <v>7795</v>
      </c>
      <c r="AJ100" s="34">
        <f t="shared" si="81"/>
        <v>14501</v>
      </c>
      <c r="AK100" s="57">
        <f t="shared" si="52"/>
        <v>63930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8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3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704205.52000000014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9"/>
        <v>0</v>
      </c>
      <c r="N101" s="24">
        <f t="shared" si="80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7869.03</v>
      </c>
      <c r="U101" s="34">
        <f t="shared" si="48"/>
        <v>14471</v>
      </c>
      <c r="V101" s="57">
        <f t="shared" si="51"/>
        <v>64295</v>
      </c>
      <c r="W101" s="16">
        <f t="shared" si="53"/>
        <v>52</v>
      </c>
      <c r="AI101" s="2">
        <f t="shared" si="82"/>
        <v>7885</v>
      </c>
      <c r="AJ101" s="34">
        <f t="shared" si="81"/>
        <v>14501</v>
      </c>
      <c r="AK101" s="57">
        <f t="shared" si="52"/>
        <v>64295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8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3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704205.52000000014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9"/>
        <v>0</v>
      </c>
      <c r="N102" s="24">
        <f t="shared" si="80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7964.13</v>
      </c>
      <c r="U102" s="34">
        <f t="shared" si="48"/>
        <v>14471</v>
      </c>
      <c r="V102" s="57">
        <f t="shared" si="51"/>
        <v>64660</v>
      </c>
      <c r="W102" s="16">
        <f t="shared" si="53"/>
        <v>53</v>
      </c>
      <c r="AI102" s="2">
        <f t="shared" si="82"/>
        <v>7468.5</v>
      </c>
      <c r="AJ102" s="34">
        <f t="shared" si="81"/>
        <v>14501</v>
      </c>
      <c r="AK102" s="57">
        <f t="shared" si="52"/>
        <v>64660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8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3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704205.52000000014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9"/>
        <v>0</v>
      </c>
      <c r="N103" s="24">
        <f t="shared" si="80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7547.75</v>
      </c>
      <c r="U103" s="34">
        <f t="shared" si="48"/>
        <v>14471</v>
      </c>
      <c r="V103" s="57">
        <f t="shared" si="51"/>
        <v>65025</v>
      </c>
      <c r="W103" s="16">
        <f t="shared" si="53"/>
        <v>54</v>
      </c>
      <c r="AI103" s="2">
        <f t="shared" si="82"/>
        <v>7539.35</v>
      </c>
      <c r="AJ103" s="34">
        <f t="shared" si="81"/>
        <v>14501</v>
      </c>
      <c r="AK103" s="57">
        <f t="shared" si="52"/>
        <v>65025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4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8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3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704205.52000000014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9"/>
        <v>0</v>
      </c>
      <c r="N104" s="24">
        <f t="shared" si="80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7624.01</v>
      </c>
      <c r="U104" s="34">
        <f t="shared" si="48"/>
        <v>14471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2"/>
        <v>7363.05</v>
      </c>
      <c r="AJ104" s="34">
        <f t="shared" si="81"/>
        <v>14501</v>
      </c>
      <c r="AK104" s="57">
        <f t="shared" si="52"/>
        <v>65390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4"/>
        <v>0</v>
      </c>
      <c r="AP104" s="105">
        <f t="shared" si="64"/>
        <v>0</v>
      </c>
      <c r="AQ104" s="105">
        <f t="shared" si="41"/>
        <v>0</v>
      </c>
      <c r="AR104" s="105">
        <f t="shared" si="78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3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704205.52000000014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9"/>
        <v>0</v>
      </c>
      <c r="N105" s="24">
        <f t="shared" si="80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7450.61</v>
      </c>
      <c r="U105" s="34">
        <f t="shared" si="48"/>
        <v>14471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2"/>
        <v>6950.59</v>
      </c>
      <c r="AJ105" s="34">
        <f t="shared" si="81"/>
        <v>14501</v>
      </c>
      <c r="AK105" s="57">
        <f t="shared" si="52"/>
        <v>65755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4"/>
        <v>0</v>
      </c>
      <c r="AP105" s="105">
        <f t="shared" si="64"/>
        <v>0</v>
      </c>
      <c r="AQ105" s="105">
        <f t="shared" si="41"/>
        <v>0</v>
      </c>
      <c r="AR105" s="105">
        <f t="shared" si="78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3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704205.52000000014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9"/>
        <v>0</v>
      </c>
      <c r="N106" s="24">
        <f t="shared" si="80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7038.21</v>
      </c>
      <c r="U106" s="34">
        <f t="shared" si="48"/>
        <v>14471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2"/>
        <v>6991.06</v>
      </c>
      <c r="AJ106" s="34">
        <f t="shared" si="81"/>
        <v>14501</v>
      </c>
      <c r="AK106" s="57">
        <f t="shared" si="52"/>
        <v>66120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4"/>
        <v>0</v>
      </c>
      <c r="AP106" s="105">
        <f t="shared" si="64"/>
        <v>0</v>
      </c>
      <c r="AQ106" s="105">
        <f t="shared" si="41"/>
        <v>0</v>
      </c>
      <c r="AR106" s="105">
        <f t="shared" si="78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3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704205.52000000014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9"/>
        <v>0</v>
      </c>
      <c r="N107" s="24">
        <f t="shared" si="80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7084.58</v>
      </c>
      <c r="U107" s="34">
        <f t="shared" si="48"/>
        <v>14471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2"/>
        <v>6581.49</v>
      </c>
      <c r="AJ107" s="34">
        <f t="shared" si="81"/>
        <v>14501</v>
      </c>
      <c r="AK107" s="57">
        <f t="shared" si="52"/>
        <v>66485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4"/>
        <v>0</v>
      </c>
      <c r="AP107" s="105">
        <f t="shared" si="64"/>
        <v>0</v>
      </c>
      <c r="AQ107" s="105">
        <f t="shared" si="41"/>
        <v>0</v>
      </c>
      <c r="AR107" s="105">
        <f t="shared" si="78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3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704205.52000000014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9"/>
        <v>0</v>
      </c>
      <c r="N108" s="24">
        <f t="shared" si="80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6675.02</v>
      </c>
      <c r="U108" s="34">
        <f t="shared" si="48"/>
        <v>14471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2"/>
        <v>6618.39</v>
      </c>
      <c r="AJ108" s="34">
        <f t="shared" si="81"/>
        <v>14501</v>
      </c>
      <c r="AK108" s="57">
        <f t="shared" si="52"/>
        <v>66850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4"/>
        <v>0</v>
      </c>
      <c r="AP108" s="105">
        <f t="shared" si="64"/>
        <v>0</v>
      </c>
      <c r="AQ108" s="105">
        <f t="shared" si="41"/>
        <v>0</v>
      </c>
      <c r="AR108" s="105">
        <f t="shared" si="78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5">F158</f>
        <v>49880</v>
      </c>
      <c r="BA108" s="108">
        <f t="shared" si="85"/>
        <v>0</v>
      </c>
      <c r="BB108" s="2" t="e">
        <f t="shared" si="83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704205.52000000014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9"/>
        <v>0</v>
      </c>
      <c r="N109" s="24">
        <f t="shared" si="80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6718.44</v>
      </c>
      <c r="U109" s="34">
        <f>IF(U108&lt;0,0,IF(T109=0,IF(T108=0,0,$U$46),G68)-IF(AND(T109&gt;0,T110=0),$C$26,0))</f>
        <v>14471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2"/>
        <v>6418.11</v>
      </c>
      <c r="AJ109" s="34">
        <f>IF(AI109=0,IF(AI108=0,0,$AJ$46),AO69)</f>
        <v>14501</v>
      </c>
      <c r="AK109" s="57">
        <f>IF(AI109=0,AK108,AK108+365)</f>
        <v>67215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4"/>
        <v>0</v>
      </c>
      <c r="AP109" s="105">
        <f t="shared" si="64"/>
        <v>0</v>
      </c>
      <c r="AQ109" s="105">
        <f t="shared" si="41"/>
        <v>0</v>
      </c>
      <c r="AR109" s="105">
        <f t="shared" si="78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5"/>
        <v>49911</v>
      </c>
      <c r="BA109" s="108">
        <f t="shared" si="85"/>
        <v>0</v>
      </c>
      <c r="BB109" s="2" t="e">
        <f t="shared" si="83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704205.52000000014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9"/>
        <v>0</v>
      </c>
      <c r="N110" s="24">
        <f t="shared" si="80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6521.46</v>
      </c>
      <c r="U110" s="34">
        <f>IF(U109&lt;0,0,IF(T110=0,IF(T109=0,0,$U$46),G69)-IF(AND(T110&gt;0,T111=0),$C$26,0))</f>
        <v>14471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2"/>
        <v>5611.61</v>
      </c>
      <c r="AJ110" s="34">
        <f>IF(AI110=0,IF(AI109=0,0,$AJ$46),AO70)</f>
        <v>14501</v>
      </c>
      <c r="AK110" s="57">
        <f>IF(AI110=0,AK109,AK109+365)</f>
        <v>67580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4"/>
        <v>0</v>
      </c>
      <c r="AP110" s="105">
        <f t="shared" si="64"/>
        <v>0</v>
      </c>
      <c r="AQ110" s="105">
        <f t="shared" si="41"/>
        <v>0</v>
      </c>
      <c r="AR110" s="105">
        <f t="shared" si="78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5"/>
        <v>45315</v>
      </c>
      <c r="BA110" s="108">
        <f t="shared" si="85"/>
        <v>1211204.52</v>
      </c>
      <c r="BB110" s="2" t="e">
        <f t="shared" si="83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704205.52000000014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9"/>
        <v>0</v>
      </c>
      <c r="N111" s="24">
        <f t="shared" si="80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5708.02</v>
      </c>
      <c r="U111" s="34">
        <f t="shared" ref="U111:U174" si="86">IF(U110&lt;0,0,IF(T111=0,IF(T110=0,0,$U$46),G70)-IF(AND(T111&gt;0,T112=0),$C$26,0))</f>
        <v>14471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2"/>
        <v>5987.11</v>
      </c>
      <c r="AJ111" s="34">
        <f t="shared" ref="AJ111:AJ149" si="87">IF(AI111=0,IF(AI110=0,0,$AJ$46),AO71)</f>
        <v>14501</v>
      </c>
      <c r="AK111" s="57">
        <f t="shared" ref="AK111:AK149" si="88">IF(AI111=0,AK110,AK110+365)</f>
        <v>67945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4"/>
        <v>0</v>
      </c>
      <c r="AP111" s="105">
        <f t="shared" si="64"/>
        <v>0</v>
      </c>
      <c r="AQ111" s="105">
        <f t="shared" si="41"/>
        <v>0</v>
      </c>
      <c r="AR111" s="105">
        <f t="shared" si="78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3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704205.52000000014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9"/>
        <v>0</v>
      </c>
      <c r="N112" s="24">
        <f t="shared" si="80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6097.06</v>
      </c>
      <c r="U112" s="34">
        <f t="shared" si="86"/>
        <v>14471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2"/>
        <v>5584.75</v>
      </c>
      <c r="AJ112" s="34">
        <f t="shared" si="87"/>
        <v>14501</v>
      </c>
      <c r="AK112" s="57">
        <f t="shared" si="88"/>
        <v>68310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4"/>
        <v>0</v>
      </c>
      <c r="AP112" s="105">
        <f t="shared" si="64"/>
        <v>0</v>
      </c>
      <c r="AQ112" s="105">
        <f t="shared" ref="AQ112:AQ129" si="89">IF(AY112=0,0,IF(AY112=1,AW111,IF(AW111+AR112+AP112&gt;AO111,AO112-AP112-AR112,AW111)))</f>
        <v>0</v>
      </c>
      <c r="AR112" s="105">
        <f t="shared" si="78"/>
        <v>0</v>
      </c>
      <c r="AS112" s="105">
        <f t="shared" ref="AS112:AS129" si="90">AU111-AR111</f>
        <v>0</v>
      </c>
      <c r="AT112" s="105">
        <f t="shared" ref="AT112:AT129" si="91">AP112+AU112</f>
        <v>0</v>
      </c>
      <c r="AU112" s="105">
        <f t="shared" ref="AU112:AU129" si="92">IF(AY112=0,0,0)</f>
        <v>0</v>
      </c>
      <c r="AV112" s="105">
        <f t="shared" ref="AV112:AV129" si="93">IF(AY112=0,0,0)</f>
        <v>0</v>
      </c>
      <c r="AW112" s="105">
        <f t="shared" ref="AW112:AW129" si="94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3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704205.52000000014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9"/>
        <v>0</v>
      </c>
      <c r="N113" s="24">
        <f t="shared" si="80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5694.59</v>
      </c>
      <c r="U113" s="34">
        <f t="shared" si="86"/>
        <v>14471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2"/>
        <v>5544.48</v>
      </c>
      <c r="AJ113" s="34">
        <f t="shared" si="87"/>
        <v>14501</v>
      </c>
      <c r="AK113" s="57">
        <f t="shared" si="88"/>
        <v>68675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4"/>
        <v>0</v>
      </c>
      <c r="AP113" s="105">
        <f t="shared" si="64"/>
        <v>0</v>
      </c>
      <c r="AQ113" s="105">
        <f t="shared" si="89"/>
        <v>0</v>
      </c>
      <c r="AR113" s="105">
        <f t="shared" si="78"/>
        <v>0</v>
      </c>
      <c r="AS113" s="105">
        <f t="shared" si="90"/>
        <v>0</v>
      </c>
      <c r="AT113" s="105">
        <f t="shared" si="91"/>
        <v>0</v>
      </c>
      <c r="AU113" s="105">
        <f t="shared" si="92"/>
        <v>0</v>
      </c>
      <c r="AV113" s="105">
        <f t="shared" si="93"/>
        <v>0</v>
      </c>
      <c r="AW113" s="105">
        <f t="shared" si="94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3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704205.52000000014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9"/>
        <v>0</v>
      </c>
      <c r="N114" s="24">
        <f t="shared" si="80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5">IF(AND(E73&gt;=$T$14,E73&lt;=$T$14+5),0,IF($C$9&gt;$AC$52,ROUND(Q72*$T$46/(DATEVALUE(CONCATENATE("01/01/",YEAR(F73)+1))-DATEVALUE(CONCATENATE("01/01/",YEAR(F73))))*(F73-F72),2),0))</f>
        <v>5661.53</v>
      </c>
      <c r="U114" s="34">
        <f t="shared" si="86"/>
        <v>14471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2"/>
        <v>5145.5200000000004</v>
      </c>
      <c r="AJ114" s="34">
        <f t="shared" si="87"/>
        <v>14501</v>
      </c>
      <c r="AK114" s="57">
        <f t="shared" si="88"/>
        <v>69040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4"/>
        <v>0</v>
      </c>
      <c r="AP114" s="105">
        <f t="shared" si="64"/>
        <v>0</v>
      </c>
      <c r="AQ114" s="105">
        <f t="shared" si="89"/>
        <v>0</v>
      </c>
      <c r="AR114" s="105">
        <f t="shared" si="78"/>
        <v>0</v>
      </c>
      <c r="AS114" s="105">
        <f t="shared" si="90"/>
        <v>0</v>
      </c>
      <c r="AT114" s="105">
        <f t="shared" si="91"/>
        <v>0</v>
      </c>
      <c r="AU114" s="105">
        <f t="shared" si="92"/>
        <v>0</v>
      </c>
      <c r="AV114" s="105">
        <f t="shared" si="93"/>
        <v>0</v>
      </c>
      <c r="AW114" s="105">
        <f t="shared" si="94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3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704205.52000000014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9"/>
        <v>0</v>
      </c>
      <c r="N115" s="24">
        <f t="shared" si="80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5"/>
        <v>5262.41</v>
      </c>
      <c r="U115" s="34">
        <f t="shared" si="86"/>
        <v>14471</v>
      </c>
      <c r="V115" s="57">
        <f t="shared" ref="V115:V178" si="96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2"/>
        <v>5079.46</v>
      </c>
      <c r="AJ115" s="34">
        <f t="shared" si="87"/>
        <v>14501</v>
      </c>
      <c r="AK115" s="57">
        <f t="shared" si="88"/>
        <v>69405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4"/>
        <v>0</v>
      </c>
      <c r="AP115" s="105">
        <f t="shared" si="64"/>
        <v>0</v>
      </c>
      <c r="AQ115" s="105">
        <f t="shared" si="89"/>
        <v>0</v>
      </c>
      <c r="AR115" s="105">
        <f t="shared" si="78"/>
        <v>0</v>
      </c>
      <c r="AS115" s="105">
        <f t="shared" si="90"/>
        <v>0</v>
      </c>
      <c r="AT115" s="105">
        <f t="shared" si="91"/>
        <v>0</v>
      </c>
      <c r="AU115" s="105">
        <f t="shared" si="92"/>
        <v>0</v>
      </c>
      <c r="AV115" s="105">
        <f t="shared" si="93"/>
        <v>0</v>
      </c>
      <c r="AW115" s="105">
        <f t="shared" si="94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3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704205.52000000014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9"/>
        <v>0</v>
      </c>
      <c r="N116" s="24">
        <f t="shared" si="80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5"/>
        <v>5203.97</v>
      </c>
      <c r="U116" s="34">
        <f t="shared" si="86"/>
        <v>14471</v>
      </c>
      <c r="V116" s="57">
        <f t="shared" si="96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2"/>
        <v>4840.2</v>
      </c>
      <c r="AJ116" s="34">
        <f t="shared" si="87"/>
        <v>14501</v>
      </c>
      <c r="AK116" s="57">
        <f t="shared" si="88"/>
        <v>69770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4"/>
        <v>0</v>
      </c>
      <c r="AP116" s="105">
        <f t="shared" si="64"/>
        <v>0</v>
      </c>
      <c r="AQ116" s="105">
        <f t="shared" si="89"/>
        <v>0</v>
      </c>
      <c r="AR116" s="105">
        <f t="shared" si="78"/>
        <v>0</v>
      </c>
      <c r="AS116" s="105">
        <f t="shared" si="90"/>
        <v>0</v>
      </c>
      <c r="AT116" s="105">
        <f t="shared" si="91"/>
        <v>0</v>
      </c>
      <c r="AU116" s="105">
        <f t="shared" si="92"/>
        <v>0</v>
      </c>
      <c r="AV116" s="105">
        <f t="shared" si="93"/>
        <v>0</v>
      </c>
      <c r="AW116" s="105">
        <f t="shared" si="94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3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704205.52000000014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9"/>
        <v>0</v>
      </c>
      <c r="N117" s="24">
        <f t="shared" si="80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5"/>
        <v>4968.6400000000003</v>
      </c>
      <c r="U117" s="34">
        <f t="shared" si="86"/>
        <v>14471</v>
      </c>
      <c r="V117" s="57">
        <f t="shared" si="96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2"/>
        <v>4446.6499999999996</v>
      </c>
      <c r="AJ117" s="34">
        <f t="shared" si="87"/>
        <v>14501</v>
      </c>
      <c r="AK117" s="57">
        <f t="shared" si="88"/>
        <v>70135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4"/>
        <v>0</v>
      </c>
      <c r="AP117" s="105">
        <f t="shared" si="64"/>
        <v>0</v>
      </c>
      <c r="AQ117" s="105">
        <f t="shared" si="89"/>
        <v>0</v>
      </c>
      <c r="AR117" s="105">
        <f t="shared" si="78"/>
        <v>0</v>
      </c>
      <c r="AS117" s="105">
        <f t="shared" si="90"/>
        <v>0</v>
      </c>
      <c r="AT117" s="105">
        <f t="shared" si="91"/>
        <v>0</v>
      </c>
      <c r="AU117" s="105">
        <f t="shared" si="92"/>
        <v>0</v>
      </c>
      <c r="AV117" s="105">
        <f t="shared" si="93"/>
        <v>0</v>
      </c>
      <c r="AW117" s="105">
        <f t="shared" si="94"/>
        <v>0</v>
      </c>
      <c r="AX117" s="108">
        <f t="shared" si="75"/>
        <v>0</v>
      </c>
      <c r="AY117" s="108">
        <f t="shared" si="65"/>
        <v>0</v>
      </c>
      <c r="BB117" s="2" t="e">
        <f t="shared" si="83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704205.52000000014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9"/>
        <v>0</v>
      </c>
      <c r="N118" s="24">
        <f t="shared" si="80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5"/>
        <v>4574.84</v>
      </c>
      <c r="U118" s="34">
        <f t="shared" si="86"/>
        <v>14471</v>
      </c>
      <c r="V118" s="57">
        <f t="shared" si="96"/>
        <v>70500</v>
      </c>
      <c r="W118" s="16">
        <f t="shared" ref="W118:W180" si="97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2"/>
        <v>4339.54</v>
      </c>
      <c r="AJ118" s="34">
        <f t="shared" si="87"/>
        <v>14501</v>
      </c>
      <c r="AK118" s="57">
        <f t="shared" si="88"/>
        <v>70500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4"/>
        <v>0</v>
      </c>
      <c r="AP118" s="105">
        <f t="shared" si="64"/>
        <v>0</v>
      </c>
      <c r="AQ118" s="105">
        <f t="shared" si="89"/>
        <v>0</v>
      </c>
      <c r="AR118" s="105">
        <f t="shared" si="78"/>
        <v>0</v>
      </c>
      <c r="AS118" s="105">
        <f t="shared" si="90"/>
        <v>0</v>
      </c>
      <c r="AT118" s="105">
        <f t="shared" si="91"/>
        <v>0</v>
      </c>
      <c r="AU118" s="105">
        <f t="shared" si="92"/>
        <v>0</v>
      </c>
      <c r="AV118" s="105">
        <f t="shared" si="93"/>
        <v>0</v>
      </c>
      <c r="AW118" s="105">
        <f t="shared" si="94"/>
        <v>0</v>
      </c>
      <c r="AX118" s="108">
        <f t="shared" si="75"/>
        <v>0</v>
      </c>
      <c r="AY118" s="108">
        <f t="shared" si="65"/>
        <v>0</v>
      </c>
      <c r="BB118" s="2" t="e">
        <f t="shared" si="83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704205.52000000014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9"/>
        <v>0</v>
      </c>
      <c r="N119" s="24">
        <f t="shared" si="80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5"/>
        <v>4476.0200000000004</v>
      </c>
      <c r="U119" s="34">
        <f t="shared" si="86"/>
        <v>14471</v>
      </c>
      <c r="V119" s="57">
        <f t="shared" si="96"/>
        <v>70865</v>
      </c>
      <c r="W119" s="16">
        <f t="shared" si="97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2"/>
        <v>3949.84</v>
      </c>
      <c r="AJ119" s="34">
        <f t="shared" si="87"/>
        <v>14501</v>
      </c>
      <c r="AK119" s="57">
        <f t="shared" si="88"/>
        <v>70865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4"/>
        <v>0</v>
      </c>
      <c r="AP119" s="105">
        <f t="shared" si="64"/>
        <v>0</v>
      </c>
      <c r="AQ119" s="105">
        <f t="shared" si="89"/>
        <v>0</v>
      </c>
      <c r="AR119" s="105">
        <f t="shared" si="78"/>
        <v>0</v>
      </c>
      <c r="AS119" s="105">
        <f t="shared" si="90"/>
        <v>0</v>
      </c>
      <c r="AT119" s="105">
        <f t="shared" si="91"/>
        <v>0</v>
      </c>
      <c r="AU119" s="105">
        <f t="shared" si="92"/>
        <v>0</v>
      </c>
      <c r="AV119" s="105">
        <f t="shared" si="93"/>
        <v>0</v>
      </c>
      <c r="AW119" s="105">
        <f t="shared" si="94"/>
        <v>0</v>
      </c>
      <c r="AX119" s="108">
        <f t="shared" si="75"/>
        <v>0</v>
      </c>
      <c r="AY119" s="108">
        <f t="shared" si="65"/>
        <v>0</v>
      </c>
      <c r="BB119" s="2" t="e">
        <f t="shared" si="83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704205.52000000014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9"/>
        <v>0</v>
      </c>
      <c r="N120" s="24">
        <f t="shared" si="80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5"/>
        <v>4086.01</v>
      </c>
      <c r="U120" s="34">
        <f t="shared" si="86"/>
        <v>14471</v>
      </c>
      <c r="V120" s="57">
        <f t="shared" si="96"/>
        <v>71230</v>
      </c>
      <c r="W120" s="16">
        <f t="shared" si="97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2"/>
        <v>3813.56</v>
      </c>
      <c r="AJ120" s="34">
        <f t="shared" si="87"/>
        <v>14501</v>
      </c>
      <c r="AK120" s="57">
        <f t="shared" si="88"/>
        <v>71230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4"/>
        <v>0</v>
      </c>
      <c r="AP120" s="105">
        <f t="shared" si="64"/>
        <v>0</v>
      </c>
      <c r="AQ120" s="105">
        <f t="shared" si="89"/>
        <v>0</v>
      </c>
      <c r="AR120" s="105">
        <f t="shared" si="78"/>
        <v>0</v>
      </c>
      <c r="AS120" s="105">
        <f t="shared" si="90"/>
        <v>0</v>
      </c>
      <c r="AT120" s="105">
        <f t="shared" si="91"/>
        <v>0</v>
      </c>
      <c r="AU120" s="105">
        <f t="shared" si="92"/>
        <v>0</v>
      </c>
      <c r="AV120" s="105">
        <f t="shared" si="93"/>
        <v>0</v>
      </c>
      <c r="AW120" s="105">
        <f t="shared" si="94"/>
        <v>0</v>
      </c>
      <c r="AX120" s="108">
        <f t="shared" si="75"/>
        <v>0</v>
      </c>
      <c r="AY120" s="108">
        <f t="shared" si="65"/>
        <v>0</v>
      </c>
      <c r="BB120" s="2" t="e">
        <f t="shared" si="83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704205.52000000014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9"/>
        <v>0</v>
      </c>
      <c r="N121" s="24">
        <f t="shared" si="80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5"/>
        <v>3958.48</v>
      </c>
      <c r="U121" s="34">
        <f t="shared" si="86"/>
        <v>14471</v>
      </c>
      <c r="V121" s="57">
        <f t="shared" si="96"/>
        <v>71595</v>
      </c>
      <c r="W121" s="16">
        <f t="shared" si="97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2"/>
        <v>3542.16</v>
      </c>
      <c r="AJ121" s="34">
        <f t="shared" si="87"/>
        <v>14501</v>
      </c>
      <c r="AK121" s="57">
        <f t="shared" si="88"/>
        <v>71595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4"/>
        <v>0</v>
      </c>
      <c r="AP121" s="105">
        <f t="shared" si="64"/>
        <v>0</v>
      </c>
      <c r="AQ121" s="105">
        <f t="shared" si="89"/>
        <v>0</v>
      </c>
      <c r="AR121" s="105">
        <f t="shared" si="78"/>
        <v>0</v>
      </c>
      <c r="AS121" s="105">
        <f t="shared" si="90"/>
        <v>0</v>
      </c>
      <c r="AT121" s="105">
        <f t="shared" si="91"/>
        <v>0</v>
      </c>
      <c r="AU121" s="105">
        <f t="shared" si="92"/>
        <v>0</v>
      </c>
      <c r="AV121" s="105">
        <f t="shared" si="93"/>
        <v>0</v>
      </c>
      <c r="AW121" s="105">
        <f t="shared" si="94"/>
        <v>0</v>
      </c>
      <c r="AX121" s="108">
        <f t="shared" si="75"/>
        <v>0</v>
      </c>
      <c r="AY121" s="108">
        <f t="shared" si="65"/>
        <v>0</v>
      </c>
      <c r="BB121" s="2" t="e">
        <f t="shared" si="83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704205.52000000014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9"/>
        <v>0</v>
      </c>
      <c r="N122" s="24">
        <f t="shared" si="80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5"/>
        <v>3691.52</v>
      </c>
      <c r="U122" s="34">
        <f t="shared" si="86"/>
        <v>14471</v>
      </c>
      <c r="V122" s="57">
        <f t="shared" si="96"/>
        <v>71960</v>
      </c>
      <c r="W122" s="16">
        <f t="shared" si="97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2"/>
        <v>2948</v>
      </c>
      <c r="AJ122" s="34">
        <f t="shared" si="87"/>
        <v>14501</v>
      </c>
      <c r="AK122" s="57">
        <f t="shared" si="88"/>
        <v>71960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4"/>
        <v>0</v>
      </c>
      <c r="AP122" s="105">
        <f t="shared" si="64"/>
        <v>0</v>
      </c>
      <c r="AQ122" s="105">
        <f t="shared" si="89"/>
        <v>0</v>
      </c>
      <c r="AR122" s="105">
        <f t="shared" si="78"/>
        <v>0</v>
      </c>
      <c r="AS122" s="105">
        <f t="shared" si="90"/>
        <v>0</v>
      </c>
      <c r="AT122" s="105">
        <f t="shared" si="91"/>
        <v>0</v>
      </c>
      <c r="AU122" s="105">
        <f t="shared" si="92"/>
        <v>0</v>
      </c>
      <c r="AV122" s="105">
        <f t="shared" si="93"/>
        <v>0</v>
      </c>
      <c r="AW122" s="105">
        <f t="shared" si="94"/>
        <v>0</v>
      </c>
      <c r="AX122" s="108">
        <f t="shared" si="75"/>
        <v>0</v>
      </c>
      <c r="AY122" s="108">
        <f t="shared" si="65"/>
        <v>0</v>
      </c>
      <c r="BB122" s="2" t="e">
        <f t="shared" si="83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704205.52000000014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9"/>
        <v>0</v>
      </c>
      <c r="N123" s="24">
        <f t="shared" si="80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5"/>
        <v>3087.03</v>
      </c>
      <c r="U123" s="34">
        <f t="shared" si="86"/>
        <v>14471</v>
      </c>
      <c r="V123" s="57">
        <f t="shared" si="96"/>
        <v>72325</v>
      </c>
      <c r="W123" s="16">
        <f t="shared" si="97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2"/>
        <v>2970.48</v>
      </c>
      <c r="AJ123" s="34">
        <f t="shared" si="87"/>
        <v>14501</v>
      </c>
      <c r="AK123" s="57">
        <f t="shared" si="88"/>
        <v>72325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4"/>
        <v>0</v>
      </c>
      <c r="AP123" s="105">
        <f t="shared" si="64"/>
        <v>0</v>
      </c>
      <c r="AQ123" s="105">
        <f t="shared" si="89"/>
        <v>0</v>
      </c>
      <c r="AR123" s="105">
        <f t="shared" si="78"/>
        <v>0</v>
      </c>
      <c r="AS123" s="105">
        <f t="shared" si="90"/>
        <v>0</v>
      </c>
      <c r="AT123" s="105">
        <f t="shared" si="91"/>
        <v>0</v>
      </c>
      <c r="AU123" s="105">
        <f t="shared" si="92"/>
        <v>0</v>
      </c>
      <c r="AV123" s="105">
        <f t="shared" si="93"/>
        <v>0</v>
      </c>
      <c r="AW123" s="105">
        <f t="shared" si="94"/>
        <v>0</v>
      </c>
      <c r="AX123" s="108">
        <f t="shared" si="75"/>
        <v>0</v>
      </c>
      <c r="AY123" s="108">
        <f t="shared" si="65"/>
        <v>0</v>
      </c>
      <c r="BB123" s="2" t="e">
        <f t="shared" si="83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704205.52000000014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9"/>
        <v>0</v>
      </c>
      <c r="N124" s="24">
        <f t="shared" si="80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5"/>
        <v>3128.69</v>
      </c>
      <c r="U124" s="34">
        <f t="shared" si="86"/>
        <v>14471</v>
      </c>
      <c r="V124" s="57">
        <f t="shared" si="96"/>
        <v>72690</v>
      </c>
      <c r="W124" s="16">
        <f t="shared" si="97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2"/>
        <v>2591.29</v>
      </c>
      <c r="AJ124" s="34">
        <f t="shared" si="87"/>
        <v>14501</v>
      </c>
      <c r="AK124" s="57">
        <f t="shared" si="88"/>
        <v>72690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4"/>
        <v>0</v>
      </c>
      <c r="AP124" s="105">
        <f t="shared" si="64"/>
        <v>0</v>
      </c>
      <c r="AQ124" s="105">
        <f t="shared" si="89"/>
        <v>0</v>
      </c>
      <c r="AR124" s="105">
        <f t="shared" si="78"/>
        <v>0</v>
      </c>
      <c r="AS124" s="105">
        <f t="shared" si="90"/>
        <v>0</v>
      </c>
      <c r="AT124" s="105">
        <f t="shared" si="91"/>
        <v>0</v>
      </c>
      <c r="AU124" s="105">
        <f t="shared" si="92"/>
        <v>0</v>
      </c>
      <c r="AV124" s="105">
        <f t="shared" si="93"/>
        <v>0</v>
      </c>
      <c r="AW124" s="105">
        <f t="shared" si="94"/>
        <v>0</v>
      </c>
      <c r="AX124" s="108">
        <f t="shared" si="75"/>
        <v>0</v>
      </c>
      <c r="AY124" s="108">
        <f t="shared" si="65"/>
        <v>0</v>
      </c>
      <c r="BB124" s="2" t="e">
        <f t="shared" si="83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704205.52000000014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9"/>
        <v>0</v>
      </c>
      <c r="N125" s="24">
        <f t="shared" si="80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5"/>
        <v>2749.03</v>
      </c>
      <c r="U125" s="34">
        <f t="shared" si="86"/>
        <v>14471</v>
      </c>
      <c r="V125" s="57">
        <f t="shared" si="96"/>
        <v>73055</v>
      </c>
      <c r="W125" s="16">
        <f t="shared" si="97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2"/>
        <v>2375.2199999999998</v>
      </c>
      <c r="AJ125" s="34">
        <f t="shared" si="87"/>
        <v>14501</v>
      </c>
      <c r="AK125" s="57">
        <f t="shared" si="88"/>
        <v>73055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4"/>
        <v>0</v>
      </c>
      <c r="AP125" s="105">
        <f t="shared" si="64"/>
        <v>0</v>
      </c>
      <c r="AQ125" s="105">
        <f t="shared" si="89"/>
        <v>0</v>
      </c>
      <c r="AR125" s="105">
        <f t="shared" si="78"/>
        <v>0</v>
      </c>
      <c r="AS125" s="105">
        <f t="shared" si="90"/>
        <v>0</v>
      </c>
      <c r="AT125" s="105">
        <f t="shared" si="91"/>
        <v>0</v>
      </c>
      <c r="AU125" s="105">
        <f t="shared" si="92"/>
        <v>0</v>
      </c>
      <c r="AV125" s="105">
        <f t="shared" si="93"/>
        <v>0</v>
      </c>
      <c r="AW125" s="105">
        <f t="shared" si="94"/>
        <v>0</v>
      </c>
      <c r="AX125" s="108">
        <f t="shared" si="75"/>
        <v>0</v>
      </c>
      <c r="AY125" s="108">
        <f t="shared" si="65"/>
        <v>0</v>
      </c>
      <c r="BB125" s="2" t="e">
        <f t="shared" si="83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704205.52000000014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9"/>
        <v>0</v>
      </c>
      <c r="N126" s="24">
        <f t="shared" si="80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5"/>
        <v>2542.9899999999998</v>
      </c>
      <c r="U126" s="34">
        <f t="shared" si="86"/>
        <v>14471</v>
      </c>
      <c r="V126" s="57">
        <f t="shared" si="96"/>
        <v>73420</v>
      </c>
      <c r="W126" s="16">
        <f t="shared" si="97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2"/>
        <v>2000.61</v>
      </c>
      <c r="AJ126" s="34">
        <f t="shared" si="87"/>
        <v>14501</v>
      </c>
      <c r="AK126" s="57">
        <f t="shared" si="88"/>
        <v>73420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4"/>
        <v>0</v>
      </c>
      <c r="AP126" s="105">
        <f t="shared" si="64"/>
        <v>0</v>
      </c>
      <c r="AQ126" s="105">
        <f t="shared" si="89"/>
        <v>0</v>
      </c>
      <c r="AR126" s="105">
        <f t="shared" si="78"/>
        <v>0</v>
      </c>
      <c r="AS126" s="105">
        <f t="shared" si="90"/>
        <v>0</v>
      </c>
      <c r="AT126" s="105">
        <f t="shared" si="91"/>
        <v>0</v>
      </c>
      <c r="AU126" s="105">
        <f t="shared" si="92"/>
        <v>0</v>
      </c>
      <c r="AV126" s="105">
        <f t="shared" si="93"/>
        <v>0</v>
      </c>
      <c r="AW126" s="105">
        <f t="shared" si="94"/>
        <v>0</v>
      </c>
      <c r="AX126" s="108">
        <f t="shared" si="75"/>
        <v>0</v>
      </c>
      <c r="AY126" s="108">
        <f t="shared" si="65"/>
        <v>0</v>
      </c>
      <c r="BB126" s="2" t="e">
        <f t="shared" si="83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704205.52000000014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9"/>
        <v>0</v>
      </c>
      <c r="N127" s="24">
        <f t="shared" si="80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5"/>
        <v>2167.8200000000002</v>
      </c>
      <c r="U127" s="34">
        <f t="shared" si="86"/>
        <v>14471</v>
      </c>
      <c r="V127" s="57">
        <f t="shared" si="96"/>
        <v>73785</v>
      </c>
      <c r="W127" s="16">
        <f t="shared" si="97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2"/>
        <v>1749.85</v>
      </c>
      <c r="AJ127" s="34">
        <f t="shared" si="87"/>
        <v>14501</v>
      </c>
      <c r="AK127" s="57">
        <f t="shared" si="88"/>
        <v>73785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4"/>
        <v>0</v>
      </c>
      <c r="AP127" s="105">
        <f t="shared" si="64"/>
        <v>0</v>
      </c>
      <c r="AQ127" s="105">
        <f t="shared" si="89"/>
        <v>0</v>
      </c>
      <c r="AR127" s="105">
        <f t="shared" si="78"/>
        <v>0</v>
      </c>
      <c r="AS127" s="105">
        <f t="shared" si="90"/>
        <v>0</v>
      </c>
      <c r="AT127" s="105">
        <f t="shared" si="91"/>
        <v>0</v>
      </c>
      <c r="AU127" s="105">
        <f t="shared" si="92"/>
        <v>0</v>
      </c>
      <c r="AV127" s="105">
        <f t="shared" si="93"/>
        <v>0</v>
      </c>
      <c r="AW127" s="105">
        <f t="shared" si="94"/>
        <v>0</v>
      </c>
      <c r="AX127" s="108">
        <f t="shared" si="75"/>
        <v>0</v>
      </c>
      <c r="AY127" s="108">
        <f t="shared" si="65"/>
        <v>0</v>
      </c>
      <c r="BB127" s="2" t="e">
        <f t="shared" si="83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704205.52000000014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9"/>
        <v>0</v>
      </c>
      <c r="N128" s="24">
        <f t="shared" si="80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5"/>
        <v>1927.65</v>
      </c>
      <c r="U128" s="34">
        <f t="shared" si="86"/>
        <v>14471</v>
      </c>
      <c r="V128" s="57">
        <f t="shared" si="96"/>
        <v>74150</v>
      </c>
      <c r="W128" s="16">
        <f t="shared" si="97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2"/>
        <v>1426.05</v>
      </c>
      <c r="AJ128" s="34">
        <f t="shared" si="87"/>
        <v>14501</v>
      </c>
      <c r="AK128" s="57">
        <f t="shared" si="88"/>
        <v>74150</v>
      </c>
      <c r="AM128" s="109">
        <f t="shared" si="74"/>
        <v>120</v>
      </c>
      <c r="AN128" s="110">
        <f t="shared" si="63"/>
        <v>48968</v>
      </c>
      <c r="AO128" s="105">
        <f t="shared" si="84"/>
        <v>0</v>
      </c>
      <c r="AP128" s="105">
        <f t="shared" si="64"/>
        <v>0</v>
      </c>
      <c r="AQ128" s="105">
        <f t="shared" si="89"/>
        <v>0</v>
      </c>
      <c r="AR128" s="105">
        <f t="shared" si="78"/>
        <v>0</v>
      </c>
      <c r="AS128" s="105">
        <f t="shared" si="90"/>
        <v>0</v>
      </c>
      <c r="AT128" s="105">
        <f t="shared" si="91"/>
        <v>0</v>
      </c>
      <c r="AU128" s="105">
        <f t="shared" si="92"/>
        <v>0</v>
      </c>
      <c r="AV128" s="105">
        <f t="shared" si="93"/>
        <v>0</v>
      </c>
      <c r="AW128" s="105">
        <f t="shared" si="94"/>
        <v>0</v>
      </c>
      <c r="AX128" s="108">
        <f t="shared" si="75"/>
        <v>0</v>
      </c>
      <c r="AY128" s="108">
        <f t="shared" si="65"/>
        <v>0</v>
      </c>
      <c r="BB128" s="2" t="e">
        <f t="shared" si="83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704205.52000000014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9"/>
        <v>0</v>
      </c>
      <c r="N129" s="24">
        <f t="shared" si="80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5"/>
        <v>1609.12</v>
      </c>
      <c r="U129" s="34">
        <f t="shared" si="86"/>
        <v>14471</v>
      </c>
      <c r="V129" s="57">
        <f t="shared" si="96"/>
        <v>74515</v>
      </c>
      <c r="W129" s="16">
        <f t="shared" si="97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2"/>
        <v>1058.72</v>
      </c>
      <c r="AJ129" s="34">
        <f t="shared" si="87"/>
        <v>14501</v>
      </c>
      <c r="AK129" s="57">
        <f t="shared" si="88"/>
        <v>74515</v>
      </c>
      <c r="AM129" s="109">
        <f t="shared" si="74"/>
        <v>121</v>
      </c>
      <c r="AN129" s="110">
        <f t="shared" si="63"/>
        <v>48999</v>
      </c>
      <c r="AO129" s="105">
        <f t="shared" si="84"/>
        <v>0</v>
      </c>
      <c r="AP129" s="105">
        <f t="shared" si="64"/>
        <v>0</v>
      </c>
      <c r="AQ129" s="105">
        <f t="shared" si="89"/>
        <v>0</v>
      </c>
      <c r="AR129" s="105">
        <f t="shared" si="78"/>
        <v>0</v>
      </c>
      <c r="AS129" s="105">
        <f t="shared" si="90"/>
        <v>0</v>
      </c>
      <c r="AT129" s="105">
        <f t="shared" si="91"/>
        <v>0</v>
      </c>
      <c r="AU129" s="105">
        <f t="shared" si="92"/>
        <v>0</v>
      </c>
      <c r="AV129" s="105">
        <f t="shared" si="93"/>
        <v>0</v>
      </c>
      <c r="AW129" s="105">
        <f t="shared" si="94"/>
        <v>0</v>
      </c>
      <c r="AX129" s="108">
        <f t="shared" si="75"/>
        <v>0</v>
      </c>
      <c r="AY129" s="108">
        <f t="shared" si="65"/>
        <v>0</v>
      </c>
      <c r="BB129" s="2" t="e">
        <f t="shared" si="83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704205.52000000014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9"/>
        <v>0</v>
      </c>
      <c r="N130" s="24">
        <f t="shared" si="80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5"/>
        <v>1241.1199999999999</v>
      </c>
      <c r="U130" s="34">
        <f t="shared" si="86"/>
        <v>14471</v>
      </c>
      <c r="V130" s="57">
        <f t="shared" si="96"/>
        <v>74880</v>
      </c>
      <c r="W130" s="16">
        <f t="shared" si="97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2"/>
        <v>752.65</v>
      </c>
      <c r="AJ130" s="34">
        <f t="shared" si="87"/>
        <v>14501</v>
      </c>
      <c r="AK130" s="57">
        <f t="shared" si="88"/>
        <v>74880</v>
      </c>
      <c r="BB130" s="2" t="e">
        <f t="shared" si="83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704205.52000000014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9"/>
        <v>0</v>
      </c>
      <c r="N131" s="24">
        <f t="shared" si="80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5"/>
        <v>946.53</v>
      </c>
      <c r="U131" s="34">
        <f t="shared" si="86"/>
        <v>14471</v>
      </c>
      <c r="V131" s="57">
        <f t="shared" si="96"/>
        <v>75245</v>
      </c>
      <c r="W131" s="16">
        <f t="shared" si="97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2"/>
        <v>390.5</v>
      </c>
      <c r="AJ131" s="34">
        <f t="shared" si="87"/>
        <v>14501</v>
      </c>
      <c r="AK131" s="57">
        <f t="shared" si="88"/>
        <v>75245</v>
      </c>
      <c r="AM131" s="28"/>
      <c r="AN131" s="29" t="s">
        <v>7</v>
      </c>
      <c r="AO131" s="30">
        <f>(SUM(AO9:AO129)-IF(CODE(C18)=209,BN58,0))</f>
        <v>1205407.75</v>
      </c>
      <c r="AP131" s="30">
        <f>(SUM(AP9:AP129)-IF(CODE(D18)=209,BO58,0))</f>
        <v>698408.75</v>
      </c>
      <c r="AQ131" s="30">
        <f>SUM(AQ9:AQ129)</f>
        <v>506999.00000000012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3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704205.52000000014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9"/>
        <v>0</v>
      </c>
      <c r="N132" s="24">
        <f t="shared" si="80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5"/>
        <v>583.63</v>
      </c>
      <c r="U132" s="34">
        <f t="shared" si="86"/>
        <v>14471</v>
      </c>
      <c r="V132" s="57">
        <f t="shared" si="96"/>
        <v>75610</v>
      </c>
      <c r="W132" s="16">
        <f t="shared" si="97"/>
        <v>83</v>
      </c>
      <c r="AI132" s="2">
        <f t="shared" si="82"/>
        <v>45.19</v>
      </c>
      <c r="AJ132" s="34">
        <f t="shared" si="87"/>
        <v>1824.7500000000177</v>
      </c>
      <c r="AK132" s="57">
        <f t="shared" si="88"/>
        <v>75610</v>
      </c>
      <c r="BB132" s="2" t="e">
        <f t="shared" si="83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704205.52000000014</v>
      </c>
      <c r="J133" s="24">
        <f t="shared" ref="J133:J159" si="98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9"/>
        <v>0</v>
      </c>
      <c r="N133" s="24">
        <f t="shared" si="80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5"/>
        <v>250.42</v>
      </c>
      <c r="U133" s="34">
        <f t="shared" si="86"/>
        <v>10111.520000000102</v>
      </c>
      <c r="V133" s="57">
        <f t="shared" si="96"/>
        <v>75975</v>
      </c>
      <c r="W133" s="16">
        <f t="shared" si="97"/>
        <v>84</v>
      </c>
      <c r="AI133" s="2">
        <f t="shared" si="82"/>
        <v>0</v>
      </c>
      <c r="AJ133" s="34">
        <f t="shared" si="87"/>
        <v>0</v>
      </c>
      <c r="AK133" s="57">
        <f t="shared" si="88"/>
        <v>75610</v>
      </c>
      <c r="BB133" s="2" t="e">
        <f t="shared" si="83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704205.52000000014</v>
      </c>
      <c r="J134" s="24">
        <f t="shared" si="98"/>
        <v>0</v>
      </c>
      <c r="K134" s="24">
        <f t="shared" si="60"/>
        <v>0</v>
      </c>
      <c r="L134" s="24">
        <f t="shared" si="67"/>
        <v>0</v>
      </c>
      <c r="M134" s="24">
        <f t="shared" si="79"/>
        <v>0</v>
      </c>
      <c r="N134" s="24">
        <f t="shared" si="80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5"/>
        <v>0</v>
      </c>
      <c r="U134" s="34">
        <f t="shared" si="86"/>
        <v>0</v>
      </c>
      <c r="V134" s="57">
        <f t="shared" si="96"/>
        <v>75975</v>
      </c>
      <c r="W134" s="16">
        <f t="shared" si="97"/>
        <v>85</v>
      </c>
      <c r="AI134" s="2">
        <f t="shared" si="82"/>
        <v>0</v>
      </c>
      <c r="AJ134" s="34">
        <f t="shared" si="87"/>
        <v>0</v>
      </c>
      <c r="AK134" s="57">
        <f t="shared" si="88"/>
        <v>75610</v>
      </c>
      <c r="BB134" s="2" t="e">
        <f t="shared" si="83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704205.52000000014</v>
      </c>
      <c r="J135" s="24">
        <f t="shared" si="98"/>
        <v>0</v>
      </c>
      <c r="K135" s="24">
        <f t="shared" si="60"/>
        <v>0</v>
      </c>
      <c r="L135" s="24">
        <f t="shared" si="67"/>
        <v>0</v>
      </c>
      <c r="M135" s="24">
        <f t="shared" si="79"/>
        <v>0</v>
      </c>
      <c r="N135" s="24">
        <f t="shared" si="80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5"/>
        <v>0</v>
      </c>
      <c r="U135" s="34">
        <f t="shared" si="86"/>
        <v>0</v>
      </c>
      <c r="V135" s="57">
        <f t="shared" si="96"/>
        <v>75975</v>
      </c>
      <c r="W135" s="16">
        <f t="shared" si="97"/>
        <v>86</v>
      </c>
      <c r="AI135" s="2">
        <f t="shared" si="82"/>
        <v>0</v>
      </c>
      <c r="AJ135" s="34">
        <f t="shared" si="87"/>
        <v>0</v>
      </c>
      <c r="AK135" s="57">
        <f t="shared" si="88"/>
        <v>75610</v>
      </c>
      <c r="BB135" s="2" t="e">
        <f t="shared" si="83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704205.52000000014</v>
      </c>
      <c r="J136" s="24">
        <f t="shared" si="98"/>
        <v>0</v>
      </c>
      <c r="K136" s="24">
        <f t="shared" si="60"/>
        <v>0</v>
      </c>
      <c r="L136" s="24">
        <f t="shared" si="67"/>
        <v>0</v>
      </c>
      <c r="M136" s="24">
        <f t="shared" si="79"/>
        <v>0</v>
      </c>
      <c r="N136" s="24">
        <f t="shared" si="80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5"/>
        <v>0</v>
      </c>
      <c r="U136" s="34">
        <f t="shared" si="86"/>
        <v>0</v>
      </c>
      <c r="V136" s="57">
        <f t="shared" si="96"/>
        <v>75975</v>
      </c>
      <c r="W136" s="16">
        <f t="shared" si="97"/>
        <v>87</v>
      </c>
      <c r="AI136" s="2">
        <f t="shared" si="82"/>
        <v>0</v>
      </c>
      <c r="AJ136" s="34">
        <f t="shared" si="87"/>
        <v>0</v>
      </c>
      <c r="AK136" s="57">
        <f t="shared" si="88"/>
        <v>75610</v>
      </c>
      <c r="BB136" s="2" t="e">
        <f t="shared" si="83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9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100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704205.52000000014</v>
      </c>
      <c r="J137" s="24">
        <f t="shared" si="98"/>
        <v>0</v>
      </c>
      <c r="K137" s="24">
        <f t="shared" ref="K137:K159" si="101">IF(S137=0,0,IF(S137=1,Q136,IF(Q136+L137+H137&gt;G136,G137-H137-L137,Q136)))</f>
        <v>0</v>
      </c>
      <c r="L137" s="24">
        <f t="shared" si="67"/>
        <v>0</v>
      </c>
      <c r="M137" s="24">
        <f t="shared" si="79"/>
        <v>0</v>
      </c>
      <c r="N137" s="24">
        <f t="shared" si="80"/>
        <v>0</v>
      </c>
      <c r="O137" s="24">
        <f t="shared" si="68"/>
        <v>0</v>
      </c>
      <c r="P137" s="24">
        <f t="shared" si="69"/>
        <v>0</v>
      </c>
      <c r="Q137" s="24">
        <f t="shared" ref="Q137:Q159" si="102">IF(OR(S137=1,Q136=0),0,Q136-K137)</f>
        <v>0</v>
      </c>
      <c r="R137" s="36">
        <f t="shared" si="76"/>
        <v>0</v>
      </c>
      <c r="S137" s="36">
        <f t="shared" ref="S137:S159" si="103">IF(ISERR(CEILING(FLOOR(NPER($C$19/12,-$AA$56,Q136),0.1),1))=TRUE,0,CEILING(FLOOR(NPER($C$19/12,-$AA$56,Q136),0.1),1))</f>
        <v>0</v>
      </c>
      <c r="T137" s="2">
        <f t="shared" si="95"/>
        <v>0</v>
      </c>
      <c r="U137" s="34">
        <f t="shared" si="86"/>
        <v>0</v>
      </c>
      <c r="V137" s="57">
        <f t="shared" si="96"/>
        <v>75975</v>
      </c>
      <c r="W137" s="16">
        <f t="shared" si="97"/>
        <v>88</v>
      </c>
      <c r="AI137" s="2">
        <f t="shared" si="82"/>
        <v>0</v>
      </c>
      <c r="AJ137" s="34">
        <f t="shared" si="87"/>
        <v>0</v>
      </c>
      <c r="AK137" s="57">
        <f t="shared" si="88"/>
        <v>75610</v>
      </c>
      <c r="BB137" s="2" t="e">
        <f t="shared" si="83"/>
        <v>#VALUE!</v>
      </c>
    </row>
    <row r="138" spans="5:54" x14ac:dyDescent="0.2">
      <c r="E138" s="114">
        <f t="shared" si="72"/>
        <v>130</v>
      </c>
      <c r="F138" s="111">
        <f t="shared" ref="F138:F160" si="104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9"/>
        <v>0</v>
      </c>
      <c r="H138" s="24">
        <f t="shared" si="100"/>
        <v>0</v>
      </c>
      <c r="I138" s="24">
        <f t="shared" si="70"/>
        <v>704205.52000000014</v>
      </c>
      <c r="J138" s="24">
        <f t="shared" si="98"/>
        <v>0</v>
      </c>
      <c r="K138" s="24">
        <f t="shared" si="101"/>
        <v>0</v>
      </c>
      <c r="L138" s="24">
        <f t="shared" ref="L138:L159" si="105">IF(N138&gt;$C$29,$C$29-H138,IF(S138=0,0,O138))</f>
        <v>0</v>
      </c>
      <c r="M138" s="24">
        <f t="shared" si="79"/>
        <v>0</v>
      </c>
      <c r="N138" s="24">
        <f t="shared" si="80"/>
        <v>0</v>
      </c>
      <c r="O138" s="24">
        <f t="shared" ref="O138:O156" si="106">IF(S138=0,0,0)</f>
        <v>0</v>
      </c>
      <c r="P138" s="24">
        <f t="shared" ref="P138:P159" si="107">IF(S138=0,0,0)</f>
        <v>0</v>
      </c>
      <c r="Q138" s="24">
        <f t="shared" si="102"/>
        <v>0</v>
      </c>
      <c r="R138" s="36">
        <f t="shared" si="76"/>
        <v>0</v>
      </c>
      <c r="S138" s="36">
        <f t="shared" si="103"/>
        <v>0</v>
      </c>
      <c r="T138" s="2">
        <f t="shared" si="95"/>
        <v>0</v>
      </c>
      <c r="U138" s="34">
        <f t="shared" si="86"/>
        <v>0</v>
      </c>
      <c r="V138" s="57">
        <f t="shared" si="96"/>
        <v>75975</v>
      </c>
      <c r="W138" s="16">
        <f t="shared" si="97"/>
        <v>89</v>
      </c>
      <c r="AI138" s="2">
        <f t="shared" si="82"/>
        <v>0</v>
      </c>
      <c r="AJ138" s="34">
        <f t="shared" si="87"/>
        <v>0</v>
      </c>
      <c r="AK138" s="57">
        <f t="shared" si="88"/>
        <v>75610</v>
      </c>
      <c r="BB138" s="2" t="e">
        <f t="shared" si="83"/>
        <v>#VALUE!</v>
      </c>
    </row>
    <row r="139" spans="5:54" x14ac:dyDescent="0.2">
      <c r="E139" s="114">
        <f t="shared" si="72"/>
        <v>131</v>
      </c>
      <c r="F139" s="111">
        <f t="shared" si="104"/>
        <v>49302</v>
      </c>
      <c r="G139" s="24">
        <f t="shared" si="99"/>
        <v>0</v>
      </c>
      <c r="H139" s="24">
        <f t="shared" si="100"/>
        <v>0</v>
      </c>
      <c r="I139" s="24">
        <f t="shared" ref="I139:I159" si="108">H139+I138</f>
        <v>704205.52000000014</v>
      </c>
      <c r="J139" s="24">
        <f t="shared" si="98"/>
        <v>0</v>
      </c>
      <c r="K139" s="24">
        <f t="shared" si="101"/>
        <v>0</v>
      </c>
      <c r="L139" s="24">
        <f t="shared" si="105"/>
        <v>0</v>
      </c>
      <c r="M139" s="24">
        <f t="shared" si="79"/>
        <v>0</v>
      </c>
      <c r="N139" s="24">
        <f t="shared" si="80"/>
        <v>0</v>
      </c>
      <c r="O139" s="24">
        <f t="shared" si="106"/>
        <v>0</v>
      </c>
      <c r="P139" s="24">
        <f t="shared" si="107"/>
        <v>0</v>
      </c>
      <c r="Q139" s="24">
        <f t="shared" si="102"/>
        <v>0</v>
      </c>
      <c r="R139" s="36">
        <f t="shared" si="76"/>
        <v>0</v>
      </c>
      <c r="S139" s="36">
        <f t="shared" si="103"/>
        <v>0</v>
      </c>
      <c r="T139" s="2">
        <f t="shared" si="95"/>
        <v>0</v>
      </c>
      <c r="U139" s="34">
        <f t="shared" si="86"/>
        <v>0</v>
      </c>
      <c r="V139" s="57">
        <f t="shared" si="96"/>
        <v>75975</v>
      </c>
      <c r="W139" s="16">
        <f t="shared" si="97"/>
        <v>90</v>
      </c>
      <c r="AI139" s="2">
        <f t="shared" si="82"/>
        <v>0</v>
      </c>
      <c r="AJ139" s="34">
        <f t="shared" si="87"/>
        <v>0</v>
      </c>
      <c r="AK139" s="57">
        <f t="shared" si="88"/>
        <v>75610</v>
      </c>
      <c r="BB139" s="2" t="e">
        <f t="shared" si="83"/>
        <v>#VALUE!</v>
      </c>
    </row>
    <row r="140" spans="5:54" x14ac:dyDescent="0.2">
      <c r="E140" s="114">
        <f t="shared" ref="E140:E159" si="109">E139+1</f>
        <v>132</v>
      </c>
      <c r="F140" s="111">
        <f t="shared" si="104"/>
        <v>49333</v>
      </c>
      <c r="G140" s="24">
        <f t="shared" si="99"/>
        <v>0</v>
      </c>
      <c r="H140" s="24">
        <f t="shared" si="100"/>
        <v>0</v>
      </c>
      <c r="I140" s="24">
        <f t="shared" si="108"/>
        <v>704205.52000000014</v>
      </c>
      <c r="J140" s="24">
        <f t="shared" si="98"/>
        <v>0</v>
      </c>
      <c r="K140" s="24">
        <f t="shared" si="101"/>
        <v>0</v>
      </c>
      <c r="L140" s="24">
        <f t="shared" si="105"/>
        <v>0</v>
      </c>
      <c r="M140" s="24">
        <f t="shared" si="79"/>
        <v>0</v>
      </c>
      <c r="N140" s="24">
        <f t="shared" si="80"/>
        <v>0</v>
      </c>
      <c r="O140" s="24">
        <f t="shared" si="106"/>
        <v>0</v>
      </c>
      <c r="P140" s="24">
        <f t="shared" si="107"/>
        <v>0</v>
      </c>
      <c r="Q140" s="24">
        <f t="shared" si="102"/>
        <v>0</v>
      </c>
      <c r="R140" s="36">
        <f t="shared" si="76"/>
        <v>0</v>
      </c>
      <c r="S140" s="36">
        <f t="shared" si="103"/>
        <v>0</v>
      </c>
      <c r="T140" s="2">
        <f t="shared" si="95"/>
        <v>0</v>
      </c>
      <c r="U140" s="34">
        <f t="shared" si="86"/>
        <v>0</v>
      </c>
      <c r="V140" s="57">
        <f t="shared" si="96"/>
        <v>75975</v>
      </c>
      <c r="W140" s="16">
        <f t="shared" si="97"/>
        <v>91</v>
      </c>
      <c r="AI140" s="2">
        <f t="shared" si="82"/>
        <v>0</v>
      </c>
      <c r="AJ140" s="34">
        <f t="shared" si="87"/>
        <v>0</v>
      </c>
      <c r="AK140" s="57">
        <f t="shared" si="88"/>
        <v>75610</v>
      </c>
      <c r="BB140" s="2" t="e">
        <f t="shared" si="83"/>
        <v>#VALUE!</v>
      </c>
    </row>
    <row r="141" spans="5:54" x14ac:dyDescent="0.2">
      <c r="E141" s="114">
        <f t="shared" si="109"/>
        <v>133</v>
      </c>
      <c r="F141" s="111">
        <f t="shared" si="104"/>
        <v>49364</v>
      </c>
      <c r="G141" s="24">
        <f t="shared" si="99"/>
        <v>0</v>
      </c>
      <c r="H141" s="24">
        <f t="shared" si="100"/>
        <v>0</v>
      </c>
      <c r="I141" s="24">
        <f t="shared" si="108"/>
        <v>704205.52000000014</v>
      </c>
      <c r="J141" s="24">
        <f t="shared" si="98"/>
        <v>0</v>
      </c>
      <c r="K141" s="24">
        <f t="shared" si="101"/>
        <v>0</v>
      </c>
      <c r="L141" s="24">
        <f t="shared" si="105"/>
        <v>0</v>
      </c>
      <c r="M141" s="24">
        <f t="shared" si="79"/>
        <v>0</v>
      </c>
      <c r="N141" s="24">
        <f t="shared" si="80"/>
        <v>0</v>
      </c>
      <c r="O141" s="24">
        <f t="shared" si="106"/>
        <v>0</v>
      </c>
      <c r="P141" s="24">
        <f t="shared" si="107"/>
        <v>0</v>
      </c>
      <c r="Q141" s="24">
        <f t="shared" si="102"/>
        <v>0</v>
      </c>
      <c r="R141" s="36">
        <f t="shared" si="76"/>
        <v>0</v>
      </c>
      <c r="S141" s="36">
        <f t="shared" si="103"/>
        <v>0</v>
      </c>
      <c r="T141" s="2">
        <f t="shared" si="95"/>
        <v>0</v>
      </c>
      <c r="U141" s="34">
        <f t="shared" si="86"/>
        <v>0</v>
      </c>
      <c r="V141" s="57">
        <f t="shared" si="96"/>
        <v>75975</v>
      </c>
      <c r="W141" s="16">
        <f t="shared" si="97"/>
        <v>92</v>
      </c>
      <c r="AI141" s="2">
        <f t="shared" si="82"/>
        <v>0</v>
      </c>
      <c r="AJ141" s="34">
        <f t="shared" si="87"/>
        <v>0</v>
      </c>
      <c r="AK141" s="57">
        <f t="shared" si="88"/>
        <v>75610</v>
      </c>
      <c r="BB141" s="2" t="e">
        <f t="shared" si="83"/>
        <v>#VALUE!</v>
      </c>
    </row>
    <row r="142" spans="5:54" x14ac:dyDescent="0.2">
      <c r="E142" s="114">
        <f t="shared" si="109"/>
        <v>134</v>
      </c>
      <c r="F142" s="111">
        <f t="shared" si="104"/>
        <v>49392</v>
      </c>
      <c r="G142" s="24">
        <f t="shared" si="99"/>
        <v>0</v>
      </c>
      <c r="H142" s="24">
        <f t="shared" si="100"/>
        <v>0</v>
      </c>
      <c r="I142" s="24">
        <f t="shared" si="108"/>
        <v>704205.52000000014</v>
      </c>
      <c r="J142" s="24">
        <f t="shared" si="98"/>
        <v>0</v>
      </c>
      <c r="K142" s="24">
        <f t="shared" si="101"/>
        <v>0</v>
      </c>
      <c r="L142" s="24">
        <f t="shared" si="105"/>
        <v>0</v>
      </c>
      <c r="M142" s="24">
        <f t="shared" si="79"/>
        <v>0</v>
      </c>
      <c r="N142" s="24">
        <f t="shared" si="80"/>
        <v>0</v>
      </c>
      <c r="O142" s="24">
        <f t="shared" si="106"/>
        <v>0</v>
      </c>
      <c r="P142" s="24">
        <f t="shared" si="107"/>
        <v>0</v>
      </c>
      <c r="Q142" s="24">
        <f t="shared" si="102"/>
        <v>0</v>
      </c>
      <c r="R142" s="36">
        <f t="shared" ref="R142:R159" si="110">IF((R141-1)&lt;0,0,R141-1)</f>
        <v>0</v>
      </c>
      <c r="S142" s="36">
        <f t="shared" si="103"/>
        <v>0</v>
      </c>
      <c r="T142" s="2">
        <f t="shared" si="95"/>
        <v>0</v>
      </c>
      <c r="U142" s="34">
        <f t="shared" si="86"/>
        <v>0</v>
      </c>
      <c r="V142" s="57">
        <f t="shared" si="96"/>
        <v>75975</v>
      </c>
      <c r="W142" s="16">
        <f t="shared" si="97"/>
        <v>93</v>
      </c>
      <c r="AI142" s="2">
        <f t="shared" si="82"/>
        <v>0</v>
      </c>
      <c r="AJ142" s="34">
        <f t="shared" si="87"/>
        <v>0</v>
      </c>
      <c r="AK142" s="57">
        <f t="shared" si="88"/>
        <v>75610</v>
      </c>
      <c r="BB142" s="2" t="e">
        <f t="shared" si="83"/>
        <v>#VALUE!</v>
      </c>
    </row>
    <row r="143" spans="5:54" x14ac:dyDescent="0.2">
      <c r="E143" s="114">
        <f t="shared" si="109"/>
        <v>135</v>
      </c>
      <c r="F143" s="111">
        <f t="shared" si="104"/>
        <v>49423</v>
      </c>
      <c r="G143" s="24">
        <f t="shared" si="99"/>
        <v>0</v>
      </c>
      <c r="H143" s="24">
        <f t="shared" si="100"/>
        <v>0</v>
      </c>
      <c r="I143" s="24">
        <f t="shared" si="108"/>
        <v>704205.52000000014</v>
      </c>
      <c r="J143" s="24">
        <f t="shared" si="98"/>
        <v>0</v>
      </c>
      <c r="K143" s="24">
        <f t="shared" si="101"/>
        <v>0</v>
      </c>
      <c r="L143" s="24">
        <f t="shared" si="105"/>
        <v>0</v>
      </c>
      <c r="M143" s="24">
        <f t="shared" si="79"/>
        <v>0</v>
      </c>
      <c r="N143" s="24">
        <f t="shared" si="80"/>
        <v>0</v>
      </c>
      <c r="O143" s="24">
        <f t="shared" si="106"/>
        <v>0</v>
      </c>
      <c r="P143" s="24">
        <f t="shared" si="107"/>
        <v>0</v>
      </c>
      <c r="Q143" s="24">
        <f t="shared" si="102"/>
        <v>0</v>
      </c>
      <c r="R143" s="36">
        <f t="shared" si="110"/>
        <v>0</v>
      </c>
      <c r="S143" s="36">
        <f t="shared" si="103"/>
        <v>0</v>
      </c>
      <c r="T143" s="2">
        <f t="shared" si="95"/>
        <v>0</v>
      </c>
      <c r="U143" s="34">
        <f t="shared" si="86"/>
        <v>0</v>
      </c>
      <c r="V143" s="57">
        <f t="shared" si="96"/>
        <v>75975</v>
      </c>
      <c r="W143" s="16">
        <f t="shared" si="97"/>
        <v>94</v>
      </c>
      <c r="AI143" s="2">
        <f t="shared" si="82"/>
        <v>0</v>
      </c>
      <c r="AJ143" s="34">
        <f t="shared" si="87"/>
        <v>0</v>
      </c>
      <c r="AK143" s="57">
        <f t="shared" si="88"/>
        <v>75610</v>
      </c>
      <c r="BB143" s="2" t="e">
        <f t="shared" si="83"/>
        <v>#VALUE!</v>
      </c>
    </row>
    <row r="144" spans="5:54" x14ac:dyDescent="0.2">
      <c r="E144" s="114">
        <f t="shared" si="109"/>
        <v>136</v>
      </c>
      <c r="F144" s="111">
        <f t="shared" si="104"/>
        <v>49453</v>
      </c>
      <c r="G144" s="24">
        <f t="shared" si="99"/>
        <v>0</v>
      </c>
      <c r="H144" s="24">
        <f t="shared" si="100"/>
        <v>0</v>
      </c>
      <c r="I144" s="24">
        <f t="shared" si="108"/>
        <v>704205.52000000014</v>
      </c>
      <c r="J144" s="24">
        <f t="shared" si="98"/>
        <v>0</v>
      </c>
      <c r="K144" s="24">
        <f t="shared" si="101"/>
        <v>0</v>
      </c>
      <c r="L144" s="24">
        <f t="shared" si="105"/>
        <v>0</v>
      </c>
      <c r="M144" s="24">
        <f t="shared" si="79"/>
        <v>0</v>
      </c>
      <c r="N144" s="24">
        <f t="shared" si="80"/>
        <v>0</v>
      </c>
      <c r="O144" s="24">
        <f t="shared" si="106"/>
        <v>0</v>
      </c>
      <c r="P144" s="24">
        <f t="shared" si="107"/>
        <v>0</v>
      </c>
      <c r="Q144" s="24">
        <f t="shared" si="102"/>
        <v>0</v>
      </c>
      <c r="R144" s="36">
        <f t="shared" si="110"/>
        <v>0</v>
      </c>
      <c r="S144" s="36">
        <f t="shared" si="103"/>
        <v>0</v>
      </c>
      <c r="T144" s="2">
        <f t="shared" si="95"/>
        <v>0</v>
      </c>
      <c r="U144" s="34">
        <f t="shared" si="86"/>
        <v>0</v>
      </c>
      <c r="V144" s="57">
        <f t="shared" si="96"/>
        <v>75975</v>
      </c>
      <c r="W144" s="16">
        <f t="shared" si="97"/>
        <v>95</v>
      </c>
      <c r="AI144" s="2">
        <f t="shared" si="82"/>
        <v>0</v>
      </c>
      <c r="AJ144" s="34">
        <f t="shared" si="87"/>
        <v>0</v>
      </c>
      <c r="AK144" s="57">
        <f t="shared" si="88"/>
        <v>75610</v>
      </c>
      <c r="BB144" s="2" t="e">
        <f t="shared" si="83"/>
        <v>#VALUE!</v>
      </c>
    </row>
    <row r="145" spans="5:54" x14ac:dyDescent="0.2">
      <c r="E145" s="114">
        <f t="shared" si="109"/>
        <v>137</v>
      </c>
      <c r="F145" s="111">
        <f t="shared" si="104"/>
        <v>49484</v>
      </c>
      <c r="G145" s="24">
        <f t="shared" si="99"/>
        <v>0</v>
      </c>
      <c r="H145" s="24">
        <f t="shared" si="100"/>
        <v>0</v>
      </c>
      <c r="I145" s="24">
        <f t="shared" si="108"/>
        <v>704205.52000000014</v>
      </c>
      <c r="J145" s="24">
        <f t="shared" si="98"/>
        <v>0</v>
      </c>
      <c r="K145" s="24">
        <f t="shared" si="101"/>
        <v>0</v>
      </c>
      <c r="L145" s="24">
        <f t="shared" si="105"/>
        <v>0</v>
      </c>
      <c r="M145" s="24">
        <f t="shared" si="79"/>
        <v>0</v>
      </c>
      <c r="N145" s="24">
        <f t="shared" si="80"/>
        <v>0</v>
      </c>
      <c r="O145" s="24">
        <f t="shared" si="106"/>
        <v>0</v>
      </c>
      <c r="P145" s="24">
        <f t="shared" si="107"/>
        <v>0</v>
      </c>
      <c r="Q145" s="24">
        <f t="shared" si="102"/>
        <v>0</v>
      </c>
      <c r="R145" s="36">
        <f t="shared" si="110"/>
        <v>0</v>
      </c>
      <c r="S145" s="36">
        <f t="shared" si="103"/>
        <v>0</v>
      </c>
      <c r="T145" s="2">
        <f t="shared" si="95"/>
        <v>0</v>
      </c>
      <c r="U145" s="34">
        <f t="shared" si="86"/>
        <v>0</v>
      </c>
      <c r="V145" s="57">
        <f t="shared" si="96"/>
        <v>75975</v>
      </c>
      <c r="W145" s="16">
        <f t="shared" si="97"/>
        <v>96</v>
      </c>
      <c r="AI145" s="2">
        <f t="shared" si="82"/>
        <v>0</v>
      </c>
      <c r="AJ145" s="34">
        <f t="shared" si="87"/>
        <v>0</v>
      </c>
      <c r="AK145" s="57">
        <f t="shared" si="88"/>
        <v>75610</v>
      </c>
      <c r="BB145" s="2" t="e">
        <f t="shared" si="83"/>
        <v>#VALUE!</v>
      </c>
    </row>
    <row r="146" spans="5:54" x14ac:dyDescent="0.2">
      <c r="E146" s="114">
        <f t="shared" si="109"/>
        <v>138</v>
      </c>
      <c r="F146" s="111">
        <f t="shared" si="104"/>
        <v>49514</v>
      </c>
      <c r="G146" s="24">
        <f t="shared" si="99"/>
        <v>0</v>
      </c>
      <c r="H146" s="24">
        <f t="shared" si="100"/>
        <v>0</v>
      </c>
      <c r="I146" s="24">
        <f t="shared" si="108"/>
        <v>704205.52000000014</v>
      </c>
      <c r="J146" s="24">
        <f t="shared" si="98"/>
        <v>0</v>
      </c>
      <c r="K146" s="24">
        <f t="shared" si="101"/>
        <v>0</v>
      </c>
      <c r="L146" s="24">
        <f t="shared" si="105"/>
        <v>0</v>
      </c>
      <c r="M146" s="24">
        <f t="shared" si="79"/>
        <v>0</v>
      </c>
      <c r="N146" s="24">
        <f t="shared" si="80"/>
        <v>0</v>
      </c>
      <c r="O146" s="24">
        <f t="shared" si="106"/>
        <v>0</v>
      </c>
      <c r="P146" s="24">
        <f t="shared" si="107"/>
        <v>0</v>
      </c>
      <c r="Q146" s="24">
        <f t="shared" si="102"/>
        <v>0</v>
      </c>
      <c r="R146" s="36">
        <f t="shared" si="110"/>
        <v>0</v>
      </c>
      <c r="S146" s="36">
        <f t="shared" si="103"/>
        <v>0</v>
      </c>
      <c r="T146" s="2">
        <f t="shared" si="95"/>
        <v>0</v>
      </c>
      <c r="U146" s="34">
        <f t="shared" si="86"/>
        <v>0</v>
      </c>
      <c r="V146" s="57">
        <f t="shared" si="96"/>
        <v>75975</v>
      </c>
      <c r="W146" s="16">
        <f t="shared" si="97"/>
        <v>97</v>
      </c>
      <c r="AI146" s="2">
        <f t="shared" si="82"/>
        <v>0</v>
      </c>
      <c r="AJ146" s="34">
        <f t="shared" si="87"/>
        <v>0</v>
      </c>
      <c r="AK146" s="57">
        <f t="shared" si="88"/>
        <v>75610</v>
      </c>
      <c r="BB146" s="2" t="e">
        <f t="shared" si="83"/>
        <v>#VALUE!</v>
      </c>
    </row>
    <row r="147" spans="5:54" x14ac:dyDescent="0.2">
      <c r="E147" s="114">
        <f t="shared" si="109"/>
        <v>139</v>
      </c>
      <c r="F147" s="111">
        <f t="shared" si="104"/>
        <v>49545</v>
      </c>
      <c r="G147" s="24">
        <f t="shared" si="99"/>
        <v>0</v>
      </c>
      <c r="H147" s="24">
        <f t="shared" si="100"/>
        <v>0</v>
      </c>
      <c r="I147" s="24">
        <f t="shared" si="108"/>
        <v>704205.52000000014</v>
      </c>
      <c r="J147" s="24">
        <f t="shared" si="98"/>
        <v>0</v>
      </c>
      <c r="K147" s="24">
        <f t="shared" si="101"/>
        <v>0</v>
      </c>
      <c r="L147" s="24">
        <f t="shared" si="105"/>
        <v>0</v>
      </c>
      <c r="M147" s="24">
        <f t="shared" si="79"/>
        <v>0</v>
      </c>
      <c r="N147" s="24">
        <f t="shared" si="80"/>
        <v>0</v>
      </c>
      <c r="O147" s="24">
        <f t="shared" si="106"/>
        <v>0</v>
      </c>
      <c r="P147" s="24">
        <f t="shared" si="107"/>
        <v>0</v>
      </c>
      <c r="Q147" s="24">
        <f t="shared" si="102"/>
        <v>0</v>
      </c>
      <c r="R147" s="36">
        <f t="shared" si="110"/>
        <v>0</v>
      </c>
      <c r="S147" s="36">
        <f t="shared" si="103"/>
        <v>0</v>
      </c>
      <c r="T147" s="2">
        <f t="shared" si="95"/>
        <v>0</v>
      </c>
      <c r="U147" s="34">
        <f t="shared" si="86"/>
        <v>0</v>
      </c>
      <c r="V147" s="57">
        <f t="shared" si="96"/>
        <v>75975</v>
      </c>
      <c r="W147" s="16">
        <f t="shared" si="97"/>
        <v>98</v>
      </c>
      <c r="AI147" s="2">
        <f t="shared" si="82"/>
        <v>0</v>
      </c>
      <c r="AJ147" s="34">
        <f t="shared" si="87"/>
        <v>0</v>
      </c>
      <c r="AK147" s="57">
        <f t="shared" si="88"/>
        <v>75610</v>
      </c>
      <c r="BB147" s="2" t="e">
        <f t="shared" si="83"/>
        <v>#VALUE!</v>
      </c>
    </row>
    <row r="148" spans="5:54" x14ac:dyDescent="0.2">
      <c r="E148" s="114">
        <f t="shared" si="109"/>
        <v>140</v>
      </c>
      <c r="F148" s="111">
        <f t="shared" si="104"/>
        <v>49576</v>
      </c>
      <c r="G148" s="24">
        <f t="shared" si="99"/>
        <v>0</v>
      </c>
      <c r="H148" s="24">
        <f t="shared" si="100"/>
        <v>0</v>
      </c>
      <c r="I148" s="24">
        <f t="shared" si="108"/>
        <v>704205.52000000014</v>
      </c>
      <c r="J148" s="24">
        <f t="shared" si="98"/>
        <v>0</v>
      </c>
      <c r="K148" s="24">
        <f t="shared" si="101"/>
        <v>0</v>
      </c>
      <c r="L148" s="24">
        <f t="shared" si="105"/>
        <v>0</v>
      </c>
      <c r="M148" s="24">
        <f t="shared" si="79"/>
        <v>0</v>
      </c>
      <c r="N148" s="24">
        <f t="shared" si="80"/>
        <v>0</v>
      </c>
      <c r="O148" s="24">
        <f t="shared" si="106"/>
        <v>0</v>
      </c>
      <c r="P148" s="24">
        <f t="shared" si="107"/>
        <v>0</v>
      </c>
      <c r="Q148" s="24">
        <f t="shared" si="102"/>
        <v>0</v>
      </c>
      <c r="R148" s="36">
        <f t="shared" si="110"/>
        <v>0</v>
      </c>
      <c r="S148" s="36">
        <f t="shared" si="103"/>
        <v>0</v>
      </c>
      <c r="T148" s="2">
        <f t="shared" si="95"/>
        <v>0</v>
      </c>
      <c r="U148" s="34">
        <f t="shared" si="86"/>
        <v>0</v>
      </c>
      <c r="V148" s="57">
        <f t="shared" si="96"/>
        <v>75975</v>
      </c>
      <c r="W148" s="16">
        <f t="shared" si="97"/>
        <v>99</v>
      </c>
      <c r="AI148" s="2">
        <f t="shared" si="82"/>
        <v>0</v>
      </c>
      <c r="AJ148" s="34">
        <f t="shared" si="87"/>
        <v>0</v>
      </c>
      <c r="AK148" s="57">
        <f t="shared" si="88"/>
        <v>75610</v>
      </c>
      <c r="BB148" s="2" t="e">
        <f t="shared" si="83"/>
        <v>#VALUE!</v>
      </c>
    </row>
    <row r="149" spans="5:54" x14ac:dyDescent="0.2">
      <c r="E149" s="114">
        <f t="shared" si="109"/>
        <v>141</v>
      </c>
      <c r="F149" s="111">
        <f t="shared" si="104"/>
        <v>49606</v>
      </c>
      <c r="G149" s="24">
        <f t="shared" si="99"/>
        <v>0</v>
      </c>
      <c r="H149" s="24">
        <f t="shared" si="100"/>
        <v>0</v>
      </c>
      <c r="I149" s="24">
        <f t="shared" si="108"/>
        <v>704205.52000000014</v>
      </c>
      <c r="J149" s="24">
        <f t="shared" si="98"/>
        <v>0</v>
      </c>
      <c r="K149" s="24">
        <f t="shared" si="101"/>
        <v>0</v>
      </c>
      <c r="L149" s="24">
        <f t="shared" si="105"/>
        <v>0</v>
      </c>
      <c r="M149" s="24">
        <f t="shared" si="79"/>
        <v>0</v>
      </c>
      <c r="N149" s="24">
        <f t="shared" si="80"/>
        <v>0</v>
      </c>
      <c r="O149" s="24">
        <f t="shared" si="106"/>
        <v>0</v>
      </c>
      <c r="P149" s="24">
        <f t="shared" si="107"/>
        <v>0</v>
      </c>
      <c r="Q149" s="24">
        <f t="shared" si="102"/>
        <v>0</v>
      </c>
      <c r="R149" s="36">
        <f t="shared" si="110"/>
        <v>0</v>
      </c>
      <c r="S149" s="36">
        <f t="shared" si="103"/>
        <v>0</v>
      </c>
      <c r="T149" s="2">
        <f t="shared" si="95"/>
        <v>0</v>
      </c>
      <c r="U149" s="34">
        <f t="shared" si="86"/>
        <v>0</v>
      </c>
      <c r="V149" s="57">
        <f t="shared" si="96"/>
        <v>75975</v>
      </c>
      <c r="W149" s="16">
        <f t="shared" si="97"/>
        <v>100</v>
      </c>
      <c r="AI149" s="2">
        <f t="shared" si="82"/>
        <v>0</v>
      </c>
      <c r="AJ149" s="34">
        <f t="shared" si="87"/>
        <v>0</v>
      </c>
      <c r="AK149" s="57">
        <f t="shared" si="88"/>
        <v>75610</v>
      </c>
      <c r="BB149" s="2" t="e">
        <f t="shared" si="83"/>
        <v>#VALUE!</v>
      </c>
    </row>
    <row r="150" spans="5:54" x14ac:dyDescent="0.2">
      <c r="E150" s="114">
        <f t="shared" si="109"/>
        <v>142</v>
      </c>
      <c r="F150" s="111">
        <f t="shared" si="104"/>
        <v>49637</v>
      </c>
      <c r="G150" s="24">
        <f t="shared" si="99"/>
        <v>0</v>
      </c>
      <c r="H150" s="24">
        <f t="shared" si="100"/>
        <v>0</v>
      </c>
      <c r="I150" s="24">
        <f t="shared" si="108"/>
        <v>704205.52000000014</v>
      </c>
      <c r="J150" s="24">
        <f t="shared" si="98"/>
        <v>0</v>
      </c>
      <c r="K150" s="24">
        <f t="shared" si="101"/>
        <v>0</v>
      </c>
      <c r="L150" s="24">
        <f t="shared" si="105"/>
        <v>0</v>
      </c>
      <c r="M150" s="24">
        <f t="shared" si="79"/>
        <v>0</v>
      </c>
      <c r="N150" s="24">
        <f t="shared" si="80"/>
        <v>0</v>
      </c>
      <c r="O150" s="24">
        <f t="shared" si="106"/>
        <v>0</v>
      </c>
      <c r="P150" s="24">
        <f t="shared" si="107"/>
        <v>0</v>
      </c>
      <c r="Q150" s="24">
        <f t="shared" si="102"/>
        <v>0</v>
      </c>
      <c r="R150" s="36">
        <f t="shared" si="110"/>
        <v>0</v>
      </c>
      <c r="S150" s="36">
        <f t="shared" si="103"/>
        <v>0</v>
      </c>
      <c r="T150" s="2">
        <f t="shared" si="95"/>
        <v>0</v>
      </c>
      <c r="U150" s="34">
        <f t="shared" si="86"/>
        <v>0</v>
      </c>
      <c r="V150" s="57">
        <f t="shared" si="96"/>
        <v>75975</v>
      </c>
      <c r="W150" s="16">
        <f t="shared" si="97"/>
        <v>101</v>
      </c>
      <c r="AI150" s="35">
        <f>SUM(AI50:AI149)</f>
        <v>698528.04</v>
      </c>
      <c r="AJ150" s="35">
        <f>SUM(AJ50:AJ149)</f>
        <v>1190906.75</v>
      </c>
      <c r="AK150" s="154">
        <f>XIRR(AJ48:AJ149,AK48:AK149)*12</f>
        <v>0.30318099260330206</v>
      </c>
      <c r="BB150" s="2" t="e">
        <f t="shared" si="83"/>
        <v>#VALUE!</v>
      </c>
    </row>
    <row r="151" spans="5:54" x14ac:dyDescent="0.2">
      <c r="E151" s="114">
        <f t="shared" si="109"/>
        <v>143</v>
      </c>
      <c r="F151" s="111">
        <f t="shared" si="104"/>
        <v>49667</v>
      </c>
      <c r="G151" s="24">
        <f t="shared" si="99"/>
        <v>0</v>
      </c>
      <c r="H151" s="24">
        <f t="shared" si="100"/>
        <v>0</v>
      </c>
      <c r="I151" s="24">
        <f t="shared" si="108"/>
        <v>704205.52000000014</v>
      </c>
      <c r="J151" s="24">
        <f t="shared" si="98"/>
        <v>0</v>
      </c>
      <c r="K151" s="24">
        <f t="shared" si="101"/>
        <v>0</v>
      </c>
      <c r="L151" s="24">
        <f t="shared" si="105"/>
        <v>0</v>
      </c>
      <c r="M151" s="24">
        <f t="shared" ref="M151:M159" si="111">O150-L150</f>
        <v>0</v>
      </c>
      <c r="N151" s="24">
        <f t="shared" ref="N151:N159" si="112">H151+O151</f>
        <v>0</v>
      </c>
      <c r="O151" s="24">
        <f t="shared" si="106"/>
        <v>0</v>
      </c>
      <c r="P151" s="24">
        <f t="shared" si="107"/>
        <v>0</v>
      </c>
      <c r="Q151" s="24">
        <f t="shared" si="102"/>
        <v>0</v>
      </c>
      <c r="R151" s="36">
        <f t="shared" si="110"/>
        <v>0</v>
      </c>
      <c r="S151" s="36">
        <f t="shared" si="103"/>
        <v>0</v>
      </c>
      <c r="T151" s="2">
        <f t="shared" si="95"/>
        <v>0</v>
      </c>
      <c r="U151" s="34">
        <f t="shared" si="86"/>
        <v>0</v>
      </c>
      <c r="V151" s="57">
        <f t="shared" si="96"/>
        <v>75975</v>
      </c>
      <c r="W151" s="16">
        <f t="shared" si="97"/>
        <v>102</v>
      </c>
      <c r="BB151" s="2" t="e">
        <f t="shared" si="83"/>
        <v>#VALUE!</v>
      </c>
    </row>
    <row r="152" spans="5:54" x14ac:dyDescent="0.2">
      <c r="E152" s="114">
        <f t="shared" si="109"/>
        <v>144</v>
      </c>
      <c r="F152" s="111">
        <f t="shared" si="104"/>
        <v>49698</v>
      </c>
      <c r="G152" s="24">
        <f t="shared" si="99"/>
        <v>0</v>
      </c>
      <c r="H152" s="24">
        <f t="shared" si="100"/>
        <v>0</v>
      </c>
      <c r="I152" s="24">
        <f t="shared" si="108"/>
        <v>704205.52000000014</v>
      </c>
      <c r="J152" s="24">
        <f t="shared" si="98"/>
        <v>0</v>
      </c>
      <c r="K152" s="24">
        <f t="shared" si="101"/>
        <v>0</v>
      </c>
      <c r="L152" s="24">
        <f t="shared" si="105"/>
        <v>0</v>
      </c>
      <c r="M152" s="24">
        <f t="shared" si="111"/>
        <v>0</v>
      </c>
      <c r="N152" s="24">
        <f t="shared" si="112"/>
        <v>0</v>
      </c>
      <c r="O152" s="24">
        <f t="shared" si="106"/>
        <v>0</v>
      </c>
      <c r="P152" s="24">
        <f t="shared" si="107"/>
        <v>0</v>
      </c>
      <c r="Q152" s="24">
        <f t="shared" si="102"/>
        <v>0</v>
      </c>
      <c r="R152" s="36">
        <f t="shared" si="110"/>
        <v>0</v>
      </c>
      <c r="S152" s="36">
        <f t="shared" si="103"/>
        <v>0</v>
      </c>
      <c r="T152" s="2">
        <f t="shared" si="95"/>
        <v>0</v>
      </c>
      <c r="U152" s="34">
        <f t="shared" si="86"/>
        <v>0</v>
      </c>
      <c r="V152" s="57">
        <f t="shared" si="96"/>
        <v>75975</v>
      </c>
      <c r="W152" s="16">
        <f t="shared" si="97"/>
        <v>103</v>
      </c>
      <c r="BB152" s="2" t="e">
        <f t="shared" si="83"/>
        <v>#VALUE!</v>
      </c>
    </row>
    <row r="153" spans="5:54" x14ac:dyDescent="0.2">
      <c r="E153" s="114">
        <f t="shared" si="109"/>
        <v>145</v>
      </c>
      <c r="F153" s="111">
        <f t="shared" si="104"/>
        <v>49729</v>
      </c>
      <c r="G153" s="24">
        <f t="shared" si="99"/>
        <v>0</v>
      </c>
      <c r="H153" s="24">
        <f t="shared" si="100"/>
        <v>0</v>
      </c>
      <c r="I153" s="24">
        <f t="shared" si="108"/>
        <v>704205.52000000014</v>
      </c>
      <c r="J153" s="24">
        <f t="shared" si="98"/>
        <v>0</v>
      </c>
      <c r="K153" s="24">
        <f t="shared" si="101"/>
        <v>0</v>
      </c>
      <c r="L153" s="24">
        <f t="shared" si="105"/>
        <v>0</v>
      </c>
      <c r="M153" s="24">
        <f t="shared" si="111"/>
        <v>0</v>
      </c>
      <c r="N153" s="24">
        <f t="shared" si="112"/>
        <v>0</v>
      </c>
      <c r="O153" s="24">
        <f t="shared" si="106"/>
        <v>0</v>
      </c>
      <c r="P153" s="24">
        <f t="shared" si="107"/>
        <v>0</v>
      </c>
      <c r="Q153" s="24">
        <f t="shared" si="102"/>
        <v>0</v>
      </c>
      <c r="R153" s="36">
        <f t="shared" si="110"/>
        <v>0</v>
      </c>
      <c r="S153" s="36">
        <f t="shared" si="103"/>
        <v>0</v>
      </c>
      <c r="T153" s="2">
        <f t="shared" si="95"/>
        <v>0</v>
      </c>
      <c r="U153" s="34">
        <f t="shared" si="86"/>
        <v>0</v>
      </c>
      <c r="V153" s="57">
        <f t="shared" si="96"/>
        <v>75975</v>
      </c>
      <c r="W153" s="16">
        <f t="shared" si="97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9"/>
        <v>146</v>
      </c>
      <c r="F154" s="111">
        <f t="shared" si="104"/>
        <v>49758</v>
      </c>
      <c r="G154" s="24">
        <f t="shared" si="99"/>
        <v>0</v>
      </c>
      <c r="H154" s="24">
        <f t="shared" si="100"/>
        <v>0</v>
      </c>
      <c r="I154" s="24">
        <f t="shared" si="108"/>
        <v>704205.52000000014</v>
      </c>
      <c r="J154" s="24">
        <f t="shared" si="98"/>
        <v>0</v>
      </c>
      <c r="K154" s="24">
        <f t="shared" si="101"/>
        <v>0</v>
      </c>
      <c r="L154" s="24">
        <f t="shared" si="105"/>
        <v>0</v>
      </c>
      <c r="M154" s="24">
        <f t="shared" si="111"/>
        <v>0</v>
      </c>
      <c r="N154" s="24">
        <f t="shared" si="112"/>
        <v>0</v>
      </c>
      <c r="O154" s="24">
        <f t="shared" si="106"/>
        <v>0</v>
      </c>
      <c r="P154" s="24">
        <f t="shared" si="107"/>
        <v>0</v>
      </c>
      <c r="Q154" s="24">
        <f t="shared" si="102"/>
        <v>0</v>
      </c>
      <c r="R154" s="36">
        <f t="shared" si="110"/>
        <v>0</v>
      </c>
      <c r="S154" s="36">
        <f t="shared" si="103"/>
        <v>0</v>
      </c>
      <c r="T154" s="2">
        <f t="shared" si="95"/>
        <v>0</v>
      </c>
      <c r="U154" s="34">
        <f t="shared" si="86"/>
        <v>0</v>
      </c>
      <c r="V154" s="57">
        <f t="shared" si="96"/>
        <v>75975</v>
      </c>
      <c r="W154" s="16">
        <f t="shared" si="97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9"/>
        <v>147</v>
      </c>
      <c r="F155" s="111">
        <f t="shared" si="104"/>
        <v>49789</v>
      </c>
      <c r="G155" s="24">
        <f t="shared" si="99"/>
        <v>0</v>
      </c>
      <c r="H155" s="24">
        <f t="shared" si="100"/>
        <v>0</v>
      </c>
      <c r="I155" s="24">
        <f t="shared" si="108"/>
        <v>704205.52000000014</v>
      </c>
      <c r="J155" s="24">
        <f t="shared" si="98"/>
        <v>0</v>
      </c>
      <c r="K155" s="24">
        <f t="shared" si="101"/>
        <v>0</v>
      </c>
      <c r="L155" s="24">
        <f t="shared" si="105"/>
        <v>0</v>
      </c>
      <c r="M155" s="24">
        <f t="shared" si="111"/>
        <v>0</v>
      </c>
      <c r="N155" s="24">
        <f t="shared" si="112"/>
        <v>0</v>
      </c>
      <c r="O155" s="24">
        <f t="shared" si="106"/>
        <v>0</v>
      </c>
      <c r="P155" s="24">
        <f t="shared" si="107"/>
        <v>0</v>
      </c>
      <c r="Q155" s="24">
        <f t="shared" si="102"/>
        <v>0</v>
      </c>
      <c r="R155" s="36">
        <f t="shared" si="110"/>
        <v>0</v>
      </c>
      <c r="S155" s="36">
        <f t="shared" si="103"/>
        <v>0</v>
      </c>
      <c r="T155" s="2">
        <f t="shared" si="95"/>
        <v>0</v>
      </c>
      <c r="U155" s="34">
        <f t="shared" si="86"/>
        <v>0</v>
      </c>
      <c r="V155" s="57">
        <f t="shared" si="96"/>
        <v>75975</v>
      </c>
      <c r="W155" s="16">
        <f t="shared" si="97"/>
        <v>106</v>
      </c>
      <c r="BB155" s="35" t="e">
        <f>SUM(BB55:BB154)</f>
        <v>#VALUE!</v>
      </c>
    </row>
    <row r="156" spans="5:54" x14ac:dyDescent="0.2">
      <c r="E156" s="114">
        <f t="shared" si="109"/>
        <v>148</v>
      </c>
      <c r="F156" s="111">
        <f t="shared" si="104"/>
        <v>49819</v>
      </c>
      <c r="G156" s="24">
        <f t="shared" si="99"/>
        <v>0</v>
      </c>
      <c r="H156" s="24">
        <f t="shared" si="100"/>
        <v>0</v>
      </c>
      <c r="I156" s="24">
        <f t="shared" si="108"/>
        <v>704205.52000000014</v>
      </c>
      <c r="J156" s="24">
        <f t="shared" si="98"/>
        <v>0</v>
      </c>
      <c r="K156" s="24">
        <f t="shared" si="101"/>
        <v>0</v>
      </c>
      <c r="L156" s="24">
        <f t="shared" si="105"/>
        <v>0</v>
      </c>
      <c r="M156" s="24">
        <f t="shared" si="111"/>
        <v>0</v>
      </c>
      <c r="N156" s="24">
        <f t="shared" si="112"/>
        <v>0</v>
      </c>
      <c r="O156" s="24">
        <f t="shared" si="106"/>
        <v>0</v>
      </c>
      <c r="P156" s="24">
        <f t="shared" si="107"/>
        <v>0</v>
      </c>
      <c r="Q156" s="24">
        <f t="shared" si="102"/>
        <v>0</v>
      </c>
      <c r="R156" s="36">
        <f t="shared" si="110"/>
        <v>0</v>
      </c>
      <c r="S156" s="36">
        <f t="shared" si="103"/>
        <v>0</v>
      </c>
      <c r="T156" s="2">
        <f t="shared" si="95"/>
        <v>0</v>
      </c>
      <c r="U156" s="34">
        <f t="shared" si="86"/>
        <v>0</v>
      </c>
      <c r="V156" s="57">
        <f t="shared" si="96"/>
        <v>75975</v>
      </c>
      <c r="W156" s="16">
        <f t="shared" si="97"/>
        <v>107</v>
      </c>
    </row>
    <row r="157" spans="5:54" x14ac:dyDescent="0.2">
      <c r="E157" s="114">
        <f t="shared" si="109"/>
        <v>149</v>
      </c>
      <c r="F157" s="111">
        <f t="shared" si="104"/>
        <v>49850</v>
      </c>
      <c r="G157" s="24">
        <f t="shared" si="99"/>
        <v>0</v>
      </c>
      <c r="H157" s="24">
        <f t="shared" si="100"/>
        <v>0</v>
      </c>
      <c r="I157" s="24">
        <f t="shared" si="108"/>
        <v>704205.52000000014</v>
      </c>
      <c r="J157" s="24">
        <f t="shared" si="98"/>
        <v>0</v>
      </c>
      <c r="K157" s="24">
        <f t="shared" si="101"/>
        <v>0</v>
      </c>
      <c r="L157" s="24">
        <f t="shared" si="105"/>
        <v>0</v>
      </c>
      <c r="M157" s="24">
        <f t="shared" si="111"/>
        <v>0</v>
      </c>
      <c r="N157" s="24">
        <f t="shared" si="112"/>
        <v>0</v>
      </c>
      <c r="O157" s="24">
        <f>IF(S157=0,0,0)</f>
        <v>0</v>
      </c>
      <c r="P157" s="24">
        <f t="shared" si="107"/>
        <v>0</v>
      </c>
      <c r="Q157" s="24">
        <f t="shared" si="102"/>
        <v>0</v>
      </c>
      <c r="R157" s="36">
        <f t="shared" si="110"/>
        <v>0</v>
      </c>
      <c r="S157" s="36">
        <f t="shared" si="103"/>
        <v>0</v>
      </c>
      <c r="T157" s="2">
        <f t="shared" si="95"/>
        <v>0</v>
      </c>
      <c r="U157" s="34">
        <f t="shared" si="86"/>
        <v>0</v>
      </c>
      <c r="V157" s="57">
        <f t="shared" si="96"/>
        <v>75975</v>
      </c>
      <c r="W157" s="16">
        <f t="shared" si="97"/>
        <v>108</v>
      </c>
    </row>
    <row r="158" spans="5:54" x14ac:dyDescent="0.2">
      <c r="E158" s="114">
        <f t="shared" si="109"/>
        <v>150</v>
      </c>
      <c r="F158" s="111">
        <f t="shared" si="104"/>
        <v>49880</v>
      </c>
      <c r="G158" s="24">
        <f t="shared" si="99"/>
        <v>0</v>
      </c>
      <c r="H158" s="24">
        <f t="shared" si="100"/>
        <v>0</v>
      </c>
      <c r="I158" s="24">
        <f t="shared" si="108"/>
        <v>704205.52000000014</v>
      </c>
      <c r="J158" s="24">
        <f t="shared" si="98"/>
        <v>0</v>
      </c>
      <c r="K158" s="24">
        <f t="shared" si="101"/>
        <v>0</v>
      </c>
      <c r="L158" s="24">
        <f t="shared" si="105"/>
        <v>0</v>
      </c>
      <c r="M158" s="24">
        <f t="shared" si="111"/>
        <v>0</v>
      </c>
      <c r="N158" s="24">
        <f t="shared" si="112"/>
        <v>0</v>
      </c>
      <c r="O158" s="24">
        <f>IF(S158=0,0,0)</f>
        <v>0</v>
      </c>
      <c r="P158" s="24">
        <f t="shared" si="107"/>
        <v>0</v>
      </c>
      <c r="Q158" s="24">
        <f t="shared" si="102"/>
        <v>0</v>
      </c>
      <c r="R158" s="36">
        <f t="shared" si="110"/>
        <v>0</v>
      </c>
      <c r="S158" s="36">
        <f t="shared" si="103"/>
        <v>0</v>
      </c>
      <c r="T158" s="2">
        <f t="shared" si="95"/>
        <v>0</v>
      </c>
      <c r="U158" s="34">
        <f t="shared" si="86"/>
        <v>0</v>
      </c>
      <c r="V158" s="57">
        <f t="shared" si="96"/>
        <v>75975</v>
      </c>
      <c r="W158" s="16">
        <f t="shared" si="97"/>
        <v>109</v>
      </c>
    </row>
    <row r="159" spans="5:54" x14ac:dyDescent="0.2">
      <c r="E159" s="114">
        <f t="shared" si="109"/>
        <v>151</v>
      </c>
      <c r="F159" s="111">
        <f t="shared" si="104"/>
        <v>49911</v>
      </c>
      <c r="G159" s="24">
        <f t="shared" si="99"/>
        <v>0</v>
      </c>
      <c r="H159" s="24">
        <f t="shared" si="100"/>
        <v>0</v>
      </c>
      <c r="I159" s="24">
        <f t="shared" si="108"/>
        <v>704205.52000000014</v>
      </c>
      <c r="J159" s="24">
        <f t="shared" si="98"/>
        <v>0</v>
      </c>
      <c r="K159" s="24">
        <f t="shared" si="101"/>
        <v>0</v>
      </c>
      <c r="L159" s="24">
        <f t="shared" si="105"/>
        <v>0</v>
      </c>
      <c r="M159" s="24">
        <f t="shared" si="111"/>
        <v>0</v>
      </c>
      <c r="N159" s="24">
        <f t="shared" si="112"/>
        <v>0</v>
      </c>
      <c r="O159" s="24">
        <f>IF(S159=0,0,0)</f>
        <v>0</v>
      </c>
      <c r="P159" s="24">
        <f t="shared" si="107"/>
        <v>0</v>
      </c>
      <c r="Q159" s="24">
        <f t="shared" si="102"/>
        <v>0</v>
      </c>
      <c r="R159" s="36">
        <f t="shared" si="110"/>
        <v>0</v>
      </c>
      <c r="S159" s="36">
        <f t="shared" si="103"/>
        <v>0</v>
      </c>
      <c r="T159" s="2">
        <f t="shared" si="95"/>
        <v>0</v>
      </c>
      <c r="U159" s="34">
        <f t="shared" si="86"/>
        <v>0</v>
      </c>
      <c r="V159" s="57">
        <f t="shared" si="96"/>
        <v>75975</v>
      </c>
      <c r="W159" s="16">
        <f t="shared" si="97"/>
        <v>110</v>
      </c>
    </row>
    <row r="160" spans="5:54" x14ac:dyDescent="0.2">
      <c r="E160" s="28"/>
      <c r="F160" s="111">
        <f t="shared" si="104"/>
        <v>45315</v>
      </c>
      <c r="G160" s="30">
        <f>(SUM(G9:G159)-IF(CODE(C18)=209,AF52,0))</f>
        <v>1211204.52</v>
      </c>
      <c r="H160" s="30">
        <f>(SUM(H9:H159)-IF(CODE(D18)=209,AG52,0))</f>
        <v>704205.52000000014</v>
      </c>
      <c r="I160" s="30"/>
      <c r="J160" s="30">
        <f>SUM(J9:J159)</f>
        <v>0</v>
      </c>
      <c r="K160" s="30">
        <f>SUM(K9:K159)</f>
        <v>506998.99999999994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5"/>
        <v>0</v>
      </c>
      <c r="U160" s="34">
        <f t="shared" si="86"/>
        <v>0</v>
      </c>
      <c r="V160" s="57">
        <f t="shared" si="96"/>
        <v>75975</v>
      </c>
      <c r="W160" s="16">
        <f t="shared" si="97"/>
        <v>111</v>
      </c>
    </row>
    <row r="161" spans="20:23" x14ac:dyDescent="0.2">
      <c r="T161" s="2">
        <f t="shared" si="95"/>
        <v>0</v>
      </c>
      <c r="U161" s="34">
        <f t="shared" si="86"/>
        <v>0</v>
      </c>
      <c r="V161" s="57">
        <f t="shared" si="96"/>
        <v>75975</v>
      </c>
      <c r="W161" s="16">
        <f t="shared" si="97"/>
        <v>112</v>
      </c>
    </row>
    <row r="162" spans="20:23" x14ac:dyDescent="0.2">
      <c r="T162" s="2">
        <f t="shared" si="95"/>
        <v>0</v>
      </c>
      <c r="U162" s="34">
        <f t="shared" si="86"/>
        <v>0</v>
      </c>
      <c r="V162" s="57">
        <f t="shared" si="96"/>
        <v>75975</v>
      </c>
      <c r="W162" s="16">
        <f t="shared" si="97"/>
        <v>113</v>
      </c>
    </row>
    <row r="163" spans="20:23" x14ac:dyDescent="0.2">
      <c r="T163" s="2">
        <f t="shared" si="95"/>
        <v>0</v>
      </c>
      <c r="U163" s="34">
        <f t="shared" si="86"/>
        <v>0</v>
      </c>
      <c r="V163" s="57">
        <f t="shared" si="96"/>
        <v>75975</v>
      </c>
      <c r="W163" s="16">
        <f t="shared" si="97"/>
        <v>114</v>
      </c>
    </row>
    <row r="164" spans="20:23" x14ac:dyDescent="0.2">
      <c r="T164" s="2">
        <f t="shared" si="95"/>
        <v>0</v>
      </c>
      <c r="U164" s="34">
        <f t="shared" si="86"/>
        <v>0</v>
      </c>
      <c r="V164" s="57">
        <f t="shared" si="96"/>
        <v>75975</v>
      </c>
      <c r="W164" s="16">
        <f t="shared" si="97"/>
        <v>115</v>
      </c>
    </row>
    <row r="165" spans="20:23" x14ac:dyDescent="0.2">
      <c r="T165" s="2">
        <f t="shared" si="95"/>
        <v>0</v>
      </c>
      <c r="U165" s="34">
        <f t="shared" si="86"/>
        <v>0</v>
      </c>
      <c r="V165" s="57">
        <f t="shared" si="96"/>
        <v>75975</v>
      </c>
      <c r="W165" s="16">
        <f t="shared" si="97"/>
        <v>116</v>
      </c>
    </row>
    <row r="166" spans="20:23" x14ac:dyDescent="0.2">
      <c r="T166" s="2">
        <f t="shared" si="95"/>
        <v>0</v>
      </c>
      <c r="U166" s="34">
        <f t="shared" si="86"/>
        <v>0</v>
      </c>
      <c r="V166" s="57">
        <f t="shared" si="96"/>
        <v>75975</v>
      </c>
      <c r="W166" s="16">
        <f t="shared" si="97"/>
        <v>117</v>
      </c>
    </row>
    <row r="167" spans="20:23" x14ac:dyDescent="0.2">
      <c r="T167" s="2">
        <f t="shared" si="95"/>
        <v>0</v>
      </c>
      <c r="U167" s="34">
        <f t="shared" si="86"/>
        <v>0</v>
      </c>
      <c r="V167" s="57">
        <f t="shared" si="96"/>
        <v>75975</v>
      </c>
      <c r="W167" s="16">
        <f t="shared" si="97"/>
        <v>118</v>
      </c>
    </row>
    <row r="168" spans="20:23" x14ac:dyDescent="0.2">
      <c r="T168" s="2">
        <f t="shared" si="95"/>
        <v>0</v>
      </c>
      <c r="U168" s="34">
        <f t="shared" si="86"/>
        <v>0</v>
      </c>
      <c r="V168" s="57">
        <f t="shared" si="96"/>
        <v>75975</v>
      </c>
      <c r="W168" s="16">
        <f t="shared" si="97"/>
        <v>119</v>
      </c>
    </row>
    <row r="169" spans="20:23" x14ac:dyDescent="0.2">
      <c r="T169" s="2">
        <f t="shared" si="95"/>
        <v>0</v>
      </c>
      <c r="U169" s="34">
        <f t="shared" si="86"/>
        <v>0</v>
      </c>
      <c r="V169" s="57">
        <f t="shared" si="96"/>
        <v>75975</v>
      </c>
      <c r="W169" s="16">
        <f t="shared" si="97"/>
        <v>120</v>
      </c>
    </row>
    <row r="170" spans="20:23" x14ac:dyDescent="0.2">
      <c r="T170" s="2">
        <f t="shared" si="95"/>
        <v>0</v>
      </c>
      <c r="U170" s="34">
        <f t="shared" si="86"/>
        <v>0</v>
      </c>
      <c r="V170" s="57">
        <f t="shared" si="96"/>
        <v>75975</v>
      </c>
      <c r="W170" s="16">
        <f t="shared" si="97"/>
        <v>121</v>
      </c>
    </row>
    <row r="171" spans="20:23" x14ac:dyDescent="0.2">
      <c r="T171" s="2">
        <f t="shared" si="95"/>
        <v>0</v>
      </c>
      <c r="U171" s="34">
        <f t="shared" si="86"/>
        <v>0</v>
      </c>
      <c r="V171" s="57">
        <f t="shared" si="96"/>
        <v>75975</v>
      </c>
      <c r="W171" s="16">
        <f t="shared" si="97"/>
        <v>122</v>
      </c>
    </row>
    <row r="172" spans="20:23" x14ac:dyDescent="0.2">
      <c r="T172" s="2">
        <f t="shared" si="95"/>
        <v>0</v>
      </c>
      <c r="U172" s="34">
        <f t="shared" si="86"/>
        <v>0</v>
      </c>
      <c r="V172" s="57">
        <f t="shared" si="96"/>
        <v>75975</v>
      </c>
      <c r="W172" s="16">
        <f t="shared" si="97"/>
        <v>123</v>
      </c>
    </row>
    <row r="173" spans="20:23" x14ac:dyDescent="0.2">
      <c r="T173" s="2">
        <f t="shared" si="95"/>
        <v>0</v>
      </c>
      <c r="U173" s="34">
        <f t="shared" si="86"/>
        <v>0</v>
      </c>
      <c r="V173" s="57">
        <f t="shared" si="96"/>
        <v>75975</v>
      </c>
      <c r="W173" s="16">
        <f t="shared" si="97"/>
        <v>124</v>
      </c>
    </row>
    <row r="174" spans="20:23" x14ac:dyDescent="0.2">
      <c r="T174" s="2">
        <f t="shared" si="95"/>
        <v>0</v>
      </c>
      <c r="U174" s="34">
        <f t="shared" si="86"/>
        <v>0</v>
      </c>
      <c r="V174" s="57">
        <f t="shared" si="96"/>
        <v>75975</v>
      </c>
      <c r="W174" s="16">
        <f t="shared" si="97"/>
        <v>125</v>
      </c>
    </row>
    <row r="175" spans="20:23" x14ac:dyDescent="0.2">
      <c r="T175" s="2">
        <f t="shared" si="95"/>
        <v>0</v>
      </c>
      <c r="U175" s="34">
        <f t="shared" ref="U175:U180" si="113">IF(U174&lt;0,0,IF(T175=0,IF(T174=0,0,$U$46),G134)-IF(AND(T175&gt;0,T176=0),$C$26,0))</f>
        <v>0</v>
      </c>
      <c r="V175" s="57">
        <f t="shared" si="96"/>
        <v>75975</v>
      </c>
      <c r="W175" s="16">
        <f t="shared" si="97"/>
        <v>126</v>
      </c>
    </row>
    <row r="176" spans="20:23" x14ac:dyDescent="0.2">
      <c r="T176" s="2">
        <f t="shared" si="95"/>
        <v>0</v>
      </c>
      <c r="U176" s="34">
        <f t="shared" si="113"/>
        <v>0</v>
      </c>
      <c r="V176" s="57">
        <f t="shared" si="96"/>
        <v>75975</v>
      </c>
      <c r="W176" s="16">
        <f t="shared" si="97"/>
        <v>127</v>
      </c>
    </row>
    <row r="177" spans="20:23" x14ac:dyDescent="0.2">
      <c r="T177" s="2">
        <f t="shared" si="95"/>
        <v>0</v>
      </c>
      <c r="U177" s="34">
        <f t="shared" si="113"/>
        <v>0</v>
      </c>
      <c r="V177" s="57">
        <f t="shared" si="96"/>
        <v>75975</v>
      </c>
      <c r="W177" s="16">
        <f t="shared" si="97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3"/>
        <v>0</v>
      </c>
      <c r="V178" s="57">
        <f t="shared" si="96"/>
        <v>75975</v>
      </c>
      <c r="W178" s="16">
        <f t="shared" si="97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3"/>
        <v>0</v>
      </c>
      <c r="V179" s="57">
        <f t="shared" ref="V179:V180" si="114">IF(T179=0,V178,V178+365)</f>
        <v>75975</v>
      </c>
      <c r="W179" s="16">
        <f t="shared" si="97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3"/>
        <v>0</v>
      </c>
      <c r="V180" s="57">
        <f t="shared" si="114"/>
        <v>75975</v>
      </c>
      <c r="W180" s="16">
        <f t="shared" si="97"/>
        <v>131</v>
      </c>
    </row>
    <row r="181" spans="20:23" x14ac:dyDescent="0.2">
      <c r="T181" s="35">
        <f>SUM(T50:T180)</f>
        <v>704211.83</v>
      </c>
      <c r="U181" s="35">
        <f>SUM(U50:U180)</f>
        <v>1211204.52</v>
      </c>
      <c r="V181" s="154">
        <f>XIRR(U48:U180,V48:V180)*12</f>
        <v>0.29878617525100709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X83:Y83"/>
    <mergeCell ref="X92:Y92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4">
    <dataValidation type="list" allowBlank="1" showInputMessage="1" showErrorMessage="1" sqref="D8">
      <formula1>$AA$60:$AH$60</formula1>
    </dataValidation>
    <dataValidation type="list" allowBlank="1" showInputMessage="1" showErrorMessage="1" sqref="B33:B35 D22">
      <formula1>$Z$30:$AA$30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C18:D18">
      <formula1>$T$3:$X$3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V154"/>
  <sheetViews>
    <sheetView showGridLines="0" view="pageBreakPreview" zoomScale="80" zoomScaleNormal="90" zoomScaleSheetLayoutView="80" workbookViewId="0">
      <selection activeCell="AU92" sqref="AU92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7109375" style="2" customWidth="1"/>
    <col min="20" max="20" width="10.1406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2" width="14.42578125" style="2" hidden="1" customWidth="1"/>
    <col min="43" max="43" width="7.7109375" style="2" customWidth="1"/>
    <col min="44" max="44" width="10.7109375" style="2" customWidth="1"/>
    <col min="45" max="45" width="11.5703125" style="2" customWidth="1"/>
    <col min="46" max="46" width="12.28515625" style="2" customWidth="1"/>
    <col min="47" max="47" width="12.5703125" style="2" customWidth="1"/>
    <col min="48" max="48" width="13.71093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0.5703125" style="2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1" style="2" hidden="1" customWidth="1"/>
    <col min="80" max="80" width="8.7109375" style="2" hidden="1" customWidth="1"/>
    <col min="81" max="85" width="8.7109375" style="2" customWidth="1"/>
    <col min="86" max="16384" width="8.7109375" style="2"/>
  </cols>
  <sheetData>
    <row r="1" spans="1:79" ht="12.75" customHeight="1" x14ac:dyDescent="0.3">
      <c r="A1" s="757" t="s">
        <v>478</v>
      </c>
      <c r="B1" s="758"/>
      <c r="C1" s="758"/>
      <c r="D1" s="758"/>
      <c r="E1" s="759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23"/>
      <c r="B2" s="824"/>
      <c r="C2" s="824"/>
      <c r="D2" s="824"/>
      <c r="E2" s="825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770" t="s">
        <v>196</v>
      </c>
      <c r="B3" s="771"/>
      <c r="C3" s="771"/>
      <c r="D3" s="771"/>
      <c r="E3" s="772"/>
      <c r="F3" s="697"/>
      <c r="G3" s="826" t="str">
        <f>CONCATENATE("ГРАФИК ПЛАТЕЖЕЙ - ТАРИФ АВТОМОБИЛЬНЫЙ",IF(C16="Да"," + ГАРАНТИРОВАННАЯ СТАВКА",""))</f>
        <v>ГРАФИК ПЛАТЕЖЕЙ - ТАРИФ АВТОМОБИЛЬНЫЙ + ГАРАНТИРОВАННАЯ СТАВКА</v>
      </c>
      <c r="H3" s="826"/>
      <c r="I3" s="826"/>
      <c r="J3" s="826"/>
      <c r="K3" s="826"/>
      <c r="L3" s="826"/>
      <c r="M3" s="826"/>
      <c r="N3" s="826"/>
      <c r="O3" s="826"/>
      <c r="P3" s="826"/>
      <c r="Q3" s="826"/>
      <c r="R3" s="826"/>
      <c r="S3" s="826"/>
      <c r="T3" s="826"/>
      <c r="U3" s="826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26" t="s">
        <v>495</v>
      </c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826"/>
      <c r="BJ3" s="102"/>
      <c r="BK3" s="102"/>
      <c r="BL3" s="102"/>
      <c r="BO3" s="794" t="s">
        <v>94</v>
      </c>
      <c r="BP3" s="794"/>
      <c r="BQ3" s="794"/>
      <c r="BR3" s="794"/>
      <c r="BS3" s="794"/>
      <c r="BT3" s="794"/>
      <c r="BU3" s="794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26"/>
      <c r="H4" s="826"/>
      <c r="I4" s="826"/>
      <c r="J4" s="826"/>
      <c r="K4" s="826"/>
      <c r="L4" s="826"/>
      <c r="M4" s="826"/>
      <c r="N4" s="826"/>
      <c r="O4" s="826"/>
      <c r="P4" s="826"/>
      <c r="Q4" s="826"/>
      <c r="R4" s="826"/>
      <c r="S4" s="826"/>
      <c r="T4" s="826"/>
      <c r="U4" s="826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826"/>
      <c r="BJ4" s="102"/>
      <c r="BK4" s="102"/>
      <c r="BL4" s="102"/>
      <c r="BM4" s="57"/>
    </row>
    <row r="5" spans="1:79" ht="13.5" hidden="1" customHeight="1" x14ac:dyDescent="0.2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689"/>
      <c r="BL5" s="102"/>
      <c r="BM5" s="57"/>
    </row>
    <row r="6" spans="1:79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238"/>
      <c r="K6" s="776" t="s">
        <v>194</v>
      </c>
      <c r="L6" s="776" t="s">
        <v>191</v>
      </c>
      <c r="M6" s="776" t="s">
        <v>192</v>
      </c>
      <c r="N6" s="238"/>
      <c r="O6" s="238"/>
      <c r="P6" s="238"/>
      <c r="Q6" s="238"/>
      <c r="R6" s="238"/>
      <c r="S6" s="776" t="s">
        <v>193</v>
      </c>
      <c r="T6" s="776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22" t="s">
        <v>148</v>
      </c>
      <c r="AR6" s="822" t="s">
        <v>187</v>
      </c>
      <c r="AS6" s="822" t="s">
        <v>188</v>
      </c>
      <c r="AT6" s="543"/>
      <c r="AU6" s="822" t="s">
        <v>194</v>
      </c>
      <c r="AV6" s="822" t="s">
        <v>191</v>
      </c>
      <c r="AW6" s="822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22" t="s">
        <v>193</v>
      </c>
      <c r="BI6" s="103"/>
      <c r="BJ6" s="102"/>
      <c r="BK6" s="689"/>
      <c r="BL6" s="102"/>
      <c r="BM6" s="57"/>
      <c r="BO6" s="795" t="s">
        <v>95</v>
      </c>
      <c r="BP6" s="795"/>
      <c r="BQ6" s="795"/>
      <c r="BR6" s="795"/>
      <c r="BS6" s="795"/>
      <c r="BT6" s="795"/>
      <c r="BU6" s="795"/>
    </row>
    <row r="7" spans="1:79" ht="28.5" customHeight="1" x14ac:dyDescent="0.5">
      <c r="A7" s="766" t="s">
        <v>200</v>
      </c>
      <c r="B7" s="766"/>
      <c r="C7" s="1099">
        <v>900000</v>
      </c>
      <c r="D7" s="1099"/>
      <c r="E7" s="510"/>
      <c r="F7" s="231"/>
      <c r="G7" s="776"/>
      <c r="H7" s="776"/>
      <c r="I7" s="776"/>
      <c r="J7" s="570" t="s">
        <v>189</v>
      </c>
      <c r="K7" s="776"/>
      <c r="L7" s="776"/>
      <c r="M7" s="776"/>
      <c r="N7" s="237" t="s">
        <v>36</v>
      </c>
      <c r="O7" s="237" t="s">
        <v>39</v>
      </c>
      <c r="P7" s="237" t="s">
        <v>38</v>
      </c>
      <c r="Q7" s="570" t="s">
        <v>195</v>
      </c>
      <c r="R7" s="690" t="s">
        <v>40</v>
      </c>
      <c r="S7" s="776"/>
      <c r="T7" s="776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84</v>
      </c>
      <c r="AQ7" s="822"/>
      <c r="AR7" s="822"/>
      <c r="AS7" s="822"/>
      <c r="AT7" s="693" t="s">
        <v>156</v>
      </c>
      <c r="AU7" s="822"/>
      <c r="AV7" s="822"/>
      <c r="AW7" s="822"/>
      <c r="AX7" s="698" t="s">
        <v>36</v>
      </c>
      <c r="AY7" s="698" t="s">
        <v>39</v>
      </c>
      <c r="AZ7" s="698" t="s">
        <v>38</v>
      </c>
      <c r="BA7" s="698" t="s">
        <v>158</v>
      </c>
      <c r="BB7" s="698" t="s">
        <v>40</v>
      </c>
      <c r="BC7" s="698"/>
      <c r="BD7" s="698"/>
      <c r="BE7" s="698"/>
      <c r="BF7" s="698"/>
      <c r="BG7" s="698"/>
      <c r="BH7" s="822"/>
      <c r="BI7" s="163" t="s">
        <v>32</v>
      </c>
      <c r="BJ7" s="104" t="s">
        <v>31</v>
      </c>
      <c r="BK7" s="153">
        <f>BK8</f>
        <v>45315</v>
      </c>
      <c r="BL7" s="108">
        <f>K8</f>
        <v>-1083439</v>
      </c>
      <c r="BM7" s="61"/>
      <c r="BO7" s="784" t="s">
        <v>84</v>
      </c>
      <c r="BP7" s="777" t="s">
        <v>85</v>
      </c>
      <c r="BQ7" s="127" t="s">
        <v>86</v>
      </c>
      <c r="BR7" s="124" t="s">
        <v>88</v>
      </c>
      <c r="BS7" s="798" t="s">
        <v>9</v>
      </c>
      <c r="BT7" s="800" t="s">
        <v>89</v>
      </c>
      <c r="BU7" s="796">
        <v>1</v>
      </c>
      <c r="BZ7" s="2" t="s">
        <v>461</v>
      </c>
    </row>
    <row r="8" spans="1:79" ht="18" customHeight="1" thickBot="1" x14ac:dyDescent="0.55000000000000004">
      <c r="A8" s="766" t="s">
        <v>276</v>
      </c>
      <c r="B8" s="766"/>
      <c r="C8" s="502" t="s">
        <v>494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-1083439</v>
      </c>
      <c r="L8" s="242"/>
      <c r="M8" s="243"/>
      <c r="N8" s="243"/>
      <c r="O8" s="243"/>
      <c r="P8" s="243"/>
      <c r="Q8" s="243"/>
      <c r="R8" s="243"/>
      <c r="S8" s="239">
        <f>C23</f>
        <v>1083439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-910999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910999</v>
      </c>
      <c r="BI8" s="106"/>
      <c r="BJ8" s="108"/>
      <c r="BK8" s="22">
        <f>H8</f>
        <v>45315</v>
      </c>
      <c r="BL8" s="104">
        <f>$C$25</f>
        <v>127440</v>
      </c>
      <c r="BO8" s="785"/>
      <c r="BP8" s="778"/>
      <c r="BQ8" s="692" t="s">
        <v>87</v>
      </c>
      <c r="BR8" s="126" t="s">
        <v>88</v>
      </c>
      <c r="BS8" s="799"/>
      <c r="BT8" s="801"/>
      <c r="BU8" s="797"/>
      <c r="BZ8" s="653" t="s">
        <v>462</v>
      </c>
      <c r="CA8" s="654" t="s">
        <v>360</v>
      </c>
    </row>
    <row r="9" spans="1:79" ht="16.899999999999999" customHeight="1" thickBot="1" x14ac:dyDescent="0.25">
      <c r="A9" s="766" t="s">
        <v>199</v>
      </c>
      <c r="B9" s="766"/>
      <c r="C9" s="788">
        <v>45315</v>
      </c>
      <c r="D9" s="788"/>
      <c r="E9" s="510"/>
      <c r="F9" s="231"/>
      <c r="G9" s="244">
        <f>1</f>
        <v>1</v>
      </c>
      <c r="H9" s="245">
        <f>IF((OR(DAY($AE$54)=29,DAY($AE$54)=30,DAY($AE$54)=31)),(EDATE($C$9-3,G9)),EDATE($C$9,G9))</f>
        <v>45346</v>
      </c>
      <c r="I9" s="246">
        <f>IF(AND($X$11=1,G9&gt;=$X$11,),0%,$C$13)</f>
        <v>0.16899999999999998</v>
      </c>
      <c r="J9" s="242">
        <f t="shared" ref="J9:J73" si="0">K9+Q9</f>
        <v>21903</v>
      </c>
      <c r="K9" s="242">
        <f>'КЭШ, Реф (БВ_АВТО_Базовый)'!G9</f>
        <v>21903</v>
      </c>
      <c r="L9" s="242">
        <f>S8*($C$13/365*(H9-H8))</f>
        <v>15551.060057534245</v>
      </c>
      <c r="M9" s="242">
        <f>K9-L9</f>
        <v>6351.9399424657549</v>
      </c>
      <c r="N9" s="242">
        <f t="shared" ref="N9:N72" si="1">IF(P9-Q9&gt;$C$24,$C$24-L9,IF(V9=0,0,R9)+$AJ$51)</f>
        <v>0</v>
      </c>
      <c r="O9" s="242">
        <v>0</v>
      </c>
      <c r="P9" s="242">
        <f>L9+Q9</f>
        <v>15551.060057534245</v>
      </c>
      <c r="Q9" s="242">
        <f t="shared" ref="Q9:Q72" si="2">IF(V9=0,0,0)</f>
        <v>0</v>
      </c>
      <c r="R9" s="242">
        <f>IF(V9=0,0,0)</f>
        <v>0</v>
      </c>
      <c r="S9" s="242">
        <f>S8-M9-T9</f>
        <v>1077087.0600575341</v>
      </c>
      <c r="T9" s="467"/>
      <c r="U9" s="198">
        <f>C10</f>
        <v>84</v>
      </c>
      <c r="V9" s="36">
        <f>U9</f>
        <v>84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>IF((OR(DAY($AE$54)=29,DAY($AE$54)=30,DAY($AE$54)=31)),(EDATE($C$9-3,AQ9)),EDATE($C$9,AQ9))</f>
        <v>45346</v>
      </c>
      <c r="AS9" s="555">
        <f t="shared" ref="AS9:AS14" si="3">$D$13</f>
        <v>0.22899999999999998</v>
      </c>
      <c r="AT9" s="546">
        <f>AU9+BA9</f>
        <v>21903</v>
      </c>
      <c r="AU9" s="546">
        <f>'КЭШ, Реф (БВ_АВТО_Базовый)'!D29</f>
        <v>21903</v>
      </c>
      <c r="AV9" s="546">
        <f>BH8*($D$13/365*(AR9-AR8))</f>
        <v>17718.306578082193</v>
      </c>
      <c r="AW9" s="546">
        <f>IF(BJ9=0,0,IF(BJ9=1,BH8,IF(BH8+AX9+AV9&gt;AU8,AU9-AV9-AX9,BH8)))</f>
        <v>4184.6934219178074</v>
      </c>
      <c r="AX9" s="546">
        <f t="shared" ref="AX9:AX72" si="4">IF(AZ9-BA9&gt;$D$24,$D$24-AV9,IF(BJ9=0,0,BB9)+BY57)</f>
        <v>0</v>
      </c>
      <c r="AY9" s="546"/>
      <c r="AZ9" s="546">
        <f>AV9+BA9</f>
        <v>17718.306578082193</v>
      </c>
      <c r="BA9" s="546">
        <f t="shared" ref="BA9:BA20" si="5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906814.30657808215</v>
      </c>
      <c r="BI9" s="108">
        <f>C10</f>
        <v>84</v>
      </c>
      <c r="BJ9" s="108">
        <f>BI9</f>
        <v>84</v>
      </c>
      <c r="BK9" s="22">
        <f>H9</f>
        <v>45346</v>
      </c>
      <c r="BL9" s="108">
        <f t="shared" ref="BL9:BL72" si="6">K9</f>
        <v>21903</v>
      </c>
      <c r="BN9" s="682"/>
      <c r="BZ9" s="655"/>
      <c r="CA9" s="145" t="s">
        <v>493</v>
      </c>
    </row>
    <row r="10" spans="1:79" ht="18" customHeight="1" x14ac:dyDescent="0.2">
      <c r="A10" s="763" t="s">
        <v>198</v>
      </c>
      <c r="B10" s="763"/>
      <c r="C10" s="1100">
        <v>84</v>
      </c>
      <c r="D10" s="1100"/>
      <c r="E10" s="510"/>
      <c r="F10" s="231"/>
      <c r="G10" s="244">
        <f>G9+1</f>
        <v>2</v>
      </c>
      <c r="H10" s="245">
        <f t="shared" ref="H10:H73" si="7">IF((OR(DAY($AE$54)=29,DAY($AE$54)=30,DAY($AE$54)=31)),(EDATE($C$9-3,G10)),EDATE($C$9,G10))</f>
        <v>45375</v>
      </c>
      <c r="I10" s="246">
        <f t="shared" ref="I10:I73" si="8">IF(AND($X$11=1,G10&gt;=$X$11,),0%,$C$13)</f>
        <v>0.16899999999999998</v>
      </c>
      <c r="J10" s="242">
        <f t="shared" si="0"/>
        <v>21903</v>
      </c>
      <c r="K10" s="242">
        <f>IF(G10&gt;$C$10,0,IF((S9+L10)&lt;K9,(S9+L10),IF(T9=0,K9,MIN(K9,ROUNDUP(S9*$C$13/12/((1-(1+$C$13/12)^(0-($C$10-G10)))),0)))))</f>
        <v>21903</v>
      </c>
      <c r="L10" s="242">
        <f>S9*($C$13/365*(H10-H9))</f>
        <v>14462.47583929308</v>
      </c>
      <c r="M10" s="242">
        <f>IF(S9=0,0,IF(S9+L10&gt;K9,K10-L10,S9))</f>
        <v>7440.5241607069202</v>
      </c>
      <c r="N10" s="242">
        <f t="shared" si="1"/>
        <v>0</v>
      </c>
      <c r="O10" s="242">
        <v>0</v>
      </c>
      <c r="P10" s="242">
        <f>L10+Q10</f>
        <v>14462.47583929308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1069646.5358968272</v>
      </c>
      <c r="T10" s="467"/>
      <c r="U10" s="198">
        <f>IF((U9-1)&lt;0,0,U9-1)</f>
        <v>83</v>
      </c>
      <c r="V10" s="36">
        <f t="shared" ref="V10:V73" si="11">U10</f>
        <v>83</v>
      </c>
      <c r="W10" s="36">
        <f t="shared" ref="W10:W73" si="12">IF(G10=$C$10,T10,0)</f>
        <v>0</v>
      </c>
      <c r="X10" s="54">
        <f>ROUND(S8*0%,-2)</f>
        <v>0</v>
      </c>
      <c r="Y10" s="54">
        <f>ROUND(S8*0.5%,0)</f>
        <v>5417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3">IF(OR(AU10="",AU10=0),0,1)</f>
        <v>1</v>
      </c>
      <c r="AQ10" s="553">
        <f>AQ9+1</f>
        <v>2</v>
      </c>
      <c r="AR10" s="554">
        <f t="shared" ref="AR10:AR73" si="14">IF((OR(DAY($AE$54)=29,DAY($AE$54)=30,DAY($AE$54)=31)),(EDATE($C$9-3,AQ10)),EDATE($C$9,AQ10))</f>
        <v>45375</v>
      </c>
      <c r="AS10" s="555">
        <f t="shared" si="3"/>
        <v>0.22899999999999998</v>
      </c>
      <c r="AT10" s="546">
        <f t="shared" ref="AT10:AT73" si="15">AU10+BA10</f>
        <v>21903</v>
      </c>
      <c r="AU10" s="546">
        <f>IF(AQ10&gt;$C$10,0,IF(BD9=0,AU9,ROUNDUP(BC9*$C$11/12/((1-(1+$C$11/12)^(0-($C$10-AQ10)))),0)))</f>
        <v>21903</v>
      </c>
      <c r="AV10" s="546">
        <f t="shared" ref="AV10:AV73" si="16">BH9*($D$13/365*(AR10-AR9))</f>
        <v>16499.051534205595</v>
      </c>
      <c r="AW10" s="546">
        <f t="shared" ref="AW10:AW73" si="17">IF(BJ10=0,0,IF(BJ10=1,BH9,IF(BH9+AX10+AV10&gt;AU9,AU10-AV10-AX10,BH9)))</f>
        <v>5403.9484657944049</v>
      </c>
      <c r="AX10" s="546">
        <f t="shared" si="4"/>
        <v>0</v>
      </c>
      <c r="AY10" s="546">
        <v>0</v>
      </c>
      <c r="AZ10" s="546">
        <f t="shared" ref="AZ10:AZ85" si="18">AV10+BA10</f>
        <v>16499.051534205595</v>
      </c>
      <c r="BA10" s="546">
        <f t="shared" si="5"/>
        <v>0</v>
      </c>
      <c r="BB10" s="546">
        <f t="shared" ref="BB10:BB18" si="19">IF(BJ10=0,0,0)</f>
        <v>0</v>
      </c>
      <c r="BC10" s="546"/>
      <c r="BD10" s="546"/>
      <c r="BE10" s="546"/>
      <c r="BF10" s="546"/>
      <c r="BG10" s="546"/>
      <c r="BH10" s="546">
        <f t="shared" ref="BH10:BH73" si="20">IF(OR(BJ10=1,BH9=0),0,BH9-AW10)</f>
        <v>901410.35811228771</v>
      </c>
      <c r="BI10" s="108">
        <f>IF((BI9-1)&lt;0,0,BI9-1)</f>
        <v>83</v>
      </c>
      <c r="BJ10" s="108">
        <f>BI10</f>
        <v>83</v>
      </c>
      <c r="BK10" s="22">
        <f>H10</f>
        <v>45375</v>
      </c>
      <c r="BL10" s="108">
        <f t="shared" si="6"/>
        <v>21903</v>
      </c>
      <c r="BN10" s="682"/>
      <c r="BO10" s="784" t="s">
        <v>90</v>
      </c>
      <c r="BP10" s="777" t="s">
        <v>85</v>
      </c>
      <c r="BQ10" s="129" t="s">
        <v>84</v>
      </c>
      <c r="BZ10" s="655"/>
      <c r="CA10" s="145" t="s">
        <v>494</v>
      </c>
    </row>
    <row r="11" spans="1:79" ht="18" customHeight="1" thickBot="1" x14ac:dyDescent="0.25">
      <c r="A11" s="805" t="s">
        <v>172</v>
      </c>
      <c r="B11" s="805"/>
      <c r="C11" s="577">
        <f>IF(C7&gt;1000000,21.9%,22.9%)</f>
        <v>0.22899999999999998</v>
      </c>
      <c r="D11" s="578">
        <f>C11</f>
        <v>0.22899999999999998</v>
      </c>
      <c r="E11" s="514"/>
      <c r="F11" s="232"/>
      <c r="G11" s="244">
        <f>G10+1</f>
        <v>3</v>
      </c>
      <c r="H11" s="245">
        <f t="shared" si="7"/>
        <v>45406</v>
      </c>
      <c r="I11" s="246">
        <f t="shared" si="8"/>
        <v>0.16899999999999998</v>
      </c>
      <c r="J11" s="242">
        <f t="shared" si="0"/>
        <v>21903</v>
      </c>
      <c r="K11" s="242">
        <f t="shared" ref="K11:K74" si="21">IF(G11&gt;$C$10,0,IF((S10+L11)&lt;K10,(S10+L11),IF(T10=0,K10,MIN(K10,ROUNDUP(S10*$C$13/12/((1-(1+$C$13/12)^(0-($C$10-G11)))),0)))))</f>
        <v>21903</v>
      </c>
      <c r="L11" s="242">
        <f t="shared" ref="L11:L74" si="22">S10*($C$13/365*(H11-H10))</f>
        <v>15353.090963187609</v>
      </c>
      <c r="M11" s="242">
        <f t="shared" ref="M11:M74" si="23">IF(S10=0,0,IF(S10+L11&gt;K10,K11-L11,S10))</f>
        <v>6549.9090368123907</v>
      </c>
      <c r="N11" s="242">
        <f t="shared" si="1"/>
        <v>0</v>
      </c>
      <c r="O11" s="242">
        <v>0</v>
      </c>
      <c r="P11" s="242">
        <f t="shared" ref="P11:P85" si="24">L11+Q11</f>
        <v>15353.090963187609</v>
      </c>
      <c r="Q11" s="242">
        <f t="shared" si="2"/>
        <v>0</v>
      </c>
      <c r="R11" s="242">
        <f t="shared" si="9"/>
        <v>0</v>
      </c>
      <c r="S11" s="242">
        <f t="shared" si="10"/>
        <v>1063096.6268600149</v>
      </c>
      <c r="T11" s="467"/>
      <c r="U11" s="198">
        <f>IF((U10-1)&lt;0,0,U10-1)</f>
        <v>82</v>
      </c>
      <c r="V11" s="36">
        <f t="shared" si="11"/>
        <v>82</v>
      </c>
      <c r="W11" s="36">
        <f t="shared" si="12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3"/>
        <v>1</v>
      </c>
      <c r="AQ11" s="553">
        <f>AQ10+1</f>
        <v>3</v>
      </c>
      <c r="AR11" s="554">
        <f t="shared" si="14"/>
        <v>45406</v>
      </c>
      <c r="AS11" s="555">
        <f t="shared" si="3"/>
        <v>0.22899999999999998</v>
      </c>
      <c r="AT11" s="546">
        <f t="shared" si="15"/>
        <v>21903</v>
      </c>
      <c r="AU11" s="546">
        <f t="shared" ref="AU11:AU74" si="25">IF(AQ11&gt;$C$10,0,IF(BD10=0,AU10,ROUNDUP(BC10*$C$11/12/((1-(1+$C$11/12)^(0-($C$10-AQ11)))),0)))</f>
        <v>21903</v>
      </c>
      <c r="AV11" s="546">
        <f t="shared" si="16"/>
        <v>17531.814060929126</v>
      </c>
      <c r="AW11" s="546">
        <f>IF(BJ11=0,0,IF(BJ11=1,BH10,IF(BH10+AX11+AV11&gt;AU10,AU11-AV11-AX11,BH10)))</f>
        <v>4371.1859390708742</v>
      </c>
      <c r="AX11" s="546">
        <f t="shared" si="4"/>
        <v>0</v>
      </c>
      <c r="AY11" s="546">
        <v>0</v>
      </c>
      <c r="AZ11" s="546">
        <f t="shared" si="18"/>
        <v>17531.814060929126</v>
      </c>
      <c r="BA11" s="546">
        <f t="shared" si="5"/>
        <v>0</v>
      </c>
      <c r="BB11" s="546">
        <f t="shared" si="19"/>
        <v>0</v>
      </c>
      <c r="BC11" s="546"/>
      <c r="BD11" s="546"/>
      <c r="BE11" s="546"/>
      <c r="BF11" s="546"/>
      <c r="BG11" s="546"/>
      <c r="BH11" s="546">
        <f>IF(OR(BJ11=1,BH10=0),0,BH10-AW11)</f>
        <v>897039.17217321682</v>
      </c>
      <c r="BI11" s="108">
        <f>IF((BI10-1)&lt;0,0,BI10-1)</f>
        <v>82</v>
      </c>
      <c r="BJ11" s="108">
        <f t="shared" ref="BJ11:BJ74" si="26">BI11</f>
        <v>82</v>
      </c>
      <c r="BK11" s="22">
        <f t="shared" ref="BK11:BK74" si="27">H11</f>
        <v>45406</v>
      </c>
      <c r="BL11" s="108">
        <f t="shared" si="6"/>
        <v>21903</v>
      </c>
      <c r="BN11" s="682"/>
      <c r="BO11" s="785"/>
      <c r="BP11" s="778"/>
      <c r="BQ11" s="691" t="s">
        <v>91</v>
      </c>
      <c r="BZ11" s="656"/>
      <c r="CA11" s="657" t="s">
        <v>29</v>
      </c>
    </row>
    <row r="12" spans="1:79" ht="18" customHeight="1" thickBot="1" x14ac:dyDescent="0.25">
      <c r="A12" s="811" t="s">
        <v>468</v>
      </c>
      <c r="B12" s="811"/>
      <c r="C12" s="663" t="s">
        <v>33</v>
      </c>
      <c r="D12" s="664" t="str">
        <f>C12</f>
        <v>Базовый</v>
      </c>
      <c r="E12" s="665"/>
      <c r="F12" s="232"/>
      <c r="G12" s="244">
        <f t="shared" ref="G12:G75" si="28">G11+1</f>
        <v>4</v>
      </c>
      <c r="H12" s="245">
        <f t="shared" si="7"/>
        <v>45436</v>
      </c>
      <c r="I12" s="246">
        <f t="shared" si="8"/>
        <v>0.16899999999999998</v>
      </c>
      <c r="J12" s="242">
        <f t="shared" si="0"/>
        <v>21903</v>
      </c>
      <c r="K12" s="242">
        <f t="shared" si="21"/>
        <v>21903</v>
      </c>
      <c r="L12" s="242">
        <f t="shared" si="22"/>
        <v>14766.849036110341</v>
      </c>
      <c r="M12" s="242">
        <f t="shared" si="23"/>
        <v>7136.1509638896587</v>
      </c>
      <c r="N12" s="242">
        <f t="shared" si="1"/>
        <v>0</v>
      </c>
      <c r="O12" s="242">
        <v>0</v>
      </c>
      <c r="P12" s="242">
        <f t="shared" si="24"/>
        <v>14766.849036110341</v>
      </c>
      <c r="Q12" s="242">
        <f t="shared" si="2"/>
        <v>0</v>
      </c>
      <c r="R12" s="242">
        <f t="shared" si="9"/>
        <v>0</v>
      </c>
      <c r="S12" s="242">
        <f t="shared" si="10"/>
        <v>1055960.4758961252</v>
      </c>
      <c r="T12" s="467"/>
      <c r="U12" s="198">
        <f t="shared" ref="U12:U75" si="29">IF((U11-1)&lt;0,0,U11-1)</f>
        <v>81</v>
      </c>
      <c r="V12" s="36">
        <f t="shared" si="11"/>
        <v>81</v>
      </c>
      <c r="W12" s="36">
        <f t="shared" si="12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3"/>
        <v>1</v>
      </c>
      <c r="AQ12" s="553">
        <f t="shared" ref="AQ12:AQ75" si="30">AQ11+1</f>
        <v>4</v>
      </c>
      <c r="AR12" s="554">
        <f t="shared" si="14"/>
        <v>45436</v>
      </c>
      <c r="AS12" s="555">
        <f t="shared" si="3"/>
        <v>0.22899999999999998</v>
      </c>
      <c r="AT12" s="546">
        <f t="shared" si="15"/>
        <v>21903</v>
      </c>
      <c r="AU12" s="546">
        <f t="shared" si="25"/>
        <v>21903</v>
      </c>
      <c r="AV12" s="546">
        <f t="shared" si="16"/>
        <v>16883.997569397256</v>
      </c>
      <c r="AW12" s="546">
        <f t="shared" si="17"/>
        <v>5019.0024306027444</v>
      </c>
      <c r="AX12" s="546">
        <f t="shared" si="4"/>
        <v>0</v>
      </c>
      <c r="AY12" s="546">
        <v>0</v>
      </c>
      <c r="AZ12" s="546">
        <f t="shared" si="18"/>
        <v>16883.997569397256</v>
      </c>
      <c r="BA12" s="546">
        <f t="shared" si="5"/>
        <v>0</v>
      </c>
      <c r="BB12" s="546">
        <f t="shared" si="19"/>
        <v>0</v>
      </c>
      <c r="BC12" s="546"/>
      <c r="BD12" s="546"/>
      <c r="BE12" s="546"/>
      <c r="BF12" s="546"/>
      <c r="BG12" s="546"/>
      <c r="BH12" s="546">
        <f t="shared" si="20"/>
        <v>892020.16974261403</v>
      </c>
      <c r="BI12" s="108">
        <f t="shared" ref="BI12:BI75" si="31">IF((BI11-1)&lt;0,0,BI11-1)</f>
        <v>81</v>
      </c>
      <c r="BJ12" s="108">
        <f t="shared" si="26"/>
        <v>81</v>
      </c>
      <c r="BK12" s="22">
        <f t="shared" si="27"/>
        <v>45436</v>
      </c>
      <c r="BL12" s="108">
        <f t="shared" si="6"/>
        <v>21903</v>
      </c>
      <c r="BN12" s="682"/>
      <c r="BZ12" s="653" t="s">
        <v>463</v>
      </c>
      <c r="CA12" s="658">
        <v>0.29899999999999999</v>
      </c>
    </row>
    <row r="13" spans="1:79" ht="18" customHeight="1" x14ac:dyDescent="0.2">
      <c r="A13" s="805" t="s">
        <v>171</v>
      </c>
      <c r="B13" s="806"/>
      <c r="C13" s="567">
        <f>'КЭШ, Реф (БВ_АВТО_Льготный)'!C19</f>
        <v>0.16899999999999998</v>
      </c>
      <c r="D13" s="578">
        <f>IF(D8="нет",D11,'КЭШ, Реф (БВ_АВТО_Базовый)'!D19)</f>
        <v>0.22899999999999998</v>
      </c>
      <c r="E13" s="514"/>
      <c r="F13" s="232"/>
      <c r="G13" s="244">
        <f t="shared" si="28"/>
        <v>5</v>
      </c>
      <c r="H13" s="245">
        <f t="shared" si="7"/>
        <v>45467</v>
      </c>
      <c r="I13" s="246">
        <f t="shared" si="8"/>
        <v>0.16899999999999998</v>
      </c>
      <c r="J13" s="242">
        <f t="shared" si="0"/>
        <v>21903</v>
      </c>
      <c r="K13" s="242">
        <f t="shared" si="21"/>
        <v>21903</v>
      </c>
      <c r="L13" s="242">
        <f t="shared" si="22"/>
        <v>15156.64913210904</v>
      </c>
      <c r="M13" s="242">
        <f t="shared" si="23"/>
        <v>6746.3508678909602</v>
      </c>
      <c r="N13" s="242">
        <f t="shared" si="1"/>
        <v>0</v>
      </c>
      <c r="O13" s="242">
        <v>0</v>
      </c>
      <c r="P13" s="242">
        <f t="shared" si="24"/>
        <v>15156.64913210904</v>
      </c>
      <c r="Q13" s="242">
        <f t="shared" si="2"/>
        <v>0</v>
      </c>
      <c r="R13" s="242">
        <f t="shared" si="9"/>
        <v>0</v>
      </c>
      <c r="S13" s="242">
        <f t="shared" si="10"/>
        <v>1049214.1250282342</v>
      </c>
      <c r="T13" s="467"/>
      <c r="U13" s="198">
        <f>IF((U12-1)&lt;0,0,U12-1)</f>
        <v>80</v>
      </c>
      <c r="V13" s="36">
        <f>U13</f>
        <v>80</v>
      </c>
      <c r="W13" s="36">
        <f t="shared" si="12"/>
        <v>0</v>
      </c>
      <c r="X13" s="15"/>
      <c r="Y13" s="15"/>
      <c r="Z13" s="15"/>
      <c r="AA13" s="15"/>
      <c r="AB13" s="15"/>
      <c r="AC13" s="15"/>
      <c r="AD13" s="15"/>
      <c r="AE13" s="62" t="e">
        <f>INDEX(AE4:AE12,MATCH(C11,$X$4:$X$7,0))</f>
        <v>#N/A</v>
      </c>
      <c r="AF13" s="62" t="e">
        <f>INDEX(AF4:AF12,MATCH(D13,$X$4:$X$7,0))</f>
        <v>#N/A</v>
      </c>
      <c r="AG13" s="15"/>
      <c r="AH13" s="15"/>
      <c r="AI13" s="15"/>
      <c r="AJ13" s="15"/>
      <c r="AK13" s="15"/>
      <c r="AL13" s="15"/>
      <c r="AM13" s="15"/>
      <c r="AP13" s="130">
        <f t="shared" si="13"/>
        <v>1</v>
      </c>
      <c r="AQ13" s="553">
        <f>AQ12+1</f>
        <v>5</v>
      </c>
      <c r="AR13" s="554">
        <f t="shared" si="14"/>
        <v>45467</v>
      </c>
      <c r="AS13" s="555">
        <f t="shared" si="3"/>
        <v>0.22899999999999998</v>
      </c>
      <c r="AT13" s="546">
        <f t="shared" si="15"/>
        <v>21903</v>
      </c>
      <c r="AU13" s="546">
        <f t="shared" si="25"/>
        <v>21903</v>
      </c>
      <c r="AV13" s="546">
        <f t="shared" si="16"/>
        <v>17349.181328774841</v>
      </c>
      <c r="AW13" s="546">
        <f t="shared" si="17"/>
        <v>4553.8186712251591</v>
      </c>
      <c r="AX13" s="546">
        <f t="shared" si="4"/>
        <v>0</v>
      </c>
      <c r="AY13" s="546">
        <v>0</v>
      </c>
      <c r="AZ13" s="546">
        <f t="shared" si="18"/>
        <v>17349.181328774841</v>
      </c>
      <c r="BA13" s="546">
        <f t="shared" si="5"/>
        <v>0</v>
      </c>
      <c r="BB13" s="546">
        <f t="shared" si="19"/>
        <v>0</v>
      </c>
      <c r="BC13" s="546"/>
      <c r="BD13" s="546"/>
      <c r="BE13" s="546"/>
      <c r="BF13" s="546"/>
      <c r="BG13" s="546"/>
      <c r="BH13" s="546">
        <f t="shared" si="20"/>
        <v>887466.35107138893</v>
      </c>
      <c r="BI13" s="108">
        <f t="shared" si="31"/>
        <v>80</v>
      </c>
      <c r="BJ13" s="108">
        <f t="shared" si="26"/>
        <v>80</v>
      </c>
      <c r="BK13" s="22">
        <f t="shared" si="27"/>
        <v>45467</v>
      </c>
      <c r="BL13" s="108">
        <f t="shared" si="6"/>
        <v>21903</v>
      </c>
      <c r="BN13" s="118"/>
      <c r="BO13" s="784" t="s">
        <v>92</v>
      </c>
      <c r="BP13" s="777" t="s">
        <v>85</v>
      </c>
      <c r="BQ13" s="129" t="s">
        <v>90</v>
      </c>
      <c r="BZ13" s="655"/>
      <c r="CA13" s="659">
        <v>0.249</v>
      </c>
    </row>
    <row r="14" spans="1:79" ht="19.5" customHeight="1" thickBot="1" x14ac:dyDescent="0.25">
      <c r="A14" s="819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7"/>
        <v>45497</v>
      </c>
      <c r="I14" s="246">
        <f t="shared" si="8"/>
        <v>0.16899999999999998</v>
      </c>
      <c r="J14" s="242">
        <f t="shared" si="0"/>
        <v>21903</v>
      </c>
      <c r="K14" s="242">
        <f t="shared" si="21"/>
        <v>21903</v>
      </c>
      <c r="L14" s="242">
        <f t="shared" si="22"/>
        <v>14574.015380529168</v>
      </c>
      <c r="M14" s="242">
        <f t="shared" si="23"/>
        <v>7328.9846194708316</v>
      </c>
      <c r="N14" s="242">
        <f t="shared" si="1"/>
        <v>0</v>
      </c>
      <c r="O14" s="242">
        <v>0</v>
      </c>
      <c r="P14" s="242">
        <f t="shared" si="24"/>
        <v>14574.015380529168</v>
      </c>
      <c r="Q14" s="242">
        <f t="shared" si="2"/>
        <v>0</v>
      </c>
      <c r="R14" s="242">
        <f t="shared" si="9"/>
        <v>0</v>
      </c>
      <c r="S14" s="242">
        <f t="shared" si="10"/>
        <v>1041885.1404087634</v>
      </c>
      <c r="T14" s="242"/>
      <c r="U14" s="198">
        <f>IF((U13-1)&lt;0,0,U13-1)</f>
        <v>79</v>
      </c>
      <c r="V14" s="36">
        <f t="shared" si="11"/>
        <v>79</v>
      </c>
      <c r="W14" s="36">
        <f t="shared" si="12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0.22899999999999998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3"/>
        <v>1</v>
      </c>
      <c r="AQ14" s="553">
        <f>AQ13+1</f>
        <v>6</v>
      </c>
      <c r="AR14" s="554">
        <f t="shared" si="14"/>
        <v>45497</v>
      </c>
      <c r="AS14" s="555">
        <f t="shared" si="3"/>
        <v>0.22899999999999998</v>
      </c>
      <c r="AT14" s="546">
        <f t="shared" si="15"/>
        <v>21903</v>
      </c>
      <c r="AU14" s="546">
        <f t="shared" si="25"/>
        <v>21903</v>
      </c>
      <c r="AV14" s="546">
        <f t="shared" si="16"/>
        <v>16703.818717425867</v>
      </c>
      <c r="AW14" s="546">
        <f t="shared" si="17"/>
        <v>5199.1812825741326</v>
      </c>
      <c r="AX14" s="546">
        <f t="shared" si="4"/>
        <v>0</v>
      </c>
      <c r="AY14" s="546">
        <v>0</v>
      </c>
      <c r="AZ14" s="546">
        <f t="shared" si="18"/>
        <v>16703.818717425867</v>
      </c>
      <c r="BA14" s="546">
        <f t="shared" si="5"/>
        <v>0</v>
      </c>
      <c r="BB14" s="546">
        <f t="shared" si="19"/>
        <v>0</v>
      </c>
      <c r="BC14" s="546"/>
      <c r="BD14" s="546"/>
      <c r="BE14" s="546"/>
      <c r="BF14" s="546"/>
      <c r="BG14" s="546"/>
      <c r="BH14" s="546">
        <f t="shared" si="20"/>
        <v>882267.16978881485</v>
      </c>
      <c r="BI14" s="108">
        <f t="shared" si="31"/>
        <v>79</v>
      </c>
      <c r="BJ14" s="108">
        <f t="shared" si="26"/>
        <v>79</v>
      </c>
      <c r="BK14" s="22">
        <f t="shared" si="27"/>
        <v>45497</v>
      </c>
      <c r="BL14" s="108">
        <f t="shared" si="6"/>
        <v>21903</v>
      </c>
      <c r="BN14" s="118"/>
      <c r="BO14" s="785"/>
      <c r="BP14" s="778"/>
      <c r="BQ14" s="691" t="s">
        <v>93</v>
      </c>
      <c r="BZ14" s="655"/>
      <c r="CA14" s="659">
        <v>0.249</v>
      </c>
    </row>
    <row r="15" spans="1:79" ht="20.25" customHeight="1" x14ac:dyDescent="0.2">
      <c r="A15" s="820"/>
      <c r="B15" s="418" t="s">
        <v>182</v>
      </c>
      <c r="C15" s="505">
        <f>IF(C14="нет","",AK109)</f>
        <v>10999</v>
      </c>
      <c r="D15" s="216">
        <f>IF(D14="нет","",AK109)</f>
        <v>10999</v>
      </c>
      <c r="E15" s="510"/>
      <c r="F15" s="231"/>
      <c r="G15" s="244">
        <f t="shared" si="28"/>
        <v>7</v>
      </c>
      <c r="H15" s="245">
        <f t="shared" si="7"/>
        <v>45528</v>
      </c>
      <c r="I15" s="246">
        <f t="shared" si="8"/>
        <v>0.16899999999999998</v>
      </c>
      <c r="J15" s="242">
        <f t="shared" si="0"/>
        <v>21903</v>
      </c>
      <c r="K15" s="242">
        <f t="shared" si="21"/>
        <v>21903</v>
      </c>
      <c r="L15" s="242">
        <f t="shared" si="22"/>
        <v>14954.619864661674</v>
      </c>
      <c r="M15" s="242">
        <f t="shared" si="23"/>
        <v>6948.380135338326</v>
      </c>
      <c r="N15" s="242">
        <f t="shared" si="1"/>
        <v>0</v>
      </c>
      <c r="O15" s="242">
        <v>0</v>
      </c>
      <c r="P15" s="242">
        <f t="shared" si="24"/>
        <v>14954.619864661674</v>
      </c>
      <c r="Q15" s="242">
        <f t="shared" si="2"/>
        <v>0</v>
      </c>
      <c r="R15" s="242">
        <f t="shared" si="9"/>
        <v>0</v>
      </c>
      <c r="S15" s="242">
        <f t="shared" si="10"/>
        <v>1034936.7602734251</v>
      </c>
      <c r="T15" s="467"/>
      <c r="U15" s="198">
        <f t="shared" si="29"/>
        <v>78</v>
      </c>
      <c r="V15" s="36">
        <f t="shared" si="11"/>
        <v>78</v>
      </c>
      <c r="W15" s="36">
        <f t="shared" si="12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3"/>
        <v>1</v>
      </c>
      <c r="AQ15" s="553">
        <f t="shared" si="30"/>
        <v>7</v>
      </c>
      <c r="AR15" s="554">
        <f t="shared" si="14"/>
        <v>45528</v>
      </c>
      <c r="AS15" s="555">
        <f t="shared" ref="AS15:AS32" si="32">IF($D$16="Да",$AN$37,$D$13)</f>
        <v>0.22899999999999998</v>
      </c>
      <c r="AT15" s="546">
        <f t="shared" si="15"/>
        <v>21903</v>
      </c>
      <c r="AU15" s="546">
        <f t="shared" si="25"/>
        <v>21903</v>
      </c>
      <c r="AV15" s="546">
        <f t="shared" si="16"/>
        <v>17159.492159810401</v>
      </c>
      <c r="AW15" s="546">
        <f t="shared" si="17"/>
        <v>4743.5078401895989</v>
      </c>
      <c r="AX15" s="546">
        <f t="shared" si="4"/>
        <v>0</v>
      </c>
      <c r="AY15" s="546">
        <v>0</v>
      </c>
      <c r="AZ15" s="546">
        <f t="shared" si="18"/>
        <v>17159.492159810401</v>
      </c>
      <c r="BA15" s="546">
        <f t="shared" si="5"/>
        <v>0</v>
      </c>
      <c r="BB15" s="546">
        <f t="shared" si="19"/>
        <v>0</v>
      </c>
      <c r="BC15" s="546"/>
      <c r="BD15" s="546"/>
      <c r="BE15" s="546"/>
      <c r="BF15" s="546"/>
      <c r="BG15" s="546"/>
      <c r="BH15" s="546">
        <f t="shared" si="20"/>
        <v>877523.66194862523</v>
      </c>
      <c r="BI15" s="108">
        <f t="shared" si="31"/>
        <v>78</v>
      </c>
      <c r="BJ15" s="108">
        <f t="shared" si="26"/>
        <v>78</v>
      </c>
      <c r="BK15" s="22">
        <f t="shared" si="27"/>
        <v>45528</v>
      </c>
      <c r="BL15" s="108">
        <f t="shared" si="6"/>
        <v>21903</v>
      </c>
      <c r="BN15" s="118"/>
      <c r="BZ15" s="656"/>
      <c r="CA15" s="660">
        <v>0.19900000000000001</v>
      </c>
    </row>
    <row r="16" spans="1:79" ht="19.149999999999999" customHeight="1" x14ac:dyDescent="0.2">
      <c r="A16" s="821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7"/>
        <v>45559</v>
      </c>
      <c r="I16" s="246">
        <f t="shared" si="8"/>
        <v>0.16899999999999998</v>
      </c>
      <c r="J16" s="242">
        <f t="shared" si="0"/>
        <v>21903</v>
      </c>
      <c r="K16" s="242">
        <f t="shared" si="21"/>
        <v>21903</v>
      </c>
      <c r="L16" s="242">
        <f t="shared" si="22"/>
        <v>14854.886813897188</v>
      </c>
      <c r="M16" s="242">
        <f t="shared" si="23"/>
        <v>7048.1131861028116</v>
      </c>
      <c r="N16" s="242">
        <f t="shared" si="1"/>
        <v>0</v>
      </c>
      <c r="O16" s="242">
        <v>0</v>
      </c>
      <c r="P16" s="242">
        <f t="shared" si="24"/>
        <v>14854.886813897188</v>
      </c>
      <c r="Q16" s="242">
        <f t="shared" si="2"/>
        <v>0</v>
      </c>
      <c r="R16" s="242">
        <f t="shared" si="9"/>
        <v>0</v>
      </c>
      <c r="S16" s="242">
        <f t="shared" si="10"/>
        <v>1027888.6470873223</v>
      </c>
      <c r="T16" s="467"/>
      <c r="U16" s="198">
        <f t="shared" si="29"/>
        <v>77</v>
      </c>
      <c r="V16" s="36">
        <f t="shared" si="11"/>
        <v>77</v>
      </c>
      <c r="W16" s="36">
        <f t="shared" si="12"/>
        <v>0</v>
      </c>
      <c r="X16" s="569">
        <f>IF($C$11=X4,X15,IF($C$11=X5,X15,IF($C$11=X6,X14,IF($C$11=X7,X14,IF($C$11=X8,X14,IF($C$11=X9,X14,))))))</f>
        <v>0</v>
      </c>
      <c r="Y16" s="569">
        <f t="shared" ref="Y16:AB16" si="33">IF($C$11=Y4,Y15,IF($C$11=Y5,Y15,IF($C$11=Y6,Y14,IF($C$11=Y7,Y14,IF($C$11=Y8,Y14,IF($C$11=Y9,Y14,))))))</f>
        <v>0</v>
      </c>
      <c r="Z16" s="569">
        <f t="shared" si="33"/>
        <v>0</v>
      </c>
      <c r="AA16" s="569">
        <f t="shared" si="33"/>
        <v>0</v>
      </c>
      <c r="AB16" s="569">
        <f t="shared" si="33"/>
        <v>0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3"/>
        <v>1</v>
      </c>
      <c r="AQ16" s="553">
        <f t="shared" si="30"/>
        <v>8</v>
      </c>
      <c r="AR16" s="554">
        <f t="shared" si="14"/>
        <v>45559</v>
      </c>
      <c r="AS16" s="555">
        <f t="shared" si="32"/>
        <v>0.22899999999999998</v>
      </c>
      <c r="AT16" s="546">
        <f t="shared" si="15"/>
        <v>21903</v>
      </c>
      <c r="AU16" s="546">
        <f t="shared" si="25"/>
        <v>21903</v>
      </c>
      <c r="AV16" s="546">
        <f t="shared" si="16"/>
        <v>17067.234181296688</v>
      </c>
      <c r="AW16" s="546">
        <f t="shared" si="17"/>
        <v>4835.7658187033121</v>
      </c>
      <c r="AX16" s="546">
        <f t="shared" si="4"/>
        <v>0</v>
      </c>
      <c r="AY16" s="546">
        <v>0</v>
      </c>
      <c r="AZ16" s="546">
        <f t="shared" si="18"/>
        <v>17067.234181296688</v>
      </c>
      <c r="BA16" s="546">
        <f t="shared" si="5"/>
        <v>0</v>
      </c>
      <c r="BB16" s="546">
        <f t="shared" si="19"/>
        <v>0</v>
      </c>
      <c r="BC16" s="546"/>
      <c r="BD16" s="546"/>
      <c r="BE16" s="546"/>
      <c r="BF16" s="546"/>
      <c r="BG16" s="546"/>
      <c r="BH16" s="546">
        <f t="shared" si="20"/>
        <v>872687.89612992189</v>
      </c>
      <c r="BI16" s="108">
        <f t="shared" si="31"/>
        <v>77</v>
      </c>
      <c r="BJ16" s="108">
        <f t="shared" si="26"/>
        <v>77</v>
      </c>
      <c r="BK16" s="22">
        <f t="shared" si="27"/>
        <v>45559</v>
      </c>
      <c r="BL16" s="108">
        <f t="shared" si="6"/>
        <v>21903</v>
      </c>
      <c r="BN16" s="118"/>
    </row>
    <row r="17" spans="1:394" ht="19.899999999999999" customHeight="1" x14ac:dyDescent="0.2">
      <c r="A17" s="821"/>
      <c r="B17" s="186" t="s">
        <v>352</v>
      </c>
      <c r="C17" s="567">
        <f>'КЭШ, Реф (БВ_АВТО_Льготный)'!C24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7"/>
        <v>45589</v>
      </c>
      <c r="I17" s="246">
        <f t="shared" si="8"/>
        <v>0.16899999999999998</v>
      </c>
      <c r="J17" s="242">
        <f t="shared" si="0"/>
        <v>21903</v>
      </c>
      <c r="K17" s="242">
        <f t="shared" si="21"/>
        <v>21903</v>
      </c>
      <c r="L17" s="242">
        <f t="shared" si="22"/>
        <v>14277.795728034858</v>
      </c>
      <c r="M17" s="242">
        <f t="shared" si="23"/>
        <v>7625.2042719651417</v>
      </c>
      <c r="N17" s="242">
        <f t="shared" si="1"/>
        <v>0</v>
      </c>
      <c r="O17" s="242">
        <v>0</v>
      </c>
      <c r="P17" s="242">
        <f t="shared" si="24"/>
        <v>14277.795728034858</v>
      </c>
      <c r="Q17" s="242">
        <f t="shared" si="2"/>
        <v>0</v>
      </c>
      <c r="R17" s="242">
        <f t="shared" si="9"/>
        <v>0</v>
      </c>
      <c r="S17" s="242">
        <f t="shared" si="10"/>
        <v>1020263.4428153571</v>
      </c>
      <c r="T17" s="467"/>
      <c r="U17" s="198">
        <f t="shared" si="29"/>
        <v>76</v>
      </c>
      <c r="V17" s="36">
        <f t="shared" si="11"/>
        <v>76</v>
      </c>
      <c r="W17" s="36">
        <f t="shared" si="12"/>
        <v>0</v>
      </c>
      <c r="X17" s="484">
        <f>IF($C$11=X4,X18,IF($C$11=X5,X18,IF($C$11=X6,X19,IF($C$11=X7,X20,IF($C$11=X8,X21,IF($C$11=X9,X22,))))))</f>
        <v>0</v>
      </c>
      <c r="Y17" s="484">
        <f t="shared" ref="Y17:AB17" si="34">IF($C$11=Y4,Y18,IF($C$11=Y5,Y18,IF($C$11=Y6,Y19,IF($C$11=Y7,Y20,IF($C$11=Y8,Y21,IF($C$11=Y9,Y22,))))))</f>
        <v>0</v>
      </c>
      <c r="Z17" s="484">
        <f t="shared" si="34"/>
        <v>0</v>
      </c>
      <c r="AA17" s="484">
        <f t="shared" si="34"/>
        <v>0</v>
      </c>
      <c r="AB17" s="484">
        <f t="shared" si="34"/>
        <v>0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3"/>
        <v>1</v>
      </c>
      <c r="AQ17" s="553">
        <f t="shared" si="30"/>
        <v>9</v>
      </c>
      <c r="AR17" s="554">
        <f t="shared" si="14"/>
        <v>45589</v>
      </c>
      <c r="AS17" s="555">
        <f t="shared" si="32"/>
        <v>0.22899999999999998</v>
      </c>
      <c r="AT17" s="546">
        <f t="shared" si="15"/>
        <v>21903</v>
      </c>
      <c r="AU17" s="546">
        <f t="shared" si="25"/>
        <v>21903</v>
      </c>
      <c r="AV17" s="546">
        <f t="shared" si="16"/>
        <v>16425.659853185105</v>
      </c>
      <c r="AW17" s="546">
        <f t="shared" si="17"/>
        <v>5477.340146814895</v>
      </c>
      <c r="AX17" s="546">
        <f t="shared" si="4"/>
        <v>0</v>
      </c>
      <c r="AY17" s="546">
        <v>0</v>
      </c>
      <c r="AZ17" s="546">
        <f t="shared" si="18"/>
        <v>16425.659853185105</v>
      </c>
      <c r="BA17" s="546">
        <f t="shared" si="5"/>
        <v>0</v>
      </c>
      <c r="BB17" s="546">
        <f t="shared" si="19"/>
        <v>0</v>
      </c>
      <c r="BC17" s="546"/>
      <c r="BD17" s="546"/>
      <c r="BE17" s="546"/>
      <c r="BF17" s="546"/>
      <c r="BG17" s="546"/>
      <c r="BH17" s="546">
        <f t="shared" si="20"/>
        <v>867210.55598310695</v>
      </c>
      <c r="BI17" s="108">
        <f t="shared" si="31"/>
        <v>76</v>
      </c>
      <c r="BJ17" s="108">
        <f t="shared" si="26"/>
        <v>76</v>
      </c>
      <c r="BK17" s="22">
        <f t="shared" si="27"/>
        <v>45589</v>
      </c>
      <c r="BL17" s="108">
        <f t="shared" si="6"/>
        <v>21903</v>
      </c>
      <c r="BN17" s="118"/>
    </row>
    <row r="18" spans="1:394" ht="19.899999999999999" customHeight="1" x14ac:dyDescent="0.2">
      <c r="A18" s="821"/>
      <c r="B18" s="186" t="s">
        <v>353</v>
      </c>
      <c r="C18" s="505">
        <f>'КЭШ, Реф (БВ_АВТО_Льготный)'!C25</f>
        <v>45000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7"/>
        <v>45620</v>
      </c>
      <c r="I18" s="246">
        <f t="shared" si="8"/>
        <v>0.16899999999999998</v>
      </c>
      <c r="J18" s="242">
        <f t="shared" si="0"/>
        <v>21903</v>
      </c>
      <c r="K18" s="242">
        <f t="shared" si="21"/>
        <v>21903</v>
      </c>
      <c r="L18" s="242">
        <f t="shared" si="22"/>
        <v>14644.274457286729</v>
      </c>
      <c r="M18" s="242">
        <f t="shared" si="23"/>
        <v>7258.7255427132714</v>
      </c>
      <c r="N18" s="242">
        <f t="shared" si="1"/>
        <v>0</v>
      </c>
      <c r="O18" s="242">
        <v>0</v>
      </c>
      <c r="P18" s="242">
        <f t="shared" si="24"/>
        <v>14644.274457286729</v>
      </c>
      <c r="Q18" s="242">
        <f t="shared" si="2"/>
        <v>0</v>
      </c>
      <c r="R18" s="242">
        <f t="shared" si="9"/>
        <v>0</v>
      </c>
      <c r="S18" s="242">
        <f t="shared" si="10"/>
        <v>1013004.7172726438</v>
      </c>
      <c r="T18" s="467"/>
      <c r="U18" s="198">
        <f t="shared" si="29"/>
        <v>75</v>
      </c>
      <c r="V18" s="36">
        <f t="shared" si="11"/>
        <v>75</v>
      </c>
      <c r="W18" s="36">
        <f t="shared" si="12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3"/>
        <v>1</v>
      </c>
      <c r="AQ18" s="553">
        <f t="shared" si="30"/>
        <v>10</v>
      </c>
      <c r="AR18" s="554">
        <f t="shared" si="14"/>
        <v>45620</v>
      </c>
      <c r="AS18" s="555">
        <f t="shared" si="32"/>
        <v>0.22899999999999998</v>
      </c>
      <c r="AT18" s="546">
        <f t="shared" si="15"/>
        <v>21903</v>
      </c>
      <c r="AU18" s="546">
        <f t="shared" si="25"/>
        <v>21903</v>
      </c>
      <c r="AV18" s="546">
        <f t="shared" si="16"/>
        <v>16866.651334038565</v>
      </c>
      <c r="AW18" s="546">
        <f t="shared" si="17"/>
        <v>5036.3486659614355</v>
      </c>
      <c r="AX18" s="546">
        <f t="shared" si="4"/>
        <v>0</v>
      </c>
      <c r="AY18" s="546">
        <v>0</v>
      </c>
      <c r="AZ18" s="546">
        <f t="shared" si="18"/>
        <v>16866.651334038565</v>
      </c>
      <c r="BA18" s="546">
        <f t="shared" si="5"/>
        <v>0</v>
      </c>
      <c r="BB18" s="546">
        <f t="shared" si="19"/>
        <v>0</v>
      </c>
      <c r="BC18" s="546"/>
      <c r="BD18" s="546"/>
      <c r="BE18" s="546"/>
      <c r="BF18" s="546"/>
      <c r="BG18" s="546"/>
      <c r="BH18" s="546">
        <f t="shared" si="20"/>
        <v>862174.20731714554</v>
      </c>
      <c r="BI18" s="108">
        <f t="shared" si="31"/>
        <v>75</v>
      </c>
      <c r="BJ18" s="108">
        <f t="shared" si="26"/>
        <v>75</v>
      </c>
      <c r="BK18" s="22">
        <f t="shared" si="27"/>
        <v>45620</v>
      </c>
      <c r="BL18" s="108">
        <f t="shared" si="6"/>
        <v>21903</v>
      </c>
      <c r="BN18" s="118"/>
    </row>
    <row r="19" spans="1:394" ht="18.75" customHeight="1" x14ac:dyDescent="0.2">
      <c r="A19" s="694"/>
      <c r="B19" s="186" t="s">
        <v>464</v>
      </c>
      <c r="C19" s="567">
        <f>'КЭШ, Реф (БВ_АВТО_Льготный)'!C23</f>
        <v>0.129</v>
      </c>
      <c r="D19" s="450"/>
      <c r="E19" s="514"/>
      <c r="F19" s="233"/>
      <c r="G19" s="244">
        <f t="shared" si="28"/>
        <v>11</v>
      </c>
      <c r="H19" s="245">
        <f t="shared" si="7"/>
        <v>45650</v>
      </c>
      <c r="I19" s="246">
        <f t="shared" si="8"/>
        <v>0.16899999999999998</v>
      </c>
      <c r="J19" s="242">
        <f t="shared" si="0"/>
        <v>21903</v>
      </c>
      <c r="K19" s="242">
        <f t="shared" si="21"/>
        <v>21903</v>
      </c>
      <c r="L19" s="242">
        <f t="shared" si="22"/>
        <v>14071.051826225488</v>
      </c>
      <c r="M19" s="242">
        <f t="shared" si="23"/>
        <v>7831.9481737745118</v>
      </c>
      <c r="N19" s="242">
        <f t="shared" si="1"/>
        <v>0</v>
      </c>
      <c r="O19" s="242">
        <v>0</v>
      </c>
      <c r="P19" s="242">
        <f t="shared" si="24"/>
        <v>14071.051826225488</v>
      </c>
      <c r="Q19" s="242">
        <f t="shared" si="2"/>
        <v>0</v>
      </c>
      <c r="R19" s="242">
        <f t="shared" si="9"/>
        <v>0</v>
      </c>
      <c r="S19" s="242">
        <f t="shared" si="10"/>
        <v>1005172.7690988693</v>
      </c>
      <c r="T19" s="467"/>
      <c r="U19" s="198">
        <f>IF((U18-1)&lt;0,0,U18-1)</f>
        <v>74</v>
      </c>
      <c r="V19" s="36">
        <f t="shared" si="11"/>
        <v>74</v>
      </c>
      <c r="W19" s="36">
        <f t="shared" si="12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3"/>
        <v>1</v>
      </c>
      <c r="AQ19" s="553">
        <f>AQ18+1</f>
        <v>11</v>
      </c>
      <c r="AR19" s="554">
        <f t="shared" si="14"/>
        <v>45650</v>
      </c>
      <c r="AS19" s="555">
        <f t="shared" si="32"/>
        <v>0.22899999999999998</v>
      </c>
      <c r="AT19" s="546">
        <f t="shared" si="15"/>
        <v>21903</v>
      </c>
      <c r="AU19" s="546">
        <f t="shared" si="25"/>
        <v>21903</v>
      </c>
      <c r="AV19" s="546">
        <f t="shared" si="16"/>
        <v>16227.772066489833</v>
      </c>
      <c r="AW19" s="546">
        <f t="shared" si="17"/>
        <v>5675.2279335101666</v>
      </c>
      <c r="AX19" s="546">
        <f t="shared" si="4"/>
        <v>0</v>
      </c>
      <c r="AY19" s="546">
        <v>0</v>
      </c>
      <c r="AZ19" s="546">
        <f t="shared" si="18"/>
        <v>16227.772066489833</v>
      </c>
      <c r="BA19" s="546">
        <f t="shared" si="5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 t="shared" si="20"/>
        <v>856498.97938363533</v>
      </c>
      <c r="BI19" s="108">
        <f t="shared" si="31"/>
        <v>74</v>
      </c>
      <c r="BJ19" s="108">
        <f t="shared" si="26"/>
        <v>74</v>
      </c>
      <c r="BK19" s="22">
        <f t="shared" si="27"/>
        <v>45650</v>
      </c>
      <c r="BL19" s="108">
        <f t="shared" si="6"/>
        <v>21903</v>
      </c>
      <c r="BN19" s="118"/>
    </row>
    <row r="20" spans="1:394" ht="16.899999999999999" customHeight="1" thickBot="1" x14ac:dyDescent="0.25">
      <c r="A20" s="807"/>
      <c r="B20" s="807"/>
      <c r="C20" s="807"/>
      <c r="D20" s="807"/>
      <c r="E20" s="807"/>
      <c r="F20" s="224"/>
      <c r="G20" s="248">
        <f t="shared" si="28"/>
        <v>12</v>
      </c>
      <c r="H20" s="679">
        <f t="shared" si="7"/>
        <v>45681</v>
      </c>
      <c r="I20" s="250">
        <f t="shared" si="8"/>
        <v>0.16899999999999998</v>
      </c>
      <c r="J20" s="252">
        <f t="shared" si="0"/>
        <v>21903</v>
      </c>
      <c r="K20" s="252">
        <f t="shared" si="21"/>
        <v>21903</v>
      </c>
      <c r="L20" s="252">
        <f t="shared" si="22"/>
        <v>14427.671609065688</v>
      </c>
      <c r="M20" s="252">
        <f t="shared" si="23"/>
        <v>7475.3283909343118</v>
      </c>
      <c r="N20" s="252">
        <f t="shared" si="1"/>
        <v>0</v>
      </c>
      <c r="O20" s="252">
        <v>0</v>
      </c>
      <c r="P20" s="252">
        <f t="shared" si="24"/>
        <v>14427.671609065688</v>
      </c>
      <c r="Q20" s="252">
        <f t="shared" si="2"/>
        <v>0</v>
      </c>
      <c r="R20" s="252">
        <f t="shared" si="9"/>
        <v>0</v>
      </c>
      <c r="S20" s="252">
        <f t="shared" si="10"/>
        <v>997697.44070793502</v>
      </c>
      <c r="T20" s="468"/>
      <c r="U20" s="198">
        <f>IF((U19-1)&lt;0,0,U19-1)</f>
        <v>73</v>
      </c>
      <c r="V20" s="36">
        <f t="shared" si="11"/>
        <v>73</v>
      </c>
      <c r="W20" s="36">
        <f t="shared" si="12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3"/>
        <v>1</v>
      </c>
      <c r="AQ20" s="556">
        <f>AQ19+1</f>
        <v>12</v>
      </c>
      <c r="AR20" s="680">
        <f t="shared" si="14"/>
        <v>45681</v>
      </c>
      <c r="AS20" s="557">
        <f t="shared" si="32"/>
        <v>0.22899999999999998</v>
      </c>
      <c r="AT20" s="547">
        <f t="shared" si="15"/>
        <v>21903</v>
      </c>
      <c r="AU20" s="547">
        <f t="shared" si="25"/>
        <v>21903</v>
      </c>
      <c r="AV20" s="547">
        <f t="shared" si="16"/>
        <v>16658.318505875144</v>
      </c>
      <c r="AW20" s="547">
        <f t="shared" si="17"/>
        <v>5244.6814941248558</v>
      </c>
      <c r="AX20" s="547">
        <f t="shared" si="4"/>
        <v>0</v>
      </c>
      <c r="AY20" s="547">
        <v>0</v>
      </c>
      <c r="AZ20" s="547">
        <f t="shared" si="18"/>
        <v>16658.318505875144</v>
      </c>
      <c r="BA20" s="547">
        <f t="shared" si="5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0"/>
        <v>851254.29788951052</v>
      </c>
      <c r="BI20" s="108">
        <f t="shared" si="31"/>
        <v>73</v>
      </c>
      <c r="BJ20" s="108">
        <f t="shared" si="26"/>
        <v>73</v>
      </c>
      <c r="BK20" s="22">
        <f t="shared" si="27"/>
        <v>45681</v>
      </c>
      <c r="BL20" s="108">
        <f t="shared" si="6"/>
        <v>21903</v>
      </c>
      <c r="BN20" s="118"/>
    </row>
    <row r="21" spans="1:394" ht="12.75" customHeight="1" x14ac:dyDescent="0.2">
      <c r="A21" s="817" t="s">
        <v>469</v>
      </c>
      <c r="B21" s="817"/>
      <c r="C21" s="818" t="str">
        <f>IF(AND(C8=CA9,C10&gt;47),"Ошибка: при указанном сроке нужна страховка АВТО_ПакетБВ+ГС_48",IF(AND(C8=CA10,C10&lt;48),"Ошибка: при указанном сроке нужна страховка АВТО_ПакетБВ+ГС_36",IF(AND(C8&lt;&gt;"нет",C16="Нет"),"Ошибка: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Акция!</v>
      </c>
      <c r="D21" s="818"/>
      <c r="E21" s="818"/>
      <c r="F21" s="224"/>
      <c r="G21" s="244">
        <f t="shared" si="28"/>
        <v>13</v>
      </c>
      <c r="H21" s="245">
        <f t="shared" si="7"/>
        <v>45712</v>
      </c>
      <c r="I21" s="246">
        <f t="shared" si="8"/>
        <v>0.16899999999999998</v>
      </c>
      <c r="J21" s="242">
        <f>K21+Q21</f>
        <v>21903</v>
      </c>
      <c r="K21" s="242">
        <f t="shared" si="21"/>
        <v>21903</v>
      </c>
      <c r="L21" s="242">
        <f t="shared" si="22"/>
        <v>14320.375046216086</v>
      </c>
      <c r="M21" s="242">
        <f t="shared" si="23"/>
        <v>7582.624953783914</v>
      </c>
      <c r="N21" s="242">
        <f t="shared" si="1"/>
        <v>0</v>
      </c>
      <c r="O21" s="242">
        <v>0</v>
      </c>
      <c r="P21" s="242">
        <f t="shared" si="24"/>
        <v>14320.375046216086</v>
      </c>
      <c r="Q21" s="242">
        <f t="shared" si="2"/>
        <v>0</v>
      </c>
      <c r="R21" s="242">
        <f t="shared" si="9"/>
        <v>0</v>
      </c>
      <c r="S21" s="242">
        <f t="shared" si="10"/>
        <v>990114.81575415109</v>
      </c>
      <c r="T21" s="467"/>
      <c r="U21" s="198">
        <f>IF((U20-1)&lt;0,0,U20-1)</f>
        <v>72</v>
      </c>
      <c r="V21" s="36">
        <f t="shared" si="11"/>
        <v>72</v>
      </c>
      <c r="W21" s="36">
        <f t="shared" si="12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3"/>
        <v>1</v>
      </c>
      <c r="AQ21" s="553">
        <f>AQ20+1</f>
        <v>13</v>
      </c>
      <c r="AR21" s="554">
        <f t="shared" si="14"/>
        <v>45712</v>
      </c>
      <c r="AS21" s="555">
        <f t="shared" si="32"/>
        <v>0.22899999999999998</v>
      </c>
      <c r="AT21" s="546">
        <f t="shared" si="15"/>
        <v>21903</v>
      </c>
      <c r="AU21" s="546">
        <f t="shared" si="25"/>
        <v>21903</v>
      </c>
      <c r="AV21" s="546">
        <f t="shared" si="16"/>
        <v>16556.313043062015</v>
      </c>
      <c r="AW21" s="546">
        <f t="shared" si="17"/>
        <v>5346.6869569379851</v>
      </c>
      <c r="AX21" s="546">
        <f t="shared" si="4"/>
        <v>0</v>
      </c>
      <c r="AY21" s="546">
        <v>0</v>
      </c>
      <c r="AZ21" s="546">
        <f t="shared" si="18"/>
        <v>16556.313043062015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0"/>
        <v>845907.61093257251</v>
      </c>
      <c r="BI21" s="108">
        <f t="shared" si="31"/>
        <v>72</v>
      </c>
      <c r="BJ21" s="108">
        <f t="shared" si="26"/>
        <v>72</v>
      </c>
      <c r="BK21" s="22">
        <f t="shared" si="27"/>
        <v>45712</v>
      </c>
      <c r="BL21" s="108">
        <f t="shared" si="6"/>
        <v>21903</v>
      </c>
      <c r="BN21" s="118"/>
    </row>
    <row r="22" spans="1:394" ht="34.15" customHeight="1" x14ac:dyDescent="0.2">
      <c r="A22" s="808" t="s">
        <v>350</v>
      </c>
      <c r="B22" s="808"/>
      <c r="C22" s="809"/>
      <c r="D22" s="695"/>
      <c r="E22" s="741"/>
      <c r="F22" s="225"/>
      <c r="G22" s="244">
        <f t="shared" si="28"/>
        <v>14</v>
      </c>
      <c r="H22" s="245">
        <f t="shared" si="7"/>
        <v>45740</v>
      </c>
      <c r="I22" s="246">
        <f t="shared" si="8"/>
        <v>0.16899999999999998</v>
      </c>
      <c r="J22" s="242">
        <f t="shared" si="0"/>
        <v>21903</v>
      </c>
      <c r="K22" s="242">
        <f t="shared" si="21"/>
        <v>21903</v>
      </c>
      <c r="L22" s="242">
        <f t="shared" si="22"/>
        <v>12836.228241503131</v>
      </c>
      <c r="M22" s="242">
        <f t="shared" si="23"/>
        <v>9066.7717584968686</v>
      </c>
      <c r="N22" s="242">
        <f t="shared" si="1"/>
        <v>0</v>
      </c>
      <c r="O22" s="242">
        <v>0</v>
      </c>
      <c r="P22" s="242">
        <f t="shared" si="24"/>
        <v>12836.228241503131</v>
      </c>
      <c r="Q22" s="242">
        <f t="shared" si="2"/>
        <v>0</v>
      </c>
      <c r="R22" s="242">
        <f t="shared" si="9"/>
        <v>0</v>
      </c>
      <c r="S22" s="242">
        <f t="shared" si="10"/>
        <v>981048.04399565421</v>
      </c>
      <c r="T22" s="467"/>
      <c r="U22" s="198">
        <f t="shared" si="29"/>
        <v>71</v>
      </c>
      <c r="V22" s="36">
        <f t="shared" si="11"/>
        <v>71</v>
      </c>
      <c r="W22" s="36">
        <f t="shared" si="12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3"/>
        <v>1</v>
      </c>
      <c r="AQ22" s="553">
        <f t="shared" si="30"/>
        <v>14</v>
      </c>
      <c r="AR22" s="554">
        <f t="shared" si="14"/>
        <v>45740</v>
      </c>
      <c r="AS22" s="555">
        <f t="shared" si="32"/>
        <v>0.22899999999999998</v>
      </c>
      <c r="AT22" s="546">
        <f t="shared" si="15"/>
        <v>21903</v>
      </c>
      <c r="AU22" s="546">
        <f t="shared" si="25"/>
        <v>21903</v>
      </c>
      <c r="AV22" s="546">
        <f t="shared" si="16"/>
        <v>14860.163291231929</v>
      </c>
      <c r="AW22" s="546">
        <f t="shared" si="17"/>
        <v>7042.8367087680708</v>
      </c>
      <c r="AX22" s="546">
        <f t="shared" si="4"/>
        <v>0</v>
      </c>
      <c r="AY22" s="546">
        <v>0</v>
      </c>
      <c r="AZ22" s="546">
        <f t="shared" si="18"/>
        <v>14860.163291231929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0"/>
        <v>838864.77422380447</v>
      </c>
      <c r="BI22" s="108">
        <f t="shared" si="31"/>
        <v>71</v>
      </c>
      <c r="BJ22" s="108">
        <f t="shared" si="26"/>
        <v>71</v>
      </c>
      <c r="BK22" s="22">
        <f t="shared" si="27"/>
        <v>45740</v>
      </c>
      <c r="BL22" s="108">
        <f t="shared" si="6"/>
        <v>21903</v>
      </c>
      <c r="BN22" s="118"/>
    </row>
    <row r="23" spans="1:394" ht="19.149999999999999" customHeight="1" x14ac:dyDescent="0.2">
      <c r="A23" s="810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810"/>
      <c r="C23" s="358">
        <f>'КЭШ, Реф (БВ_АВТО_Льготный)'!C28</f>
        <v>1083439</v>
      </c>
      <c r="D23" s="355">
        <f>'КЭШ, Реф (БВ_АВТО_Базовый)'!D28</f>
        <v>910999</v>
      </c>
      <c r="E23" s="734" t="s">
        <v>481</v>
      </c>
      <c r="F23" s="226"/>
      <c r="G23" s="244">
        <f t="shared" si="28"/>
        <v>15</v>
      </c>
      <c r="H23" s="245">
        <f t="shared" si="7"/>
        <v>45771</v>
      </c>
      <c r="I23" s="246">
        <f t="shared" si="8"/>
        <v>0.16899999999999998</v>
      </c>
      <c r="J23" s="242">
        <f t="shared" si="0"/>
        <v>21903</v>
      </c>
      <c r="K23" s="242">
        <f t="shared" si="21"/>
        <v>21903</v>
      </c>
      <c r="L23" s="242">
        <f t="shared" si="22"/>
        <v>14081.399184912965</v>
      </c>
      <c r="M23" s="242">
        <f t="shared" si="23"/>
        <v>7821.6008150870348</v>
      </c>
      <c r="N23" s="242">
        <f t="shared" si="1"/>
        <v>0</v>
      </c>
      <c r="O23" s="242">
        <v>0</v>
      </c>
      <c r="P23" s="242">
        <f t="shared" si="24"/>
        <v>14081.399184912965</v>
      </c>
      <c r="Q23" s="242">
        <f t="shared" si="2"/>
        <v>0</v>
      </c>
      <c r="R23" s="242">
        <f t="shared" si="9"/>
        <v>0</v>
      </c>
      <c r="S23" s="242">
        <f t="shared" si="10"/>
        <v>973226.44318056712</v>
      </c>
      <c r="T23" s="467"/>
      <c r="U23" s="198">
        <f t="shared" si="29"/>
        <v>70</v>
      </c>
      <c r="V23" s="36">
        <f t="shared" si="11"/>
        <v>70</v>
      </c>
      <c r="W23" s="36">
        <f t="shared" si="12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3"/>
        <v>1</v>
      </c>
      <c r="AQ23" s="553">
        <f t="shared" si="30"/>
        <v>15</v>
      </c>
      <c r="AR23" s="554">
        <f t="shared" si="14"/>
        <v>45771</v>
      </c>
      <c r="AS23" s="555">
        <f t="shared" si="32"/>
        <v>0.22899999999999998</v>
      </c>
      <c r="AT23" s="546">
        <f t="shared" si="15"/>
        <v>21903</v>
      </c>
      <c r="AU23" s="546">
        <f t="shared" si="25"/>
        <v>21903</v>
      </c>
      <c r="AV23" s="546">
        <f t="shared" si="16"/>
        <v>16315.345293739145</v>
      </c>
      <c r="AW23" s="546">
        <f t="shared" si="17"/>
        <v>5587.6547062608552</v>
      </c>
      <c r="AX23" s="546">
        <f t="shared" si="4"/>
        <v>0</v>
      </c>
      <c r="AY23" s="546">
        <v>0</v>
      </c>
      <c r="AZ23" s="546">
        <f t="shared" si="18"/>
        <v>16315.345293739145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0"/>
        <v>833277.11951754359</v>
      </c>
      <c r="BI23" s="108">
        <f t="shared" si="31"/>
        <v>70</v>
      </c>
      <c r="BJ23" s="108">
        <f t="shared" si="26"/>
        <v>70</v>
      </c>
      <c r="BK23" s="22">
        <f t="shared" si="27"/>
        <v>45771</v>
      </c>
      <c r="BL23" s="108">
        <f t="shared" si="6"/>
        <v>21903</v>
      </c>
      <c r="BN23" s="118"/>
    </row>
    <row r="24" spans="1:394" ht="18" customHeight="1" x14ac:dyDescent="0.2">
      <c r="A24" s="769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769"/>
      <c r="C24" s="358">
        <f>'КЭШ, Реф (БВ_АВТО_Льготный)'!C29</f>
        <v>21774</v>
      </c>
      <c r="D24" s="355">
        <f>'КЭШ, Реф (БВ_АВТО_Базовый)'!D29</f>
        <v>21903</v>
      </c>
      <c r="E24" s="735">
        <f>ROUNDUP(S10*(C11+5%)/12/(1-(1+(C11+5%)/12)^(0-(C10-2))),0)</f>
        <v>29323</v>
      </c>
      <c r="F24" s="226"/>
      <c r="G24" s="244">
        <f t="shared" si="28"/>
        <v>16</v>
      </c>
      <c r="H24" s="245">
        <f t="shared" si="7"/>
        <v>45801</v>
      </c>
      <c r="I24" s="246">
        <f t="shared" si="8"/>
        <v>0.16899999999999998</v>
      </c>
      <c r="J24" s="242">
        <f t="shared" si="0"/>
        <v>21903</v>
      </c>
      <c r="K24" s="242">
        <f t="shared" si="21"/>
        <v>21903</v>
      </c>
      <c r="L24" s="242">
        <f t="shared" si="22"/>
        <v>13518.515251850615</v>
      </c>
      <c r="M24" s="242">
        <f t="shared" si="23"/>
        <v>8384.4847481493853</v>
      </c>
      <c r="N24" s="242">
        <f t="shared" si="1"/>
        <v>0</v>
      </c>
      <c r="O24" s="242">
        <v>0</v>
      </c>
      <c r="P24" s="242">
        <f t="shared" si="24"/>
        <v>13518.515251850615</v>
      </c>
      <c r="Q24" s="242">
        <f t="shared" si="2"/>
        <v>0</v>
      </c>
      <c r="R24" s="242">
        <f t="shared" si="9"/>
        <v>0</v>
      </c>
      <c r="S24" s="242">
        <f t="shared" si="10"/>
        <v>964841.95843241771</v>
      </c>
      <c r="T24" s="467"/>
      <c r="U24" s="198">
        <f t="shared" si="29"/>
        <v>69</v>
      </c>
      <c r="V24" s="36">
        <f t="shared" si="11"/>
        <v>69</v>
      </c>
      <c r="W24" s="36">
        <f t="shared" si="12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3"/>
        <v>1</v>
      </c>
      <c r="AQ24" s="553">
        <f t="shared" si="30"/>
        <v>16</v>
      </c>
      <c r="AR24" s="554">
        <f t="shared" si="14"/>
        <v>45801</v>
      </c>
      <c r="AS24" s="555">
        <f t="shared" si="32"/>
        <v>0.22899999999999998</v>
      </c>
      <c r="AT24" s="546">
        <f t="shared" si="15"/>
        <v>21903</v>
      </c>
      <c r="AU24" s="546">
        <f t="shared" si="25"/>
        <v>21903</v>
      </c>
      <c r="AV24" s="546">
        <f t="shared" si="16"/>
        <v>15683.873455028832</v>
      </c>
      <c r="AW24" s="546">
        <f t="shared" si="17"/>
        <v>6219.1265449711682</v>
      </c>
      <c r="AX24" s="546">
        <f t="shared" si="4"/>
        <v>0</v>
      </c>
      <c r="AY24" s="546">
        <v>0</v>
      </c>
      <c r="AZ24" s="546">
        <f t="shared" si="18"/>
        <v>15683.873455028832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0"/>
        <v>827057.99297257245</v>
      </c>
      <c r="BI24" s="108">
        <f t="shared" si="31"/>
        <v>69</v>
      </c>
      <c r="BJ24" s="108">
        <f t="shared" si="26"/>
        <v>69</v>
      </c>
      <c r="BK24" s="22">
        <f t="shared" si="27"/>
        <v>45801</v>
      </c>
      <c r="BL24" s="108">
        <f t="shared" si="6"/>
        <v>21903</v>
      </c>
      <c r="BN24" s="118"/>
    </row>
    <row r="25" spans="1:394" ht="18" customHeight="1" x14ac:dyDescent="0.2">
      <c r="A25" s="763" t="s">
        <v>285</v>
      </c>
      <c r="B25" s="763"/>
      <c r="C25" s="358">
        <f>'КЭШ, Реф (БВ_АВТО_Льготный)'!C32</f>
        <v>127440</v>
      </c>
      <c r="D25" s="357">
        <v>0</v>
      </c>
      <c r="E25" s="226">
        <f>C25-D25</f>
        <v>127440</v>
      </c>
      <c r="F25" s="226"/>
      <c r="G25" s="244">
        <f t="shared" si="28"/>
        <v>17</v>
      </c>
      <c r="H25" s="245">
        <f t="shared" si="7"/>
        <v>45832</v>
      </c>
      <c r="I25" s="246">
        <f t="shared" si="8"/>
        <v>0.16899999999999998</v>
      </c>
      <c r="J25" s="242">
        <f t="shared" si="0"/>
        <v>21903</v>
      </c>
      <c r="K25" s="242">
        <f t="shared" si="21"/>
        <v>21903</v>
      </c>
      <c r="L25" s="242">
        <f t="shared" si="22"/>
        <v>13848.786356787496</v>
      </c>
      <c r="M25" s="242">
        <f t="shared" si="23"/>
        <v>8054.2136432125044</v>
      </c>
      <c r="N25" s="242">
        <f t="shared" si="1"/>
        <v>0</v>
      </c>
      <c r="O25" s="242">
        <v>0</v>
      </c>
      <c r="P25" s="242">
        <f t="shared" si="24"/>
        <v>13848.786356787496</v>
      </c>
      <c r="Q25" s="242">
        <f t="shared" si="2"/>
        <v>0</v>
      </c>
      <c r="R25" s="242">
        <f t="shared" si="9"/>
        <v>0</v>
      </c>
      <c r="S25" s="242">
        <f t="shared" si="10"/>
        <v>956787.74478920526</v>
      </c>
      <c r="T25" s="467"/>
      <c r="U25" s="198">
        <f t="shared" si="29"/>
        <v>68</v>
      </c>
      <c r="V25" s="36">
        <f t="shared" si="11"/>
        <v>68</v>
      </c>
      <c r="W25" s="36">
        <f t="shared" si="12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3"/>
        <v>1</v>
      </c>
      <c r="AQ25" s="558">
        <f t="shared" si="30"/>
        <v>17</v>
      </c>
      <c r="AR25" s="554">
        <f t="shared" si="14"/>
        <v>45832</v>
      </c>
      <c r="AS25" s="555">
        <f t="shared" si="32"/>
        <v>0.22899999999999998</v>
      </c>
      <c r="AT25" s="546">
        <f t="shared" si="15"/>
        <v>21903</v>
      </c>
      <c r="AU25" s="546">
        <f t="shared" si="25"/>
        <v>21903</v>
      </c>
      <c r="AV25" s="546">
        <f t="shared" si="16"/>
        <v>16085.711485239155</v>
      </c>
      <c r="AW25" s="546">
        <f t="shared" si="17"/>
        <v>5817.2885147608449</v>
      </c>
      <c r="AX25" s="546">
        <f t="shared" si="4"/>
        <v>0</v>
      </c>
      <c r="AY25" s="546">
        <v>0</v>
      </c>
      <c r="AZ25" s="546">
        <f t="shared" si="18"/>
        <v>16085.711485239155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0"/>
        <v>821240.70445781166</v>
      </c>
      <c r="BI25" s="108">
        <f t="shared" si="31"/>
        <v>68</v>
      </c>
      <c r="BJ25" s="108">
        <f t="shared" si="26"/>
        <v>68</v>
      </c>
      <c r="BK25" s="22">
        <f t="shared" si="27"/>
        <v>45832</v>
      </c>
      <c r="BL25" s="108">
        <f t="shared" si="6"/>
        <v>21903</v>
      </c>
      <c r="BN25" s="118"/>
    </row>
    <row r="26" spans="1:394" ht="18" customHeight="1" x14ac:dyDescent="0.2">
      <c r="A26" s="763" t="s">
        <v>100</v>
      </c>
      <c r="B26" s="804"/>
      <c r="C26" s="360">
        <f>'КЭШ, Реф (БВ_АВТО_Льготный)'!C31</f>
        <v>1.18E-2</v>
      </c>
      <c r="D26" s="666">
        <v>0</v>
      </c>
      <c r="E26" s="225"/>
      <c r="F26" s="192"/>
      <c r="G26" s="244">
        <f t="shared" si="28"/>
        <v>18</v>
      </c>
      <c r="H26" s="245">
        <f t="shared" si="7"/>
        <v>45862</v>
      </c>
      <c r="I26" s="246">
        <f t="shared" si="8"/>
        <v>0.16899999999999998</v>
      </c>
      <c r="J26" s="242">
        <f t="shared" si="0"/>
        <v>21903</v>
      </c>
      <c r="K26" s="242">
        <f t="shared" si="21"/>
        <v>21903</v>
      </c>
      <c r="L26" s="242">
        <f t="shared" si="22"/>
        <v>13290.174975565124</v>
      </c>
      <c r="M26" s="242">
        <f t="shared" si="23"/>
        <v>8612.8250244348765</v>
      </c>
      <c r="N26" s="242">
        <f t="shared" si="1"/>
        <v>0</v>
      </c>
      <c r="O26" s="242">
        <v>0</v>
      </c>
      <c r="P26" s="242">
        <f t="shared" si="24"/>
        <v>13290.174975565124</v>
      </c>
      <c r="Q26" s="242">
        <f t="shared" si="2"/>
        <v>0</v>
      </c>
      <c r="R26" s="242">
        <f t="shared" si="9"/>
        <v>0</v>
      </c>
      <c r="S26" s="242">
        <f t="shared" si="10"/>
        <v>948174.91976477043</v>
      </c>
      <c r="T26" s="467"/>
      <c r="U26" s="198">
        <f t="shared" si="29"/>
        <v>67</v>
      </c>
      <c r="V26" s="36">
        <f t="shared" si="11"/>
        <v>67</v>
      </c>
      <c r="W26" s="36">
        <f t="shared" si="12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3"/>
        <v>1</v>
      </c>
      <c r="AQ26" s="553">
        <f t="shared" si="30"/>
        <v>18</v>
      </c>
      <c r="AR26" s="554">
        <f t="shared" si="14"/>
        <v>45862</v>
      </c>
      <c r="AS26" s="555">
        <f t="shared" si="32"/>
        <v>0.22899999999999998</v>
      </c>
      <c r="AT26" s="546">
        <f t="shared" si="15"/>
        <v>21903</v>
      </c>
      <c r="AU26" s="546">
        <f t="shared" si="25"/>
        <v>21903</v>
      </c>
      <c r="AV26" s="546">
        <f t="shared" si="16"/>
        <v>15457.325040068947</v>
      </c>
      <c r="AW26" s="546">
        <f t="shared" si="17"/>
        <v>6445.6749599310533</v>
      </c>
      <c r="AX26" s="546">
        <f t="shared" si="4"/>
        <v>0</v>
      </c>
      <c r="AY26" s="546">
        <v>0</v>
      </c>
      <c r="AZ26" s="546">
        <f t="shared" si="18"/>
        <v>15457.325040068947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0"/>
        <v>814795.02949788061</v>
      </c>
      <c r="BI26" s="108">
        <f t="shared" si="31"/>
        <v>67</v>
      </c>
      <c r="BJ26" s="108">
        <f t="shared" si="26"/>
        <v>67</v>
      </c>
      <c r="BK26" s="22">
        <f t="shared" si="27"/>
        <v>45862</v>
      </c>
      <c r="BL26" s="108">
        <f t="shared" si="6"/>
        <v>21903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805" t="s">
        <v>465</v>
      </c>
      <c r="B27" s="763"/>
      <c r="C27" s="505">
        <f>'КЭШ, Реф (БВ_АВТО_Льготный)'!C30</f>
        <v>12</v>
      </c>
      <c r="D27" s="667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7"/>
        <v>45893</v>
      </c>
      <c r="I27" s="246">
        <f t="shared" si="8"/>
        <v>0.16899999999999998</v>
      </c>
      <c r="J27" s="242">
        <f t="shared" si="0"/>
        <v>21903</v>
      </c>
      <c r="K27" s="242">
        <f t="shared" si="21"/>
        <v>21903</v>
      </c>
      <c r="L27" s="242">
        <f t="shared" si="22"/>
        <v>13609.557273007211</v>
      </c>
      <c r="M27" s="242">
        <f t="shared" si="23"/>
        <v>8293.4427269927892</v>
      </c>
      <c r="N27" s="242">
        <f t="shared" si="1"/>
        <v>0</v>
      </c>
      <c r="O27" s="242">
        <v>0</v>
      </c>
      <c r="P27" s="242">
        <f t="shared" si="24"/>
        <v>13609.557273007211</v>
      </c>
      <c r="Q27" s="242">
        <f t="shared" si="2"/>
        <v>0</v>
      </c>
      <c r="R27" s="242">
        <f t="shared" si="9"/>
        <v>0</v>
      </c>
      <c r="S27" s="242">
        <f t="shared" si="10"/>
        <v>939881.47703777766</v>
      </c>
      <c r="T27" s="467"/>
      <c r="U27" s="198">
        <f t="shared" si="29"/>
        <v>66</v>
      </c>
      <c r="V27" s="36">
        <f t="shared" si="11"/>
        <v>66</v>
      </c>
      <c r="W27" s="36">
        <f t="shared" si="12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3"/>
        <v>1</v>
      </c>
      <c r="AQ27" s="553">
        <f t="shared" si="30"/>
        <v>19</v>
      </c>
      <c r="AR27" s="554">
        <f t="shared" si="14"/>
        <v>45893</v>
      </c>
      <c r="AS27" s="555">
        <f t="shared" si="32"/>
        <v>0.22899999999999998</v>
      </c>
      <c r="AT27" s="546">
        <f t="shared" si="15"/>
        <v>21903</v>
      </c>
      <c r="AU27" s="546">
        <f t="shared" si="25"/>
        <v>21903</v>
      </c>
      <c r="AV27" s="546">
        <f t="shared" si="16"/>
        <v>15847.20524494645</v>
      </c>
      <c r="AW27" s="546">
        <f t="shared" si="17"/>
        <v>6055.79475505355</v>
      </c>
      <c r="AX27" s="546">
        <f t="shared" si="4"/>
        <v>0</v>
      </c>
      <c r="AY27" s="546">
        <v>0</v>
      </c>
      <c r="AZ27" s="546">
        <f t="shared" si="18"/>
        <v>15847.20524494645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0"/>
        <v>808739.23474282701</v>
      </c>
      <c r="BI27" s="108">
        <f t="shared" si="31"/>
        <v>66</v>
      </c>
      <c r="BJ27" s="108">
        <f t="shared" si="26"/>
        <v>66</v>
      </c>
      <c r="BK27" s="22">
        <f t="shared" si="27"/>
        <v>45893</v>
      </c>
      <c r="BL27" s="108">
        <f t="shared" si="6"/>
        <v>21903</v>
      </c>
      <c r="BN27" s="118"/>
    </row>
    <row r="28" spans="1:394" ht="22.5" customHeight="1" x14ac:dyDescent="0.2">
      <c r="A28" s="763" t="s">
        <v>75</v>
      </c>
      <c r="B28" s="763"/>
      <c r="C28" s="194">
        <f>L109</f>
        <v>785021.43823784858</v>
      </c>
      <c r="D28" s="209">
        <f>AV109</f>
        <v>919153.44651612325</v>
      </c>
      <c r="E28" s="274">
        <f t="shared" si="37"/>
        <v>-134132.00827827468</v>
      </c>
      <c r="F28" s="190"/>
      <c r="G28" s="244">
        <f t="shared" si="28"/>
        <v>20</v>
      </c>
      <c r="H28" s="245">
        <f t="shared" si="7"/>
        <v>45924</v>
      </c>
      <c r="I28" s="246">
        <f t="shared" si="8"/>
        <v>0.16899999999999998</v>
      </c>
      <c r="J28" s="242">
        <f t="shared" si="0"/>
        <v>21903</v>
      </c>
      <c r="K28" s="242">
        <f t="shared" si="21"/>
        <v>21903</v>
      </c>
      <c r="L28" s="242">
        <f t="shared" si="22"/>
        <v>13490.517967673744</v>
      </c>
      <c r="M28" s="242">
        <f t="shared" si="23"/>
        <v>8412.4820323262556</v>
      </c>
      <c r="N28" s="242">
        <f t="shared" si="1"/>
        <v>0</v>
      </c>
      <c r="O28" s="242">
        <v>0</v>
      </c>
      <c r="P28" s="242">
        <f t="shared" si="24"/>
        <v>13490.517967673744</v>
      </c>
      <c r="Q28" s="242">
        <f t="shared" si="2"/>
        <v>0</v>
      </c>
      <c r="R28" s="242">
        <f t="shared" si="9"/>
        <v>0</v>
      </c>
      <c r="S28" s="242">
        <f t="shared" si="10"/>
        <v>931468.99500545138</v>
      </c>
      <c r="T28" s="467"/>
      <c r="U28" s="198">
        <f t="shared" si="29"/>
        <v>65</v>
      </c>
      <c r="V28" s="36">
        <f t="shared" si="11"/>
        <v>65</v>
      </c>
      <c r="W28" s="36">
        <f t="shared" si="12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3"/>
        <v>1</v>
      </c>
      <c r="AQ28" s="553">
        <f t="shared" si="30"/>
        <v>20</v>
      </c>
      <c r="AR28" s="554">
        <f t="shared" si="14"/>
        <v>45924</v>
      </c>
      <c r="AS28" s="555">
        <f t="shared" si="32"/>
        <v>0.22899999999999998</v>
      </c>
      <c r="AT28" s="546">
        <f t="shared" si="15"/>
        <v>21903</v>
      </c>
      <c r="AU28" s="546">
        <f t="shared" si="25"/>
        <v>21903</v>
      </c>
      <c r="AV28" s="546">
        <f t="shared" si="16"/>
        <v>15729.424184765285</v>
      </c>
      <c r="AW28" s="546">
        <f t="shared" si="17"/>
        <v>6173.5758152347153</v>
      </c>
      <c r="AX28" s="546">
        <f t="shared" si="4"/>
        <v>0</v>
      </c>
      <c r="AY28" s="546">
        <v>0</v>
      </c>
      <c r="AZ28" s="546">
        <f t="shared" si="18"/>
        <v>15729.424184765285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0"/>
        <v>802565.65892759233</v>
      </c>
      <c r="BI28" s="108">
        <f t="shared" si="31"/>
        <v>65</v>
      </c>
      <c r="BJ28" s="108">
        <f t="shared" si="26"/>
        <v>65</v>
      </c>
      <c r="BK28" s="22">
        <f t="shared" si="27"/>
        <v>45924</v>
      </c>
      <c r="BL28" s="108">
        <f t="shared" si="6"/>
        <v>21903</v>
      </c>
    </row>
    <row r="29" spans="1:394" ht="19.5" customHeight="1" x14ac:dyDescent="0.2">
      <c r="A29" s="816" t="s">
        <v>466</v>
      </c>
      <c r="B29" s="763"/>
      <c r="C29" s="662">
        <f>'КЭШ, Реф (БВ_АВТО_Льготный)'!C26</f>
        <v>187676.01420118334</v>
      </c>
      <c r="D29" s="209">
        <f>IF(D18="",0,D18*12)</f>
        <v>0</v>
      </c>
      <c r="E29" s="274">
        <f t="shared" si="37"/>
        <v>187676.01420118334</v>
      </c>
      <c r="F29" s="234"/>
      <c r="G29" s="244">
        <f t="shared" si="28"/>
        <v>21</v>
      </c>
      <c r="H29" s="245">
        <f t="shared" si="7"/>
        <v>45954</v>
      </c>
      <c r="I29" s="246">
        <f t="shared" si="8"/>
        <v>0.16899999999999998</v>
      </c>
      <c r="J29" s="242">
        <f t="shared" si="0"/>
        <v>21903</v>
      </c>
      <c r="K29" s="242">
        <f t="shared" si="21"/>
        <v>21903</v>
      </c>
      <c r="L29" s="242">
        <f t="shared" si="22"/>
        <v>12938.487136103118</v>
      </c>
      <c r="M29" s="242">
        <f t="shared" si="23"/>
        <v>8964.5128638968818</v>
      </c>
      <c r="N29" s="242">
        <f t="shared" si="1"/>
        <v>0</v>
      </c>
      <c r="O29" s="242">
        <v>0</v>
      </c>
      <c r="P29" s="242">
        <f t="shared" si="24"/>
        <v>12938.487136103118</v>
      </c>
      <c r="Q29" s="242">
        <f t="shared" si="2"/>
        <v>0</v>
      </c>
      <c r="R29" s="242">
        <f t="shared" si="9"/>
        <v>0</v>
      </c>
      <c r="S29" s="242">
        <f t="shared" si="10"/>
        <v>922504.48214155447</v>
      </c>
      <c r="T29" s="467"/>
      <c r="U29" s="198">
        <f t="shared" si="29"/>
        <v>64</v>
      </c>
      <c r="V29" s="36">
        <f t="shared" si="11"/>
        <v>64</v>
      </c>
      <c r="W29" s="36">
        <f t="shared" si="12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3"/>
        <v>1</v>
      </c>
      <c r="AQ29" s="553">
        <f t="shared" si="30"/>
        <v>21</v>
      </c>
      <c r="AR29" s="554">
        <f t="shared" si="14"/>
        <v>45954</v>
      </c>
      <c r="AS29" s="555">
        <f t="shared" si="32"/>
        <v>0.22899999999999998</v>
      </c>
      <c r="AT29" s="546">
        <f t="shared" si="15"/>
        <v>21903</v>
      </c>
      <c r="AU29" s="546">
        <f t="shared" si="25"/>
        <v>21903</v>
      </c>
      <c r="AV29" s="546">
        <f t="shared" si="16"/>
        <v>15105.824868034408</v>
      </c>
      <c r="AW29" s="546">
        <f t="shared" si="17"/>
        <v>6797.1751319655923</v>
      </c>
      <c r="AX29" s="546">
        <f t="shared" si="4"/>
        <v>0</v>
      </c>
      <c r="AY29" s="546">
        <v>0</v>
      </c>
      <c r="AZ29" s="546">
        <f t="shared" si="18"/>
        <v>15105.824868034408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0"/>
        <v>795768.48379562679</v>
      </c>
      <c r="BI29" s="108">
        <f t="shared" si="31"/>
        <v>64</v>
      </c>
      <c r="BJ29" s="108">
        <f t="shared" si="26"/>
        <v>64</v>
      </c>
      <c r="BK29" s="22">
        <f t="shared" si="27"/>
        <v>45954</v>
      </c>
      <c r="BL29" s="108">
        <f t="shared" si="6"/>
        <v>21903</v>
      </c>
    </row>
    <row r="30" spans="1:394" ht="35.25" customHeight="1" x14ac:dyDescent="0.2">
      <c r="A30" s="816" t="s">
        <v>467</v>
      </c>
      <c r="B30" s="763"/>
      <c r="C30" s="662">
        <f>'КЭШ, Реф (БВ_АВТО_Льготный)'!C27</f>
        <v>140321.85420118351</v>
      </c>
      <c r="D30" s="209">
        <f>D29</f>
        <v>0</v>
      </c>
      <c r="E30" s="1097" t="s">
        <v>358</v>
      </c>
      <c r="F30" s="235"/>
      <c r="G30" s="244">
        <f>G29+1</f>
        <v>22</v>
      </c>
      <c r="H30" s="245">
        <f t="shared" si="7"/>
        <v>45985</v>
      </c>
      <c r="I30" s="246">
        <f t="shared" si="8"/>
        <v>0.16899999999999998</v>
      </c>
      <c r="J30" s="242">
        <f t="shared" si="0"/>
        <v>21903</v>
      </c>
      <c r="K30" s="242">
        <f t="shared" si="21"/>
        <v>21903</v>
      </c>
      <c r="L30" s="242">
        <f t="shared" si="22"/>
        <v>13241.098580656448</v>
      </c>
      <c r="M30" s="242">
        <f t="shared" si="23"/>
        <v>8661.9014193435523</v>
      </c>
      <c r="N30" s="242">
        <f t="shared" si="1"/>
        <v>0</v>
      </c>
      <c r="O30" s="242">
        <v>0</v>
      </c>
      <c r="P30" s="242">
        <f t="shared" si="24"/>
        <v>13241.098580656448</v>
      </c>
      <c r="Q30" s="242">
        <f t="shared" si="2"/>
        <v>0</v>
      </c>
      <c r="R30" s="242">
        <f t="shared" si="9"/>
        <v>0</v>
      </c>
      <c r="S30" s="242">
        <f t="shared" si="10"/>
        <v>913842.58072221093</v>
      </c>
      <c r="T30" s="467"/>
      <c r="U30" s="198">
        <f>IF((U29-1)&lt;0,0,U29-1)</f>
        <v>63</v>
      </c>
      <c r="V30" s="36">
        <f t="shared" si="11"/>
        <v>63</v>
      </c>
      <c r="W30" s="36">
        <f t="shared" si="12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3"/>
        <v>1</v>
      </c>
      <c r="AQ30" s="553">
        <f>AQ29+1</f>
        <v>22</v>
      </c>
      <c r="AR30" s="554">
        <f t="shared" si="14"/>
        <v>45985</v>
      </c>
      <c r="AS30" s="555">
        <f t="shared" si="32"/>
        <v>0.22899999999999998</v>
      </c>
      <c r="AT30" s="546">
        <f t="shared" si="15"/>
        <v>21903</v>
      </c>
      <c r="AU30" s="546">
        <f t="shared" si="25"/>
        <v>21903</v>
      </c>
      <c r="AV30" s="546">
        <f t="shared" si="16"/>
        <v>15477.151962918231</v>
      </c>
      <c r="AW30" s="546">
        <f>IF(BJ30=0,0,IF(BJ30=1,BH29,IF(BH29+AX30+AV30&gt;AU29,AU30-AV30-AX30,BH29)))</f>
        <v>6425.8480370817688</v>
      </c>
      <c r="AX30" s="546">
        <f t="shared" si="4"/>
        <v>0</v>
      </c>
      <c r="AY30" s="546">
        <v>0</v>
      </c>
      <c r="AZ30" s="546">
        <f t="shared" si="18"/>
        <v>15477.151962918231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789342.63575854502</v>
      </c>
      <c r="BI30" s="108">
        <f>IF((BI29-1)&lt;0,0,BI29-1)</f>
        <v>63</v>
      </c>
      <c r="BJ30" s="108">
        <f t="shared" si="26"/>
        <v>63</v>
      </c>
      <c r="BK30" s="22">
        <f t="shared" si="27"/>
        <v>45985</v>
      </c>
      <c r="BL30" s="108">
        <f t="shared" si="6"/>
        <v>21903</v>
      </c>
    </row>
    <row r="31" spans="1:394" ht="42" customHeight="1" x14ac:dyDescent="0.2">
      <c r="A31" s="815" t="s">
        <v>357</v>
      </c>
      <c r="B31" s="815"/>
      <c r="C31" s="518">
        <f>C28-C30</f>
        <v>644699.58403666504</v>
      </c>
      <c r="D31" s="212">
        <f>D28+D29</f>
        <v>919153.44651612325</v>
      </c>
      <c r="E31" s="1098">
        <f>D31-C31</f>
        <v>274453.86247945821</v>
      </c>
      <c r="F31" s="236"/>
      <c r="G31" s="244">
        <f t="shared" si="28"/>
        <v>23</v>
      </c>
      <c r="H31" s="245">
        <f t="shared" si="7"/>
        <v>46015</v>
      </c>
      <c r="I31" s="246">
        <f t="shared" si="8"/>
        <v>0.16899999999999998</v>
      </c>
      <c r="J31" s="242">
        <f t="shared" si="0"/>
        <v>21903</v>
      </c>
      <c r="K31" s="242">
        <f t="shared" si="21"/>
        <v>21903</v>
      </c>
      <c r="L31" s="242">
        <f t="shared" si="22"/>
        <v>12693.64899797701</v>
      </c>
      <c r="M31" s="242">
        <f t="shared" si="23"/>
        <v>9209.3510020229896</v>
      </c>
      <c r="N31" s="242">
        <f t="shared" si="1"/>
        <v>0</v>
      </c>
      <c r="O31" s="242">
        <v>0</v>
      </c>
      <c r="P31" s="242">
        <f t="shared" si="24"/>
        <v>12693.64899797701</v>
      </c>
      <c r="Q31" s="242">
        <f t="shared" si="2"/>
        <v>0</v>
      </c>
      <c r="R31" s="242">
        <f t="shared" si="9"/>
        <v>0</v>
      </c>
      <c r="S31" s="242">
        <f t="shared" si="10"/>
        <v>904633.22972018796</v>
      </c>
      <c r="T31" s="467"/>
      <c r="U31" s="198">
        <f t="shared" si="29"/>
        <v>62</v>
      </c>
      <c r="V31" s="36">
        <f t="shared" si="11"/>
        <v>62</v>
      </c>
      <c r="W31" s="36">
        <f t="shared" si="12"/>
        <v>0</v>
      </c>
      <c r="X31" s="16"/>
      <c r="Y31" s="16"/>
      <c r="Z31" s="57"/>
      <c r="AD31" s="15">
        <f>IF(C12=X3,X17,IF(C12=Z3,Z17,IF(C12=AA3,AA17,IF(C12=AB3,AB17,IF(C12=Y3,Y17,)))))</f>
        <v>0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3"/>
        <v>1</v>
      </c>
      <c r="AQ31" s="553">
        <f t="shared" si="30"/>
        <v>23</v>
      </c>
      <c r="AR31" s="554">
        <f t="shared" si="14"/>
        <v>46015</v>
      </c>
      <c r="AS31" s="555">
        <f t="shared" si="32"/>
        <v>0.22899999999999998</v>
      </c>
      <c r="AT31" s="546">
        <f t="shared" si="15"/>
        <v>21903</v>
      </c>
      <c r="AU31" s="546">
        <f t="shared" si="25"/>
        <v>21903</v>
      </c>
      <c r="AV31" s="546">
        <f t="shared" si="16"/>
        <v>14856.942212770422</v>
      </c>
      <c r="AW31" s="546">
        <f t="shared" si="17"/>
        <v>7046.057787229578</v>
      </c>
      <c r="AX31" s="546">
        <f t="shared" si="4"/>
        <v>0</v>
      </c>
      <c r="AY31" s="546">
        <v>0</v>
      </c>
      <c r="AZ31" s="546">
        <f t="shared" si="18"/>
        <v>14856.942212770422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0"/>
        <v>782296.57797131548</v>
      </c>
      <c r="BI31" s="108">
        <f t="shared" si="31"/>
        <v>62</v>
      </c>
      <c r="BJ31" s="108">
        <f t="shared" si="26"/>
        <v>62</v>
      </c>
      <c r="BK31" s="22">
        <f t="shared" si="27"/>
        <v>46015</v>
      </c>
      <c r="BL31" s="108">
        <f t="shared" si="6"/>
        <v>21903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812" t="s">
        <v>175</v>
      </c>
      <c r="B32" s="813"/>
      <c r="C32" s="813"/>
      <c r="D32" s="813"/>
      <c r="E32" s="814"/>
      <c r="F32" s="696"/>
      <c r="G32" s="248">
        <f t="shared" si="28"/>
        <v>24</v>
      </c>
      <c r="H32" s="679">
        <f t="shared" si="7"/>
        <v>46046</v>
      </c>
      <c r="I32" s="250">
        <f t="shared" si="8"/>
        <v>0.16899999999999998</v>
      </c>
      <c r="J32" s="252">
        <f t="shared" si="0"/>
        <v>21903</v>
      </c>
      <c r="K32" s="252">
        <f t="shared" si="21"/>
        <v>21903</v>
      </c>
      <c r="L32" s="252">
        <f t="shared" si="22"/>
        <v>12984.584905490588</v>
      </c>
      <c r="M32" s="252">
        <f t="shared" si="23"/>
        <v>8918.4150945094116</v>
      </c>
      <c r="N32" s="252">
        <f t="shared" si="1"/>
        <v>0</v>
      </c>
      <c r="O32" s="252">
        <v>0</v>
      </c>
      <c r="P32" s="252">
        <f t="shared" si="24"/>
        <v>12984.584905490588</v>
      </c>
      <c r="Q32" s="252">
        <f t="shared" si="2"/>
        <v>0</v>
      </c>
      <c r="R32" s="252">
        <f t="shared" si="9"/>
        <v>0</v>
      </c>
      <c r="S32" s="252">
        <f t="shared" si="10"/>
        <v>895714.81462567858</v>
      </c>
      <c r="T32" s="468"/>
      <c r="U32" s="198">
        <f t="shared" si="29"/>
        <v>61</v>
      </c>
      <c r="V32" s="36">
        <f t="shared" si="11"/>
        <v>61</v>
      </c>
      <c r="W32" s="36">
        <f t="shared" si="12"/>
        <v>0</v>
      </c>
      <c r="X32" s="16"/>
      <c r="Y32" s="16"/>
      <c r="Z32" s="57"/>
      <c r="AD32" s="15">
        <f>IF(C12=X3,X17,IF(C12=Z3,Z17,IF(C12=AA3,AA17,IF(C12=AB3,AB17,IF(C12=Y3,Y17,)))))</f>
        <v>0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3"/>
        <v>1</v>
      </c>
      <c r="AQ32" s="556">
        <f t="shared" si="30"/>
        <v>24</v>
      </c>
      <c r="AR32" s="680">
        <f t="shared" si="14"/>
        <v>46046</v>
      </c>
      <c r="AS32" s="557">
        <f t="shared" si="32"/>
        <v>0.22899999999999998</v>
      </c>
      <c r="AT32" s="547">
        <f t="shared" si="15"/>
        <v>21903</v>
      </c>
      <c r="AU32" s="547">
        <f t="shared" si="25"/>
        <v>21903</v>
      </c>
      <c r="AV32" s="547">
        <f t="shared" si="16"/>
        <v>15215.132621968132</v>
      </c>
      <c r="AW32" s="547">
        <f t="shared" si="17"/>
        <v>6687.8673780318677</v>
      </c>
      <c r="AX32" s="547">
        <f t="shared" si="4"/>
        <v>0</v>
      </c>
      <c r="AY32" s="547">
        <v>0</v>
      </c>
      <c r="AZ32" s="547">
        <f t="shared" si="18"/>
        <v>15215.132621968132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0"/>
        <v>775608.71059328364</v>
      </c>
      <c r="BI32" s="108">
        <f t="shared" si="31"/>
        <v>61</v>
      </c>
      <c r="BJ32" s="108">
        <f t="shared" si="26"/>
        <v>61</v>
      </c>
      <c r="BK32" s="22">
        <f t="shared" si="27"/>
        <v>46046</v>
      </c>
      <c r="BL32" s="108">
        <f t="shared" si="6"/>
        <v>21903</v>
      </c>
    </row>
    <row r="33" spans="1:1218" ht="14.25" x14ac:dyDescent="0.2">
      <c r="A33" s="792" t="s">
        <v>186</v>
      </c>
      <c r="B33" s="699" t="s">
        <v>180</v>
      </c>
      <c r="C33" s="696">
        <f>C31/($C$10/12)</f>
        <v>92099.940576666428</v>
      </c>
      <c r="D33" s="696">
        <f>D31/($C$10/12)</f>
        <v>131307.63521658903</v>
      </c>
      <c r="E33" s="696">
        <f>D33-C33</f>
        <v>39207.6946399226</v>
      </c>
      <c r="F33" s="696"/>
      <c r="G33" s="244">
        <f t="shared" si="28"/>
        <v>25</v>
      </c>
      <c r="H33" s="245">
        <f t="shared" si="7"/>
        <v>46077</v>
      </c>
      <c r="I33" s="246">
        <f t="shared" si="8"/>
        <v>0.16899999999999998</v>
      </c>
      <c r="J33" s="242">
        <f t="shared" si="0"/>
        <v>21903</v>
      </c>
      <c r="K33" s="242">
        <f t="shared" si="21"/>
        <v>21903</v>
      </c>
      <c r="L33" s="242">
        <f>S32*($C$13/365*(H33-H32))</f>
        <v>12856.57510636693</v>
      </c>
      <c r="M33" s="242">
        <f t="shared" si="23"/>
        <v>9046.4248936330696</v>
      </c>
      <c r="N33" s="242">
        <f t="shared" si="1"/>
        <v>0</v>
      </c>
      <c r="O33" s="242">
        <v>0</v>
      </c>
      <c r="P33" s="242">
        <f t="shared" si="24"/>
        <v>12856.57510636693</v>
      </c>
      <c r="Q33" s="242">
        <f t="shared" si="2"/>
        <v>0</v>
      </c>
      <c r="R33" s="242">
        <f t="shared" si="9"/>
        <v>0</v>
      </c>
      <c r="S33" s="242">
        <f t="shared" si="10"/>
        <v>886668.38973204547</v>
      </c>
      <c r="T33" s="467"/>
      <c r="U33" s="198">
        <f t="shared" si="29"/>
        <v>60</v>
      </c>
      <c r="V33" s="36">
        <f t="shared" si="11"/>
        <v>60</v>
      </c>
      <c r="W33" s="36">
        <f t="shared" si="12"/>
        <v>0</v>
      </c>
      <c r="X33" s="16"/>
      <c r="Y33" s="16"/>
      <c r="Z33" s="57"/>
      <c r="AF33" s="15"/>
      <c r="AG33" s="173">
        <f>$C$24-AH33</f>
        <v>-1506</v>
      </c>
      <c r="AH33" s="2">
        <f>ROUNDUP(((S20)*AH37/12*(1+AH37/12)^(U21)/((1+AH37/12)^(U21)-1)+S20/10000*IF(U21&lt;11,20,IF(U21&lt;34,0.7,IF(U21&lt;58,0.3,0.1)))*IF(AH37&lt;0.3,AH37/0.2,AH37/0.1))/AH47,0)*AH47</f>
        <v>23280</v>
      </c>
      <c r="AI33" s="16">
        <v>6000000</v>
      </c>
      <c r="AN33" s="16"/>
      <c r="AO33" s="16"/>
      <c r="AP33" s="130">
        <f t="shared" si="13"/>
        <v>1</v>
      </c>
      <c r="AQ33" s="553">
        <f t="shared" si="30"/>
        <v>25</v>
      </c>
      <c r="AR33" s="554">
        <f t="shared" si="14"/>
        <v>46077</v>
      </c>
      <c r="AS33" s="555">
        <f t="shared" ref="AS33:AS44" si="38">IF($D$16="Да",$AN$38,$D$13)</f>
        <v>0.22899999999999998</v>
      </c>
      <c r="AT33" s="546">
        <f t="shared" si="15"/>
        <v>21903</v>
      </c>
      <c r="AU33" s="546">
        <f t="shared" si="25"/>
        <v>21903</v>
      </c>
      <c r="AV33" s="546">
        <f t="shared" si="16"/>
        <v>15085.058182196495</v>
      </c>
      <c r="AW33" s="546">
        <f t="shared" si="17"/>
        <v>6817.9418178035048</v>
      </c>
      <c r="AX33" s="546">
        <f t="shared" si="4"/>
        <v>0</v>
      </c>
      <c r="AY33" s="546">
        <v>0</v>
      </c>
      <c r="AZ33" s="546">
        <f t="shared" si="18"/>
        <v>15085.058182196495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0"/>
        <v>768790.7687754801</v>
      </c>
      <c r="BI33" s="108">
        <f t="shared" si="31"/>
        <v>60</v>
      </c>
      <c r="BJ33" s="108">
        <f t="shared" si="26"/>
        <v>60</v>
      </c>
      <c r="BK33" s="22">
        <f t="shared" si="27"/>
        <v>46077</v>
      </c>
      <c r="BL33" s="108">
        <f t="shared" si="6"/>
        <v>21903</v>
      </c>
      <c r="BO33" s="782"/>
      <c r="BQ33" s="131"/>
    </row>
    <row r="34" spans="1:1218" ht="25.5" customHeight="1" x14ac:dyDescent="0.2">
      <c r="A34" s="792"/>
      <c r="B34" s="699" t="s">
        <v>181</v>
      </c>
      <c r="C34" s="201">
        <f>C33/C23</f>
        <v>8.5007038307340257E-2</v>
      </c>
      <c r="D34" s="201">
        <f>D33/D23</f>
        <v>0.14413587195659822</v>
      </c>
      <c r="E34" s="696"/>
      <c r="F34" s="696"/>
      <c r="G34" s="244">
        <f t="shared" si="28"/>
        <v>26</v>
      </c>
      <c r="H34" s="245">
        <f t="shared" si="7"/>
        <v>46105</v>
      </c>
      <c r="I34" s="246">
        <f t="shared" si="8"/>
        <v>0.16899999999999998</v>
      </c>
      <c r="J34" s="242">
        <f t="shared" si="0"/>
        <v>21903</v>
      </c>
      <c r="K34" s="242">
        <f t="shared" si="21"/>
        <v>21903</v>
      </c>
      <c r="L34" s="242">
        <f t="shared" si="22"/>
        <v>11495.10909647134</v>
      </c>
      <c r="M34" s="242">
        <f t="shared" si="23"/>
        <v>10407.89090352866</v>
      </c>
      <c r="N34" s="242">
        <f t="shared" si="1"/>
        <v>0</v>
      </c>
      <c r="O34" s="242">
        <v>0</v>
      </c>
      <c r="P34" s="242">
        <f t="shared" si="24"/>
        <v>11495.10909647134</v>
      </c>
      <c r="Q34" s="242">
        <f t="shared" si="2"/>
        <v>0</v>
      </c>
      <c r="R34" s="242">
        <f t="shared" si="9"/>
        <v>0</v>
      </c>
      <c r="S34" s="242">
        <f t="shared" si="10"/>
        <v>876260.49882851681</v>
      </c>
      <c r="T34" s="467"/>
      <c r="U34" s="198">
        <f t="shared" si="29"/>
        <v>59</v>
      </c>
      <c r="V34" s="36">
        <f t="shared" si="11"/>
        <v>59</v>
      </c>
      <c r="W34" s="36">
        <f t="shared" si="12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3"/>
        <v>1</v>
      </c>
      <c r="AQ34" s="553">
        <f t="shared" si="30"/>
        <v>26</v>
      </c>
      <c r="AR34" s="554">
        <f t="shared" si="14"/>
        <v>46105</v>
      </c>
      <c r="AS34" s="555">
        <f t="shared" si="38"/>
        <v>0.22899999999999998</v>
      </c>
      <c r="AT34" s="546">
        <f t="shared" si="15"/>
        <v>21903</v>
      </c>
      <c r="AU34" s="546">
        <f t="shared" si="25"/>
        <v>21903</v>
      </c>
      <c r="AV34" s="546">
        <f t="shared" si="16"/>
        <v>13505.442217502405</v>
      </c>
      <c r="AW34" s="546">
        <f t="shared" si="17"/>
        <v>8397.5577824975953</v>
      </c>
      <c r="AX34" s="546">
        <f t="shared" si="4"/>
        <v>0</v>
      </c>
      <c r="AY34" s="546">
        <v>0</v>
      </c>
      <c r="AZ34" s="546">
        <f t="shared" si="18"/>
        <v>13505.442217502405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0"/>
        <v>760393.21099298249</v>
      </c>
      <c r="BI34" s="108">
        <f t="shared" si="31"/>
        <v>59</v>
      </c>
      <c r="BJ34" s="108">
        <f t="shared" si="26"/>
        <v>59</v>
      </c>
      <c r="BK34" s="22">
        <f t="shared" si="27"/>
        <v>46105</v>
      </c>
      <c r="BL34" s="108">
        <f t="shared" si="6"/>
        <v>21903</v>
      </c>
      <c r="BO34" s="782"/>
    </row>
    <row r="35" spans="1:1218" ht="31.5" customHeight="1" x14ac:dyDescent="0.2">
      <c r="A35" s="763" t="s">
        <v>177</v>
      </c>
      <c r="B35" s="763"/>
      <c r="C35" s="190">
        <f>C33/12</f>
        <v>7674.9950480555353</v>
      </c>
      <c r="D35" s="696">
        <f>D33/12</f>
        <v>10942.302934715752</v>
      </c>
      <c r="E35" s="696">
        <f>D35-C35</f>
        <v>3267.3078866602164</v>
      </c>
      <c r="F35" s="696"/>
      <c r="G35" s="244">
        <f t="shared" si="28"/>
        <v>27</v>
      </c>
      <c r="H35" s="245">
        <f t="shared" si="7"/>
        <v>46136</v>
      </c>
      <c r="I35" s="246">
        <f t="shared" si="8"/>
        <v>0.16899999999999998</v>
      </c>
      <c r="J35" s="242">
        <f t="shared" si="0"/>
        <v>21903</v>
      </c>
      <c r="K35" s="242">
        <f t="shared" si="21"/>
        <v>21903</v>
      </c>
      <c r="L35" s="242">
        <f t="shared" si="22"/>
        <v>12577.339050308492</v>
      </c>
      <c r="M35" s="242">
        <f t="shared" si="23"/>
        <v>9325.660949691508</v>
      </c>
      <c r="N35" s="242">
        <f t="shared" si="1"/>
        <v>0</v>
      </c>
      <c r="O35" s="242">
        <v>0</v>
      </c>
      <c r="P35" s="242">
        <f t="shared" si="24"/>
        <v>12577.339050308492</v>
      </c>
      <c r="Q35" s="242">
        <f t="shared" si="2"/>
        <v>0</v>
      </c>
      <c r="R35" s="242">
        <f t="shared" si="9"/>
        <v>0</v>
      </c>
      <c r="S35" s="242">
        <f t="shared" si="10"/>
        <v>866934.83787882526</v>
      </c>
      <c r="T35" s="467"/>
      <c r="U35" s="198">
        <f t="shared" si="29"/>
        <v>58</v>
      </c>
      <c r="V35" s="36">
        <f t="shared" si="11"/>
        <v>58</v>
      </c>
      <c r="W35" s="36">
        <f t="shared" si="12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3"/>
        <v>1</v>
      </c>
      <c r="AQ35" s="553">
        <f t="shared" si="30"/>
        <v>27</v>
      </c>
      <c r="AR35" s="554">
        <f t="shared" si="14"/>
        <v>46136</v>
      </c>
      <c r="AS35" s="555">
        <f t="shared" si="38"/>
        <v>0.22899999999999998</v>
      </c>
      <c r="AT35" s="546">
        <f t="shared" si="15"/>
        <v>21903</v>
      </c>
      <c r="AU35" s="546">
        <f t="shared" si="25"/>
        <v>21903</v>
      </c>
      <c r="AV35" s="546">
        <f t="shared" si="16"/>
        <v>14789.127136545705</v>
      </c>
      <c r="AW35" s="546">
        <f t="shared" si="17"/>
        <v>7113.8728634542949</v>
      </c>
      <c r="AX35" s="546">
        <f t="shared" si="4"/>
        <v>0</v>
      </c>
      <c r="AY35" s="546">
        <v>0</v>
      </c>
      <c r="AZ35" s="546">
        <f t="shared" si="18"/>
        <v>14789.127136545705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0"/>
        <v>753279.33812952822</v>
      </c>
      <c r="BI35" s="108">
        <f t="shared" si="31"/>
        <v>58</v>
      </c>
      <c r="BJ35" s="108">
        <f t="shared" si="26"/>
        <v>58</v>
      </c>
      <c r="BK35" s="22">
        <f t="shared" si="27"/>
        <v>46136</v>
      </c>
      <c r="BL35" s="108">
        <f t="shared" si="6"/>
        <v>21903</v>
      </c>
      <c r="BO35" s="782"/>
    </row>
    <row r="36" spans="1:1218" ht="21.75" customHeight="1" thickBot="1" x14ac:dyDescent="0.35">
      <c r="A36" s="789" t="s">
        <v>176</v>
      </c>
      <c r="B36" s="789"/>
      <c r="C36" s="203">
        <f>C35/30</f>
        <v>255.83316826851785</v>
      </c>
      <c r="D36" s="202">
        <f>D35/30</f>
        <v>364.74343115719171</v>
      </c>
      <c r="E36" s="202">
        <f>D36-C36</f>
        <v>108.91026288867386</v>
      </c>
      <c r="F36" s="178"/>
      <c r="G36" s="244">
        <f t="shared" si="28"/>
        <v>28</v>
      </c>
      <c r="H36" s="245">
        <f t="shared" si="7"/>
        <v>46166</v>
      </c>
      <c r="I36" s="246">
        <f t="shared" si="8"/>
        <v>0.16899999999999998</v>
      </c>
      <c r="J36" s="242">
        <f t="shared" si="0"/>
        <v>21903</v>
      </c>
      <c r="K36" s="242">
        <f t="shared" si="21"/>
        <v>21903</v>
      </c>
      <c r="L36" s="242">
        <f t="shared" si="22"/>
        <v>12042.081172727791</v>
      </c>
      <c r="M36" s="242">
        <f t="shared" si="23"/>
        <v>9860.9188272722095</v>
      </c>
      <c r="N36" s="242">
        <f t="shared" si="1"/>
        <v>0</v>
      </c>
      <c r="O36" s="242">
        <v>0</v>
      </c>
      <c r="P36" s="242">
        <f t="shared" si="24"/>
        <v>12042.081172727791</v>
      </c>
      <c r="Q36" s="242">
        <f t="shared" si="2"/>
        <v>0</v>
      </c>
      <c r="R36" s="242">
        <f t="shared" si="9"/>
        <v>0</v>
      </c>
      <c r="S36" s="242">
        <f t="shared" si="10"/>
        <v>857073.91905155301</v>
      </c>
      <c r="T36" s="467"/>
      <c r="U36" s="198">
        <f t="shared" si="29"/>
        <v>57</v>
      </c>
      <c r="V36" s="36">
        <f t="shared" si="11"/>
        <v>57</v>
      </c>
      <c r="W36" s="36">
        <f t="shared" si="12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21774</v>
      </c>
      <c r="AH36" s="15">
        <f>IF(OR(C$8="Гарантия стандарт",C$8="Гарантия пакет"),AE13,C11)</f>
        <v>0.22899999999999998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21903</v>
      </c>
      <c r="AN36" s="15">
        <f>IF(OR(D$8="Гарантия стандарт",D$8="Гарантия пакет"),AE13,D11)</f>
        <v>0.22899999999999998</v>
      </c>
      <c r="AO36" s="16"/>
      <c r="AP36" s="130">
        <f t="shared" si="13"/>
        <v>1</v>
      </c>
      <c r="AQ36" s="553">
        <f t="shared" si="30"/>
        <v>28</v>
      </c>
      <c r="AR36" s="554">
        <f t="shared" si="14"/>
        <v>46166</v>
      </c>
      <c r="AS36" s="555">
        <f t="shared" si="38"/>
        <v>0.22899999999999998</v>
      </c>
      <c r="AT36" s="546">
        <f t="shared" si="15"/>
        <v>21903</v>
      </c>
      <c r="AU36" s="546">
        <f t="shared" si="25"/>
        <v>21903</v>
      </c>
      <c r="AV36" s="546">
        <f t="shared" si="16"/>
        <v>14178.161788903721</v>
      </c>
      <c r="AW36" s="546">
        <f t="shared" si="17"/>
        <v>7724.8382110962793</v>
      </c>
      <c r="AX36" s="546">
        <f t="shared" si="4"/>
        <v>0</v>
      </c>
      <c r="AY36" s="546">
        <v>0</v>
      </c>
      <c r="AZ36" s="546">
        <f t="shared" si="18"/>
        <v>14178.161788903721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0"/>
        <v>745554.49991843197</v>
      </c>
      <c r="BI36" s="108">
        <f t="shared" si="31"/>
        <v>57</v>
      </c>
      <c r="BJ36" s="108">
        <f t="shared" si="26"/>
        <v>57</v>
      </c>
      <c r="BK36" s="22">
        <f t="shared" si="27"/>
        <v>46166</v>
      </c>
      <c r="BL36" s="108">
        <f t="shared" si="6"/>
        <v>21903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7"/>
        <v>46197</v>
      </c>
      <c r="I37" s="246">
        <f t="shared" si="8"/>
        <v>0.16899999999999998</v>
      </c>
      <c r="J37" s="242">
        <f t="shared" si="0"/>
        <v>21903</v>
      </c>
      <c r="K37" s="242">
        <f t="shared" si="21"/>
        <v>21903</v>
      </c>
      <c r="L37" s="242">
        <f t="shared" si="22"/>
        <v>12301.945923044072</v>
      </c>
      <c r="M37" s="242">
        <f t="shared" si="23"/>
        <v>9601.0540769559284</v>
      </c>
      <c r="N37" s="242">
        <f t="shared" si="1"/>
        <v>0</v>
      </c>
      <c r="O37" s="242">
        <v>0</v>
      </c>
      <c r="P37" s="242">
        <f t="shared" si="24"/>
        <v>12301.945923044072</v>
      </c>
      <c r="Q37" s="242">
        <f t="shared" si="2"/>
        <v>0</v>
      </c>
      <c r="R37" s="242">
        <f t="shared" si="9"/>
        <v>0</v>
      </c>
      <c r="S37" s="242">
        <f t="shared" si="10"/>
        <v>847472.86497459712</v>
      </c>
      <c r="T37" s="467"/>
      <c r="U37" s="198">
        <f t="shared" si="29"/>
        <v>56</v>
      </c>
      <c r="V37" s="36">
        <f t="shared" si="11"/>
        <v>56</v>
      </c>
      <c r="W37" s="36">
        <f t="shared" si="12"/>
        <v>0</v>
      </c>
      <c r="X37" s="16">
        <f>INDEX('Для Перспективы'!$B$6:$F$6,MATCH($C$10,'Для Перспективы'!$B$1:$F$1,0))</f>
        <v>5500</v>
      </c>
      <c r="Y37" s="16">
        <f>INDEX('Для Перспективы'!$B$8:$F$8,MATCH($C$10,'Для Перспективы'!$B$1:$F$1,0))</f>
        <v>11500</v>
      </c>
      <c r="Z37" s="16">
        <f>INDEX('Для Перспективы'!$B$10:$F$10,MATCH($C$10,'Для Перспективы'!$B$1:$F$1,0))</f>
        <v>12000</v>
      </c>
      <c r="AA37" s="16">
        <f>INDEX('Для Перспективы'!$B$12:$F$12,MATCH($C$10,'Для Перспективы'!$B$1:$F$1,0))</f>
        <v>12000</v>
      </c>
      <c r="AB37" s="16">
        <f>INDEX('Для Перспективы'!$B$14:$F$14,MATCH($C$10,'Для Перспективы'!$B$1:$F$1,0))</f>
        <v>12500</v>
      </c>
      <c r="AC37" s="16" t="e">
        <f>INDEX('Для Перспективы'!$B$22:$D$22,MATCH($C$10,'Для Перспективы'!$B$1:$D$1,0))</f>
        <v>#N/A</v>
      </c>
      <c r="AD37" s="16">
        <f>INDEX('Для Перспективы'!$B$20:$F$20,MATCH($C$10,'Для Перспективы'!$B$1:$F$1,0))</f>
        <v>12000</v>
      </c>
      <c r="AE37" s="16">
        <f>INDEX('Для Перспективы'!$B$6:$F$6,MATCH($C$10,'Для Перспективы'!$B$1:$F$1,0))</f>
        <v>5500</v>
      </c>
      <c r="AF37" s="16">
        <f>INDEX('Для Перспективы'!$B$6:$F$6,MATCH($C$10,'Для Перспективы'!$B$1:$F$1,0))</f>
        <v>5500</v>
      </c>
      <c r="AG37" s="47" t="e">
        <f>IF(AH37=AH36,AG36,AG36-$AG$35)</f>
        <v>#N/A</v>
      </c>
      <c r="AH37" s="169">
        <f>AH36-$AH$35</f>
        <v>0.18899999999999997</v>
      </c>
      <c r="AJ37" s="2"/>
      <c r="AK37" s="2"/>
      <c r="AL37" s="57"/>
      <c r="AM37" s="47" t="e">
        <f>AM36-$AM$35</f>
        <v>#N/A</v>
      </c>
      <c r="AN37" s="169">
        <f>AN36-$AN$35</f>
        <v>0.18899999999999997</v>
      </c>
      <c r="AP37" s="130">
        <f t="shared" si="13"/>
        <v>1</v>
      </c>
      <c r="AQ37" s="553">
        <f t="shared" si="30"/>
        <v>29</v>
      </c>
      <c r="AR37" s="554">
        <f t="shared" si="14"/>
        <v>46197</v>
      </c>
      <c r="AS37" s="555">
        <f t="shared" si="38"/>
        <v>0.22899999999999998</v>
      </c>
      <c r="AT37" s="546">
        <f t="shared" si="15"/>
        <v>21903</v>
      </c>
      <c r="AU37" s="546">
        <f t="shared" si="25"/>
        <v>21903</v>
      </c>
      <c r="AV37" s="546">
        <f t="shared" si="16"/>
        <v>14500.524369646435</v>
      </c>
      <c r="AW37" s="546">
        <f t="shared" si="17"/>
        <v>7402.4756303535651</v>
      </c>
      <c r="AX37" s="546">
        <f t="shared" si="4"/>
        <v>0</v>
      </c>
      <c r="AY37" s="546">
        <v>0</v>
      </c>
      <c r="AZ37" s="546">
        <f t="shared" si="18"/>
        <v>14500.524369646435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0"/>
        <v>738152.02428807842</v>
      </c>
      <c r="BI37" s="108">
        <f t="shared" si="31"/>
        <v>56</v>
      </c>
      <c r="BJ37" s="108">
        <f t="shared" si="26"/>
        <v>56</v>
      </c>
      <c r="BK37" s="22">
        <f t="shared" si="27"/>
        <v>46197</v>
      </c>
      <c r="BL37" s="108">
        <f t="shared" si="6"/>
        <v>21903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7"/>
        <v>46227</v>
      </c>
      <c r="I38" s="246">
        <f t="shared" si="8"/>
        <v>0.16899999999999998</v>
      </c>
      <c r="J38" s="242">
        <f t="shared" si="0"/>
        <v>21903</v>
      </c>
      <c r="K38" s="242">
        <f t="shared" si="21"/>
        <v>21903</v>
      </c>
      <c r="L38" s="242">
        <f t="shared" si="22"/>
        <v>11771.746371017005</v>
      </c>
      <c r="M38" s="242">
        <f t="shared" si="23"/>
        <v>10131.253628982995</v>
      </c>
      <c r="N38" s="242">
        <f t="shared" si="1"/>
        <v>0</v>
      </c>
      <c r="O38" s="242">
        <v>0</v>
      </c>
      <c r="P38" s="242">
        <f t="shared" si="24"/>
        <v>11771.746371017005</v>
      </c>
      <c r="Q38" s="242">
        <f t="shared" si="2"/>
        <v>0</v>
      </c>
      <c r="R38" s="242">
        <f t="shared" si="9"/>
        <v>0</v>
      </c>
      <c r="S38" s="242">
        <f t="shared" si="10"/>
        <v>837341.61134561407</v>
      </c>
      <c r="T38" s="467"/>
      <c r="U38" s="198">
        <f t="shared" si="29"/>
        <v>55</v>
      </c>
      <c r="V38" s="36">
        <f t="shared" si="11"/>
        <v>55</v>
      </c>
      <c r="W38" s="36">
        <f t="shared" si="12"/>
        <v>0</v>
      </c>
      <c r="X38" s="16">
        <f>INDEX('Для Перспективы'!B7:F7,MATCH($C$10,'Для Перспективы'!$B$1:$F$1,0))</f>
        <v>118000</v>
      </c>
      <c r="Y38" s="16">
        <f>INDEX('Для Перспективы'!$B$9:$F$9,MATCH($C$10,'Для Перспективы'!$B$1:$F$1,0))</f>
        <v>108900</v>
      </c>
      <c r="Z38" s="16">
        <f>INDEX('Для Перспективы'!$B$11:$F$11,MATCH($C$10,'Для Перспективы'!$B$1:$F$1,0))</f>
        <v>112200</v>
      </c>
      <c r="AA38" s="16">
        <f>INDEX('Для Перспективы'!$B$13:$F$13,MATCH($C$10,'Для Перспективы'!$B$1:$F$1,0))</f>
        <v>115500</v>
      </c>
      <c r="AB38" s="16">
        <f>INDEX('Для Перспективы'!$B$15:$F$15,MATCH($C$10,'Для Перспективы'!$B$1:$F$1,0))</f>
        <v>118900</v>
      </c>
      <c r="AC38" s="16" t="e">
        <f>INDEX('Для Перспективы'!$B$23:$D$23,MATCH($C$10,'Для Перспективы'!$B$1:$D$1,0))</f>
        <v>#N/A</v>
      </c>
      <c r="AD38" s="16" t="e">
        <f>INDEX('Для Перспективы'!$B$11:$D$11,MATCH($C$10,'Для Перспективы'!$B$1:$D$1,0))</f>
        <v>#N/A</v>
      </c>
      <c r="AE38" s="16" t="e">
        <f>INDEX('Для Перспективы'!$B$11:$D$11,MATCH($C$10,'Для Перспективы'!$B$1:$D$1,0))</f>
        <v>#N/A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0.18899999999999997</v>
      </c>
      <c r="AJ38" s="2"/>
      <c r="AK38" s="2"/>
      <c r="AL38" s="57"/>
      <c r="AM38" s="47" t="e">
        <f>AM36-$AM$35</f>
        <v>#N/A</v>
      </c>
      <c r="AN38" s="169">
        <f>AN36-$AN$35</f>
        <v>0.18899999999999997</v>
      </c>
      <c r="AO38" s="63"/>
      <c r="AP38" s="130">
        <f t="shared" si="13"/>
        <v>1</v>
      </c>
      <c r="AQ38" s="553">
        <f t="shared" si="30"/>
        <v>30</v>
      </c>
      <c r="AR38" s="554">
        <f t="shared" si="14"/>
        <v>46227</v>
      </c>
      <c r="AS38" s="555">
        <f t="shared" si="38"/>
        <v>0.22899999999999998</v>
      </c>
      <c r="AT38" s="546">
        <f t="shared" si="15"/>
        <v>21903</v>
      </c>
      <c r="AU38" s="546">
        <f t="shared" si="25"/>
        <v>21903</v>
      </c>
      <c r="AV38" s="546">
        <f t="shared" si="16"/>
        <v>13893.436731120817</v>
      </c>
      <c r="AW38" s="546">
        <f t="shared" si="17"/>
        <v>8009.5632688791829</v>
      </c>
      <c r="AX38" s="546">
        <f t="shared" si="4"/>
        <v>0</v>
      </c>
      <c r="AY38" s="546">
        <v>0</v>
      </c>
      <c r="AZ38" s="546">
        <f t="shared" si="18"/>
        <v>13893.436731120817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0"/>
        <v>730142.46101919923</v>
      </c>
      <c r="BI38" s="108">
        <f t="shared" si="31"/>
        <v>55</v>
      </c>
      <c r="BJ38" s="108">
        <f t="shared" si="26"/>
        <v>55</v>
      </c>
      <c r="BK38" s="22">
        <f t="shared" si="27"/>
        <v>46227</v>
      </c>
      <c r="BL38" s="108">
        <f t="shared" si="6"/>
        <v>21903</v>
      </c>
    </row>
    <row r="39" spans="1:1218" s="16" customFormat="1" ht="12" customHeight="1" x14ac:dyDescent="0.3">
      <c r="A39" s="180"/>
      <c r="B39" s="729"/>
      <c r="C39" s="524"/>
      <c r="D39" s="254"/>
      <c r="E39" s="178"/>
      <c r="F39" s="178"/>
      <c r="G39" s="244">
        <f t="shared" si="28"/>
        <v>31</v>
      </c>
      <c r="H39" s="245">
        <f t="shared" si="7"/>
        <v>46258</v>
      </c>
      <c r="I39" s="246">
        <f t="shared" si="8"/>
        <v>0.16899999999999998</v>
      </c>
      <c r="J39" s="242">
        <f t="shared" si="0"/>
        <v>21903</v>
      </c>
      <c r="K39" s="242">
        <f t="shared" si="21"/>
        <v>21903</v>
      </c>
      <c r="L39" s="242">
        <f t="shared" si="22"/>
        <v>12018.719731067595</v>
      </c>
      <c r="M39" s="242">
        <f t="shared" si="23"/>
        <v>9884.2802689324053</v>
      </c>
      <c r="N39" s="242">
        <f t="shared" si="1"/>
        <v>0</v>
      </c>
      <c r="O39" s="242">
        <v>0</v>
      </c>
      <c r="P39" s="242">
        <f t="shared" si="24"/>
        <v>12018.719731067595</v>
      </c>
      <c r="Q39" s="242">
        <f t="shared" si="2"/>
        <v>0</v>
      </c>
      <c r="R39" s="242">
        <f t="shared" si="9"/>
        <v>0</v>
      </c>
      <c r="S39" s="242">
        <f t="shared" si="10"/>
        <v>827457.33107668161</v>
      </c>
      <c r="T39" s="467"/>
      <c r="U39" s="198">
        <f t="shared" si="29"/>
        <v>54</v>
      </c>
      <c r="V39" s="36">
        <f t="shared" si="11"/>
        <v>54</v>
      </c>
      <c r="W39" s="36">
        <f t="shared" si="12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0.18899999999999997</v>
      </c>
      <c r="AJ39" s="2"/>
      <c r="AK39" s="2"/>
      <c r="AL39" s="57"/>
      <c r="AM39" s="47" t="e">
        <f>AM36-$AM$35</f>
        <v>#N/A</v>
      </c>
      <c r="AN39" s="169">
        <f>AN36-$AN$35</f>
        <v>0.18899999999999997</v>
      </c>
      <c r="AO39" s="15"/>
      <c r="AP39" s="130">
        <f t="shared" si="13"/>
        <v>1</v>
      </c>
      <c r="AQ39" s="553">
        <f t="shared" si="30"/>
        <v>31</v>
      </c>
      <c r="AR39" s="554">
        <f t="shared" si="14"/>
        <v>46258</v>
      </c>
      <c r="AS39" s="555">
        <f t="shared" si="38"/>
        <v>0.22899999999999998</v>
      </c>
      <c r="AT39" s="546">
        <f t="shared" si="15"/>
        <v>21903</v>
      </c>
      <c r="AU39" s="546">
        <f t="shared" si="25"/>
        <v>21903</v>
      </c>
      <c r="AV39" s="546">
        <f t="shared" si="16"/>
        <v>14200.770769247385</v>
      </c>
      <c r="AW39" s="546">
        <f t="shared" si="17"/>
        <v>7702.229230752615</v>
      </c>
      <c r="AX39" s="546">
        <f t="shared" si="4"/>
        <v>0</v>
      </c>
      <c r="AY39" s="546">
        <v>0</v>
      </c>
      <c r="AZ39" s="546">
        <f t="shared" si="18"/>
        <v>14200.770769247385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0"/>
        <v>722440.23178844666</v>
      </c>
      <c r="BI39" s="108">
        <f t="shared" si="31"/>
        <v>54</v>
      </c>
      <c r="BJ39" s="108">
        <f t="shared" si="26"/>
        <v>54</v>
      </c>
      <c r="BK39" s="22">
        <f t="shared" si="27"/>
        <v>46258</v>
      </c>
      <c r="BL39" s="108">
        <f t="shared" si="6"/>
        <v>21903</v>
      </c>
    </row>
    <row r="40" spans="1:1218" s="16" customFormat="1" ht="13.9" customHeight="1" x14ac:dyDescent="0.3">
      <c r="A40" s="180"/>
      <c r="B40" s="729"/>
      <c r="C40" s="524"/>
      <c r="D40" s="254"/>
      <c r="E40" s="178"/>
      <c r="F40" s="178"/>
      <c r="G40" s="244">
        <f t="shared" si="28"/>
        <v>32</v>
      </c>
      <c r="H40" s="245">
        <f t="shared" si="7"/>
        <v>46289</v>
      </c>
      <c r="I40" s="246">
        <f t="shared" si="8"/>
        <v>0.16899999999999998</v>
      </c>
      <c r="J40" s="242">
        <f t="shared" si="0"/>
        <v>21903</v>
      </c>
      <c r="K40" s="242">
        <f t="shared" si="21"/>
        <v>21903</v>
      </c>
      <c r="L40" s="242">
        <f t="shared" si="22"/>
        <v>11876.84645893352</v>
      </c>
      <c r="M40" s="242">
        <f t="shared" si="23"/>
        <v>10026.15354106648</v>
      </c>
      <c r="N40" s="242">
        <f t="shared" si="1"/>
        <v>0</v>
      </c>
      <c r="O40" s="242">
        <v>0</v>
      </c>
      <c r="P40" s="242">
        <f t="shared" si="24"/>
        <v>11876.84645893352</v>
      </c>
      <c r="Q40" s="242">
        <f t="shared" si="2"/>
        <v>0</v>
      </c>
      <c r="R40" s="242">
        <f t="shared" si="9"/>
        <v>0</v>
      </c>
      <c r="S40" s="242">
        <f t="shared" si="10"/>
        <v>817431.17753561516</v>
      </c>
      <c r="T40" s="467"/>
      <c r="U40" s="198">
        <f t="shared" si="29"/>
        <v>53</v>
      </c>
      <c r="V40" s="36">
        <f t="shared" si="11"/>
        <v>53</v>
      </c>
      <c r="W40" s="36">
        <f t="shared" si="12"/>
        <v>0</v>
      </c>
      <c r="X40" s="16">
        <f>INDEX('Для Перспективы'!B2:F2,MATCH($C$10,'Для Перспективы'!$B$1:$F$1,0))</f>
        <v>4000</v>
      </c>
      <c r="Y40" s="16">
        <f>INDEX('Для Перспективы'!B8:F8,MATCH($C$10,'Для Перспективы'!$B$1:$F$1,0))</f>
        <v>11500</v>
      </c>
      <c r="Z40" s="16">
        <f>INDEX('Для Перспективы'!B10:F10,MATCH($C$10,'Для Перспективы'!$B$1:$F$1,0))</f>
        <v>12000</v>
      </c>
      <c r="AA40" s="16">
        <f>INDEX('Для Перспективы'!B12:F12,MATCH($C$10,'Для Перспективы'!$B$1:$F$1,0))</f>
        <v>12000</v>
      </c>
      <c r="AB40" s="16">
        <f>INDEX('Для Перспективы'!B14:F14,MATCH($C$10,'Для Перспективы'!$B$1:$F$1,0))</f>
        <v>12500</v>
      </c>
      <c r="AC40" s="16" t="e">
        <f>INDEX('Для Перспективы'!B14:D14,MATCH($C$10,'Для Перспективы'!$B$1:$D$1,0))</f>
        <v>#N/A</v>
      </c>
      <c r="AD40" s="16" t="e">
        <f>INDEX('Для Перспективы'!B16:D16,MATCH($C$10,'Для Перспективы'!$B$1:$D$1,0))</f>
        <v>#N/A</v>
      </c>
      <c r="AE40" s="16" t="e">
        <f>INDEX('Для Перспективы'!B18:D18,MATCH($C$10,'Для Перспективы'!$B$1:$D$1,0))</f>
        <v>#N/A</v>
      </c>
      <c r="AF40" s="16" t="e">
        <f>INDEX('Для Перспективы'!B20:D20,MATCH($C$10,'Для Перспективы'!$B$1:$D$1,0))</f>
        <v>#N/A</v>
      </c>
      <c r="AG40" s="47" t="e">
        <f t="shared" si="39"/>
        <v>#N/A</v>
      </c>
      <c r="AH40" s="169">
        <f>AH36-$AH$35</f>
        <v>0.18899999999999997</v>
      </c>
      <c r="AJ40" s="2"/>
      <c r="AK40" s="2"/>
      <c r="AL40" s="57"/>
      <c r="AM40" s="47" t="e">
        <f>AM36-$AM$35</f>
        <v>#N/A</v>
      </c>
      <c r="AN40" s="169">
        <f>AN36-$AN$35</f>
        <v>0.18899999999999997</v>
      </c>
      <c r="AO40" s="15"/>
      <c r="AP40" s="130">
        <f t="shared" si="13"/>
        <v>1</v>
      </c>
      <c r="AQ40" s="553">
        <f t="shared" si="30"/>
        <v>32</v>
      </c>
      <c r="AR40" s="554">
        <f t="shared" si="14"/>
        <v>46289</v>
      </c>
      <c r="AS40" s="555">
        <f t="shared" si="38"/>
        <v>0.22899999999999998</v>
      </c>
      <c r="AT40" s="546">
        <f t="shared" si="15"/>
        <v>21903</v>
      </c>
      <c r="AU40" s="546">
        <f t="shared" si="25"/>
        <v>21903</v>
      </c>
      <c r="AV40" s="546">
        <f t="shared" si="16"/>
        <v>14050.96768620872</v>
      </c>
      <c r="AW40" s="546">
        <f t="shared" si="17"/>
        <v>7852.0323137912801</v>
      </c>
      <c r="AX40" s="546">
        <f t="shared" si="4"/>
        <v>0</v>
      </c>
      <c r="AY40" s="546">
        <v>0</v>
      </c>
      <c r="AZ40" s="546">
        <f t="shared" si="18"/>
        <v>14050.96768620872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0"/>
        <v>714588.19947465532</v>
      </c>
      <c r="BI40" s="108">
        <f t="shared" si="31"/>
        <v>53</v>
      </c>
      <c r="BJ40" s="108">
        <f t="shared" si="26"/>
        <v>53</v>
      </c>
      <c r="BK40" s="22">
        <f t="shared" si="27"/>
        <v>46289</v>
      </c>
      <c r="BL40" s="108">
        <f t="shared" si="6"/>
        <v>21903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si="7"/>
        <v>46319</v>
      </c>
      <c r="I41" s="246">
        <f t="shared" si="8"/>
        <v>0.16899999999999998</v>
      </c>
      <c r="J41" s="242">
        <f t="shared" si="0"/>
        <v>21903</v>
      </c>
      <c r="K41" s="242">
        <f t="shared" si="21"/>
        <v>21903</v>
      </c>
      <c r="L41" s="242">
        <f t="shared" si="22"/>
        <v>11354.454986590597</v>
      </c>
      <c r="M41" s="242">
        <f t="shared" si="23"/>
        <v>10548.545013409403</v>
      </c>
      <c r="N41" s="242">
        <f t="shared" si="1"/>
        <v>0</v>
      </c>
      <c r="O41" s="242">
        <v>0</v>
      </c>
      <c r="P41" s="242">
        <f t="shared" si="24"/>
        <v>11354.454986590597</v>
      </c>
      <c r="Q41" s="242">
        <f t="shared" si="2"/>
        <v>0</v>
      </c>
      <c r="R41" s="242">
        <f t="shared" si="9"/>
        <v>0</v>
      </c>
      <c r="S41" s="242">
        <f t="shared" si="10"/>
        <v>806882.63252220571</v>
      </c>
      <c r="T41" s="467"/>
      <c r="U41" s="198">
        <f t="shared" si="29"/>
        <v>52</v>
      </c>
      <c r="V41" s="36">
        <f t="shared" si="11"/>
        <v>52</v>
      </c>
      <c r="W41" s="36">
        <f t="shared" si="12"/>
        <v>0</v>
      </c>
      <c r="X41" s="16">
        <f>INDEX('Для Перспективы'!B3:F3,MATCH($C$10,'Для Перспективы'!$B$1:$F$1,0))</f>
        <v>128000</v>
      </c>
      <c r="Y41" s="16">
        <f>INDEX('Для Перспективы'!B9:F9,MATCH($C$10,'Для Перспективы'!$B$1:$F$1,0))</f>
        <v>108900</v>
      </c>
      <c r="Z41" s="16">
        <f>INDEX('Для Перспективы'!B11:F11,MATCH($C$10,'Для Перспективы'!$B$1:$F$1,0))</f>
        <v>112200</v>
      </c>
      <c r="AA41" s="16">
        <f>INDEX('Для Перспективы'!B13:F13,MATCH($C$10,'Для Перспективы'!$B$1:$F$1,0))</f>
        <v>115500</v>
      </c>
      <c r="AB41" s="16">
        <f>INDEX('Для Перспективы'!B15:F15,MATCH($C$10,'Для Перспективы'!$B$1:$F$1,0))</f>
        <v>118900</v>
      </c>
      <c r="AC41" s="16" t="e">
        <f>INDEX('Для Перспективы'!B15:D15,MATCH($C$10,'Для Перспективы'!$B$1:$D$1,0))</f>
        <v>#N/A</v>
      </c>
      <c r="AD41" s="16" t="e">
        <f>INDEX('Для Перспективы'!B17:D17,MATCH($C$10,'Для Перспективы'!$B$1:$D$1,0))</f>
        <v>#N/A</v>
      </c>
      <c r="AE41" s="16" t="e">
        <f>INDEX('Для Перспективы'!B19:D19,MATCH($C$10,'Для Перспективы'!$B$1:$D$1,0))</f>
        <v>#N/A</v>
      </c>
      <c r="AF41" s="16" t="e">
        <f>INDEX('Для Перспективы'!B21:D21,MATCH($C$10,'Для Перспективы'!$B$1:$D$1,0))</f>
        <v>#N/A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3"/>
        <v>1</v>
      </c>
      <c r="AQ41" s="553">
        <f t="shared" si="30"/>
        <v>33</v>
      </c>
      <c r="AR41" s="554">
        <f t="shared" si="14"/>
        <v>46319</v>
      </c>
      <c r="AS41" s="555">
        <f t="shared" si="38"/>
        <v>0.22899999999999998</v>
      </c>
      <c r="AT41" s="546">
        <f t="shared" si="15"/>
        <v>21903</v>
      </c>
      <c r="AU41" s="546">
        <f t="shared" si="25"/>
        <v>21903</v>
      </c>
      <c r="AV41" s="546">
        <f t="shared" si="16"/>
        <v>13449.920357235293</v>
      </c>
      <c r="AW41" s="546">
        <f t="shared" si="17"/>
        <v>8453.0796427647074</v>
      </c>
      <c r="AX41" s="546">
        <f t="shared" si="4"/>
        <v>0</v>
      </c>
      <c r="AY41" s="546">
        <v>0</v>
      </c>
      <c r="AZ41" s="546">
        <f t="shared" si="18"/>
        <v>13449.920357235293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0"/>
        <v>706135.11983189057</v>
      </c>
      <c r="BI41" s="108">
        <f t="shared" si="31"/>
        <v>52</v>
      </c>
      <c r="BJ41" s="108">
        <f t="shared" si="26"/>
        <v>52</v>
      </c>
      <c r="BK41" s="22">
        <f t="shared" si="27"/>
        <v>46319</v>
      </c>
      <c r="BL41" s="108">
        <f t="shared" si="6"/>
        <v>21903</v>
      </c>
    </row>
    <row r="42" spans="1:1218" s="16" customFormat="1" ht="18.75" customHeight="1" x14ac:dyDescent="0.3">
      <c r="A42" s="180"/>
      <c r="B42" s="178"/>
      <c r="C42" s="184"/>
      <c r="D42" s="254"/>
      <c r="E42" s="178"/>
      <c r="F42" s="178"/>
      <c r="G42" s="244">
        <f t="shared" si="28"/>
        <v>34</v>
      </c>
      <c r="H42" s="245">
        <f t="shared" si="7"/>
        <v>46350</v>
      </c>
      <c r="I42" s="246">
        <f t="shared" si="8"/>
        <v>0.16899999999999998</v>
      </c>
      <c r="J42" s="242">
        <f t="shared" si="0"/>
        <v>21903</v>
      </c>
      <c r="K42" s="242">
        <f t="shared" si="21"/>
        <v>21903</v>
      </c>
      <c r="L42" s="242">
        <f t="shared" si="22"/>
        <v>11581.52907338037</v>
      </c>
      <c r="M42" s="242">
        <f t="shared" si="23"/>
        <v>10321.47092661963</v>
      </c>
      <c r="N42" s="242">
        <f t="shared" si="1"/>
        <v>0</v>
      </c>
      <c r="O42" s="242">
        <v>0</v>
      </c>
      <c r="P42" s="242">
        <f t="shared" si="24"/>
        <v>11581.52907338037</v>
      </c>
      <c r="Q42" s="242">
        <f t="shared" si="2"/>
        <v>0</v>
      </c>
      <c r="R42" s="242">
        <f t="shared" si="9"/>
        <v>0</v>
      </c>
      <c r="S42" s="242">
        <f t="shared" si="10"/>
        <v>796561.16159558611</v>
      </c>
      <c r="T42" s="467"/>
      <c r="U42" s="198">
        <f t="shared" si="29"/>
        <v>51</v>
      </c>
      <c r="V42" s="36">
        <f t="shared" si="11"/>
        <v>51</v>
      </c>
      <c r="W42" s="36">
        <f t="shared" si="12"/>
        <v>0</v>
      </c>
      <c r="X42" s="2"/>
      <c r="Y42" s="18">
        <f>K8</f>
        <v>-1083439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3"/>
        <v>1</v>
      </c>
      <c r="AQ42" s="553">
        <f t="shared" si="30"/>
        <v>34</v>
      </c>
      <c r="AR42" s="554">
        <f t="shared" si="14"/>
        <v>46350</v>
      </c>
      <c r="AS42" s="555">
        <f t="shared" si="38"/>
        <v>0.22899999999999998</v>
      </c>
      <c r="AT42" s="546">
        <f t="shared" si="15"/>
        <v>21903</v>
      </c>
      <c r="AU42" s="546">
        <f t="shared" si="25"/>
        <v>21903</v>
      </c>
      <c r="AV42" s="546">
        <f t="shared" si="16"/>
        <v>13733.844426538606</v>
      </c>
      <c r="AW42" s="546">
        <f t="shared" si="17"/>
        <v>8169.1555734613939</v>
      </c>
      <c r="AX42" s="546">
        <f t="shared" si="4"/>
        <v>0</v>
      </c>
      <c r="AY42" s="546">
        <v>0</v>
      </c>
      <c r="AZ42" s="546">
        <f t="shared" si="18"/>
        <v>13733.844426538606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0"/>
        <v>697965.96425842913</v>
      </c>
      <c r="BI42" s="108">
        <f t="shared" si="31"/>
        <v>51</v>
      </c>
      <c r="BJ42" s="108">
        <f t="shared" si="26"/>
        <v>51</v>
      </c>
      <c r="BK42" s="22">
        <f t="shared" si="27"/>
        <v>46350</v>
      </c>
      <c r="BL42" s="108">
        <f t="shared" si="6"/>
        <v>21903</v>
      </c>
    </row>
    <row r="43" spans="1:1218" s="16" customFormat="1" ht="14.25" x14ac:dyDescent="0.3">
      <c r="A43" s="180"/>
      <c r="B43" s="179"/>
      <c r="C43" s="524"/>
      <c r="D43" s="254"/>
      <c r="E43" s="178"/>
      <c r="F43" s="178"/>
      <c r="G43" s="244">
        <f t="shared" si="28"/>
        <v>35</v>
      </c>
      <c r="H43" s="245">
        <f t="shared" si="7"/>
        <v>46380</v>
      </c>
      <c r="I43" s="246">
        <f t="shared" si="8"/>
        <v>0.16899999999999998</v>
      </c>
      <c r="J43" s="242">
        <f t="shared" si="0"/>
        <v>21903</v>
      </c>
      <c r="K43" s="242">
        <f t="shared" si="21"/>
        <v>21903</v>
      </c>
      <c r="L43" s="242">
        <f t="shared" si="22"/>
        <v>11064.561888464716</v>
      </c>
      <c r="M43" s="242">
        <f t="shared" si="23"/>
        <v>10838.438111535284</v>
      </c>
      <c r="N43" s="242">
        <f t="shared" si="1"/>
        <v>0</v>
      </c>
      <c r="O43" s="242">
        <v>0</v>
      </c>
      <c r="P43" s="242">
        <f t="shared" si="24"/>
        <v>11064.561888464716</v>
      </c>
      <c r="Q43" s="242">
        <f t="shared" si="2"/>
        <v>0</v>
      </c>
      <c r="R43" s="242">
        <f t="shared" si="9"/>
        <v>0</v>
      </c>
      <c r="S43" s="242">
        <f t="shared" si="10"/>
        <v>785722.72348405083</v>
      </c>
      <c r="T43" s="467"/>
      <c r="U43" s="198">
        <f t="shared" si="29"/>
        <v>50</v>
      </c>
      <c r="V43" s="36">
        <f t="shared" si="11"/>
        <v>50</v>
      </c>
      <c r="W43" s="36">
        <f t="shared" si="12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3"/>
        <v>1</v>
      </c>
      <c r="AQ43" s="553">
        <f t="shared" si="30"/>
        <v>35</v>
      </c>
      <c r="AR43" s="554">
        <f t="shared" si="14"/>
        <v>46380</v>
      </c>
      <c r="AS43" s="555">
        <f t="shared" si="38"/>
        <v>0.22899999999999998</v>
      </c>
      <c r="AT43" s="546">
        <f t="shared" si="15"/>
        <v>21903</v>
      </c>
      <c r="AU43" s="546">
        <f t="shared" si="25"/>
        <v>21903</v>
      </c>
      <c r="AV43" s="546">
        <f t="shared" si="16"/>
        <v>13137.058012206597</v>
      </c>
      <c r="AW43" s="546">
        <f t="shared" si="17"/>
        <v>8765.9419877934033</v>
      </c>
      <c r="AX43" s="546">
        <f t="shared" si="4"/>
        <v>0</v>
      </c>
      <c r="AY43" s="546">
        <v>0</v>
      </c>
      <c r="AZ43" s="546">
        <f t="shared" si="18"/>
        <v>13137.058012206597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0"/>
        <v>689200.0222706357</v>
      </c>
      <c r="BI43" s="108">
        <f t="shared" si="31"/>
        <v>50</v>
      </c>
      <c r="BJ43" s="108">
        <f t="shared" si="26"/>
        <v>50</v>
      </c>
      <c r="BK43" s="22">
        <f t="shared" si="27"/>
        <v>46380</v>
      </c>
      <c r="BL43" s="108">
        <f t="shared" si="6"/>
        <v>21903</v>
      </c>
    </row>
    <row r="44" spans="1:1218" s="16" customFormat="1" ht="15.75" customHeight="1" thickBot="1" x14ac:dyDescent="0.35">
      <c r="A44" s="180"/>
      <c r="B44" s="729"/>
      <c r="C44" s="524"/>
      <c r="D44" s="254"/>
      <c r="E44" s="178"/>
      <c r="F44" s="178"/>
      <c r="G44" s="248">
        <f t="shared" si="28"/>
        <v>36</v>
      </c>
      <c r="H44" s="679">
        <f t="shared" si="7"/>
        <v>46411</v>
      </c>
      <c r="I44" s="250">
        <f t="shared" si="8"/>
        <v>0.16899999999999998</v>
      </c>
      <c r="J44" s="252">
        <f t="shared" si="0"/>
        <v>21903</v>
      </c>
      <c r="K44" s="252">
        <f t="shared" si="21"/>
        <v>21903</v>
      </c>
      <c r="L44" s="252">
        <f t="shared" si="22"/>
        <v>11277.811913240937</v>
      </c>
      <c r="M44" s="252">
        <f t="shared" si="23"/>
        <v>10625.188086759063</v>
      </c>
      <c r="N44" s="252">
        <f t="shared" si="1"/>
        <v>0</v>
      </c>
      <c r="O44" s="252">
        <v>0</v>
      </c>
      <c r="P44" s="252">
        <f t="shared" si="24"/>
        <v>11277.811913240937</v>
      </c>
      <c r="Q44" s="252">
        <f t="shared" si="2"/>
        <v>0</v>
      </c>
      <c r="R44" s="252">
        <f t="shared" si="9"/>
        <v>0</v>
      </c>
      <c r="S44" s="252">
        <f t="shared" si="10"/>
        <v>775097.53539729177</v>
      </c>
      <c r="T44" s="252">
        <f t="shared" ref="T44:T67" si="40">IF(G44=$C$10,(S43-K44+L44),0)</f>
        <v>0</v>
      </c>
      <c r="U44" s="198">
        <f t="shared" si="29"/>
        <v>49</v>
      </c>
      <c r="V44" s="36">
        <f t="shared" si="11"/>
        <v>49</v>
      </c>
      <c r="W44" s="36">
        <f t="shared" si="12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21903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3"/>
        <v>1</v>
      </c>
      <c r="AQ44" s="556">
        <f t="shared" si="30"/>
        <v>36</v>
      </c>
      <c r="AR44" s="680">
        <f t="shared" si="14"/>
        <v>46411</v>
      </c>
      <c r="AS44" s="557">
        <f t="shared" si="38"/>
        <v>0.22899999999999998</v>
      </c>
      <c r="AT44" s="547">
        <f t="shared" si="15"/>
        <v>21903</v>
      </c>
      <c r="AU44" s="547">
        <f t="shared" si="25"/>
        <v>21903</v>
      </c>
      <c r="AV44" s="547">
        <f t="shared" si="16"/>
        <v>13404.46837835409</v>
      </c>
      <c r="AW44" s="547">
        <f t="shared" si="17"/>
        <v>8498.5316216459105</v>
      </c>
      <c r="AX44" s="547">
        <f t="shared" si="4"/>
        <v>0</v>
      </c>
      <c r="AY44" s="547">
        <v>0</v>
      </c>
      <c r="AZ44" s="547">
        <f t="shared" si="18"/>
        <v>13404.46837835409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0"/>
        <v>680701.4906489898</v>
      </c>
      <c r="BI44" s="108">
        <f t="shared" si="31"/>
        <v>49</v>
      </c>
      <c r="BJ44" s="108">
        <f t="shared" si="26"/>
        <v>49</v>
      </c>
      <c r="BK44" s="22">
        <f t="shared" si="27"/>
        <v>46411</v>
      </c>
      <c r="BL44" s="108">
        <f t="shared" si="6"/>
        <v>21903</v>
      </c>
    </row>
    <row r="45" spans="1:1218" s="16" customFormat="1" ht="16.899999999999999" customHeight="1" x14ac:dyDescent="0.3">
      <c r="A45" s="180"/>
      <c r="B45" s="729"/>
      <c r="C45" s="524"/>
      <c r="D45" s="178"/>
      <c r="E45" s="178"/>
      <c r="F45" s="178"/>
      <c r="G45" s="244">
        <f t="shared" si="28"/>
        <v>37</v>
      </c>
      <c r="H45" s="245">
        <f t="shared" si="7"/>
        <v>46442</v>
      </c>
      <c r="I45" s="246">
        <f t="shared" si="8"/>
        <v>0.16899999999999998</v>
      </c>
      <c r="J45" s="242">
        <f t="shared" si="0"/>
        <v>21903</v>
      </c>
      <c r="K45" s="242">
        <f t="shared" si="21"/>
        <v>21903</v>
      </c>
      <c r="L45" s="242">
        <f t="shared" si="22"/>
        <v>11125.304076565511</v>
      </c>
      <c r="M45" s="242">
        <f t="shared" si="23"/>
        <v>10777.695923434489</v>
      </c>
      <c r="N45" s="242">
        <f t="shared" si="1"/>
        <v>0</v>
      </c>
      <c r="O45" s="242">
        <v>0</v>
      </c>
      <c r="P45" s="242">
        <f t="shared" si="24"/>
        <v>11125.304076565511</v>
      </c>
      <c r="Q45" s="242">
        <f t="shared" si="2"/>
        <v>0</v>
      </c>
      <c r="R45" s="242">
        <f t="shared" si="9"/>
        <v>0</v>
      </c>
      <c r="S45" s="242">
        <f t="shared" si="10"/>
        <v>764319.83947385731</v>
      </c>
      <c r="T45" s="467">
        <f t="shared" si="40"/>
        <v>0</v>
      </c>
      <c r="U45" s="198">
        <f t="shared" si="29"/>
        <v>48</v>
      </c>
      <c r="V45" s="36">
        <f t="shared" si="11"/>
        <v>48</v>
      </c>
      <c r="W45" s="36">
        <f t="shared" si="12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>IF(K10 &gt; 0, K10, 0)</f>
        <v>21903</v>
      </c>
      <c r="Z45" s="57">
        <f t="shared" ref="Z45:Z108" si="41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3"/>
        <v>1</v>
      </c>
      <c r="AQ45" s="553">
        <f t="shared" si="30"/>
        <v>37</v>
      </c>
      <c r="AR45" s="554">
        <f t="shared" si="14"/>
        <v>46442</v>
      </c>
      <c r="AS45" s="555">
        <f t="shared" ref="AS45:AS56" si="42">IF($D$16="Да",$AN$39,$D$13)</f>
        <v>0.22899999999999998</v>
      </c>
      <c r="AT45" s="546">
        <f t="shared" si="15"/>
        <v>21903</v>
      </c>
      <c r="AU45" s="546">
        <f t="shared" si="25"/>
        <v>21903</v>
      </c>
      <c r="AV45" s="546">
        <f t="shared" si="16"/>
        <v>13239.177759225147</v>
      </c>
      <c r="AW45" s="546">
        <f t="shared" si="17"/>
        <v>8663.8222407748526</v>
      </c>
      <c r="AX45" s="546">
        <f t="shared" si="4"/>
        <v>0</v>
      </c>
      <c r="AY45" s="546">
        <v>0</v>
      </c>
      <c r="AZ45" s="546">
        <f t="shared" si="18"/>
        <v>13239.177759225147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0"/>
        <v>672037.66840821493</v>
      </c>
      <c r="BI45" s="108">
        <f t="shared" si="31"/>
        <v>48</v>
      </c>
      <c r="BJ45" s="108">
        <f t="shared" si="26"/>
        <v>48</v>
      </c>
      <c r="BK45" s="22">
        <f t="shared" si="27"/>
        <v>46442</v>
      </c>
      <c r="BL45" s="108">
        <f t="shared" si="6"/>
        <v>21903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7"/>
        <v>46470</v>
      </c>
      <c r="I46" s="246">
        <f t="shared" si="8"/>
        <v>0.16899999999999998</v>
      </c>
      <c r="J46" s="242">
        <f t="shared" si="0"/>
        <v>21903</v>
      </c>
      <c r="K46" s="242">
        <f t="shared" si="21"/>
        <v>21903</v>
      </c>
      <c r="L46" s="242">
        <f t="shared" si="22"/>
        <v>9908.9355627131299</v>
      </c>
      <c r="M46" s="242">
        <f t="shared" si="23"/>
        <v>11994.06443728687</v>
      </c>
      <c r="N46" s="242">
        <f t="shared" si="1"/>
        <v>0</v>
      </c>
      <c r="O46" s="242">
        <v>0</v>
      </c>
      <c r="P46" s="242">
        <f t="shared" si="24"/>
        <v>9908.9355627131299</v>
      </c>
      <c r="Q46" s="242">
        <f t="shared" si="2"/>
        <v>0</v>
      </c>
      <c r="R46" s="242">
        <f t="shared" si="9"/>
        <v>0</v>
      </c>
      <c r="S46" s="242">
        <f t="shared" si="10"/>
        <v>752325.77503657038</v>
      </c>
      <c r="T46" s="467">
        <f t="shared" si="40"/>
        <v>0</v>
      </c>
      <c r="U46" s="198">
        <f t="shared" si="29"/>
        <v>47</v>
      </c>
      <c r="V46" s="36">
        <f t="shared" si="11"/>
        <v>47</v>
      </c>
      <c r="W46" s="36">
        <f t="shared" si="12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ref="Y46:Y109" si="43">IF(K11 &gt; 0, K11, 0)</f>
        <v>21903</v>
      </c>
      <c r="Z46" s="57">
        <f t="shared" si="41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-910999</v>
      </c>
      <c r="AO46" s="57">
        <f>AR8</f>
        <v>45315</v>
      </c>
      <c r="AP46" s="130">
        <f t="shared" si="13"/>
        <v>1</v>
      </c>
      <c r="AQ46" s="553">
        <f t="shared" si="30"/>
        <v>38</v>
      </c>
      <c r="AR46" s="554">
        <f t="shared" si="14"/>
        <v>46470</v>
      </c>
      <c r="AS46" s="555">
        <f t="shared" si="42"/>
        <v>0.22899999999999998</v>
      </c>
      <c r="AT46" s="546">
        <f t="shared" si="15"/>
        <v>21903</v>
      </c>
      <c r="AU46" s="546">
        <f t="shared" si="25"/>
        <v>21903</v>
      </c>
      <c r="AV46" s="546">
        <f t="shared" si="16"/>
        <v>11805.76857488623</v>
      </c>
      <c r="AW46" s="546">
        <f t="shared" si="17"/>
        <v>10097.23142511377</v>
      </c>
      <c r="AX46" s="546">
        <f t="shared" si="4"/>
        <v>0</v>
      </c>
      <c r="AY46" s="546">
        <v>0</v>
      </c>
      <c r="AZ46" s="546">
        <f t="shared" si="18"/>
        <v>11805.76857488623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0"/>
        <v>661940.43698310119</v>
      </c>
      <c r="BI46" s="108">
        <f t="shared" si="31"/>
        <v>47</v>
      </c>
      <c r="BJ46" s="108">
        <f t="shared" si="26"/>
        <v>47</v>
      </c>
      <c r="BK46" s="22">
        <f t="shared" si="27"/>
        <v>46470</v>
      </c>
      <c r="BL46" s="108">
        <f t="shared" si="6"/>
        <v>21903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7"/>
        <v>46501</v>
      </c>
      <c r="I47" s="246">
        <f t="shared" si="8"/>
        <v>0.16899999999999998</v>
      </c>
      <c r="J47" s="242">
        <f t="shared" si="0"/>
        <v>21903</v>
      </c>
      <c r="K47" s="242">
        <f t="shared" si="21"/>
        <v>21903</v>
      </c>
      <c r="L47" s="242">
        <f t="shared" si="22"/>
        <v>10798.451329908472</v>
      </c>
      <c r="M47" s="242">
        <f t="shared" si="23"/>
        <v>11104.548670091528</v>
      </c>
      <c r="N47" s="242">
        <f t="shared" si="1"/>
        <v>0</v>
      </c>
      <c r="O47" s="242">
        <v>0</v>
      </c>
      <c r="P47" s="242">
        <f t="shared" si="24"/>
        <v>10798.451329908472</v>
      </c>
      <c r="Q47" s="242">
        <f t="shared" si="2"/>
        <v>0</v>
      </c>
      <c r="R47" s="242">
        <f t="shared" si="9"/>
        <v>0</v>
      </c>
      <c r="S47" s="242">
        <f t="shared" si="10"/>
        <v>741221.22636647883</v>
      </c>
      <c r="T47" s="467">
        <f t="shared" si="40"/>
        <v>0</v>
      </c>
      <c r="U47" s="198">
        <f t="shared" si="29"/>
        <v>46</v>
      </c>
      <c r="V47" s="36">
        <f t="shared" si="11"/>
        <v>46</v>
      </c>
      <c r="W47" s="36">
        <f t="shared" si="12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3"/>
        <v>21903</v>
      </c>
      <c r="Z47" s="57">
        <f t="shared" si="41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10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3"/>
        <v>1</v>
      </c>
      <c r="AQ47" s="553">
        <f t="shared" si="30"/>
        <v>39</v>
      </c>
      <c r="AR47" s="554">
        <f t="shared" si="14"/>
        <v>46501</v>
      </c>
      <c r="AS47" s="555">
        <f t="shared" si="42"/>
        <v>0.22899999999999998</v>
      </c>
      <c r="AT47" s="546">
        <f t="shared" si="15"/>
        <v>21903</v>
      </c>
      <c r="AU47" s="546">
        <f t="shared" si="25"/>
        <v>21903</v>
      </c>
      <c r="AV47" s="546">
        <f t="shared" si="16"/>
        <v>12874.288115460371</v>
      </c>
      <c r="AW47" s="546">
        <f t="shared" si="17"/>
        <v>9028.711884539629</v>
      </c>
      <c r="AX47" s="546">
        <f t="shared" si="4"/>
        <v>0</v>
      </c>
      <c r="AY47" s="546">
        <v>0</v>
      </c>
      <c r="AZ47" s="546">
        <f t="shared" si="18"/>
        <v>12874.288115460371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0"/>
        <v>652911.72509856161</v>
      </c>
      <c r="BI47" s="108">
        <f t="shared" si="31"/>
        <v>46</v>
      </c>
      <c r="BJ47" s="108">
        <f t="shared" si="26"/>
        <v>46</v>
      </c>
      <c r="BK47" s="22">
        <f t="shared" si="27"/>
        <v>46501</v>
      </c>
      <c r="BL47" s="108">
        <f t="shared" si="6"/>
        <v>21903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7"/>
        <v>46531</v>
      </c>
      <c r="I48" s="246">
        <f t="shared" si="8"/>
        <v>0.16899999999999998</v>
      </c>
      <c r="J48" s="242">
        <f t="shared" si="0"/>
        <v>21903</v>
      </c>
      <c r="K48" s="242">
        <f t="shared" si="21"/>
        <v>21903</v>
      </c>
      <c r="L48" s="242">
        <f t="shared" si="22"/>
        <v>10295.86744569328</v>
      </c>
      <c r="M48" s="242">
        <f t="shared" si="23"/>
        <v>11607.13255430672</v>
      </c>
      <c r="N48" s="242">
        <f t="shared" si="1"/>
        <v>0</v>
      </c>
      <c r="O48" s="242">
        <v>0</v>
      </c>
      <c r="P48" s="242">
        <f t="shared" si="24"/>
        <v>10295.86744569328</v>
      </c>
      <c r="Q48" s="242">
        <f t="shared" si="2"/>
        <v>0</v>
      </c>
      <c r="R48" s="242">
        <f t="shared" si="9"/>
        <v>0</v>
      </c>
      <c r="S48" s="242">
        <f t="shared" si="10"/>
        <v>729614.09381217207</v>
      </c>
      <c r="T48" s="467">
        <f t="shared" si="40"/>
        <v>0</v>
      </c>
      <c r="U48" s="198">
        <f t="shared" si="29"/>
        <v>45</v>
      </c>
      <c r="V48" s="36">
        <f t="shared" si="11"/>
        <v>45</v>
      </c>
      <c r="W48" s="36">
        <f t="shared" si="12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3"/>
        <v>21903</v>
      </c>
      <c r="Z48" s="57">
        <f t="shared" si="41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900000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>AU9</f>
        <v>21903</v>
      </c>
      <c r="AO48" s="57">
        <f>AO47+365</f>
        <v>45680</v>
      </c>
      <c r="AP48" s="130">
        <f t="shared" si="13"/>
        <v>1</v>
      </c>
      <c r="AQ48" s="553">
        <f t="shared" si="30"/>
        <v>40</v>
      </c>
      <c r="AR48" s="554">
        <f t="shared" si="14"/>
        <v>46531</v>
      </c>
      <c r="AS48" s="555">
        <f t="shared" si="42"/>
        <v>0.22899999999999998</v>
      </c>
      <c r="AT48" s="546">
        <f t="shared" si="15"/>
        <v>21903</v>
      </c>
      <c r="AU48" s="546">
        <f t="shared" si="25"/>
        <v>21903</v>
      </c>
      <c r="AV48" s="546">
        <f t="shared" si="16"/>
        <v>12289.05082582772</v>
      </c>
      <c r="AW48" s="546">
        <f t="shared" si="17"/>
        <v>9613.9491741722795</v>
      </c>
      <c r="AX48" s="546">
        <f t="shared" si="4"/>
        <v>0</v>
      </c>
      <c r="AY48" s="546">
        <v>0</v>
      </c>
      <c r="AZ48" s="546">
        <f t="shared" si="18"/>
        <v>12289.05082582772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0"/>
        <v>643297.77592438937</v>
      </c>
      <c r="BI48" s="108">
        <f t="shared" si="31"/>
        <v>45</v>
      </c>
      <c r="BJ48" s="108">
        <f t="shared" si="26"/>
        <v>45</v>
      </c>
      <c r="BK48" s="22">
        <f t="shared" si="27"/>
        <v>46531</v>
      </c>
      <c r="BL48" s="108">
        <f t="shared" si="6"/>
        <v>21903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7"/>
        <v>46562</v>
      </c>
      <c r="I49" s="246">
        <f t="shared" si="8"/>
        <v>0.16899999999999998</v>
      </c>
      <c r="J49" s="242">
        <f t="shared" si="0"/>
        <v>21903</v>
      </c>
      <c r="K49" s="242">
        <f t="shared" si="21"/>
        <v>21903</v>
      </c>
      <c r="L49" s="242">
        <f t="shared" si="22"/>
        <v>10472.460924608135</v>
      </c>
      <c r="M49" s="242">
        <f t="shared" si="23"/>
        <v>11430.539075391865</v>
      </c>
      <c r="N49" s="242">
        <f t="shared" si="1"/>
        <v>0</v>
      </c>
      <c r="O49" s="242">
        <v>0</v>
      </c>
      <c r="P49" s="242">
        <f t="shared" si="24"/>
        <v>10472.460924608135</v>
      </c>
      <c r="Q49" s="242">
        <f t="shared" si="2"/>
        <v>0</v>
      </c>
      <c r="R49" s="242">
        <f t="shared" si="9"/>
        <v>0</v>
      </c>
      <c r="S49" s="242">
        <f t="shared" si="10"/>
        <v>718183.55473678024</v>
      </c>
      <c r="T49" s="467">
        <f t="shared" si="40"/>
        <v>0</v>
      </c>
      <c r="U49" s="198">
        <f t="shared" si="29"/>
        <v>44</v>
      </c>
      <c r="V49" s="36">
        <f t="shared" si="11"/>
        <v>44</v>
      </c>
      <c r="W49" s="36">
        <f t="shared" si="12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3"/>
        <v>21903</v>
      </c>
      <c r="Z49" s="57">
        <f t="shared" si="41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26000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>AU10</f>
        <v>21903</v>
      </c>
      <c r="AO49" s="57">
        <f t="shared" ref="AO49:AO112" si="44">AO48+365</f>
        <v>46045</v>
      </c>
      <c r="AP49" s="130">
        <f t="shared" si="13"/>
        <v>1</v>
      </c>
      <c r="AQ49" s="553">
        <f t="shared" si="30"/>
        <v>41</v>
      </c>
      <c r="AR49" s="554">
        <f t="shared" si="14"/>
        <v>46562</v>
      </c>
      <c r="AS49" s="555">
        <f t="shared" si="42"/>
        <v>0.22899999999999998</v>
      </c>
      <c r="AT49" s="546">
        <f t="shared" si="15"/>
        <v>21903</v>
      </c>
      <c r="AU49" s="546">
        <f t="shared" si="25"/>
        <v>21903</v>
      </c>
      <c r="AV49" s="546">
        <f t="shared" si="16"/>
        <v>12511.701126814356</v>
      </c>
      <c r="AW49" s="546">
        <f t="shared" si="17"/>
        <v>9391.298873185644</v>
      </c>
      <c r="AX49" s="546">
        <f t="shared" si="4"/>
        <v>0</v>
      </c>
      <c r="AY49" s="546">
        <v>0</v>
      </c>
      <c r="AZ49" s="546">
        <f t="shared" si="18"/>
        <v>12511.701126814356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0"/>
        <v>633906.47705120372</v>
      </c>
      <c r="BI49" s="108">
        <f t="shared" si="31"/>
        <v>44</v>
      </c>
      <c r="BJ49" s="108">
        <f t="shared" si="26"/>
        <v>44</v>
      </c>
      <c r="BK49" s="22">
        <f t="shared" si="27"/>
        <v>46562</v>
      </c>
      <c r="BL49" s="108">
        <f t="shared" si="6"/>
        <v>21903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7"/>
        <v>46592</v>
      </c>
      <c r="I50" s="246">
        <f t="shared" si="8"/>
        <v>0.16899999999999998</v>
      </c>
      <c r="J50" s="242">
        <f t="shared" si="0"/>
        <v>21903</v>
      </c>
      <c r="K50" s="242">
        <f t="shared" si="21"/>
        <v>21903</v>
      </c>
      <c r="L50" s="242">
        <f>S49*($C$13/365*(H50-H49))</f>
        <v>9975.8647192204808</v>
      </c>
      <c r="M50" s="242">
        <f t="shared" si="23"/>
        <v>11927.135280779519</v>
      </c>
      <c r="N50" s="242">
        <f t="shared" si="1"/>
        <v>0</v>
      </c>
      <c r="O50" s="242">
        <v>0</v>
      </c>
      <c r="P50" s="242">
        <f t="shared" si="24"/>
        <v>9975.8647192204808</v>
      </c>
      <c r="Q50" s="242">
        <f t="shared" si="2"/>
        <v>0</v>
      </c>
      <c r="R50" s="242">
        <f t="shared" si="9"/>
        <v>0</v>
      </c>
      <c r="S50" s="242">
        <f t="shared" si="10"/>
        <v>706256.41945600067</v>
      </c>
      <c r="T50" s="467">
        <f t="shared" si="40"/>
        <v>0</v>
      </c>
      <c r="U50" s="198">
        <f t="shared" si="29"/>
        <v>43</v>
      </c>
      <c r="V50" s="36">
        <f t="shared" si="11"/>
        <v>43</v>
      </c>
      <c r="W50" s="36">
        <f t="shared" si="12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3"/>
        <v>21903</v>
      </c>
      <c r="Z50" s="57">
        <f t="shared" si="41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ref="AN50:AN113" si="45">AU11</f>
        <v>21903</v>
      </c>
      <c r="AO50" s="57">
        <f t="shared" si="44"/>
        <v>46410</v>
      </c>
      <c r="AP50" s="130">
        <f t="shared" si="13"/>
        <v>1</v>
      </c>
      <c r="AQ50" s="553">
        <f t="shared" si="30"/>
        <v>42</v>
      </c>
      <c r="AR50" s="554">
        <f t="shared" si="14"/>
        <v>46592</v>
      </c>
      <c r="AS50" s="555">
        <f t="shared" si="42"/>
        <v>0.22899999999999998</v>
      </c>
      <c r="AT50" s="546">
        <f t="shared" si="15"/>
        <v>21903</v>
      </c>
      <c r="AU50" s="546">
        <f t="shared" si="25"/>
        <v>21903</v>
      </c>
      <c r="AV50" s="546">
        <f t="shared" si="16"/>
        <v>11931.335609155532</v>
      </c>
      <c r="AW50" s="546">
        <f t="shared" si="17"/>
        <v>9971.6643908444676</v>
      </c>
      <c r="AX50" s="546">
        <f t="shared" si="4"/>
        <v>0</v>
      </c>
      <c r="AY50" s="546">
        <v>0</v>
      </c>
      <c r="AZ50" s="546">
        <f t="shared" si="18"/>
        <v>11931.335609155532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0"/>
        <v>623934.81266035931</v>
      </c>
      <c r="BI50" s="108">
        <f t="shared" si="31"/>
        <v>43</v>
      </c>
      <c r="BJ50" s="108">
        <f t="shared" si="26"/>
        <v>43</v>
      </c>
      <c r="BK50" s="22">
        <f t="shared" si="27"/>
        <v>46592</v>
      </c>
      <c r="BL50" s="108">
        <f t="shared" si="6"/>
        <v>21903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7"/>
        <v>46623</v>
      </c>
      <c r="I51" s="246">
        <f t="shared" si="8"/>
        <v>0.16899999999999998</v>
      </c>
      <c r="J51" s="242">
        <f t="shared" si="0"/>
        <v>21903</v>
      </c>
      <c r="K51" s="242">
        <f t="shared" si="21"/>
        <v>21903</v>
      </c>
      <c r="L51" s="242">
        <f t="shared" si="22"/>
        <v>10137.198305561609</v>
      </c>
      <c r="M51" s="242">
        <f t="shared" si="23"/>
        <v>11765.801694438391</v>
      </c>
      <c r="N51" s="242">
        <f t="shared" si="1"/>
        <v>0</v>
      </c>
      <c r="O51" s="242">
        <v>0</v>
      </c>
      <c r="P51" s="242">
        <f t="shared" si="24"/>
        <v>10137.198305561609</v>
      </c>
      <c r="Q51" s="242">
        <f t="shared" si="2"/>
        <v>0</v>
      </c>
      <c r="R51" s="242">
        <f t="shared" si="9"/>
        <v>0</v>
      </c>
      <c r="S51" s="242">
        <f t="shared" si="10"/>
        <v>694490.61776156223</v>
      </c>
      <c r="T51" s="467">
        <f t="shared" si="40"/>
        <v>0</v>
      </c>
      <c r="U51" s="198">
        <f t="shared" si="29"/>
        <v>42</v>
      </c>
      <c r="V51" s="36">
        <f t="shared" si="11"/>
        <v>42</v>
      </c>
      <c r="W51" s="36">
        <f t="shared" si="12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3"/>
        <v>21903</v>
      </c>
      <c r="Z51" s="57">
        <f t="shared" si="41"/>
        <v>48235</v>
      </c>
      <c r="AA51" s="11" t="s">
        <v>18</v>
      </c>
      <c r="AB51" s="11"/>
      <c r="AC51" s="11"/>
      <c r="AD51" s="42">
        <f>(D30-C7)</f>
        <v>-900000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45"/>
        <v>21903</v>
      </c>
      <c r="AO51" s="57">
        <f t="shared" si="44"/>
        <v>46775</v>
      </c>
      <c r="AP51" s="130">
        <f t="shared" si="13"/>
        <v>1</v>
      </c>
      <c r="AQ51" s="553">
        <f t="shared" si="30"/>
        <v>43</v>
      </c>
      <c r="AR51" s="554">
        <f t="shared" si="14"/>
        <v>46623</v>
      </c>
      <c r="AS51" s="555">
        <f t="shared" si="42"/>
        <v>0.22899999999999998</v>
      </c>
      <c r="AT51" s="546">
        <f t="shared" si="15"/>
        <v>21903</v>
      </c>
      <c r="AU51" s="546">
        <f t="shared" si="25"/>
        <v>21903</v>
      </c>
      <c r="AV51" s="546">
        <f t="shared" si="16"/>
        <v>12135.104753632577</v>
      </c>
      <c r="AW51" s="546">
        <f t="shared" si="17"/>
        <v>9767.8952463674232</v>
      </c>
      <c r="AX51" s="546">
        <f t="shared" si="4"/>
        <v>0</v>
      </c>
      <c r="AY51" s="546">
        <v>0</v>
      </c>
      <c r="AZ51" s="546">
        <f t="shared" si="18"/>
        <v>12135.104753632577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0"/>
        <v>614166.91741399188</v>
      </c>
      <c r="BI51" s="108">
        <f t="shared" si="31"/>
        <v>42</v>
      </c>
      <c r="BJ51" s="108">
        <f t="shared" si="26"/>
        <v>42</v>
      </c>
      <c r="BK51" s="22">
        <f t="shared" si="27"/>
        <v>46623</v>
      </c>
      <c r="BL51" s="108">
        <f t="shared" si="6"/>
        <v>21903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7"/>
        <v>46654</v>
      </c>
      <c r="I52" s="246">
        <f t="shared" si="8"/>
        <v>0.16899999999999998</v>
      </c>
      <c r="J52" s="242">
        <f t="shared" si="0"/>
        <v>21903</v>
      </c>
      <c r="K52" s="242">
        <f t="shared" si="21"/>
        <v>21903</v>
      </c>
      <c r="L52" s="242">
        <f t="shared" si="22"/>
        <v>9968.3187574049989</v>
      </c>
      <c r="M52" s="242">
        <f t="shared" si="23"/>
        <v>11934.681242595001</v>
      </c>
      <c r="N52" s="242">
        <f t="shared" si="1"/>
        <v>0</v>
      </c>
      <c r="O52" s="242">
        <v>0</v>
      </c>
      <c r="P52" s="242">
        <f t="shared" si="24"/>
        <v>9968.3187574049989</v>
      </c>
      <c r="Q52" s="242">
        <f t="shared" si="2"/>
        <v>0</v>
      </c>
      <c r="R52" s="242">
        <f t="shared" si="9"/>
        <v>0</v>
      </c>
      <c r="S52" s="242">
        <f t="shared" si="10"/>
        <v>682555.93651896727</v>
      </c>
      <c r="T52" s="467">
        <f t="shared" si="40"/>
        <v>0</v>
      </c>
      <c r="U52" s="198">
        <f t="shared" si="29"/>
        <v>41</v>
      </c>
      <c r="V52" s="36">
        <f t="shared" si="11"/>
        <v>41</v>
      </c>
      <c r="W52" s="36">
        <f t="shared" si="12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3"/>
        <v>21903</v>
      </c>
      <c r="Z52" s="57">
        <f t="shared" si="41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45"/>
        <v>21903</v>
      </c>
      <c r="AO52" s="57">
        <f t="shared" si="44"/>
        <v>47140</v>
      </c>
      <c r="AP52" s="130">
        <f t="shared" si="13"/>
        <v>1</v>
      </c>
      <c r="AQ52" s="553">
        <f t="shared" si="30"/>
        <v>44</v>
      </c>
      <c r="AR52" s="554">
        <f t="shared" si="14"/>
        <v>46654</v>
      </c>
      <c r="AS52" s="555">
        <f t="shared" si="42"/>
        <v>0.22899999999999998</v>
      </c>
      <c r="AT52" s="546">
        <f t="shared" si="15"/>
        <v>21903</v>
      </c>
      <c r="AU52" s="546">
        <f t="shared" si="25"/>
        <v>21903</v>
      </c>
      <c r="AV52" s="546">
        <f t="shared" si="16"/>
        <v>11945.12588142994</v>
      </c>
      <c r="AW52" s="546">
        <f t="shared" si="17"/>
        <v>9957.8741185700601</v>
      </c>
      <c r="AX52" s="546">
        <f t="shared" si="4"/>
        <v>0</v>
      </c>
      <c r="AY52" s="546">
        <v>0</v>
      </c>
      <c r="AZ52" s="546">
        <f t="shared" si="18"/>
        <v>11945.12588142994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0"/>
        <v>604209.04329542187</v>
      </c>
      <c r="BI52" s="108">
        <f t="shared" si="31"/>
        <v>41</v>
      </c>
      <c r="BJ52" s="108">
        <f t="shared" si="26"/>
        <v>41</v>
      </c>
      <c r="BK52" s="22">
        <f t="shared" si="27"/>
        <v>46654</v>
      </c>
      <c r="BL52" s="108">
        <f t="shared" si="6"/>
        <v>21903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7"/>
        <v>46684</v>
      </c>
      <c r="I53" s="246">
        <f t="shared" si="8"/>
        <v>0.16899999999999998</v>
      </c>
      <c r="J53" s="242">
        <f t="shared" si="0"/>
        <v>21903</v>
      </c>
      <c r="K53" s="242">
        <f t="shared" si="21"/>
        <v>21903</v>
      </c>
      <c r="L53" s="242">
        <f t="shared" si="22"/>
        <v>9480.9824606881193</v>
      </c>
      <c r="M53" s="242">
        <f t="shared" si="23"/>
        <v>12422.017539311881</v>
      </c>
      <c r="N53" s="242">
        <f t="shared" si="1"/>
        <v>0</v>
      </c>
      <c r="O53" s="242">
        <v>0</v>
      </c>
      <c r="P53" s="242">
        <f t="shared" si="24"/>
        <v>9480.9824606881193</v>
      </c>
      <c r="Q53" s="242">
        <f t="shared" si="2"/>
        <v>0</v>
      </c>
      <c r="R53" s="242">
        <f t="shared" si="9"/>
        <v>0</v>
      </c>
      <c r="S53" s="242">
        <f t="shared" si="10"/>
        <v>670133.91897965537</v>
      </c>
      <c r="T53" s="467">
        <f t="shared" si="40"/>
        <v>0</v>
      </c>
      <c r="U53" s="198">
        <f t="shared" si="29"/>
        <v>40</v>
      </c>
      <c r="V53" s="36">
        <f t="shared" si="11"/>
        <v>40</v>
      </c>
      <c r="W53" s="36">
        <f t="shared" si="12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3"/>
        <v>21903</v>
      </c>
      <c r="Z53" s="57">
        <f t="shared" si="41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45"/>
        <v>21903</v>
      </c>
      <c r="AO53" s="57">
        <f t="shared" si="44"/>
        <v>47505</v>
      </c>
      <c r="AP53" s="130">
        <f t="shared" si="13"/>
        <v>1</v>
      </c>
      <c r="AQ53" s="553">
        <f t="shared" si="30"/>
        <v>45</v>
      </c>
      <c r="AR53" s="554">
        <f t="shared" si="14"/>
        <v>46684</v>
      </c>
      <c r="AS53" s="555">
        <f t="shared" si="42"/>
        <v>0.22899999999999998</v>
      </c>
      <c r="AT53" s="546">
        <f t="shared" si="15"/>
        <v>21903</v>
      </c>
      <c r="AU53" s="546">
        <f t="shared" si="25"/>
        <v>21903</v>
      </c>
      <c r="AV53" s="546">
        <f t="shared" si="16"/>
        <v>11372.372951889172</v>
      </c>
      <c r="AW53" s="546">
        <f t="shared" si="17"/>
        <v>10530.627048110828</v>
      </c>
      <c r="AX53" s="546">
        <f t="shared" si="4"/>
        <v>0</v>
      </c>
      <c r="AY53" s="546">
        <v>0</v>
      </c>
      <c r="AZ53" s="546">
        <f t="shared" si="18"/>
        <v>11372.372951889172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0"/>
        <v>593678.41624731105</v>
      </c>
      <c r="BI53" s="108">
        <f t="shared" si="31"/>
        <v>40</v>
      </c>
      <c r="BJ53" s="108">
        <f t="shared" si="26"/>
        <v>40</v>
      </c>
      <c r="BK53" s="22">
        <f t="shared" si="27"/>
        <v>46684</v>
      </c>
      <c r="BL53" s="108">
        <f t="shared" si="6"/>
        <v>21903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7"/>
        <v>46715</v>
      </c>
      <c r="I54" s="246">
        <f t="shared" si="8"/>
        <v>0.16899999999999998</v>
      </c>
      <c r="J54" s="242">
        <f t="shared" si="0"/>
        <v>21903</v>
      </c>
      <c r="K54" s="242">
        <f t="shared" si="21"/>
        <v>21903</v>
      </c>
      <c r="L54" s="242">
        <f t="shared" si="22"/>
        <v>9618.7167165326427</v>
      </c>
      <c r="M54" s="242">
        <f t="shared" si="23"/>
        <v>12284.283283467357</v>
      </c>
      <c r="N54" s="242">
        <f t="shared" si="1"/>
        <v>0</v>
      </c>
      <c r="O54" s="242">
        <v>0</v>
      </c>
      <c r="P54" s="242">
        <f t="shared" si="24"/>
        <v>9618.7167165326427</v>
      </c>
      <c r="Q54" s="242">
        <f t="shared" si="2"/>
        <v>0</v>
      </c>
      <c r="R54" s="242">
        <f t="shared" si="9"/>
        <v>0</v>
      </c>
      <c r="S54" s="242">
        <f t="shared" si="10"/>
        <v>657849.63569618796</v>
      </c>
      <c r="T54" s="467">
        <f t="shared" si="40"/>
        <v>0</v>
      </c>
      <c r="U54" s="198">
        <f t="shared" si="29"/>
        <v>39</v>
      </c>
      <c r="V54" s="36">
        <f t="shared" si="11"/>
        <v>39</v>
      </c>
      <c r="W54" s="36">
        <f t="shared" si="12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si="43"/>
        <v>21903</v>
      </c>
      <c r="Z54" s="57">
        <f t="shared" si="41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26048.022934803535</v>
      </c>
      <c r="AG54" s="2"/>
      <c r="AH54" s="47">
        <f>(D23+AJ51)*AF14/12*(1+AF14/12)^(C10)/((1+AF14/12)^(C10)-1)+D23/10000*IF(C10&lt;11,20,IF(C10&lt;20,2.5,IF(C10&lt;37,1.5,IF(C10&lt;60,0.7,0.5))))*IF(AF14&lt;0.3,AF14/0.2,AF14/0.1)</f>
        <v>21902.223240609837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45"/>
        <v>21903</v>
      </c>
      <c r="AO54" s="57">
        <f t="shared" si="44"/>
        <v>47870</v>
      </c>
      <c r="AP54" s="130">
        <f t="shared" si="13"/>
        <v>1</v>
      </c>
      <c r="AQ54" s="553">
        <f t="shared" si="30"/>
        <v>46</v>
      </c>
      <c r="AR54" s="554">
        <f t="shared" si="14"/>
        <v>46715</v>
      </c>
      <c r="AS54" s="555">
        <f t="shared" si="42"/>
        <v>0.22899999999999998</v>
      </c>
      <c r="AT54" s="546">
        <f t="shared" si="15"/>
        <v>21903</v>
      </c>
      <c r="AU54" s="546">
        <f t="shared" si="25"/>
        <v>21903</v>
      </c>
      <c r="AV54" s="546">
        <f t="shared" si="16"/>
        <v>11546.638566957976</v>
      </c>
      <c r="AW54" s="546">
        <f t="shared" si="17"/>
        <v>10356.361433042024</v>
      </c>
      <c r="AX54" s="546">
        <f t="shared" si="4"/>
        <v>0</v>
      </c>
      <c r="AY54" s="546">
        <v>0</v>
      </c>
      <c r="AZ54" s="546">
        <f t="shared" si="18"/>
        <v>11546.638566957976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0"/>
        <v>583322.05481426907</v>
      </c>
      <c r="BI54" s="108">
        <f t="shared" si="31"/>
        <v>39</v>
      </c>
      <c r="BJ54" s="108">
        <f t="shared" si="26"/>
        <v>39</v>
      </c>
      <c r="BK54" s="22">
        <f t="shared" si="27"/>
        <v>46715</v>
      </c>
      <c r="BL54" s="108">
        <f t="shared" si="6"/>
        <v>21903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7"/>
        <v>46745</v>
      </c>
      <c r="I55" s="246">
        <f t="shared" si="8"/>
        <v>0.16899999999999998</v>
      </c>
      <c r="J55" s="242">
        <f t="shared" si="0"/>
        <v>21903</v>
      </c>
      <c r="K55" s="242">
        <f t="shared" si="21"/>
        <v>21903</v>
      </c>
      <c r="L55" s="242">
        <f t="shared" si="22"/>
        <v>9137.8017889854036</v>
      </c>
      <c r="M55" s="242">
        <f t="shared" si="23"/>
        <v>12765.198211014596</v>
      </c>
      <c r="N55" s="242">
        <f t="shared" si="1"/>
        <v>0</v>
      </c>
      <c r="O55" s="242">
        <v>0</v>
      </c>
      <c r="P55" s="242">
        <f t="shared" si="24"/>
        <v>9137.8017889854036</v>
      </c>
      <c r="Q55" s="242">
        <f t="shared" si="2"/>
        <v>0</v>
      </c>
      <c r="R55" s="242">
        <f t="shared" si="9"/>
        <v>0</v>
      </c>
      <c r="S55" s="242">
        <f t="shared" si="10"/>
        <v>645084.43748517334</v>
      </c>
      <c r="T55" s="467">
        <f t="shared" si="40"/>
        <v>0</v>
      </c>
      <c r="U55" s="198">
        <f t="shared" si="29"/>
        <v>38</v>
      </c>
      <c r="V55" s="36">
        <f t="shared" si="11"/>
        <v>38</v>
      </c>
      <c r="W55" s="36">
        <f t="shared" si="12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43"/>
        <v>21903</v>
      </c>
      <c r="Z55" s="57">
        <f t="shared" si="41"/>
        <v>49695</v>
      </c>
      <c r="AB55" s="170" t="s">
        <v>134</v>
      </c>
      <c r="AE55" s="47">
        <f>IF(DAY(C9)&lt;4,AF54,IF(DAY(C9)&gt;28,AF56,AF55))</f>
        <v>25998.401428603534</v>
      </c>
      <c r="AF55" s="47">
        <f>(C23+AJ51)*AH36/12*(1+AH36/12)^(C10)/((1+AH36/12)^(C10)-1)+C23/10000*IF(C10&lt;11,20,IF(C10&lt;34,0.7,IF(C10&lt;58,0.3,0.1)))*IF(AH36&lt;0.3,AH36/0.2,AH36/0.1)</f>
        <v>25998.401428603534</v>
      </c>
      <c r="AG55" s="13">
        <f>IF(DAY(C9)&lt;4,AH54,IF(DAY(C9)&gt;28,AH56,AH55))</f>
        <v>21860.499486409837</v>
      </c>
      <c r="AH55" s="156">
        <f>(D23+AJ51)*AF14/12*(1+AF14/12)^(C10)/((1+AF14/12)^(C10)-1)+D23/10000*IF(C10&lt;11,20,IF(C10&lt;34,0.7,IF(C10&lt;58,0.3,0.1)))*IF(AF14&lt;0.3,AF14/0.2,AF14/0.1)</f>
        <v>21860.499486409837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45"/>
        <v>21903</v>
      </c>
      <c r="AO55" s="57">
        <f t="shared" si="44"/>
        <v>48235</v>
      </c>
      <c r="AP55" s="130">
        <f t="shared" si="13"/>
        <v>1</v>
      </c>
      <c r="AQ55" s="553">
        <f t="shared" si="30"/>
        <v>47</v>
      </c>
      <c r="AR55" s="554">
        <f t="shared" si="14"/>
        <v>46745</v>
      </c>
      <c r="AS55" s="555">
        <f t="shared" si="42"/>
        <v>0.22899999999999998</v>
      </c>
      <c r="AT55" s="546">
        <f t="shared" si="15"/>
        <v>21903</v>
      </c>
      <c r="AU55" s="546">
        <f t="shared" si="25"/>
        <v>21903</v>
      </c>
      <c r="AV55" s="546">
        <f t="shared" si="16"/>
        <v>10979.239771435694</v>
      </c>
      <c r="AW55" s="546">
        <f t="shared" si="17"/>
        <v>10923.760228564306</v>
      </c>
      <c r="AX55" s="546">
        <f t="shared" si="4"/>
        <v>0</v>
      </c>
      <c r="AY55" s="546">
        <v>0</v>
      </c>
      <c r="AZ55" s="546">
        <f t="shared" si="18"/>
        <v>10979.239771435694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0"/>
        <v>572398.2945857048</v>
      </c>
      <c r="BI55" s="108">
        <f t="shared" si="31"/>
        <v>38</v>
      </c>
      <c r="BJ55" s="108">
        <f t="shared" si="26"/>
        <v>38</v>
      </c>
      <c r="BK55" s="22">
        <f t="shared" si="27"/>
        <v>46745</v>
      </c>
      <c r="BL55" s="108">
        <f t="shared" si="6"/>
        <v>21903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79">
        <f t="shared" si="7"/>
        <v>46776</v>
      </c>
      <c r="I56" s="250">
        <f t="shared" si="8"/>
        <v>0.16899999999999998</v>
      </c>
      <c r="J56" s="252">
        <f t="shared" si="0"/>
        <v>21903</v>
      </c>
      <c r="K56" s="252">
        <f t="shared" si="21"/>
        <v>21903</v>
      </c>
      <c r="L56" s="252">
        <f t="shared" si="22"/>
        <v>9259.1708711912961</v>
      </c>
      <c r="M56" s="252">
        <f t="shared" si="23"/>
        <v>12643.829128808704</v>
      </c>
      <c r="N56" s="252">
        <f t="shared" si="1"/>
        <v>0</v>
      </c>
      <c r="O56" s="252">
        <v>0</v>
      </c>
      <c r="P56" s="252">
        <f t="shared" si="24"/>
        <v>9259.1708711912961</v>
      </c>
      <c r="Q56" s="252">
        <f t="shared" si="2"/>
        <v>0</v>
      </c>
      <c r="R56" s="252">
        <f t="shared" si="9"/>
        <v>0</v>
      </c>
      <c r="S56" s="252">
        <f t="shared" si="10"/>
        <v>632440.60835636465</v>
      </c>
      <c r="T56" s="252">
        <f t="shared" si="40"/>
        <v>0</v>
      </c>
      <c r="U56" s="198">
        <f t="shared" si="29"/>
        <v>37</v>
      </c>
      <c r="V56" s="36">
        <f t="shared" si="11"/>
        <v>37</v>
      </c>
      <c r="W56" s="36">
        <f t="shared" si="12"/>
        <v>0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43"/>
        <v>21903</v>
      </c>
      <c r="Z56" s="57">
        <f t="shared" si="41"/>
        <v>50060</v>
      </c>
      <c r="AB56" s="171">
        <v>20000</v>
      </c>
      <c r="AC56" s="133" t="s">
        <v>135</v>
      </c>
      <c r="AD56" s="118">
        <f>ROUNDUP(AE56/AH47,0)*AH47</f>
        <v>23190</v>
      </c>
      <c r="AE56" s="13">
        <f>(C23+AJ51)*AD57/12*(1+AD57/12)^(C10+AE57)/((1+AD57/12)^(C10+AE57)-1)+10*C23/100000*IF(C10+AE57&lt;24,4,IF(C10+AE57&lt;36,3,IF(C10+AE57&lt;48,2,IF(C10+AE57&lt;60,1.5,1))))*AD57/0.2</f>
        <v>23186.022344282468</v>
      </c>
      <c r="AF56" s="47">
        <f>(C23+AJ51)*AH36/12*(1+AH36/12)^(C10)/((1+AH36/12)^(C10)-1)+C23/10000*IF(C10&lt;11,20,IF(C10&lt;34,0.7,IF(C10&lt;48,0.3,0)))*IF(AH36&lt;0.3,AH36/0.2,AH36/0.1)</f>
        <v>25985.996052053535</v>
      </c>
      <c r="AG56" s="13">
        <f>(D23+AJ51)*AG57/12*(1+AG57/12)^(C10+AE57)/((1+AG57/12)^(C10+AE57)-1)+10*D23/100000*IF(C10+AE57&lt;24,4,IF(C10+AE57&lt;36,3,IF(C10+AE57&lt;48,2,IF(C10+AE57&lt;60,1.5,1))))*AG57/0.2</f>
        <v>19495.73826456218</v>
      </c>
      <c r="AH56" s="157">
        <f>(D23+AJ51)*AF14/12*(1+AF14/12)^(C10)/((1+AF14/12)^(C10)-1)+D23/10000*IF(C10&lt;11,20,IF(C10&lt;34,0.7,IF(C10&lt;48,0.3,0)))*IF(AF14&lt;0.3,AF14/0.2,AF14/0.1)</f>
        <v>21850.068547859839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45"/>
        <v>21903</v>
      </c>
      <c r="AO56" s="57">
        <f t="shared" si="44"/>
        <v>48600</v>
      </c>
      <c r="AP56" s="130">
        <f t="shared" si="13"/>
        <v>1</v>
      </c>
      <c r="AQ56" s="556">
        <f t="shared" si="30"/>
        <v>48</v>
      </c>
      <c r="AR56" s="680">
        <f t="shared" si="14"/>
        <v>46776</v>
      </c>
      <c r="AS56" s="557">
        <f t="shared" si="42"/>
        <v>0.22899999999999998</v>
      </c>
      <c r="AT56" s="547">
        <f t="shared" si="15"/>
        <v>21903</v>
      </c>
      <c r="AU56" s="547">
        <f t="shared" si="25"/>
        <v>21903</v>
      </c>
      <c r="AV56" s="547">
        <f t="shared" si="16"/>
        <v>11132.754776065529</v>
      </c>
      <c r="AW56" s="547">
        <f t="shared" si="17"/>
        <v>10770.245223934471</v>
      </c>
      <c r="AX56" s="547">
        <f t="shared" si="4"/>
        <v>0</v>
      </c>
      <c r="AY56" s="547">
        <v>0</v>
      </c>
      <c r="AZ56" s="547">
        <f t="shared" si="18"/>
        <v>11132.754776065529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0"/>
        <v>561628.04936177027</v>
      </c>
      <c r="BI56" s="108">
        <f t="shared" si="31"/>
        <v>37</v>
      </c>
      <c r="BJ56" s="108">
        <f t="shared" si="26"/>
        <v>37</v>
      </c>
      <c r="BK56" s="22">
        <f t="shared" si="27"/>
        <v>46776</v>
      </c>
      <c r="BL56" s="108">
        <f t="shared" si="6"/>
        <v>21903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7"/>
        <v>46807</v>
      </c>
      <c r="I57" s="246">
        <f t="shared" si="8"/>
        <v>0.16899999999999998</v>
      </c>
      <c r="J57" s="242">
        <f t="shared" si="0"/>
        <v>21903</v>
      </c>
      <c r="K57" s="242">
        <f t="shared" si="21"/>
        <v>21903</v>
      </c>
      <c r="L57" s="242">
        <f t="shared" si="22"/>
        <v>9077.6886224082027</v>
      </c>
      <c r="M57" s="242">
        <f t="shared" si="23"/>
        <v>12825.311377591797</v>
      </c>
      <c r="N57" s="242">
        <f t="shared" si="1"/>
        <v>0</v>
      </c>
      <c r="O57" s="242">
        <v>0</v>
      </c>
      <c r="P57" s="242">
        <f t="shared" si="24"/>
        <v>9077.6886224082027</v>
      </c>
      <c r="Q57" s="242">
        <f t="shared" si="2"/>
        <v>0</v>
      </c>
      <c r="R57" s="242">
        <f t="shared" si="9"/>
        <v>0</v>
      </c>
      <c r="S57" s="242">
        <f t="shared" si="10"/>
        <v>619615.29697877285</v>
      </c>
      <c r="T57" s="467">
        <f t="shared" si="40"/>
        <v>0</v>
      </c>
      <c r="U57" s="198">
        <f t="shared" si="29"/>
        <v>36</v>
      </c>
      <c r="V57" s="36">
        <f t="shared" si="11"/>
        <v>36</v>
      </c>
      <c r="W57" s="36">
        <f t="shared" si="12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43"/>
        <v>21903</v>
      </c>
      <c r="Z57" s="57">
        <f t="shared" si="41"/>
        <v>50425</v>
      </c>
      <c r="AB57" s="171">
        <v>200000</v>
      </c>
      <c r="AC57" s="171">
        <v>200000</v>
      </c>
      <c r="AD57" s="15">
        <f>IF(C9&gt;AI48,C11,C11+0.05)</f>
        <v>0.22899999999999998</v>
      </c>
      <c r="AE57" s="2">
        <f xml:space="preserve"> IF(C9&gt;AI48,36,24)</f>
        <v>36</v>
      </c>
      <c r="AF57" s="44">
        <f>(C23+AJ51)*AH36/12*(1+AH36/12)^(C10)/((1+AH36/12)^(C10)-1)</f>
        <v>25985.996052053535</v>
      </c>
      <c r="AG57" s="15">
        <f>IF(C9&gt;AI48,D13,D13+0.05)</f>
        <v>0.22899999999999998</v>
      </c>
      <c r="AH57" s="118">
        <f>(D23+AJ51)*AF14/12*(1+AF14/12)^(C10)/((1+AF14/12)^(C10)-1)</f>
        <v>21850.068547859839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45"/>
        <v>21903</v>
      </c>
      <c r="AO57" s="57">
        <f t="shared" si="44"/>
        <v>48965</v>
      </c>
      <c r="AP57" s="130">
        <f t="shared" si="13"/>
        <v>1</v>
      </c>
      <c r="AQ57" s="553">
        <f t="shared" si="30"/>
        <v>49</v>
      </c>
      <c r="AR57" s="554">
        <f t="shared" si="14"/>
        <v>46807</v>
      </c>
      <c r="AS57" s="555">
        <f t="shared" ref="AS57:AS108" si="46">IF($D$16="Да",$AN$40,$D$13)</f>
        <v>0.22899999999999998</v>
      </c>
      <c r="AT57" s="546">
        <f t="shared" si="15"/>
        <v>21903</v>
      </c>
      <c r="AU57" s="546">
        <f t="shared" si="25"/>
        <v>21903</v>
      </c>
      <c r="AV57" s="546">
        <f t="shared" si="16"/>
        <v>10923.280883340294</v>
      </c>
      <c r="AW57" s="546">
        <f t="shared" si="17"/>
        <v>10979.719116659706</v>
      </c>
      <c r="AX57" s="546">
        <f t="shared" si="4"/>
        <v>0</v>
      </c>
      <c r="AY57" s="546">
        <v>0</v>
      </c>
      <c r="AZ57" s="546">
        <f t="shared" si="18"/>
        <v>10923.280883340294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0"/>
        <v>550648.33024511056</v>
      </c>
      <c r="BI57" s="108">
        <f t="shared" si="31"/>
        <v>36</v>
      </c>
      <c r="BJ57" s="108">
        <f t="shared" si="26"/>
        <v>36</v>
      </c>
      <c r="BK57" s="22">
        <f t="shared" si="27"/>
        <v>46807</v>
      </c>
      <c r="BL57" s="108">
        <f t="shared" si="6"/>
        <v>21903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7"/>
        <v>46836</v>
      </c>
      <c r="I58" s="246">
        <f t="shared" si="8"/>
        <v>0.16899999999999998</v>
      </c>
      <c r="J58" s="242">
        <f t="shared" si="0"/>
        <v>21903</v>
      </c>
      <c r="K58" s="242">
        <f t="shared" si="21"/>
        <v>21903</v>
      </c>
      <c r="L58" s="242">
        <f t="shared" si="22"/>
        <v>8319.8207410766172</v>
      </c>
      <c r="M58" s="242">
        <f t="shared" si="23"/>
        <v>13583.179258923383</v>
      </c>
      <c r="N58" s="242">
        <f t="shared" si="1"/>
        <v>0</v>
      </c>
      <c r="O58" s="242">
        <v>0</v>
      </c>
      <c r="P58" s="242">
        <f t="shared" si="24"/>
        <v>8319.8207410766172</v>
      </c>
      <c r="Q58" s="242">
        <f t="shared" si="2"/>
        <v>0</v>
      </c>
      <c r="R58" s="242">
        <f t="shared" si="9"/>
        <v>0</v>
      </c>
      <c r="S58" s="242">
        <f t="shared" si="10"/>
        <v>606032.11771984946</v>
      </c>
      <c r="T58" s="467">
        <f t="shared" si="40"/>
        <v>0</v>
      </c>
      <c r="U58" s="198">
        <f t="shared" si="29"/>
        <v>35</v>
      </c>
      <c r="V58" s="36">
        <f t="shared" si="11"/>
        <v>35</v>
      </c>
      <c r="W58" s="36">
        <f t="shared" si="12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43"/>
        <v>21903</v>
      </c>
      <c r="Z58" s="57">
        <f t="shared" si="41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si="45"/>
        <v>21903</v>
      </c>
      <c r="AO58" s="57">
        <f t="shared" si="44"/>
        <v>49330</v>
      </c>
      <c r="AP58" s="130">
        <f t="shared" si="13"/>
        <v>1</v>
      </c>
      <c r="AQ58" s="553">
        <f t="shared" si="30"/>
        <v>50</v>
      </c>
      <c r="AR58" s="554">
        <f t="shared" si="14"/>
        <v>46836</v>
      </c>
      <c r="AS58" s="555">
        <f t="shared" si="46"/>
        <v>0.22899999999999998</v>
      </c>
      <c r="AT58" s="546">
        <f t="shared" si="15"/>
        <v>21903</v>
      </c>
      <c r="AU58" s="546">
        <f t="shared" si="25"/>
        <v>21903</v>
      </c>
      <c r="AV58" s="546">
        <f t="shared" si="16"/>
        <v>10018.782359336379</v>
      </c>
      <c r="AW58" s="546">
        <f t="shared" si="17"/>
        <v>11884.217640663621</v>
      </c>
      <c r="AX58" s="546">
        <f t="shared" si="4"/>
        <v>0</v>
      </c>
      <c r="AY58" s="546">
        <v>0</v>
      </c>
      <c r="AZ58" s="546">
        <f t="shared" si="18"/>
        <v>10018.782359336379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0"/>
        <v>538764.11260444694</v>
      </c>
      <c r="BI58" s="108">
        <f t="shared" si="31"/>
        <v>35</v>
      </c>
      <c r="BJ58" s="108">
        <f t="shared" si="26"/>
        <v>35</v>
      </c>
      <c r="BK58" s="22">
        <f t="shared" si="27"/>
        <v>46836</v>
      </c>
      <c r="BL58" s="108">
        <f t="shared" si="6"/>
        <v>21903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7"/>
        <v>46867</v>
      </c>
      <c r="I59" s="246">
        <f t="shared" si="8"/>
        <v>0.16899999999999998</v>
      </c>
      <c r="J59" s="242">
        <f t="shared" si="0"/>
        <v>21903</v>
      </c>
      <c r="K59" s="242">
        <f t="shared" si="21"/>
        <v>21903</v>
      </c>
      <c r="L59" s="242">
        <f t="shared" si="22"/>
        <v>8698.6363417377834</v>
      </c>
      <c r="M59" s="242">
        <f t="shared" si="23"/>
        <v>13204.363658262217</v>
      </c>
      <c r="N59" s="242">
        <f t="shared" si="1"/>
        <v>0</v>
      </c>
      <c r="O59" s="242">
        <v>0</v>
      </c>
      <c r="P59" s="242">
        <f t="shared" si="24"/>
        <v>8698.6363417377834</v>
      </c>
      <c r="Q59" s="242">
        <f t="shared" si="2"/>
        <v>0</v>
      </c>
      <c r="R59" s="242">
        <f t="shared" si="9"/>
        <v>0</v>
      </c>
      <c r="S59" s="242">
        <f t="shared" si="10"/>
        <v>592827.75406158727</v>
      </c>
      <c r="T59" s="467">
        <f t="shared" si="40"/>
        <v>0</v>
      </c>
      <c r="U59" s="198">
        <f t="shared" si="29"/>
        <v>34</v>
      </c>
      <c r="V59" s="36">
        <f t="shared" si="11"/>
        <v>34</v>
      </c>
      <c r="W59" s="36">
        <f t="shared" si="12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43"/>
        <v>21903</v>
      </c>
      <c r="Z59" s="57">
        <f t="shared" si="41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45"/>
        <v>21903</v>
      </c>
      <c r="AO59" s="57">
        <f t="shared" si="44"/>
        <v>49695</v>
      </c>
      <c r="AP59" s="130">
        <f t="shared" si="13"/>
        <v>1</v>
      </c>
      <c r="AQ59" s="553">
        <f t="shared" si="30"/>
        <v>51</v>
      </c>
      <c r="AR59" s="554">
        <f t="shared" si="14"/>
        <v>46867</v>
      </c>
      <c r="AS59" s="555">
        <f t="shared" si="46"/>
        <v>0.22899999999999998</v>
      </c>
      <c r="AT59" s="546">
        <f t="shared" si="15"/>
        <v>21903</v>
      </c>
      <c r="AU59" s="546">
        <f t="shared" si="25"/>
        <v>21903</v>
      </c>
      <c r="AV59" s="546">
        <f t="shared" si="16"/>
        <v>10478.592973641011</v>
      </c>
      <c r="AW59" s="546">
        <f t="shared" si="17"/>
        <v>11424.407026358989</v>
      </c>
      <c r="AX59" s="546">
        <f t="shared" si="4"/>
        <v>0</v>
      </c>
      <c r="AY59" s="546">
        <v>0</v>
      </c>
      <c r="AZ59" s="546">
        <f t="shared" si="18"/>
        <v>10478.592973641011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0"/>
        <v>527339.70557808795</v>
      </c>
      <c r="BI59" s="108">
        <f t="shared" si="31"/>
        <v>34</v>
      </c>
      <c r="BJ59" s="108">
        <f t="shared" si="26"/>
        <v>34</v>
      </c>
      <c r="BK59" s="22">
        <f t="shared" si="27"/>
        <v>46867</v>
      </c>
      <c r="BL59" s="108">
        <f t="shared" si="6"/>
        <v>21903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7"/>
        <v>46897</v>
      </c>
      <c r="I60" s="246">
        <f t="shared" si="8"/>
        <v>0.16899999999999998</v>
      </c>
      <c r="J60" s="242">
        <f t="shared" si="0"/>
        <v>21903</v>
      </c>
      <c r="K60" s="242">
        <f t="shared" si="21"/>
        <v>21903</v>
      </c>
      <c r="L60" s="242">
        <f t="shared" si="22"/>
        <v>8234.6211317595807</v>
      </c>
      <c r="M60" s="242">
        <f t="shared" si="23"/>
        <v>13668.378868240419</v>
      </c>
      <c r="N60" s="242">
        <f t="shared" si="1"/>
        <v>0</v>
      </c>
      <c r="O60" s="242">
        <v>0</v>
      </c>
      <c r="P60" s="242">
        <f t="shared" si="24"/>
        <v>8234.6211317595807</v>
      </c>
      <c r="Q60" s="242">
        <f t="shared" si="2"/>
        <v>0</v>
      </c>
      <c r="R60" s="242">
        <f t="shared" si="9"/>
        <v>0</v>
      </c>
      <c r="S60" s="242">
        <f t="shared" si="10"/>
        <v>579159.37519334687</v>
      </c>
      <c r="T60" s="467">
        <f t="shared" si="40"/>
        <v>0</v>
      </c>
      <c r="U60" s="198">
        <f t="shared" si="29"/>
        <v>33</v>
      </c>
      <c r="V60" s="36">
        <f t="shared" si="11"/>
        <v>33</v>
      </c>
      <c r="W60" s="36">
        <f t="shared" si="12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43"/>
        <v>21903</v>
      </c>
      <c r="Z60" s="57">
        <f t="shared" si="41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45"/>
        <v>21903</v>
      </c>
      <c r="AO60" s="57">
        <f t="shared" si="44"/>
        <v>50060</v>
      </c>
      <c r="AP60" s="130">
        <f t="shared" si="13"/>
        <v>1</v>
      </c>
      <c r="AQ60" s="553">
        <f t="shared" si="30"/>
        <v>52</v>
      </c>
      <c r="AR60" s="554">
        <f t="shared" si="14"/>
        <v>46897</v>
      </c>
      <c r="AS60" s="555">
        <f t="shared" si="46"/>
        <v>0.22899999999999998</v>
      </c>
      <c r="AT60" s="546">
        <f t="shared" si="15"/>
        <v>21903</v>
      </c>
      <c r="AU60" s="546">
        <f t="shared" si="25"/>
        <v>21903</v>
      </c>
      <c r="AV60" s="546">
        <f t="shared" si="16"/>
        <v>9925.5445954012703</v>
      </c>
      <c r="AW60" s="546">
        <f t="shared" si="17"/>
        <v>11977.45540459873</v>
      </c>
      <c r="AX60" s="546">
        <f t="shared" si="4"/>
        <v>0</v>
      </c>
      <c r="AY60" s="546">
        <v>0</v>
      </c>
      <c r="AZ60" s="546">
        <f t="shared" si="18"/>
        <v>9925.5445954012703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0"/>
        <v>515362.25017348921</v>
      </c>
      <c r="BI60" s="108">
        <f t="shared" si="31"/>
        <v>33</v>
      </c>
      <c r="BJ60" s="108">
        <f t="shared" si="26"/>
        <v>33</v>
      </c>
      <c r="BK60" s="22">
        <f t="shared" si="27"/>
        <v>46897</v>
      </c>
      <c r="BL60" s="108">
        <f t="shared" si="6"/>
        <v>21903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7"/>
        <v>46928</v>
      </c>
      <c r="I61" s="246">
        <f t="shared" si="8"/>
        <v>0.16899999999999998</v>
      </c>
      <c r="J61" s="242">
        <f t="shared" si="0"/>
        <v>21903</v>
      </c>
      <c r="K61" s="242">
        <f t="shared" si="21"/>
        <v>21903</v>
      </c>
      <c r="L61" s="242">
        <f t="shared" si="22"/>
        <v>8312.9204565423133</v>
      </c>
      <c r="M61" s="242">
        <f t="shared" si="23"/>
        <v>13590.079543457687</v>
      </c>
      <c r="N61" s="242">
        <f t="shared" si="1"/>
        <v>0</v>
      </c>
      <c r="O61" s="242">
        <v>0</v>
      </c>
      <c r="P61" s="242">
        <f t="shared" si="24"/>
        <v>8312.9204565423133</v>
      </c>
      <c r="Q61" s="242">
        <f t="shared" si="2"/>
        <v>0</v>
      </c>
      <c r="R61" s="242">
        <f t="shared" si="9"/>
        <v>0</v>
      </c>
      <c r="S61" s="242">
        <f t="shared" si="10"/>
        <v>565569.29564988916</v>
      </c>
      <c r="T61" s="467">
        <f t="shared" si="40"/>
        <v>0</v>
      </c>
      <c r="U61" s="198">
        <f t="shared" si="29"/>
        <v>32</v>
      </c>
      <c r="V61" s="36">
        <f t="shared" si="11"/>
        <v>32</v>
      </c>
      <c r="W61" s="36">
        <f t="shared" si="12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43"/>
        <v>21903</v>
      </c>
      <c r="Z61" s="57">
        <f t="shared" si="41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45"/>
        <v>21903</v>
      </c>
      <c r="AO61" s="57">
        <f t="shared" si="44"/>
        <v>50425</v>
      </c>
      <c r="AP61" s="130">
        <f t="shared" si="13"/>
        <v>1</v>
      </c>
      <c r="AQ61" s="553">
        <f t="shared" si="30"/>
        <v>53</v>
      </c>
      <c r="AR61" s="554">
        <f t="shared" si="14"/>
        <v>46928</v>
      </c>
      <c r="AS61" s="555">
        <f t="shared" si="46"/>
        <v>0.22899999999999998</v>
      </c>
      <c r="AT61" s="546">
        <f t="shared" si="15"/>
        <v>21903</v>
      </c>
      <c r="AU61" s="546">
        <f t="shared" si="25"/>
        <v>21903</v>
      </c>
      <c r="AV61" s="546">
        <f t="shared" si="16"/>
        <v>10023.44277803178</v>
      </c>
      <c r="AW61" s="546">
        <f t="shared" si="17"/>
        <v>11879.55722196822</v>
      </c>
      <c r="AX61" s="546">
        <f t="shared" si="4"/>
        <v>0</v>
      </c>
      <c r="AY61" s="546">
        <v>0</v>
      </c>
      <c r="AZ61" s="546">
        <f t="shared" si="18"/>
        <v>10023.44277803178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0"/>
        <v>503482.69295152102</v>
      </c>
      <c r="BI61" s="108">
        <f t="shared" si="31"/>
        <v>32</v>
      </c>
      <c r="BJ61" s="108">
        <f t="shared" si="26"/>
        <v>32</v>
      </c>
      <c r="BK61" s="22">
        <f t="shared" si="27"/>
        <v>46928</v>
      </c>
      <c r="BL61" s="108">
        <f t="shared" si="6"/>
        <v>21903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7"/>
        <v>46958</v>
      </c>
      <c r="I62" s="246">
        <f t="shared" si="8"/>
        <v>0.16899999999999998</v>
      </c>
      <c r="J62" s="242">
        <f t="shared" si="0"/>
        <v>21903</v>
      </c>
      <c r="K62" s="242">
        <f t="shared" si="21"/>
        <v>21903</v>
      </c>
      <c r="L62" s="242">
        <f t="shared" si="22"/>
        <v>7855.9899423148972</v>
      </c>
      <c r="M62" s="242">
        <f t="shared" si="23"/>
        <v>14047.010057685104</v>
      </c>
      <c r="N62" s="242">
        <f t="shared" si="1"/>
        <v>0</v>
      </c>
      <c r="O62" s="242">
        <v>0</v>
      </c>
      <c r="P62" s="242">
        <f t="shared" si="24"/>
        <v>7855.9899423148972</v>
      </c>
      <c r="Q62" s="242">
        <f t="shared" si="2"/>
        <v>0</v>
      </c>
      <c r="R62" s="242">
        <f t="shared" si="9"/>
        <v>0</v>
      </c>
      <c r="S62" s="242">
        <f t="shared" si="10"/>
        <v>551522.28559220408</v>
      </c>
      <c r="T62" s="467">
        <f t="shared" si="40"/>
        <v>0</v>
      </c>
      <c r="U62" s="198">
        <f t="shared" si="29"/>
        <v>31</v>
      </c>
      <c r="V62" s="36">
        <f t="shared" si="11"/>
        <v>31</v>
      </c>
      <c r="W62" s="36">
        <f t="shared" si="12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43"/>
        <v>21903</v>
      </c>
      <c r="Z62" s="57">
        <f t="shared" si="41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45"/>
        <v>21903</v>
      </c>
      <c r="AO62" s="57">
        <f t="shared" si="44"/>
        <v>50790</v>
      </c>
      <c r="AP62" s="130">
        <f t="shared" si="13"/>
        <v>1</v>
      </c>
      <c r="AQ62" s="553">
        <f t="shared" si="30"/>
        <v>54</v>
      </c>
      <c r="AR62" s="554">
        <f t="shared" si="14"/>
        <v>46958</v>
      </c>
      <c r="AS62" s="555">
        <f t="shared" si="46"/>
        <v>0.22899999999999998</v>
      </c>
      <c r="AT62" s="546">
        <f t="shared" si="15"/>
        <v>21903</v>
      </c>
      <c r="AU62" s="546">
        <f t="shared" si="25"/>
        <v>21903</v>
      </c>
      <c r="AV62" s="546">
        <f t="shared" si="16"/>
        <v>9476.5098645943817</v>
      </c>
      <c r="AW62" s="546">
        <f t="shared" si="17"/>
        <v>12426.490135405618</v>
      </c>
      <c r="AX62" s="546">
        <f t="shared" si="4"/>
        <v>0</v>
      </c>
      <c r="AY62" s="546">
        <v>0</v>
      </c>
      <c r="AZ62" s="546">
        <f t="shared" si="18"/>
        <v>9476.5098645943817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0"/>
        <v>491056.2028161154</v>
      </c>
      <c r="BI62" s="108">
        <f t="shared" si="31"/>
        <v>31</v>
      </c>
      <c r="BJ62" s="108">
        <f t="shared" si="26"/>
        <v>31</v>
      </c>
      <c r="BK62" s="22">
        <f t="shared" si="27"/>
        <v>46958</v>
      </c>
      <c r="BL62" s="108">
        <f t="shared" si="6"/>
        <v>21903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7"/>
        <v>46989</v>
      </c>
      <c r="I63" s="246">
        <f t="shared" si="8"/>
        <v>0.16899999999999998</v>
      </c>
      <c r="J63" s="242">
        <f t="shared" si="0"/>
        <v>21903</v>
      </c>
      <c r="K63" s="242">
        <f t="shared" si="21"/>
        <v>21903</v>
      </c>
      <c r="L63" s="242">
        <f t="shared" si="22"/>
        <v>7916.233573198786</v>
      </c>
      <c r="M63" s="242">
        <f t="shared" si="23"/>
        <v>13986.766426801214</v>
      </c>
      <c r="N63" s="242">
        <f t="shared" si="1"/>
        <v>0</v>
      </c>
      <c r="O63" s="242">
        <v>0</v>
      </c>
      <c r="P63" s="242">
        <f t="shared" si="24"/>
        <v>7916.233573198786</v>
      </c>
      <c r="Q63" s="242">
        <f t="shared" si="2"/>
        <v>0</v>
      </c>
      <c r="R63" s="242">
        <f t="shared" si="9"/>
        <v>0</v>
      </c>
      <c r="S63" s="242">
        <f t="shared" si="10"/>
        <v>537535.51916540286</v>
      </c>
      <c r="T63" s="467">
        <f t="shared" si="40"/>
        <v>0</v>
      </c>
      <c r="U63" s="198">
        <f t="shared" si="29"/>
        <v>30</v>
      </c>
      <c r="V63" s="36">
        <f t="shared" si="11"/>
        <v>30</v>
      </c>
      <c r="W63" s="36">
        <f t="shared" si="12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43"/>
        <v>21903</v>
      </c>
      <c r="Z63" s="57">
        <f t="shared" si="41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45"/>
        <v>21903</v>
      </c>
      <c r="AO63" s="57">
        <f t="shared" si="44"/>
        <v>51155</v>
      </c>
      <c r="AP63" s="130">
        <f t="shared" si="13"/>
        <v>1</v>
      </c>
      <c r="AQ63" s="553">
        <f t="shared" si="30"/>
        <v>55</v>
      </c>
      <c r="AR63" s="554">
        <f t="shared" si="14"/>
        <v>46989</v>
      </c>
      <c r="AS63" s="555">
        <f t="shared" si="46"/>
        <v>0.22899999999999998</v>
      </c>
      <c r="AT63" s="546">
        <f t="shared" si="15"/>
        <v>21903</v>
      </c>
      <c r="AU63" s="546">
        <f t="shared" si="25"/>
        <v>21903</v>
      </c>
      <c r="AV63" s="546">
        <f t="shared" si="16"/>
        <v>9550.706804908501</v>
      </c>
      <c r="AW63" s="546">
        <f t="shared" si="17"/>
        <v>12352.293195091499</v>
      </c>
      <c r="AX63" s="546">
        <f t="shared" si="4"/>
        <v>0</v>
      </c>
      <c r="AY63" s="546">
        <v>0</v>
      </c>
      <c r="AZ63" s="546">
        <f t="shared" si="18"/>
        <v>9550.706804908501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0"/>
        <v>478703.90962102392</v>
      </c>
      <c r="BI63" s="108">
        <f t="shared" si="31"/>
        <v>30</v>
      </c>
      <c r="BJ63" s="108">
        <f t="shared" si="26"/>
        <v>30</v>
      </c>
      <c r="BK63" s="22">
        <f t="shared" si="27"/>
        <v>46989</v>
      </c>
      <c r="BL63" s="108">
        <f t="shared" si="6"/>
        <v>21903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7"/>
        <v>47020</v>
      </c>
      <c r="I64" s="246">
        <f t="shared" si="8"/>
        <v>0.16899999999999998</v>
      </c>
      <c r="J64" s="242">
        <f t="shared" si="0"/>
        <v>21903</v>
      </c>
      <c r="K64" s="242">
        <f t="shared" si="21"/>
        <v>21903</v>
      </c>
      <c r="L64" s="242">
        <f t="shared" si="22"/>
        <v>7715.4755750891654</v>
      </c>
      <c r="M64" s="242">
        <f t="shared" si="23"/>
        <v>14187.524424910835</v>
      </c>
      <c r="N64" s="242">
        <f t="shared" si="1"/>
        <v>0</v>
      </c>
      <c r="O64" s="242">
        <v>0</v>
      </c>
      <c r="P64" s="242">
        <f t="shared" si="24"/>
        <v>7715.4755750891654</v>
      </c>
      <c r="Q64" s="242">
        <f t="shared" si="2"/>
        <v>0</v>
      </c>
      <c r="R64" s="242">
        <f t="shared" si="9"/>
        <v>0</v>
      </c>
      <c r="S64" s="242">
        <f t="shared" si="10"/>
        <v>523347.99474049202</v>
      </c>
      <c r="T64" s="467">
        <f t="shared" si="40"/>
        <v>0</v>
      </c>
      <c r="U64" s="198">
        <f t="shared" si="29"/>
        <v>29</v>
      </c>
      <c r="V64" s="36">
        <f t="shared" si="11"/>
        <v>29</v>
      </c>
      <c r="W64" s="36">
        <f t="shared" si="12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43"/>
        <v>21903</v>
      </c>
      <c r="Z64" s="57">
        <f t="shared" si="41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45"/>
        <v>21903</v>
      </c>
      <c r="AO64" s="57">
        <f t="shared" si="44"/>
        <v>51520</v>
      </c>
      <c r="AP64" s="130">
        <f t="shared" si="13"/>
        <v>1</v>
      </c>
      <c r="AQ64" s="553">
        <f t="shared" si="30"/>
        <v>56</v>
      </c>
      <c r="AR64" s="554">
        <f t="shared" si="14"/>
        <v>47020</v>
      </c>
      <c r="AS64" s="555">
        <f t="shared" si="46"/>
        <v>0.22899999999999998</v>
      </c>
      <c r="AT64" s="546">
        <f t="shared" si="15"/>
        <v>21903</v>
      </c>
      <c r="AU64" s="546">
        <f t="shared" si="25"/>
        <v>21903</v>
      </c>
      <c r="AV64" s="546">
        <f t="shared" si="16"/>
        <v>9310.4631627387644</v>
      </c>
      <c r="AW64" s="546">
        <f t="shared" si="17"/>
        <v>12592.536837261236</v>
      </c>
      <c r="AX64" s="546">
        <f t="shared" si="4"/>
        <v>0</v>
      </c>
      <c r="AY64" s="546">
        <v>0</v>
      </c>
      <c r="AZ64" s="546">
        <f t="shared" si="18"/>
        <v>9310.4631627387644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0"/>
        <v>466111.37278376269</v>
      </c>
      <c r="BI64" s="108">
        <f t="shared" si="31"/>
        <v>29</v>
      </c>
      <c r="BJ64" s="108">
        <f t="shared" si="26"/>
        <v>29</v>
      </c>
      <c r="BK64" s="22">
        <f t="shared" si="27"/>
        <v>47020</v>
      </c>
      <c r="BL64" s="108">
        <f t="shared" si="6"/>
        <v>21903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7"/>
        <v>47050</v>
      </c>
      <c r="I65" s="246">
        <f t="shared" si="8"/>
        <v>0.16899999999999998</v>
      </c>
      <c r="J65" s="242">
        <f t="shared" si="0"/>
        <v>21903</v>
      </c>
      <c r="K65" s="242">
        <f t="shared" si="21"/>
        <v>21903</v>
      </c>
      <c r="L65" s="242">
        <f t="shared" si="22"/>
        <v>7269.5187214638199</v>
      </c>
      <c r="M65" s="242">
        <f t="shared" si="23"/>
        <v>14633.481278536179</v>
      </c>
      <c r="N65" s="242">
        <f t="shared" si="1"/>
        <v>0</v>
      </c>
      <c r="O65" s="242">
        <v>0</v>
      </c>
      <c r="P65" s="242">
        <f t="shared" si="24"/>
        <v>7269.5187214638199</v>
      </c>
      <c r="Q65" s="242">
        <f t="shared" si="2"/>
        <v>0</v>
      </c>
      <c r="R65" s="242">
        <f t="shared" si="9"/>
        <v>0</v>
      </c>
      <c r="S65" s="242">
        <f t="shared" si="10"/>
        <v>508714.51346195582</v>
      </c>
      <c r="T65" s="467">
        <f t="shared" si="40"/>
        <v>0</v>
      </c>
      <c r="U65" s="198">
        <f t="shared" si="29"/>
        <v>28</v>
      </c>
      <c r="V65" s="36">
        <f t="shared" si="11"/>
        <v>28</v>
      </c>
      <c r="W65" s="36">
        <f t="shared" si="12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43"/>
        <v>21903</v>
      </c>
      <c r="Z65" s="57">
        <f t="shared" si="41"/>
        <v>53345</v>
      </c>
      <c r="AC65" s="2"/>
      <c r="AD65" s="66">
        <f>IF(AD79&gt;$AB$59,AD64,IF(AD79&gt;$AB$58,AD63,IF(AD79&gt;$AB$57,AD62,AD61)))</f>
        <v>2.5000000000000001E-3</v>
      </c>
      <c r="AE65" s="66">
        <f>IF(AE79&gt;$AB$59,AE64,IF(AE79&gt;$AB$58,AE63,IF(AE79&gt;$AB$57,AE62,AE61)))</f>
        <v>2.5000000000000001E-3</v>
      </c>
      <c r="AF65" s="66">
        <f>IF(AF79&gt;$AB$59,AF64,IF(AF79&gt;$AB$58,AF63,IF(AF79&gt;$AB$57,AF62,AF61)))</f>
        <v>0</v>
      </c>
      <c r="AG65" s="66">
        <f>IF(AG79&gt;1000000,AG64,IF(AG79&gt;500000,AG63,IF(AG79&gt;200000,AG62,AG61)))</f>
        <v>2.5000000000000001E-3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47">IF(AJ79&gt;$AB$59,AJ64,IF(AJ79&gt;$AB$58,AJ63,IF(AJ79&gt;$AB$57,AJ62,AJ61)))</f>
        <v>2E-3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45"/>
        <v>21903</v>
      </c>
      <c r="AO65" s="57">
        <f t="shared" si="44"/>
        <v>51885</v>
      </c>
      <c r="AP65" s="130">
        <f t="shared" si="13"/>
        <v>1</v>
      </c>
      <c r="AQ65" s="553">
        <f t="shared" si="30"/>
        <v>57</v>
      </c>
      <c r="AR65" s="554">
        <f t="shared" si="14"/>
        <v>47050</v>
      </c>
      <c r="AS65" s="555">
        <f t="shared" si="46"/>
        <v>0.22899999999999998</v>
      </c>
      <c r="AT65" s="546">
        <f t="shared" si="15"/>
        <v>21903</v>
      </c>
      <c r="AU65" s="546">
        <f t="shared" si="25"/>
        <v>21903</v>
      </c>
      <c r="AV65" s="546">
        <f t="shared" si="16"/>
        <v>8773.1099480121902</v>
      </c>
      <c r="AW65" s="546">
        <f t="shared" si="17"/>
        <v>13129.89005198781</v>
      </c>
      <c r="AX65" s="546">
        <f t="shared" si="4"/>
        <v>0</v>
      </c>
      <c r="AY65" s="546">
        <v>0</v>
      </c>
      <c r="AZ65" s="546">
        <f t="shared" si="18"/>
        <v>8773.1099480121902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0"/>
        <v>452981.48273177486</v>
      </c>
      <c r="BI65" s="108">
        <f t="shared" si="31"/>
        <v>28</v>
      </c>
      <c r="BJ65" s="108">
        <f t="shared" si="26"/>
        <v>28</v>
      </c>
      <c r="BK65" s="22">
        <f t="shared" si="27"/>
        <v>47050</v>
      </c>
      <c r="BL65" s="108">
        <f t="shared" si="6"/>
        <v>21903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7"/>
        <v>47081</v>
      </c>
      <c r="I66" s="246">
        <f t="shared" si="8"/>
        <v>0.16899999999999998</v>
      </c>
      <c r="J66" s="242">
        <f t="shared" si="0"/>
        <v>21903</v>
      </c>
      <c r="K66" s="242">
        <f t="shared" si="21"/>
        <v>21903</v>
      </c>
      <c r="L66" s="242">
        <f t="shared" si="22"/>
        <v>7301.795441170374</v>
      </c>
      <c r="M66" s="242">
        <f t="shared" si="23"/>
        <v>14601.204558829626</v>
      </c>
      <c r="N66" s="242">
        <f t="shared" si="1"/>
        <v>0</v>
      </c>
      <c r="O66" s="242">
        <v>0</v>
      </c>
      <c r="P66" s="242">
        <f t="shared" si="24"/>
        <v>7301.795441170374</v>
      </c>
      <c r="Q66" s="242">
        <f t="shared" si="2"/>
        <v>0</v>
      </c>
      <c r="R66" s="242">
        <f t="shared" si="9"/>
        <v>0</v>
      </c>
      <c r="S66" s="242">
        <f t="shared" si="10"/>
        <v>494113.30890312622</v>
      </c>
      <c r="T66" s="467">
        <f t="shared" si="40"/>
        <v>0</v>
      </c>
      <c r="U66" s="198">
        <f t="shared" si="29"/>
        <v>27</v>
      </c>
      <c r="V66" s="36">
        <f t="shared" si="11"/>
        <v>27</v>
      </c>
      <c r="W66" s="36">
        <f t="shared" si="12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43"/>
        <v>21903</v>
      </c>
      <c r="Z66" s="57">
        <f t="shared" si="41"/>
        <v>53710</v>
      </c>
      <c r="AB66" s="133" t="s">
        <v>96</v>
      </c>
      <c r="AC66" s="15"/>
      <c r="AD66" s="143">
        <f>AD65*AD79*IF($C$10&gt;60,60,$C$10)</f>
        <v>135000</v>
      </c>
      <c r="AE66" s="143">
        <f>AE65*AE79*IF($C$10&gt;60,60,$C$10)</f>
        <v>148500.00000000003</v>
      </c>
      <c r="AF66" s="143">
        <f>AF65*AF79*IF($C$10&gt;60,60,$C$10)</f>
        <v>0</v>
      </c>
      <c r="AG66" s="143">
        <f>AG65*AG79*IF($C$10&gt;60,60,$C$10)</f>
        <v>135000</v>
      </c>
      <c r="AH66" s="143">
        <f t="shared" ref="AH66:AI66" si="48">AH65*AH79*$C$10</f>
        <v>0</v>
      </c>
      <c r="AI66" s="143">
        <f t="shared" si="48"/>
        <v>75600</v>
      </c>
      <c r="AJ66" s="143">
        <f>AJ65*AJ79*$C$10</f>
        <v>196560</v>
      </c>
      <c r="AK66" s="143">
        <f>AJ66+AI66</f>
        <v>272160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45"/>
        <v>21903</v>
      </c>
      <c r="AO66" s="57">
        <f t="shared" si="44"/>
        <v>52250</v>
      </c>
      <c r="AP66" s="130">
        <f t="shared" si="13"/>
        <v>1</v>
      </c>
      <c r="AQ66" s="553">
        <f t="shared" si="30"/>
        <v>58</v>
      </c>
      <c r="AR66" s="554">
        <f t="shared" si="14"/>
        <v>47081</v>
      </c>
      <c r="AS66" s="555">
        <f t="shared" si="46"/>
        <v>0.22899999999999998</v>
      </c>
      <c r="AT66" s="546">
        <f t="shared" si="15"/>
        <v>21903</v>
      </c>
      <c r="AU66" s="546">
        <f t="shared" si="25"/>
        <v>21903</v>
      </c>
      <c r="AV66" s="546">
        <f t="shared" si="16"/>
        <v>8810.1795778434789</v>
      </c>
      <c r="AW66" s="546">
        <f t="shared" si="17"/>
        <v>13092.820422156521</v>
      </c>
      <c r="AX66" s="546">
        <f t="shared" si="4"/>
        <v>0</v>
      </c>
      <c r="AY66" s="546">
        <v>0</v>
      </c>
      <c r="AZ66" s="546">
        <f t="shared" si="18"/>
        <v>8810.1795778434789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0"/>
        <v>439888.66230961832</v>
      </c>
      <c r="BI66" s="108">
        <f t="shared" si="31"/>
        <v>27</v>
      </c>
      <c r="BJ66" s="108">
        <f t="shared" si="26"/>
        <v>27</v>
      </c>
      <c r="BK66" s="22">
        <f t="shared" si="27"/>
        <v>47081</v>
      </c>
      <c r="BL66" s="108">
        <f t="shared" si="6"/>
        <v>21903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7"/>
        <v>47111</v>
      </c>
      <c r="I67" s="246">
        <f t="shared" si="8"/>
        <v>0.16899999999999998</v>
      </c>
      <c r="J67" s="242">
        <f t="shared" si="0"/>
        <v>21903</v>
      </c>
      <c r="K67" s="242">
        <f t="shared" si="21"/>
        <v>21903</v>
      </c>
      <c r="L67" s="242">
        <f t="shared" si="22"/>
        <v>6863.436920928355</v>
      </c>
      <c r="M67" s="242">
        <f t="shared" si="23"/>
        <v>15039.563079071646</v>
      </c>
      <c r="N67" s="242">
        <f t="shared" si="1"/>
        <v>0</v>
      </c>
      <c r="O67" s="242">
        <v>0</v>
      </c>
      <c r="P67" s="242">
        <f t="shared" si="24"/>
        <v>6863.436920928355</v>
      </c>
      <c r="Q67" s="242">
        <f t="shared" si="2"/>
        <v>0</v>
      </c>
      <c r="R67" s="242">
        <f t="shared" si="9"/>
        <v>0</v>
      </c>
      <c r="S67" s="242">
        <f t="shared" si="10"/>
        <v>479073.74582405458</v>
      </c>
      <c r="T67" s="467">
        <f t="shared" si="40"/>
        <v>0</v>
      </c>
      <c r="U67" s="198">
        <f t="shared" si="29"/>
        <v>26</v>
      </c>
      <c r="V67" s="36">
        <f t="shared" si="11"/>
        <v>26</v>
      </c>
      <c r="W67" s="36">
        <f t="shared" si="12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43"/>
        <v>21903</v>
      </c>
      <c r="Z67" s="57">
        <f t="shared" si="41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45"/>
        <v>21903</v>
      </c>
      <c r="AO67" s="57">
        <f t="shared" si="44"/>
        <v>52615</v>
      </c>
      <c r="AP67" s="130">
        <f t="shared" si="13"/>
        <v>1</v>
      </c>
      <c r="AQ67" s="553">
        <f t="shared" si="30"/>
        <v>59</v>
      </c>
      <c r="AR67" s="554">
        <f t="shared" si="14"/>
        <v>47111</v>
      </c>
      <c r="AS67" s="555">
        <f t="shared" si="46"/>
        <v>0.22899999999999998</v>
      </c>
      <c r="AT67" s="546">
        <f t="shared" si="15"/>
        <v>21903</v>
      </c>
      <c r="AU67" s="546">
        <f t="shared" si="25"/>
        <v>21903</v>
      </c>
      <c r="AV67" s="546">
        <f t="shared" si="16"/>
        <v>8279.5482467591173</v>
      </c>
      <c r="AW67" s="546">
        <f t="shared" si="17"/>
        <v>13623.451753240883</v>
      </c>
      <c r="AX67" s="546">
        <f t="shared" si="4"/>
        <v>0</v>
      </c>
      <c r="AY67" s="546">
        <v>0</v>
      </c>
      <c r="AZ67" s="546">
        <f t="shared" si="18"/>
        <v>8279.5482467591173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0"/>
        <v>426265.21055637742</v>
      </c>
      <c r="BI67" s="108">
        <f t="shared" si="31"/>
        <v>26</v>
      </c>
      <c r="BJ67" s="108">
        <f t="shared" si="26"/>
        <v>26</v>
      </c>
      <c r="BK67" s="22">
        <f t="shared" si="27"/>
        <v>47111</v>
      </c>
      <c r="BL67" s="108">
        <f t="shared" si="6"/>
        <v>21903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79">
        <f t="shared" si="7"/>
        <v>47142</v>
      </c>
      <c r="I68" s="250">
        <f t="shared" si="8"/>
        <v>0.16899999999999998</v>
      </c>
      <c r="J68" s="242">
        <f t="shared" si="0"/>
        <v>21903</v>
      </c>
      <c r="K68" s="252">
        <f t="shared" si="21"/>
        <v>21903</v>
      </c>
      <c r="L68" s="252">
        <f t="shared" si="22"/>
        <v>6876.3489160882791</v>
      </c>
      <c r="M68" s="252">
        <f t="shared" si="23"/>
        <v>15026.651083911722</v>
      </c>
      <c r="N68" s="252">
        <f t="shared" si="1"/>
        <v>0</v>
      </c>
      <c r="O68" s="252">
        <v>0</v>
      </c>
      <c r="P68" s="252">
        <f t="shared" si="24"/>
        <v>6876.3489160882791</v>
      </c>
      <c r="Q68" s="252">
        <f t="shared" si="2"/>
        <v>0</v>
      </c>
      <c r="R68" s="252">
        <f t="shared" si="9"/>
        <v>0</v>
      </c>
      <c r="S68" s="252">
        <f t="shared" si="10"/>
        <v>464047.09474014287</v>
      </c>
      <c r="T68" s="252">
        <f>IF(G68=$C$10,(S67-K68+L68),0)</f>
        <v>0</v>
      </c>
      <c r="U68" s="198">
        <f t="shared" si="29"/>
        <v>25</v>
      </c>
      <c r="V68" s="36">
        <f t="shared" si="11"/>
        <v>25</v>
      </c>
      <c r="W68" s="36">
        <f t="shared" si="12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43"/>
        <v>21903</v>
      </c>
      <c r="Z68" s="57">
        <f t="shared" si="41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45"/>
        <v>21903</v>
      </c>
      <c r="AO68" s="57">
        <f t="shared" si="44"/>
        <v>52980</v>
      </c>
      <c r="AP68" s="130">
        <f t="shared" si="13"/>
        <v>1</v>
      </c>
      <c r="AQ68" s="556">
        <f t="shared" si="30"/>
        <v>60</v>
      </c>
      <c r="AR68" s="680">
        <f t="shared" si="14"/>
        <v>47142</v>
      </c>
      <c r="AS68" s="557">
        <f t="shared" si="46"/>
        <v>0.22899999999999998</v>
      </c>
      <c r="AT68" s="547">
        <f t="shared" si="15"/>
        <v>21903</v>
      </c>
      <c r="AU68" s="547">
        <f t="shared" si="25"/>
        <v>21903</v>
      </c>
      <c r="AV68" s="547">
        <f t="shared" si="16"/>
        <v>8290.5663828485576</v>
      </c>
      <c r="AW68" s="547">
        <f t="shared" si="17"/>
        <v>13612.433617151442</v>
      </c>
      <c r="AX68" s="547">
        <f t="shared" si="4"/>
        <v>0</v>
      </c>
      <c r="AY68" s="547">
        <v>0</v>
      </c>
      <c r="AZ68" s="547">
        <f t="shared" si="18"/>
        <v>8290.5663828485576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0"/>
        <v>412652.77693922597</v>
      </c>
      <c r="BI68" s="108">
        <f t="shared" si="31"/>
        <v>25</v>
      </c>
      <c r="BJ68" s="108">
        <f t="shared" si="26"/>
        <v>25</v>
      </c>
      <c r="BK68" s="22">
        <f t="shared" si="27"/>
        <v>47142</v>
      </c>
      <c r="BL68" s="108">
        <f t="shared" si="6"/>
        <v>21903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7"/>
        <v>47173</v>
      </c>
      <c r="I69" s="246">
        <f t="shared" si="8"/>
        <v>0.16899999999999998</v>
      </c>
      <c r="J69" s="242">
        <f t="shared" si="0"/>
        <v>21903</v>
      </c>
      <c r="K69" s="242">
        <f t="shared" si="21"/>
        <v>21903</v>
      </c>
      <c r="L69" s="683">
        <f t="shared" si="22"/>
        <v>6660.665011900297</v>
      </c>
      <c r="M69" s="242">
        <f t="shared" si="23"/>
        <v>15242.334988099703</v>
      </c>
      <c r="N69" s="242">
        <f t="shared" si="1"/>
        <v>0</v>
      </c>
      <c r="O69" s="242">
        <v>0</v>
      </c>
      <c r="P69" s="242">
        <f t="shared" si="24"/>
        <v>6660.665011900297</v>
      </c>
      <c r="Q69" s="242">
        <f t="shared" si="2"/>
        <v>0</v>
      </c>
      <c r="R69" s="242">
        <f t="shared" si="9"/>
        <v>0</v>
      </c>
      <c r="S69" s="242">
        <f t="shared" si="10"/>
        <v>448804.75975204317</v>
      </c>
      <c r="T69" s="467">
        <f t="shared" ref="T69:T92" si="49">IF(G69=$C$10,(S68-K69+L69),0)</f>
        <v>0</v>
      </c>
      <c r="U69" s="36">
        <f t="shared" si="29"/>
        <v>24</v>
      </c>
      <c r="V69" s="36">
        <f t="shared" si="11"/>
        <v>24</v>
      </c>
      <c r="W69" s="36">
        <f t="shared" si="12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43"/>
        <v>21903</v>
      </c>
      <c r="Z69" s="57">
        <f t="shared" si="41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45"/>
        <v>21903</v>
      </c>
      <c r="AO69" s="57">
        <f t="shared" si="44"/>
        <v>53345</v>
      </c>
      <c r="AP69" s="130">
        <f t="shared" si="13"/>
        <v>1</v>
      </c>
      <c r="AQ69" s="553">
        <f t="shared" si="30"/>
        <v>61</v>
      </c>
      <c r="AR69" s="554">
        <f t="shared" si="14"/>
        <v>47173</v>
      </c>
      <c r="AS69" s="555">
        <f t="shared" si="46"/>
        <v>0.22899999999999998</v>
      </c>
      <c r="AT69" s="546">
        <f t="shared" si="15"/>
        <v>21903</v>
      </c>
      <c r="AU69" s="546">
        <f t="shared" si="25"/>
        <v>21903</v>
      </c>
      <c r="AV69" s="546">
        <f t="shared" si="16"/>
        <v>8025.8138725796307</v>
      </c>
      <c r="AW69" s="546">
        <f t="shared" si="17"/>
        <v>13877.186127420369</v>
      </c>
      <c r="AX69" s="546">
        <f t="shared" si="4"/>
        <v>0</v>
      </c>
      <c r="AY69" s="546">
        <v>0</v>
      </c>
      <c r="AZ69" s="546">
        <f t="shared" si="18"/>
        <v>8025.8138725796307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0"/>
        <v>398775.59081180557</v>
      </c>
      <c r="BI69" s="108">
        <f t="shared" si="31"/>
        <v>24</v>
      </c>
      <c r="BJ69" s="108">
        <f t="shared" si="26"/>
        <v>24</v>
      </c>
      <c r="BK69" s="22">
        <f t="shared" si="27"/>
        <v>47173</v>
      </c>
      <c r="BL69" s="108">
        <f t="shared" si="6"/>
        <v>21903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7"/>
        <v>47201</v>
      </c>
      <c r="I70" s="246">
        <f t="shared" si="8"/>
        <v>0.16899999999999998</v>
      </c>
      <c r="J70" s="242">
        <f t="shared" si="0"/>
        <v>21903</v>
      </c>
      <c r="K70" s="242">
        <f t="shared" si="21"/>
        <v>21903</v>
      </c>
      <c r="L70" s="242">
        <f t="shared" si="22"/>
        <v>5818.4770497168993</v>
      </c>
      <c r="M70" s="242">
        <f t="shared" si="23"/>
        <v>16084.522950283101</v>
      </c>
      <c r="N70" s="242">
        <f t="shared" si="1"/>
        <v>0</v>
      </c>
      <c r="O70" s="242">
        <v>0</v>
      </c>
      <c r="P70" s="242">
        <f t="shared" si="24"/>
        <v>5818.4770497168993</v>
      </c>
      <c r="Q70" s="242">
        <f t="shared" si="2"/>
        <v>0</v>
      </c>
      <c r="R70" s="242">
        <f t="shared" si="9"/>
        <v>0</v>
      </c>
      <c r="S70" s="242">
        <f t="shared" si="10"/>
        <v>432720.2368017601</v>
      </c>
      <c r="T70" s="467">
        <f t="shared" si="49"/>
        <v>0</v>
      </c>
      <c r="U70" s="36">
        <f t="shared" si="29"/>
        <v>23</v>
      </c>
      <c r="V70" s="36">
        <f t="shared" si="11"/>
        <v>23</v>
      </c>
      <c r="W70" s="36">
        <f t="shared" si="12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43"/>
        <v>21903</v>
      </c>
      <c r="Z70" s="57">
        <f t="shared" si="41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45"/>
        <v>21903</v>
      </c>
      <c r="AO70" s="57">
        <f t="shared" si="44"/>
        <v>53710</v>
      </c>
      <c r="AP70" s="130">
        <f t="shared" si="13"/>
        <v>1</v>
      </c>
      <c r="AQ70" s="553">
        <f t="shared" si="30"/>
        <v>62</v>
      </c>
      <c r="AR70" s="554">
        <f t="shared" si="14"/>
        <v>47201</v>
      </c>
      <c r="AS70" s="555">
        <f t="shared" si="46"/>
        <v>0.22899999999999998</v>
      </c>
      <c r="AT70" s="546">
        <f t="shared" si="15"/>
        <v>21903</v>
      </c>
      <c r="AU70" s="546">
        <f t="shared" si="25"/>
        <v>21903</v>
      </c>
      <c r="AV70" s="546">
        <f t="shared" si="16"/>
        <v>7005.3399679049235</v>
      </c>
      <c r="AW70" s="546">
        <f t="shared" si="17"/>
        <v>14897.660032095077</v>
      </c>
      <c r="AX70" s="546">
        <f t="shared" si="4"/>
        <v>0</v>
      </c>
      <c r="AY70" s="546">
        <v>0</v>
      </c>
      <c r="AZ70" s="546">
        <f t="shared" si="18"/>
        <v>7005.3399679049235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0"/>
        <v>383877.93077971047</v>
      </c>
      <c r="BI70" s="108">
        <f t="shared" si="31"/>
        <v>23</v>
      </c>
      <c r="BJ70" s="108">
        <f t="shared" si="26"/>
        <v>23</v>
      </c>
      <c r="BK70" s="22">
        <f t="shared" si="27"/>
        <v>47201</v>
      </c>
      <c r="BL70" s="108">
        <f t="shared" si="6"/>
        <v>21903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7"/>
        <v>47232</v>
      </c>
      <c r="I71" s="246">
        <f t="shared" si="8"/>
        <v>0.16899999999999998</v>
      </c>
      <c r="J71" s="242">
        <f t="shared" si="0"/>
        <v>21903</v>
      </c>
      <c r="K71" s="242">
        <f t="shared" si="21"/>
        <v>21903</v>
      </c>
      <c r="L71" s="242">
        <f t="shared" si="22"/>
        <v>6211.0173167244411</v>
      </c>
      <c r="M71" s="242">
        <f t="shared" si="23"/>
        <v>15691.982683275559</v>
      </c>
      <c r="N71" s="242">
        <f t="shared" si="1"/>
        <v>0</v>
      </c>
      <c r="O71" s="242">
        <v>0</v>
      </c>
      <c r="P71" s="242">
        <f t="shared" si="24"/>
        <v>6211.0173167244411</v>
      </c>
      <c r="Q71" s="242">
        <f t="shared" si="2"/>
        <v>0</v>
      </c>
      <c r="R71" s="242">
        <f t="shared" si="9"/>
        <v>0</v>
      </c>
      <c r="S71" s="242">
        <f t="shared" si="10"/>
        <v>417028.25411848456</v>
      </c>
      <c r="T71" s="467">
        <f t="shared" si="49"/>
        <v>0</v>
      </c>
      <c r="U71" s="36">
        <f t="shared" si="29"/>
        <v>22</v>
      </c>
      <c r="V71" s="36">
        <f t="shared" si="11"/>
        <v>22</v>
      </c>
      <c r="W71" s="36">
        <f t="shared" si="12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43"/>
        <v>21903</v>
      </c>
      <c r="Z71" s="57">
        <f t="shared" si="41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45"/>
        <v>21903</v>
      </c>
      <c r="AO71" s="57">
        <f t="shared" si="44"/>
        <v>54075</v>
      </c>
      <c r="AP71" s="130">
        <f t="shared" si="13"/>
        <v>1</v>
      </c>
      <c r="AQ71" s="553">
        <f t="shared" si="30"/>
        <v>63</v>
      </c>
      <c r="AR71" s="554">
        <f t="shared" si="14"/>
        <v>47232</v>
      </c>
      <c r="AS71" s="555">
        <f t="shared" si="46"/>
        <v>0.22899999999999998</v>
      </c>
      <c r="AT71" s="546">
        <f t="shared" si="15"/>
        <v>21903</v>
      </c>
      <c r="AU71" s="546">
        <f t="shared" si="25"/>
        <v>21903</v>
      </c>
      <c r="AV71" s="546">
        <f t="shared" si="16"/>
        <v>7466.1628235757935</v>
      </c>
      <c r="AW71" s="546">
        <f t="shared" si="17"/>
        <v>14436.837176424207</v>
      </c>
      <c r="AX71" s="546">
        <f t="shared" si="4"/>
        <v>0</v>
      </c>
      <c r="AY71" s="546">
        <v>0</v>
      </c>
      <c r="AZ71" s="546">
        <f t="shared" si="18"/>
        <v>7466.1628235757935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0"/>
        <v>369441.09360328625</v>
      </c>
      <c r="BI71" s="108">
        <f t="shared" si="31"/>
        <v>22</v>
      </c>
      <c r="BJ71" s="108">
        <f t="shared" si="26"/>
        <v>22</v>
      </c>
      <c r="BK71" s="22">
        <f t="shared" si="27"/>
        <v>47232</v>
      </c>
      <c r="BL71" s="108">
        <f t="shared" si="6"/>
        <v>21903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7"/>
        <v>47262</v>
      </c>
      <c r="I72" s="246">
        <f t="shared" si="8"/>
        <v>0.16899999999999998</v>
      </c>
      <c r="J72" s="242">
        <f t="shared" si="0"/>
        <v>21903</v>
      </c>
      <c r="K72" s="242">
        <f t="shared" si="21"/>
        <v>21903</v>
      </c>
      <c r="L72" s="242">
        <f t="shared" si="22"/>
        <v>5792.693831180045</v>
      </c>
      <c r="M72" s="242">
        <f t="shared" si="23"/>
        <v>16110.306168819956</v>
      </c>
      <c r="N72" s="242">
        <f t="shared" si="1"/>
        <v>0</v>
      </c>
      <c r="O72" s="242">
        <v>0</v>
      </c>
      <c r="P72" s="242">
        <f t="shared" si="24"/>
        <v>5792.693831180045</v>
      </c>
      <c r="Q72" s="242">
        <f t="shared" si="2"/>
        <v>0</v>
      </c>
      <c r="R72" s="242">
        <f t="shared" si="9"/>
        <v>0</v>
      </c>
      <c r="S72" s="242">
        <f t="shared" si="10"/>
        <v>400917.94794966461</v>
      </c>
      <c r="T72" s="467">
        <f t="shared" si="49"/>
        <v>0</v>
      </c>
      <c r="U72" s="36">
        <f t="shared" si="29"/>
        <v>21</v>
      </c>
      <c r="V72" s="36">
        <f t="shared" si="11"/>
        <v>21</v>
      </c>
      <c r="W72" s="36">
        <f t="shared" si="12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43"/>
        <v>21903</v>
      </c>
      <c r="Z72" s="57">
        <f t="shared" si="41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45"/>
        <v>21903</v>
      </c>
      <c r="AO72" s="57">
        <f t="shared" si="44"/>
        <v>54440</v>
      </c>
      <c r="AP72" s="130">
        <f t="shared" si="13"/>
        <v>1</v>
      </c>
      <c r="AQ72" s="553">
        <f t="shared" si="30"/>
        <v>64</v>
      </c>
      <c r="AR72" s="554">
        <f t="shared" si="14"/>
        <v>47262</v>
      </c>
      <c r="AS72" s="555">
        <f t="shared" si="46"/>
        <v>0.22899999999999998</v>
      </c>
      <c r="AT72" s="546">
        <f t="shared" si="15"/>
        <v>21903</v>
      </c>
      <c r="AU72" s="546">
        <f t="shared" si="25"/>
        <v>21903</v>
      </c>
      <c r="AV72" s="546">
        <f t="shared" si="16"/>
        <v>6953.5898987796609</v>
      </c>
      <c r="AW72" s="546">
        <f t="shared" si="17"/>
        <v>14949.410101220339</v>
      </c>
      <c r="AX72" s="546">
        <f t="shared" si="4"/>
        <v>0</v>
      </c>
      <c r="AY72" s="546">
        <v>0</v>
      </c>
      <c r="AZ72" s="546">
        <f t="shared" si="18"/>
        <v>6953.5898987796609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0"/>
        <v>354491.68350206589</v>
      </c>
      <c r="BI72" s="108">
        <f t="shared" si="31"/>
        <v>21</v>
      </c>
      <c r="BJ72" s="108">
        <f t="shared" si="26"/>
        <v>21</v>
      </c>
      <c r="BK72" s="22">
        <f t="shared" si="27"/>
        <v>47262</v>
      </c>
      <c r="BL72" s="108">
        <f t="shared" si="6"/>
        <v>21903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si="7"/>
        <v>47293</v>
      </c>
      <c r="I73" s="246">
        <f t="shared" si="8"/>
        <v>0.16899999999999998</v>
      </c>
      <c r="J73" s="242">
        <f t="shared" si="0"/>
        <v>21903</v>
      </c>
      <c r="K73" s="242">
        <f t="shared" si="21"/>
        <v>21903</v>
      </c>
      <c r="L73" s="242">
        <f t="shared" si="22"/>
        <v>5754.5455597487471</v>
      </c>
      <c r="M73" s="242">
        <f t="shared" si="23"/>
        <v>16148.454440251253</v>
      </c>
      <c r="N73" s="242">
        <f t="shared" ref="N73:N108" si="50">IF(P73-Q73&gt;$C$24,$C$24-L73,IF(V73=0,0,R73)+$AJ$51)</f>
        <v>0</v>
      </c>
      <c r="O73" s="242">
        <v>0</v>
      </c>
      <c r="P73" s="242">
        <f t="shared" si="24"/>
        <v>5754.5455597487471</v>
      </c>
      <c r="Q73" s="242">
        <f t="shared" ref="Q73:Q108" si="51">IF(V73=0,0,0)</f>
        <v>0</v>
      </c>
      <c r="R73" s="242">
        <f t="shared" si="9"/>
        <v>0</v>
      </c>
      <c r="S73" s="242">
        <f t="shared" si="10"/>
        <v>384769.49350941338</v>
      </c>
      <c r="T73" s="467">
        <f t="shared" si="49"/>
        <v>0</v>
      </c>
      <c r="U73" s="36">
        <f t="shared" si="29"/>
        <v>20</v>
      </c>
      <c r="V73" s="36">
        <f t="shared" si="11"/>
        <v>20</v>
      </c>
      <c r="W73" s="36">
        <f t="shared" si="12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43"/>
        <v>21903</v>
      </c>
      <c r="Z73" s="57">
        <f t="shared" si="41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45"/>
        <v>21903</v>
      </c>
      <c r="AO73" s="57">
        <f t="shared" si="44"/>
        <v>54805</v>
      </c>
      <c r="AP73" s="130">
        <f t="shared" si="13"/>
        <v>1</v>
      </c>
      <c r="AQ73" s="553">
        <f t="shared" si="30"/>
        <v>65</v>
      </c>
      <c r="AR73" s="554">
        <f t="shared" si="14"/>
        <v>47293</v>
      </c>
      <c r="AS73" s="555">
        <f t="shared" si="46"/>
        <v>0.22899999999999998</v>
      </c>
      <c r="AT73" s="546">
        <f t="shared" si="15"/>
        <v>21903</v>
      </c>
      <c r="AU73" s="546">
        <f t="shared" si="25"/>
        <v>21903</v>
      </c>
      <c r="AV73" s="546">
        <f t="shared" si="16"/>
        <v>6894.6204415922348</v>
      </c>
      <c r="AW73" s="546">
        <f t="shared" si="17"/>
        <v>15008.379558407765</v>
      </c>
      <c r="AX73" s="546">
        <f t="shared" ref="AX73:AX108" si="52">IF(AZ73-BA73&gt;$D$24,$D$24-AV73,IF(BJ73=0,0,BB73)+BY121)</f>
        <v>0</v>
      </c>
      <c r="AY73" s="546">
        <v>0</v>
      </c>
      <c r="AZ73" s="546">
        <f t="shared" si="18"/>
        <v>6894.6204415922348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0"/>
        <v>339483.30394365813</v>
      </c>
      <c r="BI73" s="108">
        <f t="shared" si="31"/>
        <v>20</v>
      </c>
      <c r="BJ73" s="108">
        <f t="shared" si="26"/>
        <v>20</v>
      </c>
      <c r="BK73" s="22">
        <f t="shared" si="27"/>
        <v>47293</v>
      </c>
      <c r="BL73" s="108">
        <f t="shared" ref="BL73:BL114" si="53">K73</f>
        <v>21903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ref="H74:H108" si="54">IF((OR(DAY($AE$54)=29,DAY($AE$54)=30,DAY($AE$54)=31)),(EDATE($C$9-3,G74)),EDATE($C$9,G74))</f>
        <v>47323</v>
      </c>
      <c r="I74" s="246">
        <f t="shared" ref="I74:I108" si="55">IF(AND($X$11=1,G74&gt;=$X$11,),0%,$C$13)</f>
        <v>0.16899999999999998</v>
      </c>
      <c r="J74" s="242">
        <f t="shared" ref="J74:J108" si="56">K74+Q74</f>
        <v>21903</v>
      </c>
      <c r="K74" s="242">
        <f t="shared" si="21"/>
        <v>21903</v>
      </c>
      <c r="L74" s="242">
        <f t="shared" si="22"/>
        <v>5344.6063892951388</v>
      </c>
      <c r="M74" s="242">
        <f t="shared" si="23"/>
        <v>16558.393610704861</v>
      </c>
      <c r="N74" s="242">
        <f t="shared" si="50"/>
        <v>0</v>
      </c>
      <c r="O74" s="242">
        <v>0</v>
      </c>
      <c r="P74" s="242">
        <f t="shared" si="24"/>
        <v>5344.6063892951388</v>
      </c>
      <c r="Q74" s="242">
        <f t="shared" si="51"/>
        <v>0</v>
      </c>
      <c r="R74" s="242">
        <f t="shared" ref="R74:R108" si="57">IF(V74=0,0,0)</f>
        <v>0</v>
      </c>
      <c r="S74" s="242">
        <f t="shared" ref="S74" si="58">S73-M74-T74</f>
        <v>368211.09989870852</v>
      </c>
      <c r="T74" s="467">
        <f t="shared" si="49"/>
        <v>0</v>
      </c>
      <c r="U74" s="36">
        <f t="shared" si="29"/>
        <v>19</v>
      </c>
      <c r="V74" s="36">
        <f t="shared" ref="V74:V107" si="59">U74</f>
        <v>19</v>
      </c>
      <c r="W74" s="36">
        <f t="shared" ref="W74:W108" si="60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43"/>
        <v>21903</v>
      </c>
      <c r="Z74" s="57">
        <f t="shared" si="41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45"/>
        <v>21903</v>
      </c>
      <c r="AO74" s="57">
        <f t="shared" si="44"/>
        <v>55170</v>
      </c>
      <c r="AP74" s="130">
        <f t="shared" ref="AP74:AP108" si="61">IF(OR(AU74="",AU74=0),0,1)</f>
        <v>1</v>
      </c>
      <c r="AQ74" s="553">
        <f t="shared" si="30"/>
        <v>66</v>
      </c>
      <c r="AR74" s="554">
        <f t="shared" ref="AR74:AR108" si="62">IF((OR(DAY($AE$54)=29,DAY($AE$54)=30,DAY($AE$54)=31)),(EDATE($C$9-3,AQ74)),EDATE($C$9,AQ74))</f>
        <v>47323</v>
      </c>
      <c r="AS74" s="555">
        <f t="shared" si="46"/>
        <v>0.22899999999999998</v>
      </c>
      <c r="AT74" s="546">
        <f t="shared" ref="AT74:AT108" si="63">AU74+BA74</f>
        <v>21903</v>
      </c>
      <c r="AU74" s="546">
        <f t="shared" si="25"/>
        <v>21903</v>
      </c>
      <c r="AV74" s="546">
        <f t="shared" ref="AV74:AV108" si="64">BH73*($D$13/365*(AR74-AR73))</f>
        <v>6389.7268440902226</v>
      </c>
      <c r="AW74" s="546">
        <f t="shared" ref="AW74:AW108" si="65">IF(BJ74=0,0,IF(BJ74=1,BH73,IF(BH73+AX74+AV74&gt;AU73,AU74-AV74-AX74,BH73)))</f>
        <v>15513.273155909777</v>
      </c>
      <c r="AX74" s="546">
        <f t="shared" si="52"/>
        <v>0</v>
      </c>
      <c r="AY74" s="546">
        <v>0</v>
      </c>
      <c r="AZ74" s="546">
        <f t="shared" si="18"/>
        <v>6389.7268440902226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66">IF(OR(BJ74=1,BH73=0),0,BH73-AW74)</f>
        <v>323970.03078774834</v>
      </c>
      <c r="BI74" s="108">
        <f t="shared" si="31"/>
        <v>19</v>
      </c>
      <c r="BJ74" s="108">
        <f t="shared" si="26"/>
        <v>19</v>
      </c>
      <c r="BK74" s="22">
        <f t="shared" si="27"/>
        <v>47323</v>
      </c>
      <c r="BL74" s="108">
        <f t="shared" si="53"/>
        <v>21903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4"/>
        <v>47354</v>
      </c>
      <c r="I75" s="246">
        <f t="shared" si="55"/>
        <v>0.16899999999999998</v>
      </c>
      <c r="J75" s="242">
        <f t="shared" si="56"/>
        <v>21903</v>
      </c>
      <c r="K75" s="242">
        <f t="shared" ref="K75:K108" si="67">IF(G75&gt;$C$10,0,IF((S74+L75)&lt;K74,(S74+L75),IF(T74=0,K74,MIN(K74,ROUNDUP(S74*$C$13/12/((1-(1+$C$13/12)^(0-($C$10-G75)))),0)))))</f>
        <v>21903</v>
      </c>
      <c r="L75" s="242">
        <f t="shared" ref="L75:L108" si="68">S74*($C$13/365*(H75-H74))</f>
        <v>5285.0902804639281</v>
      </c>
      <c r="M75" s="242">
        <f t="shared" ref="M75:M92" si="69">IF(S74=0,0,IF(S74+L75&gt;K74,K75-L75,S74))</f>
        <v>16617.909719536074</v>
      </c>
      <c r="N75" s="242">
        <f t="shared" si="50"/>
        <v>0</v>
      </c>
      <c r="O75" s="242">
        <v>0</v>
      </c>
      <c r="P75" s="242">
        <f t="shared" si="24"/>
        <v>5285.0902804639281</v>
      </c>
      <c r="Q75" s="242">
        <f t="shared" si="51"/>
        <v>0</v>
      </c>
      <c r="R75" s="242">
        <f t="shared" si="57"/>
        <v>0</v>
      </c>
      <c r="S75" s="242">
        <f t="shared" ref="S75:S108" si="70">IF(OR(V75=1,S74=0),0,S74-M75)</f>
        <v>351593.19017917244</v>
      </c>
      <c r="T75" s="467">
        <f t="shared" si="49"/>
        <v>0</v>
      </c>
      <c r="U75" s="36">
        <f t="shared" si="29"/>
        <v>18</v>
      </c>
      <c r="V75" s="36">
        <f t="shared" si="59"/>
        <v>18</v>
      </c>
      <c r="W75" s="36">
        <f t="shared" si="60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43"/>
        <v>21903</v>
      </c>
      <c r="Z75" s="57">
        <f t="shared" si="41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45"/>
        <v>21903</v>
      </c>
      <c r="AO75" s="57">
        <f t="shared" si="44"/>
        <v>55535</v>
      </c>
      <c r="AP75" s="130">
        <f t="shared" si="61"/>
        <v>1</v>
      </c>
      <c r="AQ75" s="553">
        <f t="shared" si="30"/>
        <v>67</v>
      </c>
      <c r="AR75" s="554">
        <f t="shared" si="62"/>
        <v>47354</v>
      </c>
      <c r="AS75" s="555">
        <f t="shared" si="46"/>
        <v>0.22899999999999998</v>
      </c>
      <c r="AT75" s="546">
        <f t="shared" si="63"/>
        <v>21903</v>
      </c>
      <c r="AU75" s="546">
        <f t="shared" ref="AU75:AU108" si="71">IF(AQ75&gt;$C$10,0,IF(BD74=0,AU74,ROUNDUP(BC74*$C$11/12/((1-(1+$C$11/12)^(0-($C$10-AQ75)))),0)))</f>
        <v>21903</v>
      </c>
      <c r="AV75" s="546">
        <f t="shared" si="64"/>
        <v>6300.9952015403433</v>
      </c>
      <c r="AW75" s="546">
        <f t="shared" si="65"/>
        <v>15602.004798459657</v>
      </c>
      <c r="AX75" s="559">
        <f t="shared" si="52"/>
        <v>0</v>
      </c>
      <c r="AY75" s="559">
        <v>0</v>
      </c>
      <c r="AZ75" s="559">
        <f t="shared" si="18"/>
        <v>6300.9952015403433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66"/>
        <v>308368.0259892887</v>
      </c>
      <c r="BI75" s="108">
        <f t="shared" si="31"/>
        <v>18</v>
      </c>
      <c r="BJ75" s="108">
        <f t="shared" ref="BJ75:BJ114" si="72">BI75</f>
        <v>18</v>
      </c>
      <c r="BK75" s="22">
        <f t="shared" ref="BK75:BK114" si="73">H75</f>
        <v>47354</v>
      </c>
      <c r="BL75" s="108">
        <f t="shared" si="53"/>
        <v>21903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74">G75+1</f>
        <v>68</v>
      </c>
      <c r="H76" s="245">
        <f t="shared" si="54"/>
        <v>47385</v>
      </c>
      <c r="I76" s="246">
        <f t="shared" si="55"/>
        <v>0.16899999999999998</v>
      </c>
      <c r="J76" s="242">
        <f t="shared" si="56"/>
        <v>21903</v>
      </c>
      <c r="K76" s="242">
        <f t="shared" si="67"/>
        <v>21903</v>
      </c>
      <c r="L76" s="242">
        <f t="shared" si="68"/>
        <v>5046.566365338861</v>
      </c>
      <c r="M76" s="242">
        <f t="shared" si="69"/>
        <v>16856.433634661138</v>
      </c>
      <c r="N76" s="242">
        <f t="shared" si="50"/>
        <v>0</v>
      </c>
      <c r="O76" s="242">
        <v>0</v>
      </c>
      <c r="P76" s="242">
        <f t="shared" si="24"/>
        <v>5046.566365338861</v>
      </c>
      <c r="Q76" s="242">
        <f t="shared" si="51"/>
        <v>0</v>
      </c>
      <c r="R76" s="242">
        <f t="shared" si="57"/>
        <v>0</v>
      </c>
      <c r="S76" s="242">
        <f t="shared" si="70"/>
        <v>334736.7565445113</v>
      </c>
      <c r="T76" s="467">
        <f t="shared" si="49"/>
        <v>0</v>
      </c>
      <c r="U76" s="36">
        <f t="shared" ref="U76:U108" si="75">IF((U75-1)&lt;0,0,U75-1)</f>
        <v>17</v>
      </c>
      <c r="V76" s="36">
        <f t="shared" si="59"/>
        <v>17</v>
      </c>
      <c r="W76" s="36">
        <f t="shared" si="60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43"/>
        <v>21903</v>
      </c>
      <c r="Z76" s="57">
        <f t="shared" si="41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45"/>
        <v>21903</v>
      </c>
      <c r="AO76" s="57">
        <f t="shared" si="44"/>
        <v>55900</v>
      </c>
      <c r="AP76" s="130">
        <f t="shared" si="61"/>
        <v>1</v>
      </c>
      <c r="AQ76" s="553">
        <f t="shared" ref="AQ76:AQ108" si="76">AQ75+1</f>
        <v>68</v>
      </c>
      <c r="AR76" s="554">
        <f t="shared" si="62"/>
        <v>47385</v>
      </c>
      <c r="AS76" s="555">
        <f t="shared" si="46"/>
        <v>0.22899999999999998</v>
      </c>
      <c r="AT76" s="546">
        <f t="shared" si="63"/>
        <v>21903</v>
      </c>
      <c r="AU76" s="546">
        <f t="shared" si="71"/>
        <v>21903</v>
      </c>
      <c r="AV76" s="546">
        <f t="shared" si="64"/>
        <v>5997.5468945149605</v>
      </c>
      <c r="AW76" s="546">
        <f t="shared" si="65"/>
        <v>15905.453105485039</v>
      </c>
      <c r="AX76" s="559">
        <f t="shared" si="52"/>
        <v>0</v>
      </c>
      <c r="AY76" s="559">
        <v>0</v>
      </c>
      <c r="AZ76" s="559">
        <f t="shared" si="18"/>
        <v>5997.5468945149605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66"/>
        <v>292462.57288380363</v>
      </c>
      <c r="BI76" s="108">
        <f t="shared" ref="BI76:BI114" si="77">IF((BI75-1)&lt;0,0,BI75-1)</f>
        <v>17</v>
      </c>
      <c r="BJ76" s="108">
        <f t="shared" si="72"/>
        <v>17</v>
      </c>
      <c r="BK76" s="22">
        <f t="shared" si="73"/>
        <v>47385</v>
      </c>
      <c r="BL76" s="108">
        <f t="shared" si="53"/>
        <v>21903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74"/>
        <v>69</v>
      </c>
      <c r="H77" s="245">
        <f t="shared" si="54"/>
        <v>47415</v>
      </c>
      <c r="I77" s="246">
        <f t="shared" si="55"/>
        <v>0.16899999999999998</v>
      </c>
      <c r="J77" s="242">
        <f t="shared" si="56"/>
        <v>21903</v>
      </c>
      <c r="K77" s="242">
        <f t="shared" si="67"/>
        <v>21903</v>
      </c>
      <c r="L77" s="242">
        <f t="shared" si="68"/>
        <v>4649.6311114538958</v>
      </c>
      <c r="M77" s="242">
        <f t="shared" si="69"/>
        <v>17253.368888546105</v>
      </c>
      <c r="N77" s="242">
        <f t="shared" si="50"/>
        <v>0</v>
      </c>
      <c r="O77" s="242">
        <v>0</v>
      </c>
      <c r="P77" s="242">
        <f t="shared" si="24"/>
        <v>4649.6311114538958</v>
      </c>
      <c r="Q77" s="242">
        <f t="shared" si="51"/>
        <v>0</v>
      </c>
      <c r="R77" s="242">
        <f t="shared" si="57"/>
        <v>0</v>
      </c>
      <c r="S77" s="242">
        <f t="shared" si="70"/>
        <v>317483.38765596517</v>
      </c>
      <c r="T77" s="467">
        <f t="shared" si="49"/>
        <v>0</v>
      </c>
      <c r="U77" s="36">
        <f t="shared" si="75"/>
        <v>16</v>
      </c>
      <c r="V77" s="36">
        <f t="shared" si="59"/>
        <v>16</v>
      </c>
      <c r="W77" s="36">
        <f t="shared" si="60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43"/>
        <v>21903</v>
      </c>
      <c r="Z77" s="57">
        <f t="shared" si="41"/>
        <v>57725</v>
      </c>
      <c r="AD77" s="16">
        <f>IF($C$7&gt;=$AB$71,AD76,IF($C$7&gt;=$AB$70,AD75,IF($C$7&gt;=$AB$69,AD74,IF($C$7&gt;=$AB$68,AD73,AD72))))</f>
        <v>1.1000000000000001</v>
      </c>
      <c r="AE77" s="16">
        <v>1.3</v>
      </c>
      <c r="AF77" s="16">
        <f>IF($C$7&gt;=$AB$71,AF76,IF($C$7&gt;=$AB$70,AF75,IF($C$7&gt;=$AB$69,AF74,IF($C$7&gt;=$AB$68,AF73,AF72))))</f>
        <v>1.3</v>
      </c>
      <c r="AG77" s="16">
        <f>IF($C$7&gt;=$AB$71,AG76,IF($C$7&gt;=$AB$70,AG75,IF($C$7&gt;=$AB$69,AG74,IF($C$7&gt;=$AB$68,AG73,AG72))))</f>
        <v>1.2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1.3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45"/>
        <v>21903</v>
      </c>
      <c r="AO77" s="57">
        <f t="shared" si="44"/>
        <v>56265</v>
      </c>
      <c r="AP77" s="130">
        <f t="shared" si="61"/>
        <v>1</v>
      </c>
      <c r="AQ77" s="553">
        <f t="shared" si="76"/>
        <v>69</v>
      </c>
      <c r="AR77" s="554">
        <f t="shared" si="62"/>
        <v>47415</v>
      </c>
      <c r="AS77" s="555">
        <f t="shared" si="46"/>
        <v>0.22899999999999998</v>
      </c>
      <c r="AT77" s="546">
        <f t="shared" si="63"/>
        <v>21903</v>
      </c>
      <c r="AU77" s="546">
        <f t="shared" si="71"/>
        <v>21903</v>
      </c>
      <c r="AV77" s="546">
        <f t="shared" si="64"/>
        <v>5504.7065087992623</v>
      </c>
      <c r="AW77" s="546">
        <f t="shared" si="65"/>
        <v>16398.293491200737</v>
      </c>
      <c r="AX77" s="559">
        <f t="shared" si="52"/>
        <v>0</v>
      </c>
      <c r="AY77" s="559">
        <v>0</v>
      </c>
      <c r="AZ77" s="559">
        <f t="shared" si="18"/>
        <v>5504.7065087992623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66"/>
        <v>276064.27939260291</v>
      </c>
      <c r="BI77" s="108">
        <f t="shared" si="77"/>
        <v>16</v>
      </c>
      <c r="BJ77" s="108">
        <f t="shared" si="72"/>
        <v>16</v>
      </c>
      <c r="BK77" s="22">
        <f t="shared" si="73"/>
        <v>47415</v>
      </c>
      <c r="BL77" s="108">
        <f t="shared" si="53"/>
        <v>21903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74"/>
        <v>70</v>
      </c>
      <c r="H78" s="245">
        <f t="shared" si="54"/>
        <v>47446</v>
      </c>
      <c r="I78" s="246">
        <f t="shared" si="55"/>
        <v>0.16899999999999998</v>
      </c>
      <c r="J78" s="242">
        <f t="shared" si="56"/>
        <v>21903</v>
      </c>
      <c r="K78" s="242">
        <f t="shared" si="67"/>
        <v>21903</v>
      </c>
      <c r="L78" s="242">
        <f t="shared" si="68"/>
        <v>4556.9738847386343</v>
      </c>
      <c r="M78" s="242">
        <f t="shared" si="69"/>
        <v>17346.026115261368</v>
      </c>
      <c r="N78" s="242">
        <f t="shared" si="50"/>
        <v>0</v>
      </c>
      <c r="O78" s="242">
        <v>0</v>
      </c>
      <c r="P78" s="242">
        <f t="shared" si="24"/>
        <v>4556.9738847386343</v>
      </c>
      <c r="Q78" s="242">
        <f t="shared" si="51"/>
        <v>0</v>
      </c>
      <c r="R78" s="242">
        <f t="shared" si="57"/>
        <v>0</v>
      </c>
      <c r="S78" s="242">
        <f>IF(OR(V78=1,S77=0),0,S77-M78)</f>
        <v>300137.3615407038</v>
      </c>
      <c r="T78" s="467">
        <f t="shared" si="49"/>
        <v>0</v>
      </c>
      <c r="U78" s="36">
        <f t="shared" si="75"/>
        <v>15</v>
      </c>
      <c r="V78" s="36">
        <f t="shared" si="59"/>
        <v>15</v>
      </c>
      <c r="W78" s="36">
        <f t="shared" si="60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43"/>
        <v>21903</v>
      </c>
      <c r="Z78" s="57">
        <f t="shared" si="41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45"/>
        <v>21903</v>
      </c>
      <c r="AO78" s="57">
        <f t="shared" si="44"/>
        <v>56630</v>
      </c>
      <c r="AP78" s="130">
        <f t="shared" si="61"/>
        <v>1</v>
      </c>
      <c r="AQ78" s="553">
        <f t="shared" si="76"/>
        <v>70</v>
      </c>
      <c r="AR78" s="554">
        <f t="shared" si="62"/>
        <v>47446</v>
      </c>
      <c r="AS78" s="555">
        <f t="shared" si="46"/>
        <v>0.22899999999999998</v>
      </c>
      <c r="AT78" s="546">
        <f t="shared" si="63"/>
        <v>21903</v>
      </c>
      <c r="AU78" s="546">
        <f t="shared" si="71"/>
        <v>21903</v>
      </c>
      <c r="AV78" s="546">
        <f t="shared" si="64"/>
        <v>5369.2611490632553</v>
      </c>
      <c r="AW78" s="546">
        <f t="shared" si="65"/>
        <v>16533.738850936745</v>
      </c>
      <c r="AX78" s="559">
        <f t="shared" si="52"/>
        <v>0</v>
      </c>
      <c r="AY78" s="559">
        <v>0</v>
      </c>
      <c r="AZ78" s="559">
        <f t="shared" si="18"/>
        <v>5369.2611490632553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66"/>
        <v>259530.54054166615</v>
      </c>
      <c r="BI78" s="108">
        <f t="shared" si="77"/>
        <v>15</v>
      </c>
      <c r="BJ78" s="108">
        <f t="shared" si="72"/>
        <v>15</v>
      </c>
      <c r="BK78" s="22">
        <f t="shared" si="73"/>
        <v>47446</v>
      </c>
      <c r="BL78" s="108">
        <f t="shared" si="53"/>
        <v>21903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74"/>
        <v>71</v>
      </c>
      <c r="H79" s="245">
        <f t="shared" si="54"/>
        <v>47476</v>
      </c>
      <c r="I79" s="246">
        <f t="shared" si="55"/>
        <v>0.16899999999999998</v>
      </c>
      <c r="J79" s="242">
        <f t="shared" si="56"/>
        <v>21903</v>
      </c>
      <c r="K79" s="242">
        <f t="shared" si="67"/>
        <v>21903</v>
      </c>
      <c r="L79" s="242">
        <f t="shared" si="68"/>
        <v>4169.0312959215562</v>
      </c>
      <c r="M79" s="242">
        <f t="shared" si="69"/>
        <v>17733.968704078445</v>
      </c>
      <c r="N79" s="242">
        <f t="shared" si="50"/>
        <v>0</v>
      </c>
      <c r="O79" s="242">
        <v>0</v>
      </c>
      <c r="P79" s="242">
        <f t="shared" si="24"/>
        <v>4169.0312959215562</v>
      </c>
      <c r="Q79" s="242">
        <f t="shared" si="51"/>
        <v>0</v>
      </c>
      <c r="R79" s="242">
        <f t="shared" si="57"/>
        <v>0</v>
      </c>
      <c r="S79" s="242">
        <f t="shared" si="70"/>
        <v>282403.39283662534</v>
      </c>
      <c r="T79" s="467">
        <f t="shared" si="49"/>
        <v>0</v>
      </c>
      <c r="U79" s="36">
        <f t="shared" si="75"/>
        <v>14</v>
      </c>
      <c r="V79" s="36">
        <f t="shared" si="59"/>
        <v>14</v>
      </c>
      <c r="W79" s="36">
        <f t="shared" si="60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43"/>
        <v>21903</v>
      </c>
      <c r="Z79" s="57">
        <f t="shared" si="41"/>
        <v>58455</v>
      </c>
      <c r="AD79" s="143">
        <f>MIN($C$7*IF($C$7&gt;$AC$71,AD76,IF($C$7&gt;$AC$70,AD75,IF($C$7&gt;$AC$69,AD74,IF($C$7&gt;$AC$68,AD73,AD72)))),5000000)</f>
        <v>900000</v>
      </c>
      <c r="AE79" s="143">
        <f>MIN($C$7*IF($C$7&gt;$AC$72,AE77,IF($C$7&gt;$AC$77,AE76,IF($C$7&gt;$AC$70,AE75,IF($C$7&gt;$AC$69,AE74,IF($C$7&gt;$AC$68,AE73,AE72))))),5000000)</f>
        <v>990000.00000000012</v>
      </c>
      <c r="AF79" s="143">
        <f>MIN(3000000,$C$7*IF($C$7&gt;=$AB$71,AF76,IF($C$7&gt;=$AB$70,AF75,IF($C$7&gt;=$AB$69,AF74,IF($C$7&gt;=$AB$68,AF73,AF72)))))</f>
        <v>1170000</v>
      </c>
      <c r="AG79" s="143">
        <f>MIN(5000000,$C$7*IF($C$7&gt;500000,AG76,IF($C$7&gt;200000,AG75,AG72)))</f>
        <v>900000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900000</v>
      </c>
      <c r="AJ79" s="143">
        <f>$C$7*IF($C$7&gt;=$AB$71,AJ76,IF($C$7&gt;=$AB$70,AJ75,IF($C$7&gt;=$AB$69,AJ74,IF($C$7&gt;=$AB$68,AJ73,AJ72))))</f>
        <v>1170000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45"/>
        <v>21903</v>
      </c>
      <c r="AO79" s="57">
        <f t="shared" si="44"/>
        <v>56995</v>
      </c>
      <c r="AP79" s="130">
        <f t="shared" si="61"/>
        <v>1</v>
      </c>
      <c r="AQ79" s="553">
        <f t="shared" si="76"/>
        <v>71</v>
      </c>
      <c r="AR79" s="554">
        <f t="shared" si="62"/>
        <v>47476</v>
      </c>
      <c r="AS79" s="555">
        <f t="shared" si="46"/>
        <v>0.22899999999999998</v>
      </c>
      <c r="AT79" s="546">
        <f t="shared" si="63"/>
        <v>21903</v>
      </c>
      <c r="AU79" s="546">
        <f t="shared" si="71"/>
        <v>21903</v>
      </c>
      <c r="AV79" s="546">
        <f t="shared" si="64"/>
        <v>4884.8625027979351</v>
      </c>
      <c r="AW79" s="546">
        <f t="shared" si="65"/>
        <v>17018.137497202064</v>
      </c>
      <c r="AX79" s="559">
        <f t="shared" si="52"/>
        <v>0</v>
      </c>
      <c r="AY79" s="559">
        <v>0</v>
      </c>
      <c r="AZ79" s="559">
        <f t="shared" si="18"/>
        <v>4884.8625027979351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66"/>
        <v>242512.4030444641</v>
      </c>
      <c r="BI79" s="108">
        <f t="shared" si="77"/>
        <v>14</v>
      </c>
      <c r="BJ79" s="108">
        <f t="shared" si="72"/>
        <v>14</v>
      </c>
      <c r="BK79" s="22">
        <f t="shared" si="73"/>
        <v>47476</v>
      </c>
      <c r="BL79" s="108">
        <f t="shared" si="53"/>
        <v>21903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74"/>
        <v>72</v>
      </c>
      <c r="H80" s="679">
        <f t="shared" si="54"/>
        <v>47507</v>
      </c>
      <c r="I80" s="250">
        <f t="shared" si="55"/>
        <v>0.16899999999999998</v>
      </c>
      <c r="J80" s="242">
        <f t="shared" si="56"/>
        <v>21903</v>
      </c>
      <c r="K80" s="252">
        <f t="shared" si="67"/>
        <v>21903</v>
      </c>
      <c r="L80" s="252">
        <f t="shared" si="68"/>
        <v>4053.455822112548</v>
      </c>
      <c r="M80" s="252">
        <f t="shared" si="69"/>
        <v>17849.544177887452</v>
      </c>
      <c r="N80" s="252">
        <f t="shared" si="50"/>
        <v>0</v>
      </c>
      <c r="O80" s="252">
        <v>0</v>
      </c>
      <c r="P80" s="252">
        <f t="shared" si="24"/>
        <v>4053.455822112548</v>
      </c>
      <c r="Q80" s="252">
        <f t="shared" si="51"/>
        <v>0</v>
      </c>
      <c r="R80" s="252">
        <f t="shared" si="57"/>
        <v>0</v>
      </c>
      <c r="S80" s="252">
        <f t="shared" si="70"/>
        <v>264553.8486587379</v>
      </c>
      <c r="T80" s="252">
        <f t="shared" si="49"/>
        <v>0</v>
      </c>
      <c r="U80" s="36">
        <f t="shared" si="75"/>
        <v>13</v>
      </c>
      <c r="V80" s="36">
        <f t="shared" si="59"/>
        <v>13</v>
      </c>
      <c r="W80" s="36">
        <f t="shared" si="60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43"/>
        <v>21903</v>
      </c>
      <c r="Z80" s="57">
        <f t="shared" si="41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45"/>
        <v>21903</v>
      </c>
      <c r="AO80" s="57">
        <f t="shared" si="44"/>
        <v>57360</v>
      </c>
      <c r="AP80" s="130">
        <f t="shared" si="61"/>
        <v>1</v>
      </c>
      <c r="AQ80" s="556">
        <f t="shared" si="76"/>
        <v>72</v>
      </c>
      <c r="AR80" s="680">
        <f t="shared" si="62"/>
        <v>47507</v>
      </c>
      <c r="AS80" s="557">
        <f t="shared" si="46"/>
        <v>0.22899999999999998</v>
      </c>
      <c r="AT80" s="546">
        <f t="shared" si="63"/>
        <v>21903</v>
      </c>
      <c r="AU80" s="547">
        <f t="shared" si="71"/>
        <v>21903</v>
      </c>
      <c r="AV80" s="547">
        <f t="shared" si="64"/>
        <v>4716.7001348291797</v>
      </c>
      <c r="AW80" s="547">
        <f t="shared" si="65"/>
        <v>17186.299865170819</v>
      </c>
      <c r="AX80" s="560">
        <f t="shared" si="52"/>
        <v>0</v>
      </c>
      <c r="AY80" s="560">
        <v>0</v>
      </c>
      <c r="AZ80" s="560">
        <f t="shared" si="18"/>
        <v>4716.7001348291797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66"/>
        <v>225326.10317929328</v>
      </c>
      <c r="BI80" s="108">
        <f t="shared" si="77"/>
        <v>13</v>
      </c>
      <c r="BJ80" s="108">
        <f t="shared" si="72"/>
        <v>13</v>
      </c>
      <c r="BK80" s="22">
        <f t="shared" si="73"/>
        <v>47507</v>
      </c>
      <c r="BL80" s="108">
        <f t="shared" si="53"/>
        <v>21903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74"/>
        <v>73</v>
      </c>
      <c r="H81" s="245">
        <f t="shared" si="54"/>
        <v>47538</v>
      </c>
      <c r="I81" s="246">
        <f t="shared" si="55"/>
        <v>0.16899999999999998</v>
      </c>
      <c r="J81" s="242">
        <f t="shared" si="56"/>
        <v>21903</v>
      </c>
      <c r="K81" s="242">
        <f t="shared" si="67"/>
        <v>21903</v>
      </c>
      <c r="L81" s="242">
        <f t="shared" si="68"/>
        <v>3797.2537345839119</v>
      </c>
      <c r="M81" s="242">
        <f t="shared" si="69"/>
        <v>18105.746265416088</v>
      </c>
      <c r="N81" s="242">
        <f t="shared" si="50"/>
        <v>0</v>
      </c>
      <c r="O81" s="242">
        <v>0</v>
      </c>
      <c r="P81" s="242">
        <f t="shared" si="24"/>
        <v>3797.2537345839119</v>
      </c>
      <c r="Q81" s="242">
        <f t="shared" si="51"/>
        <v>0</v>
      </c>
      <c r="R81" s="242">
        <f t="shared" si="57"/>
        <v>0</v>
      </c>
      <c r="S81" s="242">
        <f t="shared" si="70"/>
        <v>246448.10239332181</v>
      </c>
      <c r="T81" s="467">
        <f t="shared" si="49"/>
        <v>0</v>
      </c>
      <c r="U81" s="36">
        <f t="shared" si="75"/>
        <v>12</v>
      </c>
      <c r="V81" s="36">
        <f t="shared" si="59"/>
        <v>12</v>
      </c>
      <c r="W81" s="36">
        <f t="shared" si="60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43"/>
        <v>21903</v>
      </c>
      <c r="Z81" s="57">
        <f t="shared" si="41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45"/>
        <v>21903</v>
      </c>
      <c r="AO81" s="57">
        <f t="shared" si="44"/>
        <v>57725</v>
      </c>
      <c r="AP81" s="130">
        <f t="shared" si="61"/>
        <v>1</v>
      </c>
      <c r="AQ81" s="553">
        <f t="shared" si="76"/>
        <v>73</v>
      </c>
      <c r="AR81" s="554">
        <f t="shared" si="62"/>
        <v>47538</v>
      </c>
      <c r="AS81" s="555">
        <f t="shared" si="46"/>
        <v>0.22899999999999998</v>
      </c>
      <c r="AT81" s="546">
        <f t="shared" si="63"/>
        <v>21903</v>
      </c>
      <c r="AU81" s="546">
        <f t="shared" si="71"/>
        <v>21903</v>
      </c>
      <c r="AV81" s="546">
        <f t="shared" si="64"/>
        <v>4382.4383738898714</v>
      </c>
      <c r="AW81" s="546">
        <f t="shared" si="65"/>
        <v>17520.561626110128</v>
      </c>
      <c r="AX81" s="559">
        <f t="shared" si="52"/>
        <v>0</v>
      </c>
      <c r="AY81" s="559">
        <v>0</v>
      </c>
      <c r="AZ81" s="559">
        <f t="shared" si="18"/>
        <v>4382.4383738898714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66"/>
        <v>207805.54155318314</v>
      </c>
      <c r="BI81" s="108">
        <f t="shared" si="77"/>
        <v>12</v>
      </c>
      <c r="BJ81" s="108">
        <f t="shared" si="72"/>
        <v>12</v>
      </c>
      <c r="BK81" s="22">
        <f t="shared" si="73"/>
        <v>47538</v>
      </c>
      <c r="BL81" s="108">
        <f t="shared" si="53"/>
        <v>21903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74"/>
        <v>74</v>
      </c>
      <c r="H82" s="245">
        <f t="shared" si="54"/>
        <v>47566</v>
      </c>
      <c r="I82" s="246">
        <f t="shared" si="55"/>
        <v>0.16899999999999998</v>
      </c>
      <c r="J82" s="242">
        <f t="shared" si="56"/>
        <v>21903</v>
      </c>
      <c r="K82" s="242">
        <f t="shared" si="67"/>
        <v>21903</v>
      </c>
      <c r="L82" s="242">
        <f t="shared" si="68"/>
        <v>3195.0477274662981</v>
      </c>
      <c r="M82" s="242">
        <f t="shared" si="69"/>
        <v>18707.952272533701</v>
      </c>
      <c r="N82" s="242">
        <f t="shared" si="50"/>
        <v>0</v>
      </c>
      <c r="O82" s="242">
        <v>0</v>
      </c>
      <c r="P82" s="242">
        <f t="shared" si="24"/>
        <v>3195.0477274662981</v>
      </c>
      <c r="Q82" s="242">
        <f t="shared" si="51"/>
        <v>0</v>
      </c>
      <c r="R82" s="242">
        <f t="shared" si="57"/>
        <v>0</v>
      </c>
      <c r="S82" s="242">
        <f t="shared" si="70"/>
        <v>227740.15012078811</v>
      </c>
      <c r="T82" s="467">
        <f t="shared" si="49"/>
        <v>0</v>
      </c>
      <c r="U82" s="36">
        <f t="shared" si="75"/>
        <v>11</v>
      </c>
      <c r="V82" s="36">
        <f t="shared" si="59"/>
        <v>11</v>
      </c>
      <c r="W82" s="36">
        <f t="shared" si="60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43"/>
        <v>21903</v>
      </c>
      <c r="Z82" s="57">
        <f t="shared" si="41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45"/>
        <v>21903</v>
      </c>
      <c r="AO82" s="57">
        <f t="shared" si="44"/>
        <v>58090</v>
      </c>
      <c r="AP82" s="130">
        <f t="shared" si="61"/>
        <v>1</v>
      </c>
      <c r="AQ82" s="553">
        <f t="shared" si="76"/>
        <v>74</v>
      </c>
      <c r="AR82" s="554">
        <f t="shared" si="62"/>
        <v>47566</v>
      </c>
      <c r="AS82" s="555">
        <f t="shared" si="46"/>
        <v>0.22899999999999998</v>
      </c>
      <c r="AT82" s="546">
        <f t="shared" si="63"/>
        <v>21903</v>
      </c>
      <c r="AU82" s="546">
        <f t="shared" si="71"/>
        <v>21903</v>
      </c>
      <c r="AV82" s="546">
        <f t="shared" si="64"/>
        <v>3650.5455683260552</v>
      </c>
      <c r="AW82" s="546">
        <f t="shared" si="65"/>
        <v>18252.454431673945</v>
      </c>
      <c r="AX82" s="559">
        <f t="shared" si="52"/>
        <v>0</v>
      </c>
      <c r="AY82" s="559">
        <v>0</v>
      </c>
      <c r="AZ82" s="559">
        <f t="shared" si="18"/>
        <v>3650.5455683260552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66"/>
        <v>189553.08712150919</v>
      </c>
      <c r="BI82" s="108">
        <f t="shared" si="77"/>
        <v>11</v>
      </c>
      <c r="BJ82" s="108">
        <f t="shared" si="72"/>
        <v>11</v>
      </c>
      <c r="BK82" s="22">
        <f t="shared" si="73"/>
        <v>47566</v>
      </c>
      <c r="BL82" s="108">
        <f t="shared" si="53"/>
        <v>21903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74"/>
        <v>75</v>
      </c>
      <c r="H83" s="245">
        <f t="shared" si="54"/>
        <v>47597</v>
      </c>
      <c r="I83" s="246">
        <f t="shared" si="55"/>
        <v>0.16899999999999998</v>
      </c>
      <c r="J83" s="242">
        <f t="shared" si="56"/>
        <v>21903</v>
      </c>
      <c r="K83" s="242">
        <f t="shared" si="67"/>
        <v>21903</v>
      </c>
      <c r="L83" s="242">
        <f t="shared" si="68"/>
        <v>3268.8510862542707</v>
      </c>
      <c r="M83" s="242">
        <f t="shared" si="69"/>
        <v>18634.148913745728</v>
      </c>
      <c r="N83" s="242">
        <f t="shared" si="50"/>
        <v>0</v>
      </c>
      <c r="O83" s="242">
        <v>0</v>
      </c>
      <c r="P83" s="242">
        <f t="shared" si="24"/>
        <v>3268.8510862542707</v>
      </c>
      <c r="Q83" s="242">
        <f t="shared" si="51"/>
        <v>0</v>
      </c>
      <c r="R83" s="242">
        <f t="shared" si="57"/>
        <v>0</v>
      </c>
      <c r="S83" s="242">
        <f t="shared" si="70"/>
        <v>209106.00120704237</v>
      </c>
      <c r="T83" s="467">
        <f t="shared" si="49"/>
        <v>0</v>
      </c>
      <c r="U83" s="36">
        <f t="shared" si="75"/>
        <v>10</v>
      </c>
      <c r="V83" s="36">
        <f t="shared" si="59"/>
        <v>10</v>
      </c>
      <c r="W83" s="36">
        <f t="shared" si="60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43"/>
        <v>21903</v>
      </c>
      <c r="Z83" s="57">
        <f t="shared" si="41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45"/>
        <v>21903</v>
      </c>
      <c r="AO83" s="57">
        <f t="shared" si="44"/>
        <v>58455</v>
      </c>
      <c r="AP83" s="130">
        <f t="shared" si="61"/>
        <v>1</v>
      </c>
      <c r="AQ83" s="553">
        <f t="shared" si="76"/>
        <v>75</v>
      </c>
      <c r="AR83" s="554">
        <f t="shared" si="62"/>
        <v>47597</v>
      </c>
      <c r="AS83" s="555">
        <f t="shared" si="46"/>
        <v>0.22899999999999998</v>
      </c>
      <c r="AT83" s="546">
        <f t="shared" si="63"/>
        <v>21903</v>
      </c>
      <c r="AU83" s="546">
        <f t="shared" si="71"/>
        <v>21903</v>
      </c>
      <c r="AV83" s="546">
        <f t="shared" si="64"/>
        <v>3686.6777136317637</v>
      </c>
      <c r="AW83" s="546">
        <f t="shared" si="65"/>
        <v>18216.322286368235</v>
      </c>
      <c r="AX83" s="559">
        <f t="shared" si="52"/>
        <v>0</v>
      </c>
      <c r="AY83" s="559">
        <v>0</v>
      </c>
      <c r="AZ83" s="559">
        <f t="shared" si="18"/>
        <v>3686.6777136317637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66"/>
        <v>171336.76483514096</v>
      </c>
      <c r="BI83" s="108">
        <f t="shared" si="77"/>
        <v>10</v>
      </c>
      <c r="BJ83" s="108">
        <f t="shared" si="72"/>
        <v>10</v>
      </c>
      <c r="BK83" s="22">
        <f t="shared" si="73"/>
        <v>47597</v>
      </c>
      <c r="BL83" s="108">
        <f t="shared" si="53"/>
        <v>21903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74"/>
        <v>76</v>
      </c>
      <c r="H84" s="245">
        <f t="shared" si="54"/>
        <v>47627</v>
      </c>
      <c r="I84" s="246">
        <f t="shared" si="55"/>
        <v>0.16899999999999998</v>
      </c>
      <c r="J84" s="242">
        <f t="shared" si="56"/>
        <v>21903</v>
      </c>
      <c r="K84" s="242">
        <f t="shared" si="67"/>
        <v>21903</v>
      </c>
      <c r="L84" s="242">
        <f t="shared" si="68"/>
        <v>2904.5682907389169</v>
      </c>
      <c r="M84" s="242">
        <f t="shared" si="69"/>
        <v>18998.431709261084</v>
      </c>
      <c r="N84" s="242">
        <f t="shared" si="50"/>
        <v>0</v>
      </c>
      <c r="O84" s="242">
        <v>0</v>
      </c>
      <c r="P84" s="242">
        <f t="shared" si="24"/>
        <v>2904.5682907389169</v>
      </c>
      <c r="Q84" s="242">
        <f t="shared" si="51"/>
        <v>0</v>
      </c>
      <c r="R84" s="242">
        <f t="shared" si="57"/>
        <v>0</v>
      </c>
      <c r="S84" s="242">
        <f t="shared" si="70"/>
        <v>190107.56949778128</v>
      </c>
      <c r="T84" s="467">
        <f t="shared" si="49"/>
        <v>0</v>
      </c>
      <c r="U84" s="36">
        <f t="shared" si="75"/>
        <v>9</v>
      </c>
      <c r="V84" s="36">
        <f t="shared" si="59"/>
        <v>9</v>
      </c>
      <c r="W84" s="36">
        <f t="shared" si="60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43"/>
        <v>21903</v>
      </c>
      <c r="Z84" s="57">
        <f t="shared" si="41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45"/>
        <v>21903</v>
      </c>
      <c r="AO84" s="57">
        <f t="shared" si="44"/>
        <v>58820</v>
      </c>
      <c r="AP84" s="130">
        <f t="shared" si="61"/>
        <v>1</v>
      </c>
      <c r="AQ84" s="553">
        <f t="shared" si="76"/>
        <v>76</v>
      </c>
      <c r="AR84" s="554">
        <f t="shared" si="62"/>
        <v>47627</v>
      </c>
      <c r="AS84" s="555">
        <f t="shared" si="46"/>
        <v>0.22899999999999998</v>
      </c>
      <c r="AT84" s="546">
        <f t="shared" si="63"/>
        <v>21903</v>
      </c>
      <c r="AU84" s="546">
        <f t="shared" si="71"/>
        <v>21903</v>
      </c>
      <c r="AV84" s="546">
        <f t="shared" si="64"/>
        <v>3224.8865052532005</v>
      </c>
      <c r="AW84" s="546">
        <f t="shared" si="65"/>
        <v>18678.113494746798</v>
      </c>
      <c r="AX84" s="559">
        <f t="shared" si="52"/>
        <v>0</v>
      </c>
      <c r="AY84" s="559">
        <v>0</v>
      </c>
      <c r="AZ84" s="559">
        <f t="shared" si="18"/>
        <v>3224.8865052532005</v>
      </c>
      <c r="BA84" s="559">
        <f t="shared" si="36"/>
        <v>0</v>
      </c>
      <c r="BB84" s="559">
        <f t="shared" ref="BB84:BB108" si="78">IF(BJ90=0,0,0)</f>
        <v>0</v>
      </c>
      <c r="BC84" s="559"/>
      <c r="BD84" s="559"/>
      <c r="BE84" s="559"/>
      <c r="BF84" s="559"/>
      <c r="BG84" s="559"/>
      <c r="BH84" s="546">
        <f t="shared" si="66"/>
        <v>152658.65134039416</v>
      </c>
      <c r="BI84" s="108">
        <f t="shared" si="77"/>
        <v>9</v>
      </c>
      <c r="BJ84" s="108">
        <f t="shared" si="72"/>
        <v>9</v>
      </c>
      <c r="BK84" s="22">
        <f t="shared" si="73"/>
        <v>47627</v>
      </c>
      <c r="BL84" s="108">
        <f t="shared" si="53"/>
        <v>21903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74"/>
        <v>77</v>
      </c>
      <c r="H85" s="245">
        <f t="shared" si="54"/>
        <v>47658</v>
      </c>
      <c r="I85" s="246">
        <f t="shared" si="55"/>
        <v>0.16899999999999998</v>
      </c>
      <c r="J85" s="242">
        <f t="shared" si="56"/>
        <v>21903</v>
      </c>
      <c r="K85" s="242">
        <f t="shared" si="67"/>
        <v>21903</v>
      </c>
      <c r="L85" s="242">
        <f t="shared" si="68"/>
        <v>2728.6946756133593</v>
      </c>
      <c r="M85" s="242">
        <f t="shared" si="69"/>
        <v>19174.305324386642</v>
      </c>
      <c r="N85" s="242">
        <f t="shared" si="50"/>
        <v>0</v>
      </c>
      <c r="O85" s="242">
        <v>0</v>
      </c>
      <c r="P85" s="242">
        <f t="shared" si="24"/>
        <v>2728.6946756133593</v>
      </c>
      <c r="Q85" s="242">
        <f t="shared" si="51"/>
        <v>0</v>
      </c>
      <c r="R85" s="242">
        <f t="shared" si="57"/>
        <v>0</v>
      </c>
      <c r="S85" s="242">
        <f t="shared" si="70"/>
        <v>170933.26417339465</v>
      </c>
      <c r="T85" s="467">
        <f t="shared" si="49"/>
        <v>0</v>
      </c>
      <c r="U85" s="36">
        <f t="shared" si="75"/>
        <v>8</v>
      </c>
      <c r="V85" s="36">
        <f t="shared" si="59"/>
        <v>8</v>
      </c>
      <c r="W85" s="36">
        <f t="shared" si="60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43"/>
        <v>21903</v>
      </c>
      <c r="Z85" s="57">
        <f t="shared" si="41"/>
        <v>60645</v>
      </c>
      <c r="AD85" s="803" t="s">
        <v>104</v>
      </c>
      <c r="AE85" s="803"/>
      <c r="AF85" s="803"/>
      <c r="AG85" s="803"/>
      <c r="AH85" s="803"/>
      <c r="AI85" s="803"/>
      <c r="AJ85" s="803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45"/>
        <v>21903</v>
      </c>
      <c r="AO85" s="57">
        <f t="shared" si="44"/>
        <v>59185</v>
      </c>
      <c r="AP85" s="130">
        <f t="shared" si="61"/>
        <v>1</v>
      </c>
      <c r="AQ85" s="553">
        <f t="shared" si="76"/>
        <v>77</v>
      </c>
      <c r="AR85" s="554">
        <f t="shared" si="62"/>
        <v>47658</v>
      </c>
      <c r="AS85" s="555">
        <f t="shared" si="46"/>
        <v>0.22899999999999998</v>
      </c>
      <c r="AT85" s="546">
        <f t="shared" si="63"/>
        <v>21903</v>
      </c>
      <c r="AU85" s="546">
        <f t="shared" si="71"/>
        <v>21903</v>
      </c>
      <c r="AV85" s="546">
        <f t="shared" si="64"/>
        <v>2969.1062078505702</v>
      </c>
      <c r="AW85" s="546">
        <f t="shared" si="65"/>
        <v>18933.893792149429</v>
      </c>
      <c r="AX85" s="559">
        <f t="shared" si="52"/>
        <v>0</v>
      </c>
      <c r="AY85" s="559">
        <v>0</v>
      </c>
      <c r="AZ85" s="559">
        <f t="shared" si="18"/>
        <v>2969.1062078505702</v>
      </c>
      <c r="BA85" s="559">
        <f t="shared" ref="BA85:BA108" si="79">IF(BJ91=0,0,0)</f>
        <v>0</v>
      </c>
      <c r="BB85" s="559">
        <f t="shared" si="78"/>
        <v>0</v>
      </c>
      <c r="BC85" s="559"/>
      <c r="BD85" s="559"/>
      <c r="BE85" s="559"/>
      <c r="BF85" s="559"/>
      <c r="BG85" s="559"/>
      <c r="BH85" s="546">
        <f t="shared" si="66"/>
        <v>133724.75754824473</v>
      </c>
      <c r="BI85" s="108">
        <f t="shared" si="77"/>
        <v>8</v>
      </c>
      <c r="BJ85" s="108">
        <f t="shared" si="72"/>
        <v>8</v>
      </c>
      <c r="BK85" s="22">
        <f t="shared" si="73"/>
        <v>47658</v>
      </c>
      <c r="BL85" s="108">
        <f t="shared" si="53"/>
        <v>21903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74"/>
        <v>78</v>
      </c>
      <c r="H86" s="245">
        <f t="shared" si="54"/>
        <v>47688</v>
      </c>
      <c r="I86" s="246">
        <f t="shared" si="55"/>
        <v>0.16899999999999998</v>
      </c>
      <c r="J86" s="242">
        <f t="shared" si="56"/>
        <v>21903</v>
      </c>
      <c r="K86" s="242">
        <f t="shared" si="67"/>
        <v>21903</v>
      </c>
      <c r="L86" s="242">
        <f t="shared" si="68"/>
        <v>2374.333285915372</v>
      </c>
      <c r="M86" s="242">
        <f t="shared" si="69"/>
        <v>19528.666714084629</v>
      </c>
      <c r="N86" s="242">
        <f t="shared" si="50"/>
        <v>0</v>
      </c>
      <c r="O86" s="242">
        <v>0</v>
      </c>
      <c r="P86" s="242">
        <f t="shared" ref="P86:P108" si="80">L86+Q86</f>
        <v>2374.333285915372</v>
      </c>
      <c r="Q86" s="242">
        <f t="shared" si="51"/>
        <v>0</v>
      </c>
      <c r="R86" s="242">
        <f t="shared" si="57"/>
        <v>0</v>
      </c>
      <c r="S86" s="242">
        <f t="shared" si="70"/>
        <v>151404.59745931003</v>
      </c>
      <c r="T86" s="467">
        <f t="shared" si="49"/>
        <v>0</v>
      </c>
      <c r="U86" s="36">
        <f t="shared" si="75"/>
        <v>7</v>
      </c>
      <c r="V86" s="36">
        <f t="shared" si="59"/>
        <v>7</v>
      </c>
      <c r="W86" s="36">
        <f t="shared" si="60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43"/>
        <v>21903</v>
      </c>
      <c r="Z86" s="57">
        <f t="shared" si="41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45"/>
        <v>21903</v>
      </c>
      <c r="AO86" s="57">
        <f t="shared" si="44"/>
        <v>59550</v>
      </c>
      <c r="AP86" s="130">
        <f t="shared" si="61"/>
        <v>1</v>
      </c>
      <c r="AQ86" s="553">
        <f t="shared" si="76"/>
        <v>78</v>
      </c>
      <c r="AR86" s="554">
        <f t="shared" si="62"/>
        <v>47688</v>
      </c>
      <c r="AS86" s="555">
        <f t="shared" si="46"/>
        <v>0.22899999999999998</v>
      </c>
      <c r="AT86" s="546">
        <f t="shared" si="63"/>
        <v>21903</v>
      </c>
      <c r="AU86" s="546">
        <f t="shared" si="71"/>
        <v>21903</v>
      </c>
      <c r="AV86" s="546">
        <f t="shared" si="64"/>
        <v>2516.956395497099</v>
      </c>
      <c r="AW86" s="546">
        <f t="shared" si="65"/>
        <v>19386.043604502902</v>
      </c>
      <c r="AX86" s="559">
        <f t="shared" si="52"/>
        <v>0</v>
      </c>
      <c r="AY86" s="559">
        <v>0</v>
      </c>
      <c r="AZ86" s="559">
        <f t="shared" ref="AZ86:AZ108" si="81">AV86+BA86</f>
        <v>2516.956395497099</v>
      </c>
      <c r="BA86" s="559">
        <f t="shared" si="79"/>
        <v>0</v>
      </c>
      <c r="BB86" s="559">
        <f t="shared" si="78"/>
        <v>0</v>
      </c>
      <c r="BC86" s="559"/>
      <c r="BD86" s="559"/>
      <c r="BE86" s="559"/>
      <c r="BF86" s="559"/>
      <c r="BG86" s="559"/>
      <c r="BH86" s="546">
        <f t="shared" si="66"/>
        <v>114338.71394374182</v>
      </c>
      <c r="BI86" s="108">
        <f t="shared" si="77"/>
        <v>7</v>
      </c>
      <c r="BJ86" s="108">
        <f t="shared" si="72"/>
        <v>7</v>
      </c>
      <c r="BK86" s="22">
        <f t="shared" si="73"/>
        <v>47688</v>
      </c>
      <c r="BL86" s="108">
        <f t="shared" si="53"/>
        <v>21903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74"/>
        <v>79</v>
      </c>
      <c r="H87" s="245">
        <f t="shared" si="54"/>
        <v>47719</v>
      </c>
      <c r="I87" s="246">
        <f t="shared" si="55"/>
        <v>0.16899999999999998</v>
      </c>
      <c r="J87" s="242">
        <f t="shared" si="56"/>
        <v>21903</v>
      </c>
      <c r="K87" s="242">
        <f t="shared" si="67"/>
        <v>21903</v>
      </c>
      <c r="L87" s="242">
        <f t="shared" si="68"/>
        <v>2173.1744824365073</v>
      </c>
      <c r="M87" s="242">
        <f t="shared" si="69"/>
        <v>19729.825517563491</v>
      </c>
      <c r="N87" s="242">
        <f t="shared" si="50"/>
        <v>0</v>
      </c>
      <c r="O87" s="242">
        <v>0</v>
      </c>
      <c r="P87" s="242">
        <f t="shared" si="80"/>
        <v>2173.1744824365073</v>
      </c>
      <c r="Q87" s="242">
        <f t="shared" si="51"/>
        <v>0</v>
      </c>
      <c r="R87" s="242">
        <f t="shared" si="57"/>
        <v>0</v>
      </c>
      <c r="S87" s="242">
        <f t="shared" si="70"/>
        <v>131674.77194174653</v>
      </c>
      <c r="T87" s="467">
        <f t="shared" si="49"/>
        <v>0</v>
      </c>
      <c r="U87" s="36">
        <f t="shared" si="75"/>
        <v>6</v>
      </c>
      <c r="V87" s="36">
        <f t="shared" si="59"/>
        <v>6</v>
      </c>
      <c r="W87" s="36">
        <f t="shared" si="60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43"/>
        <v>21903</v>
      </c>
      <c r="Z87" s="57">
        <f t="shared" si="41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45"/>
        <v>21903</v>
      </c>
      <c r="AO87" s="57">
        <f t="shared" si="44"/>
        <v>59915</v>
      </c>
      <c r="AP87" s="130">
        <f t="shared" si="61"/>
        <v>1</v>
      </c>
      <c r="AQ87" s="553">
        <f t="shared" si="76"/>
        <v>79</v>
      </c>
      <c r="AR87" s="554">
        <f t="shared" si="62"/>
        <v>47719</v>
      </c>
      <c r="AS87" s="555">
        <f t="shared" si="46"/>
        <v>0.22899999999999998</v>
      </c>
      <c r="AT87" s="546">
        <f t="shared" si="63"/>
        <v>21903</v>
      </c>
      <c r="AU87" s="546">
        <f t="shared" si="71"/>
        <v>21903</v>
      </c>
      <c r="AV87" s="546">
        <f t="shared" si="64"/>
        <v>2223.8096720181456</v>
      </c>
      <c r="AW87" s="546">
        <f t="shared" si="65"/>
        <v>19679.190327981854</v>
      </c>
      <c r="AX87" s="559">
        <f t="shared" si="52"/>
        <v>0</v>
      </c>
      <c r="AY87" s="559">
        <v>0</v>
      </c>
      <c r="AZ87" s="559">
        <f t="shared" si="81"/>
        <v>2223.8096720181456</v>
      </c>
      <c r="BA87" s="559">
        <f t="shared" si="79"/>
        <v>0</v>
      </c>
      <c r="BB87" s="559">
        <f t="shared" si="78"/>
        <v>0</v>
      </c>
      <c r="BC87" s="559"/>
      <c r="BD87" s="559"/>
      <c r="BE87" s="559"/>
      <c r="BF87" s="559"/>
      <c r="BG87" s="559"/>
      <c r="BH87" s="546">
        <f t="shared" si="66"/>
        <v>94659.523615759972</v>
      </c>
      <c r="BI87" s="108">
        <f t="shared" si="77"/>
        <v>6</v>
      </c>
      <c r="BJ87" s="108">
        <f t="shared" si="72"/>
        <v>6</v>
      </c>
      <c r="BK87" s="22">
        <f t="shared" si="73"/>
        <v>47719</v>
      </c>
      <c r="BL87" s="108">
        <f t="shared" si="53"/>
        <v>21903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74"/>
        <v>80</v>
      </c>
      <c r="H88" s="245">
        <f t="shared" si="54"/>
        <v>47750</v>
      </c>
      <c r="I88" s="246">
        <f t="shared" si="55"/>
        <v>0.16899999999999998</v>
      </c>
      <c r="J88" s="242">
        <f t="shared" si="56"/>
        <v>21903</v>
      </c>
      <c r="K88" s="242">
        <f t="shared" si="67"/>
        <v>21903</v>
      </c>
      <c r="L88" s="242">
        <f t="shared" si="68"/>
        <v>1889.983918363863</v>
      </c>
      <c r="M88" s="242">
        <f t="shared" si="69"/>
        <v>20013.016081636139</v>
      </c>
      <c r="N88" s="242">
        <f t="shared" si="50"/>
        <v>0</v>
      </c>
      <c r="O88" s="242">
        <v>0</v>
      </c>
      <c r="P88" s="242">
        <f t="shared" si="80"/>
        <v>1889.983918363863</v>
      </c>
      <c r="Q88" s="242">
        <f t="shared" si="51"/>
        <v>0</v>
      </c>
      <c r="R88" s="242">
        <f t="shared" si="57"/>
        <v>0</v>
      </c>
      <c r="S88" s="242">
        <f t="shared" si="70"/>
        <v>111661.7558601104</v>
      </c>
      <c r="T88" s="467">
        <f t="shared" si="49"/>
        <v>0</v>
      </c>
      <c r="U88" s="36">
        <f t="shared" si="75"/>
        <v>5</v>
      </c>
      <c r="V88" s="36">
        <f t="shared" si="59"/>
        <v>5</v>
      </c>
      <c r="W88" s="36">
        <f t="shared" si="60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43"/>
        <v>21903</v>
      </c>
      <c r="Z88" s="57">
        <f t="shared" si="41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45"/>
        <v>21903</v>
      </c>
      <c r="AO88" s="57">
        <f t="shared" si="44"/>
        <v>60280</v>
      </c>
      <c r="AP88" s="130">
        <f t="shared" si="61"/>
        <v>1</v>
      </c>
      <c r="AQ88" s="553">
        <f t="shared" si="76"/>
        <v>80</v>
      </c>
      <c r="AR88" s="554">
        <f t="shared" si="62"/>
        <v>47750</v>
      </c>
      <c r="AS88" s="555">
        <f t="shared" si="46"/>
        <v>0.22899999999999998</v>
      </c>
      <c r="AT88" s="546">
        <f t="shared" si="63"/>
        <v>21903</v>
      </c>
      <c r="AU88" s="546">
        <f t="shared" si="71"/>
        <v>21903</v>
      </c>
      <c r="AV88" s="546">
        <f t="shared" si="64"/>
        <v>1841.0628990363837</v>
      </c>
      <c r="AW88" s="546">
        <f t="shared" si="65"/>
        <v>20061.937100963616</v>
      </c>
      <c r="AX88" s="559">
        <f t="shared" si="52"/>
        <v>0</v>
      </c>
      <c r="AY88" s="559">
        <v>0</v>
      </c>
      <c r="AZ88" s="559">
        <f t="shared" si="81"/>
        <v>1841.0628990363837</v>
      </c>
      <c r="BA88" s="559">
        <f t="shared" si="79"/>
        <v>0</v>
      </c>
      <c r="BB88" s="559">
        <f t="shared" si="78"/>
        <v>0</v>
      </c>
      <c r="BC88" s="559"/>
      <c r="BD88" s="559"/>
      <c r="BE88" s="559"/>
      <c r="BF88" s="559"/>
      <c r="BG88" s="559"/>
      <c r="BH88" s="546">
        <f t="shared" si="66"/>
        <v>74597.586514796363</v>
      </c>
      <c r="BI88" s="108">
        <f t="shared" si="77"/>
        <v>5</v>
      </c>
      <c r="BJ88" s="108">
        <f t="shared" si="72"/>
        <v>5</v>
      </c>
      <c r="BK88" s="22">
        <f t="shared" si="73"/>
        <v>47750</v>
      </c>
      <c r="BL88" s="108">
        <f t="shared" si="53"/>
        <v>21903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74"/>
        <v>81</v>
      </c>
      <c r="H89" s="245">
        <f t="shared" si="54"/>
        <v>47780</v>
      </c>
      <c r="I89" s="246">
        <f t="shared" si="55"/>
        <v>0.16899999999999998</v>
      </c>
      <c r="J89" s="242">
        <f t="shared" si="56"/>
        <v>21903</v>
      </c>
      <c r="K89" s="242">
        <f t="shared" si="67"/>
        <v>21903</v>
      </c>
      <c r="L89" s="242">
        <f t="shared" si="68"/>
        <v>1551.0276772897523</v>
      </c>
      <c r="M89" s="242">
        <f t="shared" si="69"/>
        <v>20351.972322710248</v>
      </c>
      <c r="N89" s="242">
        <f t="shared" si="50"/>
        <v>0</v>
      </c>
      <c r="O89" s="242">
        <v>0</v>
      </c>
      <c r="P89" s="242">
        <f t="shared" si="80"/>
        <v>1551.0276772897523</v>
      </c>
      <c r="Q89" s="242">
        <f t="shared" si="51"/>
        <v>0</v>
      </c>
      <c r="R89" s="242">
        <f t="shared" si="57"/>
        <v>0</v>
      </c>
      <c r="S89" s="242">
        <f t="shared" si="70"/>
        <v>91309.783537400144</v>
      </c>
      <c r="T89" s="467">
        <f t="shared" si="49"/>
        <v>0</v>
      </c>
      <c r="U89" s="36">
        <f t="shared" si="75"/>
        <v>4</v>
      </c>
      <c r="V89" s="36">
        <f t="shared" si="59"/>
        <v>4</v>
      </c>
      <c r="W89" s="36">
        <f t="shared" si="60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43"/>
        <v>21903</v>
      </c>
      <c r="Z89" s="57">
        <f t="shared" si="41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45"/>
        <v>21903</v>
      </c>
      <c r="AO89" s="57">
        <f t="shared" si="44"/>
        <v>60645</v>
      </c>
      <c r="AP89" s="130">
        <f t="shared" si="61"/>
        <v>1</v>
      </c>
      <c r="AQ89" s="553">
        <f t="shared" si="76"/>
        <v>81</v>
      </c>
      <c r="AR89" s="554">
        <f t="shared" si="62"/>
        <v>47780</v>
      </c>
      <c r="AS89" s="555">
        <f t="shared" si="46"/>
        <v>0.22899999999999998</v>
      </c>
      <c r="AT89" s="546">
        <f t="shared" si="63"/>
        <v>21903</v>
      </c>
      <c r="AU89" s="546">
        <f t="shared" si="71"/>
        <v>21903</v>
      </c>
      <c r="AV89" s="546">
        <f t="shared" si="64"/>
        <v>1404.0696420730164</v>
      </c>
      <c r="AW89" s="546">
        <f t="shared" si="65"/>
        <v>20498.930357926984</v>
      </c>
      <c r="AX89" s="559">
        <f t="shared" si="52"/>
        <v>0</v>
      </c>
      <c r="AY89" s="559">
        <v>0</v>
      </c>
      <c r="AZ89" s="559">
        <f t="shared" si="81"/>
        <v>1404.0696420730164</v>
      </c>
      <c r="BA89" s="559">
        <f t="shared" si="79"/>
        <v>0</v>
      </c>
      <c r="BB89" s="559">
        <f t="shared" si="78"/>
        <v>0</v>
      </c>
      <c r="BC89" s="559"/>
      <c r="BD89" s="559"/>
      <c r="BE89" s="559"/>
      <c r="BF89" s="559"/>
      <c r="BG89" s="559"/>
      <c r="BH89" s="546">
        <f t="shared" si="66"/>
        <v>54098.65615686938</v>
      </c>
      <c r="BI89" s="108">
        <f t="shared" si="77"/>
        <v>4</v>
      </c>
      <c r="BJ89" s="108">
        <f t="shared" si="72"/>
        <v>4</v>
      </c>
      <c r="BK89" s="22">
        <f t="shared" si="73"/>
        <v>47780</v>
      </c>
      <c r="BL89" s="108">
        <f t="shared" si="53"/>
        <v>21903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74"/>
        <v>82</v>
      </c>
      <c r="H90" s="245">
        <f t="shared" si="54"/>
        <v>47811</v>
      </c>
      <c r="I90" s="246">
        <f t="shared" si="55"/>
        <v>0.16899999999999998</v>
      </c>
      <c r="J90" s="242">
        <f t="shared" si="56"/>
        <v>21903</v>
      </c>
      <c r="K90" s="242">
        <f t="shared" si="67"/>
        <v>21903</v>
      </c>
      <c r="L90" s="242">
        <f t="shared" si="68"/>
        <v>1310.6080984998339</v>
      </c>
      <c r="M90" s="242">
        <f t="shared" si="69"/>
        <v>20592.391901500167</v>
      </c>
      <c r="N90" s="242">
        <f t="shared" si="50"/>
        <v>0</v>
      </c>
      <c r="O90" s="242">
        <v>0</v>
      </c>
      <c r="P90" s="242">
        <f t="shared" si="80"/>
        <v>1310.6080984998339</v>
      </c>
      <c r="Q90" s="242">
        <f t="shared" si="51"/>
        <v>0</v>
      </c>
      <c r="R90" s="242">
        <f t="shared" si="57"/>
        <v>0</v>
      </c>
      <c r="S90" s="242">
        <f t="shared" si="70"/>
        <v>70717.391635899985</v>
      </c>
      <c r="T90" s="467">
        <f t="shared" si="49"/>
        <v>0</v>
      </c>
      <c r="U90" s="36">
        <f t="shared" si="75"/>
        <v>3</v>
      </c>
      <c r="V90" s="36">
        <f t="shared" si="59"/>
        <v>3</v>
      </c>
      <c r="W90" s="36">
        <f t="shared" si="60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43"/>
        <v>21903</v>
      </c>
      <c r="Z90" s="57">
        <f t="shared" si="41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45"/>
        <v>21903</v>
      </c>
      <c r="AO90" s="57">
        <f t="shared" si="44"/>
        <v>61010</v>
      </c>
      <c r="AP90" s="130">
        <f t="shared" si="61"/>
        <v>1</v>
      </c>
      <c r="AQ90" s="553">
        <f t="shared" si="76"/>
        <v>82</v>
      </c>
      <c r="AR90" s="554">
        <f t="shared" si="62"/>
        <v>47811</v>
      </c>
      <c r="AS90" s="555">
        <f t="shared" si="46"/>
        <v>0.22899999999999998</v>
      </c>
      <c r="AT90" s="546">
        <f t="shared" si="63"/>
        <v>21903</v>
      </c>
      <c r="AU90" s="546">
        <f t="shared" si="71"/>
        <v>21903</v>
      </c>
      <c r="AV90" s="546">
        <f t="shared" si="64"/>
        <v>1052.1818083770295</v>
      </c>
      <c r="AW90" s="546">
        <f t="shared" si="65"/>
        <v>20850.81819162297</v>
      </c>
      <c r="AX90" s="559">
        <f t="shared" si="52"/>
        <v>0</v>
      </c>
      <c r="AY90" s="559">
        <v>0</v>
      </c>
      <c r="AZ90" s="559">
        <f t="shared" si="81"/>
        <v>1052.1818083770295</v>
      </c>
      <c r="BA90" s="559">
        <f t="shared" si="79"/>
        <v>0</v>
      </c>
      <c r="BB90" s="559">
        <f t="shared" si="78"/>
        <v>0</v>
      </c>
      <c r="BC90" s="559"/>
      <c r="BD90" s="559"/>
      <c r="BE90" s="559"/>
      <c r="BF90" s="559"/>
      <c r="BG90" s="559"/>
      <c r="BH90" s="546">
        <f t="shared" si="66"/>
        <v>33247.837965246406</v>
      </c>
      <c r="BI90" s="108">
        <f t="shared" si="77"/>
        <v>3</v>
      </c>
      <c r="BJ90" s="108">
        <f t="shared" si="72"/>
        <v>3</v>
      </c>
      <c r="BK90" s="22">
        <f t="shared" si="73"/>
        <v>47811</v>
      </c>
      <c r="BL90" s="108">
        <f t="shared" si="53"/>
        <v>21903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74"/>
        <v>83</v>
      </c>
      <c r="H91" s="245">
        <f t="shared" si="54"/>
        <v>47841</v>
      </c>
      <c r="I91" s="246">
        <f t="shared" si="55"/>
        <v>0.16899999999999998</v>
      </c>
      <c r="J91" s="242">
        <f t="shared" si="56"/>
        <v>21903</v>
      </c>
      <c r="K91" s="242">
        <f t="shared" si="67"/>
        <v>21903</v>
      </c>
      <c r="L91" s="242">
        <f t="shared" si="68"/>
        <v>982.29363176441882</v>
      </c>
      <c r="M91" s="242">
        <f t="shared" si="69"/>
        <v>20920.70636823558</v>
      </c>
      <c r="N91" s="242">
        <f t="shared" si="50"/>
        <v>0</v>
      </c>
      <c r="O91" s="242">
        <v>0</v>
      </c>
      <c r="P91" s="242">
        <f t="shared" si="80"/>
        <v>982.29363176441882</v>
      </c>
      <c r="Q91" s="242">
        <f t="shared" si="51"/>
        <v>0</v>
      </c>
      <c r="R91" s="242">
        <f t="shared" si="57"/>
        <v>0</v>
      </c>
      <c r="S91" s="242">
        <f t="shared" si="70"/>
        <v>49796.685267664405</v>
      </c>
      <c r="T91" s="467">
        <f t="shared" si="49"/>
        <v>0</v>
      </c>
      <c r="U91" s="36">
        <f t="shared" si="75"/>
        <v>2</v>
      </c>
      <c r="V91" s="36">
        <f t="shared" si="59"/>
        <v>2</v>
      </c>
      <c r="W91" s="36">
        <f t="shared" si="60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43"/>
        <v>21903</v>
      </c>
      <c r="Z91" s="57">
        <f t="shared" si="41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45"/>
        <v>21903</v>
      </c>
      <c r="AO91" s="57">
        <f t="shared" si="44"/>
        <v>61375</v>
      </c>
      <c r="AP91" s="130">
        <f t="shared" si="61"/>
        <v>1</v>
      </c>
      <c r="AQ91" s="553">
        <f t="shared" si="76"/>
        <v>83</v>
      </c>
      <c r="AR91" s="554">
        <f t="shared" si="62"/>
        <v>47841</v>
      </c>
      <c r="AS91" s="555">
        <f t="shared" si="46"/>
        <v>0.22899999999999998</v>
      </c>
      <c r="AT91" s="546">
        <f t="shared" si="63"/>
        <v>21903</v>
      </c>
      <c r="AU91" s="546">
        <f t="shared" si="71"/>
        <v>21903</v>
      </c>
      <c r="AV91" s="546">
        <f t="shared" si="64"/>
        <v>625.78807348285693</v>
      </c>
      <c r="AW91" s="546">
        <f t="shared" si="65"/>
        <v>21277.211926517142</v>
      </c>
      <c r="AX91" s="559">
        <f t="shared" si="52"/>
        <v>0</v>
      </c>
      <c r="AY91" s="559">
        <v>0</v>
      </c>
      <c r="AZ91" s="559">
        <f t="shared" si="81"/>
        <v>625.78807348285693</v>
      </c>
      <c r="BA91" s="559">
        <f t="shared" si="79"/>
        <v>0</v>
      </c>
      <c r="BB91" s="559">
        <f t="shared" si="78"/>
        <v>0</v>
      </c>
      <c r="BC91" s="559"/>
      <c r="BD91" s="559"/>
      <c r="BE91" s="559"/>
      <c r="BF91" s="559"/>
      <c r="BG91" s="559"/>
      <c r="BH91" s="546">
        <f t="shared" si="66"/>
        <v>11970.626038729264</v>
      </c>
      <c r="BI91" s="108">
        <f t="shared" si="77"/>
        <v>2</v>
      </c>
      <c r="BJ91" s="108">
        <f t="shared" si="72"/>
        <v>2</v>
      </c>
      <c r="BK91" s="22">
        <f t="shared" si="73"/>
        <v>47841</v>
      </c>
      <c r="BL91" s="108">
        <f t="shared" si="53"/>
        <v>21903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74"/>
        <v>84</v>
      </c>
      <c r="H92" s="245">
        <f t="shared" si="54"/>
        <v>47872</v>
      </c>
      <c r="I92" s="246">
        <f t="shared" si="55"/>
        <v>0.16899999999999998</v>
      </c>
      <c r="J92" s="242">
        <f t="shared" si="56"/>
        <v>21903</v>
      </c>
      <c r="K92" s="242">
        <f t="shared" si="67"/>
        <v>21903</v>
      </c>
      <c r="L92" s="242">
        <f t="shared" si="68"/>
        <v>714.75297018436663</v>
      </c>
      <c r="M92" s="242">
        <f t="shared" si="69"/>
        <v>21188.247029815633</v>
      </c>
      <c r="N92" s="242">
        <f t="shared" si="50"/>
        <v>0</v>
      </c>
      <c r="O92" s="242">
        <v>0</v>
      </c>
      <c r="P92" s="242">
        <f t="shared" si="80"/>
        <v>714.75297018436663</v>
      </c>
      <c r="Q92" s="242">
        <f t="shared" si="51"/>
        <v>0</v>
      </c>
      <c r="R92" s="242">
        <f t="shared" si="57"/>
        <v>0</v>
      </c>
      <c r="S92" s="242">
        <f t="shared" si="70"/>
        <v>0</v>
      </c>
      <c r="T92" s="467">
        <f t="shared" si="49"/>
        <v>28608.438237848772</v>
      </c>
      <c r="U92" s="36">
        <f t="shared" si="75"/>
        <v>1</v>
      </c>
      <c r="V92" s="36">
        <f t="shared" si="59"/>
        <v>1</v>
      </c>
      <c r="W92" s="36">
        <f t="shared" si="60"/>
        <v>28608.438237848772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43"/>
        <v>21903</v>
      </c>
      <c r="Z92" s="57">
        <f t="shared" si="41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45"/>
        <v>21903</v>
      </c>
      <c r="AO92" s="57">
        <f t="shared" si="44"/>
        <v>61740</v>
      </c>
      <c r="AP92" s="130">
        <f t="shared" si="61"/>
        <v>1</v>
      </c>
      <c r="AQ92" s="553">
        <f t="shared" si="76"/>
        <v>84</v>
      </c>
      <c r="AR92" s="554">
        <f t="shared" si="62"/>
        <v>47872</v>
      </c>
      <c r="AS92" s="555">
        <f t="shared" si="46"/>
        <v>0.22899999999999998</v>
      </c>
      <c r="AT92" s="546">
        <f t="shared" si="63"/>
        <v>21903</v>
      </c>
      <c r="AU92" s="546">
        <f t="shared" si="71"/>
        <v>21903</v>
      </c>
      <c r="AV92" s="546">
        <f t="shared" si="64"/>
        <v>232.82047739435356</v>
      </c>
      <c r="AW92" s="546">
        <f t="shared" si="65"/>
        <v>11970.626038729264</v>
      </c>
      <c r="AX92" s="559">
        <f t="shared" si="52"/>
        <v>0</v>
      </c>
      <c r="AY92" s="559">
        <v>0</v>
      </c>
      <c r="AZ92" s="559">
        <f t="shared" si="81"/>
        <v>232.82047739435356</v>
      </c>
      <c r="BA92" s="559">
        <f t="shared" si="79"/>
        <v>0</v>
      </c>
      <c r="BB92" s="559">
        <f t="shared" si="78"/>
        <v>0</v>
      </c>
      <c r="BC92" s="559"/>
      <c r="BD92" s="559"/>
      <c r="BE92" s="559"/>
      <c r="BF92" s="559"/>
      <c r="BG92" s="559"/>
      <c r="BH92" s="546">
        <f t="shared" si="66"/>
        <v>0</v>
      </c>
      <c r="BI92" s="108">
        <f t="shared" si="77"/>
        <v>1</v>
      </c>
      <c r="BJ92" s="108">
        <f t="shared" si="72"/>
        <v>1</v>
      </c>
      <c r="BK92" s="22">
        <f t="shared" si="73"/>
        <v>47872</v>
      </c>
      <c r="BL92" s="108">
        <f t="shared" si="53"/>
        <v>21903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74"/>
        <v>85</v>
      </c>
      <c r="H93" s="245">
        <f t="shared" si="54"/>
        <v>47903</v>
      </c>
      <c r="I93" s="246">
        <f t="shared" si="55"/>
        <v>0.16899999999999998</v>
      </c>
      <c r="J93" s="24">
        <f t="shared" si="56"/>
        <v>0</v>
      </c>
      <c r="K93" s="242">
        <f t="shared" si="67"/>
        <v>0</v>
      </c>
      <c r="L93" s="242">
        <f t="shared" si="68"/>
        <v>0</v>
      </c>
      <c r="M93" s="24">
        <f t="shared" ref="M93:M108" si="82">IF(V93=0,0,IF(V93=1,S92,IF(S92+N93+L93&gt;K92,K93-L93-N93,S92)))</f>
        <v>0</v>
      </c>
      <c r="N93" s="24">
        <f t="shared" si="50"/>
        <v>0</v>
      </c>
      <c r="O93" s="24">
        <v>0</v>
      </c>
      <c r="P93" s="24">
        <f t="shared" si="80"/>
        <v>0</v>
      </c>
      <c r="Q93" s="24">
        <f t="shared" si="51"/>
        <v>0</v>
      </c>
      <c r="R93" s="24">
        <f t="shared" si="57"/>
        <v>0</v>
      </c>
      <c r="S93" s="24">
        <f t="shared" si="70"/>
        <v>0</v>
      </c>
      <c r="T93" s="24">
        <f>IF(G93=C35,'КЭШ, Реф (БВ_ОПТИ_Базовый)'!$C$26-'КЭШ, Реф (БВ_ОПТИ_Базовый)'!$C$27,0)</f>
        <v>0</v>
      </c>
      <c r="U93" s="36">
        <f t="shared" si="75"/>
        <v>0</v>
      </c>
      <c r="V93" s="36">
        <f t="shared" si="59"/>
        <v>0</v>
      </c>
      <c r="W93" s="36">
        <f t="shared" si="60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43"/>
        <v>21903</v>
      </c>
      <c r="Z93" s="57">
        <f t="shared" si="41"/>
        <v>63565</v>
      </c>
      <c r="AF93" s="16">
        <f>IF($C$7&gt;AE89,AF90,IF($C$7&gt;AE90,AF91,IF($C$7&gt;AE91,AF92,AF89)))</f>
        <v>3499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45"/>
        <v>21903</v>
      </c>
      <c r="AO93" s="57">
        <f t="shared" si="44"/>
        <v>62105</v>
      </c>
      <c r="AP93" s="130">
        <f t="shared" si="61"/>
        <v>0</v>
      </c>
      <c r="AQ93" s="109">
        <f t="shared" si="76"/>
        <v>85</v>
      </c>
      <c r="AR93" s="681">
        <f t="shared" si="62"/>
        <v>47903</v>
      </c>
      <c r="AS93" s="177">
        <f t="shared" si="46"/>
        <v>0.22899999999999998</v>
      </c>
      <c r="AT93" s="105">
        <f t="shared" si="63"/>
        <v>0</v>
      </c>
      <c r="AU93" s="105">
        <f t="shared" si="71"/>
        <v>0</v>
      </c>
      <c r="AV93" s="559">
        <f t="shared" si="64"/>
        <v>0</v>
      </c>
      <c r="AW93" s="105">
        <f t="shared" si="65"/>
        <v>0</v>
      </c>
      <c r="AX93" s="105">
        <f t="shared" si="52"/>
        <v>0</v>
      </c>
      <c r="AY93" s="105">
        <v>0</v>
      </c>
      <c r="AZ93" s="105">
        <f t="shared" si="81"/>
        <v>0</v>
      </c>
      <c r="BA93" s="105">
        <f t="shared" si="79"/>
        <v>0</v>
      </c>
      <c r="BB93" s="105">
        <f t="shared" si="78"/>
        <v>0</v>
      </c>
      <c r="BC93" s="105"/>
      <c r="BD93" s="105"/>
      <c r="BE93" s="105"/>
      <c r="BF93" s="105"/>
      <c r="BG93" s="105"/>
      <c r="BH93" s="105">
        <f t="shared" si="66"/>
        <v>0</v>
      </c>
      <c r="BI93" s="108">
        <f t="shared" si="77"/>
        <v>0</v>
      </c>
      <c r="BJ93" s="108">
        <f t="shared" si="72"/>
        <v>0</v>
      </c>
      <c r="BK93" s="22">
        <f t="shared" si="73"/>
        <v>47903</v>
      </c>
      <c r="BL93" s="108">
        <f t="shared" si="53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74"/>
        <v>86</v>
      </c>
      <c r="H94" s="245">
        <f t="shared" si="54"/>
        <v>47931</v>
      </c>
      <c r="I94" s="246">
        <f t="shared" si="55"/>
        <v>0.16899999999999998</v>
      </c>
      <c r="J94" s="24">
        <f t="shared" si="56"/>
        <v>0</v>
      </c>
      <c r="K94" s="242">
        <f t="shared" si="67"/>
        <v>0</v>
      </c>
      <c r="L94" s="242">
        <f t="shared" si="68"/>
        <v>0</v>
      </c>
      <c r="M94" s="24">
        <f t="shared" si="82"/>
        <v>0</v>
      </c>
      <c r="N94" s="24">
        <f t="shared" si="50"/>
        <v>0</v>
      </c>
      <c r="O94" s="24">
        <v>0</v>
      </c>
      <c r="P94" s="24">
        <f t="shared" si="80"/>
        <v>0</v>
      </c>
      <c r="Q94" s="24">
        <f t="shared" si="51"/>
        <v>0</v>
      </c>
      <c r="R94" s="24">
        <f t="shared" si="57"/>
        <v>0</v>
      </c>
      <c r="S94" s="24">
        <f t="shared" si="70"/>
        <v>0</v>
      </c>
      <c r="T94" s="24">
        <f>IF(G94=C36,'КЭШ, Реф (БВ_ОПТИ_Базовый)'!$C$26-'КЭШ, Реф (БВ_ОПТИ_Базовый)'!$C$27,0)</f>
        <v>0</v>
      </c>
      <c r="U94" s="36">
        <f t="shared" si="75"/>
        <v>0</v>
      </c>
      <c r="V94" s="36">
        <f t="shared" si="59"/>
        <v>0</v>
      </c>
      <c r="W94" s="36">
        <f t="shared" si="60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43"/>
        <v>21903</v>
      </c>
      <c r="Z94" s="57">
        <f t="shared" si="41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45"/>
        <v>21903</v>
      </c>
      <c r="AO94" s="57">
        <f t="shared" si="44"/>
        <v>62470</v>
      </c>
      <c r="AP94" s="130">
        <f t="shared" si="61"/>
        <v>0</v>
      </c>
      <c r="AQ94" s="109">
        <f t="shared" si="76"/>
        <v>86</v>
      </c>
      <c r="AR94" s="681">
        <f t="shared" si="62"/>
        <v>47931</v>
      </c>
      <c r="AS94" s="177">
        <f t="shared" si="46"/>
        <v>0.22899999999999998</v>
      </c>
      <c r="AT94" s="105">
        <f t="shared" si="63"/>
        <v>0</v>
      </c>
      <c r="AU94" s="105">
        <f t="shared" si="71"/>
        <v>0</v>
      </c>
      <c r="AV94" s="559">
        <f t="shared" si="64"/>
        <v>0</v>
      </c>
      <c r="AW94" s="105">
        <f t="shared" si="65"/>
        <v>0</v>
      </c>
      <c r="AX94" s="105">
        <f t="shared" si="52"/>
        <v>0</v>
      </c>
      <c r="AY94" s="105">
        <v>0</v>
      </c>
      <c r="AZ94" s="105">
        <f t="shared" si="81"/>
        <v>0</v>
      </c>
      <c r="BA94" s="105">
        <f t="shared" si="79"/>
        <v>0</v>
      </c>
      <c r="BB94" s="105">
        <f t="shared" si="78"/>
        <v>0</v>
      </c>
      <c r="BC94" s="105"/>
      <c r="BD94" s="105"/>
      <c r="BE94" s="105"/>
      <c r="BF94" s="105"/>
      <c r="BG94" s="105"/>
      <c r="BH94" s="105">
        <f t="shared" si="66"/>
        <v>0</v>
      </c>
      <c r="BI94" s="108">
        <f t="shared" si="77"/>
        <v>0</v>
      </c>
      <c r="BJ94" s="108">
        <f t="shared" si="72"/>
        <v>0</v>
      </c>
      <c r="BK94" s="22">
        <f t="shared" si="73"/>
        <v>47931</v>
      </c>
      <c r="BL94" s="108">
        <f t="shared" si="53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74"/>
        <v>87</v>
      </c>
      <c r="H95" s="245">
        <f t="shared" si="54"/>
        <v>47962</v>
      </c>
      <c r="I95" s="246">
        <f t="shared" si="55"/>
        <v>0.16899999999999998</v>
      </c>
      <c r="J95" s="24">
        <f t="shared" si="56"/>
        <v>0</v>
      </c>
      <c r="K95" s="242">
        <f t="shared" si="67"/>
        <v>0</v>
      </c>
      <c r="L95" s="242">
        <f t="shared" si="68"/>
        <v>0</v>
      </c>
      <c r="M95" s="24">
        <f t="shared" si="82"/>
        <v>0</v>
      </c>
      <c r="N95" s="24">
        <f t="shared" si="50"/>
        <v>0</v>
      </c>
      <c r="O95" s="24">
        <v>0</v>
      </c>
      <c r="P95" s="24">
        <f t="shared" si="80"/>
        <v>0</v>
      </c>
      <c r="Q95" s="24">
        <f t="shared" si="51"/>
        <v>0</v>
      </c>
      <c r="R95" s="24">
        <f t="shared" si="57"/>
        <v>0</v>
      </c>
      <c r="S95" s="24">
        <f t="shared" si="70"/>
        <v>0</v>
      </c>
      <c r="T95" s="24">
        <f>IF(G95=C37,'КЭШ, Реф (БВ_ОПТИ_Базовый)'!$C$26-'КЭШ, Реф (БВ_ОПТИ_Базовый)'!$C$27,0)</f>
        <v>0</v>
      </c>
      <c r="U95" s="36">
        <f t="shared" si="75"/>
        <v>0</v>
      </c>
      <c r="V95" s="36">
        <f t="shared" si="59"/>
        <v>0</v>
      </c>
      <c r="W95" s="36">
        <f t="shared" si="60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43"/>
        <v>21903</v>
      </c>
      <c r="Z95" s="57">
        <f t="shared" si="41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45"/>
        <v>21903</v>
      </c>
      <c r="AO95" s="57">
        <f t="shared" si="44"/>
        <v>62835</v>
      </c>
      <c r="AP95" s="130">
        <f t="shared" si="61"/>
        <v>0</v>
      </c>
      <c r="AQ95" s="109">
        <f t="shared" si="76"/>
        <v>87</v>
      </c>
      <c r="AR95" s="681">
        <f t="shared" si="62"/>
        <v>47962</v>
      </c>
      <c r="AS95" s="177">
        <f t="shared" si="46"/>
        <v>0.22899999999999998</v>
      </c>
      <c r="AT95" s="105">
        <f t="shared" si="63"/>
        <v>0</v>
      </c>
      <c r="AU95" s="105">
        <f t="shared" si="71"/>
        <v>0</v>
      </c>
      <c r="AV95" s="559">
        <f t="shared" si="64"/>
        <v>0</v>
      </c>
      <c r="AW95" s="105">
        <f t="shared" si="65"/>
        <v>0</v>
      </c>
      <c r="AX95" s="105">
        <f t="shared" si="52"/>
        <v>0</v>
      </c>
      <c r="AY95" s="105">
        <v>0</v>
      </c>
      <c r="AZ95" s="105">
        <f t="shared" si="81"/>
        <v>0</v>
      </c>
      <c r="BA95" s="105">
        <f t="shared" si="79"/>
        <v>0</v>
      </c>
      <c r="BB95" s="105">
        <f t="shared" si="78"/>
        <v>0</v>
      </c>
      <c r="BC95" s="105"/>
      <c r="BD95" s="105"/>
      <c r="BE95" s="105"/>
      <c r="BF95" s="105"/>
      <c r="BG95" s="105"/>
      <c r="BH95" s="105">
        <f t="shared" si="66"/>
        <v>0</v>
      </c>
      <c r="BI95" s="108">
        <f t="shared" si="77"/>
        <v>0</v>
      </c>
      <c r="BJ95" s="108">
        <f t="shared" si="72"/>
        <v>0</v>
      </c>
      <c r="BK95" s="22">
        <f t="shared" si="73"/>
        <v>47962</v>
      </c>
      <c r="BL95" s="108">
        <f t="shared" si="53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74"/>
        <v>88</v>
      </c>
      <c r="H96" s="245">
        <f t="shared" si="54"/>
        <v>47992</v>
      </c>
      <c r="I96" s="246">
        <f t="shared" si="55"/>
        <v>0.16899999999999998</v>
      </c>
      <c r="J96" s="24">
        <f t="shared" si="56"/>
        <v>0</v>
      </c>
      <c r="K96" s="242">
        <f t="shared" si="67"/>
        <v>0</v>
      </c>
      <c r="L96" s="242">
        <f t="shared" si="68"/>
        <v>0</v>
      </c>
      <c r="M96" s="24">
        <f t="shared" si="82"/>
        <v>0</v>
      </c>
      <c r="N96" s="24">
        <f t="shared" si="50"/>
        <v>0</v>
      </c>
      <c r="O96" s="24">
        <v>0</v>
      </c>
      <c r="P96" s="24">
        <f t="shared" si="80"/>
        <v>0</v>
      </c>
      <c r="Q96" s="24">
        <f t="shared" si="51"/>
        <v>0</v>
      </c>
      <c r="R96" s="24">
        <f t="shared" si="57"/>
        <v>0</v>
      </c>
      <c r="S96" s="24">
        <f t="shared" si="70"/>
        <v>0</v>
      </c>
      <c r="T96" s="24">
        <f>IF(G96=C38,'КЭШ, Реф (БВ_ОПТИ_Базовый)'!$C$26-'КЭШ, Реф (БВ_ОПТИ_Базовый)'!$C$27,0)</f>
        <v>0</v>
      </c>
      <c r="U96" s="36">
        <f t="shared" si="75"/>
        <v>0</v>
      </c>
      <c r="V96" s="36">
        <f t="shared" si="59"/>
        <v>0</v>
      </c>
      <c r="W96" s="36">
        <f t="shared" si="60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43"/>
        <v>21903</v>
      </c>
      <c r="Z96" s="57">
        <f t="shared" si="41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45"/>
        <v>21903</v>
      </c>
      <c r="AO96" s="57">
        <f t="shared" si="44"/>
        <v>63200</v>
      </c>
      <c r="AP96" s="130">
        <f t="shared" si="61"/>
        <v>0</v>
      </c>
      <c r="AQ96" s="109">
        <f t="shared" si="76"/>
        <v>88</v>
      </c>
      <c r="AR96" s="681">
        <f t="shared" si="62"/>
        <v>47992</v>
      </c>
      <c r="AS96" s="177">
        <f t="shared" si="46"/>
        <v>0.22899999999999998</v>
      </c>
      <c r="AT96" s="105">
        <f t="shared" si="63"/>
        <v>0</v>
      </c>
      <c r="AU96" s="105">
        <f t="shared" si="71"/>
        <v>0</v>
      </c>
      <c r="AV96" s="559">
        <f t="shared" si="64"/>
        <v>0</v>
      </c>
      <c r="AW96" s="105">
        <f t="shared" si="65"/>
        <v>0</v>
      </c>
      <c r="AX96" s="105">
        <f t="shared" si="52"/>
        <v>0</v>
      </c>
      <c r="AY96" s="105">
        <v>0</v>
      </c>
      <c r="AZ96" s="105">
        <f t="shared" si="81"/>
        <v>0</v>
      </c>
      <c r="BA96" s="105">
        <f t="shared" si="79"/>
        <v>0</v>
      </c>
      <c r="BB96" s="105">
        <f t="shared" si="78"/>
        <v>0</v>
      </c>
      <c r="BC96" s="105"/>
      <c r="BD96" s="105"/>
      <c r="BE96" s="105"/>
      <c r="BF96" s="105"/>
      <c r="BG96" s="105"/>
      <c r="BH96" s="105">
        <f t="shared" si="66"/>
        <v>0</v>
      </c>
      <c r="BI96" s="108">
        <f t="shared" si="77"/>
        <v>0</v>
      </c>
      <c r="BJ96" s="108">
        <f t="shared" si="72"/>
        <v>0</v>
      </c>
      <c r="BK96" s="22">
        <f t="shared" si="73"/>
        <v>47992</v>
      </c>
      <c r="BL96" s="108">
        <f t="shared" si="53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74"/>
        <v>89</v>
      </c>
      <c r="H97" s="245">
        <f t="shared" si="54"/>
        <v>48023</v>
      </c>
      <c r="I97" s="246">
        <f t="shared" si="55"/>
        <v>0.16899999999999998</v>
      </c>
      <c r="J97" s="24">
        <f t="shared" si="56"/>
        <v>0</v>
      </c>
      <c r="K97" s="242">
        <f t="shared" si="67"/>
        <v>0</v>
      </c>
      <c r="L97" s="242">
        <f t="shared" si="68"/>
        <v>0</v>
      </c>
      <c r="M97" s="24">
        <f t="shared" si="82"/>
        <v>0</v>
      </c>
      <c r="N97" s="24">
        <f t="shared" si="50"/>
        <v>0</v>
      </c>
      <c r="O97" s="24">
        <v>0</v>
      </c>
      <c r="P97" s="24">
        <f t="shared" si="80"/>
        <v>0</v>
      </c>
      <c r="Q97" s="24">
        <f t="shared" si="51"/>
        <v>0</v>
      </c>
      <c r="R97" s="24">
        <f t="shared" si="57"/>
        <v>0</v>
      </c>
      <c r="S97" s="24">
        <f t="shared" si="70"/>
        <v>0</v>
      </c>
      <c r="T97" s="24">
        <f>IF(G97=C39,'КЭШ, Реф (БВ_ОПТИ_Базовый)'!$C$26-'КЭШ, Реф (БВ_ОПТИ_Базовый)'!$C$27,0)</f>
        <v>0</v>
      </c>
      <c r="U97" s="36">
        <f t="shared" si="75"/>
        <v>0</v>
      </c>
      <c r="V97" s="36">
        <f t="shared" si="59"/>
        <v>0</v>
      </c>
      <c r="W97" s="36">
        <f t="shared" si="60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43"/>
        <v>21903</v>
      </c>
      <c r="Z97" s="57">
        <f t="shared" si="41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45"/>
        <v>21903</v>
      </c>
      <c r="AO97" s="57">
        <f t="shared" si="44"/>
        <v>63565</v>
      </c>
      <c r="AP97" s="130">
        <f t="shared" si="61"/>
        <v>0</v>
      </c>
      <c r="AQ97" s="109">
        <f t="shared" si="76"/>
        <v>89</v>
      </c>
      <c r="AR97" s="681">
        <f t="shared" si="62"/>
        <v>48023</v>
      </c>
      <c r="AS97" s="177">
        <f t="shared" si="46"/>
        <v>0.22899999999999998</v>
      </c>
      <c r="AT97" s="105">
        <f t="shared" si="63"/>
        <v>0</v>
      </c>
      <c r="AU97" s="105">
        <f t="shared" si="71"/>
        <v>0</v>
      </c>
      <c r="AV97" s="559">
        <f t="shared" si="64"/>
        <v>0</v>
      </c>
      <c r="AW97" s="105">
        <f t="shared" si="65"/>
        <v>0</v>
      </c>
      <c r="AX97" s="105">
        <f t="shared" si="52"/>
        <v>0</v>
      </c>
      <c r="AY97" s="105">
        <v>0</v>
      </c>
      <c r="AZ97" s="105">
        <f t="shared" si="81"/>
        <v>0</v>
      </c>
      <c r="BA97" s="105">
        <f t="shared" si="79"/>
        <v>0</v>
      </c>
      <c r="BB97" s="105">
        <f t="shared" si="78"/>
        <v>0</v>
      </c>
      <c r="BC97" s="105"/>
      <c r="BD97" s="105"/>
      <c r="BE97" s="105"/>
      <c r="BF97" s="105"/>
      <c r="BG97" s="105"/>
      <c r="BH97" s="105">
        <f t="shared" si="66"/>
        <v>0</v>
      </c>
      <c r="BI97" s="108">
        <f t="shared" si="77"/>
        <v>0</v>
      </c>
      <c r="BJ97" s="108">
        <f t="shared" si="72"/>
        <v>0</v>
      </c>
      <c r="BK97" s="22">
        <f t="shared" si="73"/>
        <v>48023</v>
      </c>
      <c r="BL97" s="108">
        <f t="shared" si="53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74"/>
        <v>90</v>
      </c>
      <c r="H98" s="245">
        <f t="shared" si="54"/>
        <v>48053</v>
      </c>
      <c r="I98" s="246">
        <f t="shared" si="55"/>
        <v>0.16899999999999998</v>
      </c>
      <c r="J98" s="24">
        <f t="shared" si="56"/>
        <v>0</v>
      </c>
      <c r="K98" s="242">
        <f t="shared" si="67"/>
        <v>0</v>
      </c>
      <c r="L98" s="242">
        <f t="shared" si="68"/>
        <v>0</v>
      </c>
      <c r="M98" s="24">
        <f t="shared" si="82"/>
        <v>0</v>
      </c>
      <c r="N98" s="24">
        <f t="shared" si="50"/>
        <v>0</v>
      </c>
      <c r="O98" s="24">
        <v>0</v>
      </c>
      <c r="P98" s="24">
        <f t="shared" si="80"/>
        <v>0</v>
      </c>
      <c r="Q98" s="24">
        <f t="shared" si="51"/>
        <v>0</v>
      </c>
      <c r="R98" s="24">
        <f t="shared" si="57"/>
        <v>0</v>
      </c>
      <c r="S98" s="24">
        <f t="shared" si="70"/>
        <v>0</v>
      </c>
      <c r="T98" s="24">
        <f>IF(G98=C40,'КЭШ, Реф (БВ_ОПТИ_Базовый)'!$C$26-'КЭШ, Реф (БВ_ОПТИ_Базовый)'!$C$27,0)</f>
        <v>0</v>
      </c>
      <c r="U98" s="36">
        <f t="shared" si="75"/>
        <v>0</v>
      </c>
      <c r="V98" s="36">
        <f t="shared" si="59"/>
        <v>0</v>
      </c>
      <c r="W98" s="36">
        <f t="shared" si="60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43"/>
        <v>21903</v>
      </c>
      <c r="Z98" s="57">
        <f t="shared" si="41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45"/>
        <v>21903</v>
      </c>
      <c r="AO98" s="57">
        <f t="shared" si="44"/>
        <v>63930</v>
      </c>
      <c r="AP98" s="130">
        <f t="shared" si="61"/>
        <v>0</v>
      </c>
      <c r="AQ98" s="109">
        <f t="shared" si="76"/>
        <v>90</v>
      </c>
      <c r="AR98" s="681">
        <f t="shared" si="62"/>
        <v>48053</v>
      </c>
      <c r="AS98" s="177">
        <f t="shared" si="46"/>
        <v>0.22899999999999998</v>
      </c>
      <c r="AT98" s="105">
        <f t="shared" si="63"/>
        <v>0</v>
      </c>
      <c r="AU98" s="105">
        <f t="shared" si="71"/>
        <v>0</v>
      </c>
      <c r="AV98" s="559">
        <f t="shared" si="64"/>
        <v>0</v>
      </c>
      <c r="AW98" s="105">
        <f t="shared" si="65"/>
        <v>0</v>
      </c>
      <c r="AX98" s="105">
        <f t="shared" si="52"/>
        <v>0</v>
      </c>
      <c r="AY98" s="105">
        <v>0</v>
      </c>
      <c r="AZ98" s="105">
        <f t="shared" si="81"/>
        <v>0</v>
      </c>
      <c r="BA98" s="105">
        <f t="shared" si="79"/>
        <v>0</v>
      </c>
      <c r="BB98" s="105">
        <f t="shared" si="78"/>
        <v>0</v>
      </c>
      <c r="BC98" s="105"/>
      <c r="BD98" s="105"/>
      <c r="BE98" s="105"/>
      <c r="BF98" s="105"/>
      <c r="BG98" s="105"/>
      <c r="BH98" s="105">
        <f t="shared" si="66"/>
        <v>0</v>
      </c>
      <c r="BI98" s="108">
        <f t="shared" si="77"/>
        <v>0</v>
      </c>
      <c r="BJ98" s="108">
        <f t="shared" si="72"/>
        <v>0</v>
      </c>
      <c r="BK98" s="22">
        <f t="shared" si="73"/>
        <v>48053</v>
      </c>
      <c r="BL98" s="108">
        <f t="shared" si="53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74"/>
        <v>91</v>
      </c>
      <c r="H99" s="245">
        <f t="shared" si="54"/>
        <v>48084</v>
      </c>
      <c r="I99" s="246">
        <f t="shared" si="55"/>
        <v>0.16899999999999998</v>
      </c>
      <c r="J99" s="24">
        <f t="shared" si="56"/>
        <v>0</v>
      </c>
      <c r="K99" s="242">
        <f t="shared" si="67"/>
        <v>0</v>
      </c>
      <c r="L99" s="242">
        <f t="shared" si="68"/>
        <v>0</v>
      </c>
      <c r="M99" s="24">
        <f t="shared" si="82"/>
        <v>0</v>
      </c>
      <c r="N99" s="24">
        <f t="shared" si="50"/>
        <v>0</v>
      </c>
      <c r="O99" s="24">
        <v>0</v>
      </c>
      <c r="P99" s="24">
        <f t="shared" si="80"/>
        <v>0</v>
      </c>
      <c r="Q99" s="24">
        <f t="shared" si="51"/>
        <v>0</v>
      </c>
      <c r="R99" s="24">
        <f t="shared" si="57"/>
        <v>0</v>
      </c>
      <c r="S99" s="24">
        <f t="shared" si="70"/>
        <v>0</v>
      </c>
      <c r="T99" s="24">
        <f>IF(G99=C41,'КЭШ, Реф (БВ_ОПТИ_Базовый)'!$C$26-'КЭШ, Реф (БВ_ОПТИ_Базовый)'!$C$27,0)</f>
        <v>0</v>
      </c>
      <c r="U99" s="36">
        <f t="shared" si="75"/>
        <v>0</v>
      </c>
      <c r="V99" s="36">
        <f t="shared" si="59"/>
        <v>0</v>
      </c>
      <c r="W99" s="36">
        <f t="shared" si="60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43"/>
        <v>21903</v>
      </c>
      <c r="Z99" s="57">
        <f t="shared" si="41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45"/>
        <v>21903</v>
      </c>
      <c r="AO99" s="57">
        <f t="shared" si="44"/>
        <v>64295</v>
      </c>
      <c r="AP99" s="130">
        <f t="shared" si="61"/>
        <v>0</v>
      </c>
      <c r="AQ99" s="109">
        <f t="shared" si="76"/>
        <v>91</v>
      </c>
      <c r="AR99" s="681">
        <f t="shared" si="62"/>
        <v>48084</v>
      </c>
      <c r="AS99" s="177">
        <f t="shared" si="46"/>
        <v>0.22899999999999998</v>
      </c>
      <c r="AT99" s="105">
        <f t="shared" si="63"/>
        <v>0</v>
      </c>
      <c r="AU99" s="105">
        <f t="shared" si="71"/>
        <v>0</v>
      </c>
      <c r="AV99" s="559">
        <f t="shared" si="64"/>
        <v>0</v>
      </c>
      <c r="AW99" s="105">
        <f t="shared" si="65"/>
        <v>0</v>
      </c>
      <c r="AX99" s="105">
        <f t="shared" si="52"/>
        <v>0</v>
      </c>
      <c r="AY99" s="105">
        <v>0</v>
      </c>
      <c r="AZ99" s="105">
        <f t="shared" si="81"/>
        <v>0</v>
      </c>
      <c r="BA99" s="105">
        <f t="shared" si="79"/>
        <v>0</v>
      </c>
      <c r="BB99" s="105">
        <f t="shared" si="78"/>
        <v>0</v>
      </c>
      <c r="BC99" s="105"/>
      <c r="BD99" s="105"/>
      <c r="BE99" s="105"/>
      <c r="BF99" s="105"/>
      <c r="BG99" s="105"/>
      <c r="BH99" s="105">
        <f t="shared" si="66"/>
        <v>0</v>
      </c>
      <c r="BI99" s="108">
        <f t="shared" si="77"/>
        <v>0</v>
      </c>
      <c r="BJ99" s="108">
        <f t="shared" si="72"/>
        <v>0</v>
      </c>
      <c r="BK99" s="22">
        <f t="shared" si="73"/>
        <v>48084</v>
      </c>
      <c r="BL99" s="108">
        <f t="shared" si="53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74"/>
        <v>92</v>
      </c>
      <c r="H100" s="245">
        <f t="shared" si="54"/>
        <v>48115</v>
      </c>
      <c r="I100" s="246">
        <f t="shared" si="55"/>
        <v>0.16899999999999998</v>
      </c>
      <c r="J100" s="24">
        <f t="shared" si="56"/>
        <v>0</v>
      </c>
      <c r="K100" s="242">
        <f t="shared" si="67"/>
        <v>0</v>
      </c>
      <c r="L100" s="242">
        <f t="shared" si="68"/>
        <v>0</v>
      </c>
      <c r="M100" s="24">
        <f t="shared" si="82"/>
        <v>0</v>
      </c>
      <c r="N100" s="24">
        <f t="shared" si="50"/>
        <v>0</v>
      </c>
      <c r="O100" s="24">
        <v>0</v>
      </c>
      <c r="P100" s="24">
        <f t="shared" si="80"/>
        <v>0</v>
      </c>
      <c r="Q100" s="24">
        <f t="shared" si="51"/>
        <v>0</v>
      </c>
      <c r="R100" s="24">
        <f t="shared" si="57"/>
        <v>0</v>
      </c>
      <c r="S100" s="24">
        <f t="shared" si="70"/>
        <v>0</v>
      </c>
      <c r="T100" s="24">
        <f>IF(G100=C42,'КЭШ, Реф (БВ_ОПТИ_Базовый)'!$C$26-'КЭШ, Реф (БВ_ОПТИ_Базовый)'!$C$27,0)</f>
        <v>0</v>
      </c>
      <c r="U100" s="36">
        <f t="shared" si="75"/>
        <v>0</v>
      </c>
      <c r="V100" s="36">
        <f t="shared" si="59"/>
        <v>0</v>
      </c>
      <c r="W100" s="36">
        <f t="shared" si="60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43"/>
        <v>21903</v>
      </c>
      <c r="Z100" s="57">
        <f t="shared" si="41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45"/>
        <v>21903</v>
      </c>
      <c r="AO100" s="57">
        <f t="shared" si="44"/>
        <v>64660</v>
      </c>
      <c r="AP100" s="130">
        <f t="shared" si="61"/>
        <v>0</v>
      </c>
      <c r="AQ100" s="109">
        <f t="shared" si="76"/>
        <v>92</v>
      </c>
      <c r="AR100" s="681">
        <f t="shared" si="62"/>
        <v>48115</v>
      </c>
      <c r="AS100" s="177">
        <f t="shared" si="46"/>
        <v>0.22899999999999998</v>
      </c>
      <c r="AT100" s="105">
        <f t="shared" si="63"/>
        <v>0</v>
      </c>
      <c r="AU100" s="105">
        <f t="shared" si="71"/>
        <v>0</v>
      </c>
      <c r="AV100" s="559">
        <f t="shared" si="64"/>
        <v>0</v>
      </c>
      <c r="AW100" s="105">
        <f t="shared" si="65"/>
        <v>0</v>
      </c>
      <c r="AX100" s="105">
        <f t="shared" si="52"/>
        <v>0</v>
      </c>
      <c r="AY100" s="105">
        <v>0</v>
      </c>
      <c r="AZ100" s="105">
        <f t="shared" si="81"/>
        <v>0</v>
      </c>
      <c r="BA100" s="105">
        <f t="shared" si="79"/>
        <v>0</v>
      </c>
      <c r="BB100" s="105">
        <f t="shared" si="78"/>
        <v>0</v>
      </c>
      <c r="BC100" s="105"/>
      <c r="BD100" s="105"/>
      <c r="BE100" s="105"/>
      <c r="BF100" s="105"/>
      <c r="BG100" s="105"/>
      <c r="BH100" s="105">
        <f t="shared" si="66"/>
        <v>0</v>
      </c>
      <c r="BI100" s="108">
        <f t="shared" si="77"/>
        <v>0</v>
      </c>
      <c r="BJ100" s="108">
        <f t="shared" si="72"/>
        <v>0</v>
      </c>
      <c r="BK100" s="22">
        <f t="shared" si="73"/>
        <v>48115</v>
      </c>
      <c r="BL100" s="108">
        <f t="shared" si="53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74"/>
        <v>93</v>
      </c>
      <c r="H101" s="245">
        <f t="shared" si="54"/>
        <v>48145</v>
      </c>
      <c r="I101" s="246">
        <f t="shared" si="55"/>
        <v>0.16899999999999998</v>
      </c>
      <c r="J101" s="24">
        <f t="shared" si="56"/>
        <v>0</v>
      </c>
      <c r="K101" s="242">
        <f t="shared" si="67"/>
        <v>0</v>
      </c>
      <c r="L101" s="242">
        <f t="shared" si="68"/>
        <v>0</v>
      </c>
      <c r="M101" s="24">
        <f t="shared" si="82"/>
        <v>0</v>
      </c>
      <c r="N101" s="24">
        <f t="shared" si="50"/>
        <v>0</v>
      </c>
      <c r="O101" s="24">
        <v>0</v>
      </c>
      <c r="P101" s="24">
        <f t="shared" si="80"/>
        <v>0</v>
      </c>
      <c r="Q101" s="24">
        <f t="shared" si="51"/>
        <v>0</v>
      </c>
      <c r="R101" s="24">
        <f t="shared" si="57"/>
        <v>0</v>
      </c>
      <c r="S101" s="24">
        <f t="shared" si="70"/>
        <v>0</v>
      </c>
      <c r="T101" s="24">
        <f>IF(G101=C43,'КЭШ, Реф (БВ_ОПТИ_Базовый)'!$C$26-'КЭШ, Реф (БВ_ОПТИ_Базовый)'!$C$27,0)</f>
        <v>0</v>
      </c>
      <c r="U101" s="36">
        <f t="shared" si="75"/>
        <v>0</v>
      </c>
      <c r="V101" s="36">
        <f t="shared" si="59"/>
        <v>0</v>
      </c>
      <c r="W101" s="36">
        <f t="shared" si="60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43"/>
        <v>21903</v>
      </c>
      <c r="Z101" s="57">
        <f t="shared" si="41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45"/>
        <v>21903</v>
      </c>
      <c r="AO101" s="57">
        <f t="shared" si="44"/>
        <v>65025</v>
      </c>
      <c r="AP101" s="130">
        <f t="shared" si="61"/>
        <v>0</v>
      </c>
      <c r="AQ101" s="109">
        <f t="shared" si="76"/>
        <v>93</v>
      </c>
      <c r="AR101" s="681">
        <f t="shared" si="62"/>
        <v>48145</v>
      </c>
      <c r="AS101" s="177">
        <f t="shared" si="46"/>
        <v>0.22899999999999998</v>
      </c>
      <c r="AT101" s="105">
        <f t="shared" si="63"/>
        <v>0</v>
      </c>
      <c r="AU101" s="105">
        <f t="shared" si="71"/>
        <v>0</v>
      </c>
      <c r="AV101" s="559">
        <f t="shared" si="64"/>
        <v>0</v>
      </c>
      <c r="AW101" s="105">
        <f t="shared" si="65"/>
        <v>0</v>
      </c>
      <c r="AX101" s="105">
        <f t="shared" si="52"/>
        <v>0</v>
      </c>
      <c r="AY101" s="105">
        <v>0</v>
      </c>
      <c r="AZ101" s="105">
        <f t="shared" si="81"/>
        <v>0</v>
      </c>
      <c r="BA101" s="105">
        <f t="shared" si="79"/>
        <v>0</v>
      </c>
      <c r="BB101" s="105">
        <f t="shared" si="78"/>
        <v>0</v>
      </c>
      <c r="BC101" s="105"/>
      <c r="BD101" s="105"/>
      <c r="BE101" s="105"/>
      <c r="BF101" s="105"/>
      <c r="BG101" s="105"/>
      <c r="BH101" s="105">
        <f t="shared" si="66"/>
        <v>0</v>
      </c>
      <c r="BI101" s="108">
        <f t="shared" si="77"/>
        <v>0</v>
      </c>
      <c r="BJ101" s="108">
        <f t="shared" si="72"/>
        <v>0</v>
      </c>
      <c r="BK101" s="22">
        <f t="shared" si="73"/>
        <v>48145</v>
      </c>
      <c r="BL101" s="108">
        <f t="shared" si="53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74"/>
        <v>94</v>
      </c>
      <c r="H102" s="245">
        <f t="shared" si="54"/>
        <v>48176</v>
      </c>
      <c r="I102" s="246">
        <f t="shared" si="55"/>
        <v>0.16899999999999998</v>
      </c>
      <c r="J102" s="24">
        <f t="shared" si="56"/>
        <v>0</v>
      </c>
      <c r="K102" s="242">
        <f t="shared" si="67"/>
        <v>0</v>
      </c>
      <c r="L102" s="242">
        <f t="shared" si="68"/>
        <v>0</v>
      </c>
      <c r="M102" s="24">
        <f t="shared" si="82"/>
        <v>0</v>
      </c>
      <c r="N102" s="24">
        <f t="shared" si="50"/>
        <v>0</v>
      </c>
      <c r="O102" s="24">
        <v>0</v>
      </c>
      <c r="P102" s="24">
        <f t="shared" si="80"/>
        <v>0</v>
      </c>
      <c r="Q102" s="24">
        <f t="shared" si="51"/>
        <v>0</v>
      </c>
      <c r="R102" s="24">
        <f t="shared" si="57"/>
        <v>0</v>
      </c>
      <c r="S102" s="24">
        <f t="shared" si="70"/>
        <v>0</v>
      </c>
      <c r="T102" s="24">
        <f>IF(G102=C44,'КЭШ, Реф (БВ_ОПТИ_Базовый)'!$C$26-'КЭШ, Реф (БВ_ОПТИ_Базовый)'!$C$27,0)</f>
        <v>0</v>
      </c>
      <c r="U102" s="36">
        <f t="shared" si="75"/>
        <v>0</v>
      </c>
      <c r="V102" s="36">
        <f t="shared" si="59"/>
        <v>0</v>
      </c>
      <c r="W102" s="36">
        <f t="shared" si="60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43"/>
        <v>21903</v>
      </c>
      <c r="Z102" s="57">
        <f t="shared" si="41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45"/>
        <v>21903</v>
      </c>
      <c r="AO102" s="57">
        <f t="shared" si="44"/>
        <v>65390</v>
      </c>
      <c r="AP102" s="130">
        <f t="shared" si="61"/>
        <v>0</v>
      </c>
      <c r="AQ102" s="109">
        <f t="shared" si="76"/>
        <v>94</v>
      </c>
      <c r="AR102" s="681">
        <f t="shared" si="62"/>
        <v>48176</v>
      </c>
      <c r="AS102" s="177">
        <f t="shared" si="46"/>
        <v>0.22899999999999998</v>
      </c>
      <c r="AT102" s="105">
        <f t="shared" si="63"/>
        <v>0</v>
      </c>
      <c r="AU102" s="105">
        <f t="shared" si="71"/>
        <v>0</v>
      </c>
      <c r="AV102" s="559">
        <f t="shared" si="64"/>
        <v>0</v>
      </c>
      <c r="AW102" s="105">
        <f t="shared" si="65"/>
        <v>0</v>
      </c>
      <c r="AX102" s="105">
        <f t="shared" si="52"/>
        <v>0</v>
      </c>
      <c r="AY102" s="105">
        <v>0</v>
      </c>
      <c r="AZ102" s="105">
        <f t="shared" si="81"/>
        <v>0</v>
      </c>
      <c r="BA102" s="105">
        <f t="shared" si="79"/>
        <v>0</v>
      </c>
      <c r="BB102" s="105">
        <f t="shared" si="78"/>
        <v>0</v>
      </c>
      <c r="BC102" s="105"/>
      <c r="BD102" s="105"/>
      <c r="BE102" s="105"/>
      <c r="BF102" s="105"/>
      <c r="BG102" s="105"/>
      <c r="BH102" s="105">
        <f t="shared" si="66"/>
        <v>0</v>
      </c>
      <c r="BI102" s="108">
        <f t="shared" si="77"/>
        <v>0</v>
      </c>
      <c r="BJ102" s="108">
        <f t="shared" si="72"/>
        <v>0</v>
      </c>
      <c r="BK102" s="22">
        <f t="shared" si="73"/>
        <v>48176</v>
      </c>
      <c r="BL102" s="108">
        <f t="shared" si="53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74"/>
        <v>95</v>
      </c>
      <c r="H103" s="245">
        <f t="shared" si="54"/>
        <v>48206</v>
      </c>
      <c r="I103" s="246">
        <f t="shared" si="55"/>
        <v>0.16899999999999998</v>
      </c>
      <c r="J103" s="24">
        <f t="shared" si="56"/>
        <v>0</v>
      </c>
      <c r="K103" s="242">
        <f t="shared" si="67"/>
        <v>0</v>
      </c>
      <c r="L103" s="242">
        <f t="shared" si="68"/>
        <v>0</v>
      </c>
      <c r="M103" s="24">
        <f t="shared" si="82"/>
        <v>0</v>
      </c>
      <c r="N103" s="24">
        <f t="shared" si="50"/>
        <v>0</v>
      </c>
      <c r="O103" s="24">
        <v>0</v>
      </c>
      <c r="P103" s="24">
        <f t="shared" si="80"/>
        <v>0</v>
      </c>
      <c r="Q103" s="24">
        <f t="shared" si="51"/>
        <v>0</v>
      </c>
      <c r="R103" s="24">
        <f t="shared" si="57"/>
        <v>0</v>
      </c>
      <c r="S103" s="24">
        <f t="shared" si="70"/>
        <v>0</v>
      </c>
      <c r="T103" s="24">
        <f>IF(G103=C45,'КЭШ, Реф (БВ_ОПТИ_Базовый)'!$C$26-'КЭШ, Реф (БВ_ОПТИ_Базовый)'!$C$27,0)</f>
        <v>0</v>
      </c>
      <c r="U103" s="36">
        <f t="shared" si="75"/>
        <v>0</v>
      </c>
      <c r="V103" s="36">
        <f t="shared" si="59"/>
        <v>0</v>
      </c>
      <c r="W103" s="36">
        <f t="shared" si="60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43"/>
        <v>21903</v>
      </c>
      <c r="Z103" s="57">
        <f t="shared" si="41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45"/>
        <v>21903</v>
      </c>
      <c r="AO103" s="57">
        <f t="shared" si="44"/>
        <v>65755</v>
      </c>
      <c r="AP103" s="130">
        <f t="shared" si="61"/>
        <v>0</v>
      </c>
      <c r="AQ103" s="109">
        <f t="shared" si="76"/>
        <v>95</v>
      </c>
      <c r="AR103" s="681">
        <f t="shared" si="62"/>
        <v>48206</v>
      </c>
      <c r="AS103" s="177">
        <f t="shared" si="46"/>
        <v>0.22899999999999998</v>
      </c>
      <c r="AT103" s="105">
        <f t="shared" si="63"/>
        <v>0</v>
      </c>
      <c r="AU103" s="105">
        <f t="shared" si="71"/>
        <v>0</v>
      </c>
      <c r="AV103" s="559">
        <f t="shared" si="64"/>
        <v>0</v>
      </c>
      <c r="AW103" s="105">
        <f t="shared" si="65"/>
        <v>0</v>
      </c>
      <c r="AX103" s="105">
        <f t="shared" si="52"/>
        <v>0</v>
      </c>
      <c r="AY103" s="105">
        <v>0</v>
      </c>
      <c r="AZ103" s="105">
        <f t="shared" si="81"/>
        <v>0</v>
      </c>
      <c r="BA103" s="105">
        <f t="shared" si="79"/>
        <v>0</v>
      </c>
      <c r="BB103" s="105">
        <f t="shared" si="78"/>
        <v>0</v>
      </c>
      <c r="BC103" s="105"/>
      <c r="BD103" s="105"/>
      <c r="BE103" s="105"/>
      <c r="BF103" s="105"/>
      <c r="BG103" s="105"/>
      <c r="BH103" s="105">
        <f t="shared" si="66"/>
        <v>0</v>
      </c>
      <c r="BI103" s="108">
        <f t="shared" si="77"/>
        <v>0</v>
      </c>
      <c r="BJ103" s="108">
        <f t="shared" si="72"/>
        <v>0</v>
      </c>
      <c r="BK103" s="22">
        <f t="shared" si="73"/>
        <v>48206</v>
      </c>
      <c r="BL103" s="108">
        <f t="shared" si="53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74"/>
        <v>96</v>
      </c>
      <c r="H104" s="245">
        <f t="shared" si="54"/>
        <v>48237</v>
      </c>
      <c r="I104" s="246">
        <f t="shared" si="55"/>
        <v>0.16899999999999998</v>
      </c>
      <c r="J104" s="24">
        <f t="shared" si="56"/>
        <v>0</v>
      </c>
      <c r="K104" s="242">
        <f t="shared" si="67"/>
        <v>0</v>
      </c>
      <c r="L104" s="242">
        <f t="shared" si="68"/>
        <v>0</v>
      </c>
      <c r="M104" s="24">
        <f t="shared" si="82"/>
        <v>0</v>
      </c>
      <c r="N104" s="24">
        <f t="shared" si="50"/>
        <v>0</v>
      </c>
      <c r="O104" s="24">
        <v>0</v>
      </c>
      <c r="P104" s="24">
        <f t="shared" si="80"/>
        <v>0</v>
      </c>
      <c r="Q104" s="24">
        <f t="shared" si="51"/>
        <v>0</v>
      </c>
      <c r="R104" s="24">
        <f t="shared" si="57"/>
        <v>0</v>
      </c>
      <c r="S104" s="24">
        <f t="shared" si="70"/>
        <v>0</v>
      </c>
      <c r="T104" s="24">
        <f>IF(G104=C46,'КЭШ, Реф (БВ_ОПТИ_Базовый)'!$C$26-'КЭШ, Реф (БВ_ОПТИ_Базовый)'!$C$27,0)</f>
        <v>0</v>
      </c>
      <c r="U104" s="36">
        <f t="shared" si="75"/>
        <v>0</v>
      </c>
      <c r="V104" s="36">
        <f t="shared" si="59"/>
        <v>0</v>
      </c>
      <c r="W104" s="36">
        <f t="shared" si="60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43"/>
        <v>21903</v>
      </c>
      <c r="Z104" s="57">
        <f t="shared" si="41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45"/>
        <v>21903</v>
      </c>
      <c r="AO104" s="57">
        <f t="shared" si="44"/>
        <v>66120</v>
      </c>
      <c r="AP104" s="130">
        <f t="shared" si="61"/>
        <v>0</v>
      </c>
      <c r="AQ104" s="109">
        <f t="shared" si="76"/>
        <v>96</v>
      </c>
      <c r="AR104" s="681">
        <f t="shared" si="62"/>
        <v>48237</v>
      </c>
      <c r="AS104" s="177">
        <f t="shared" si="46"/>
        <v>0.22899999999999998</v>
      </c>
      <c r="AT104" s="105">
        <f t="shared" si="63"/>
        <v>0</v>
      </c>
      <c r="AU104" s="105">
        <f t="shared" si="71"/>
        <v>0</v>
      </c>
      <c r="AV104" s="559">
        <f t="shared" si="64"/>
        <v>0</v>
      </c>
      <c r="AW104" s="105">
        <f t="shared" si="65"/>
        <v>0</v>
      </c>
      <c r="AX104" s="105">
        <f t="shared" si="52"/>
        <v>0</v>
      </c>
      <c r="AY104" s="105">
        <v>0</v>
      </c>
      <c r="AZ104" s="105">
        <f t="shared" si="81"/>
        <v>0</v>
      </c>
      <c r="BA104" s="105">
        <f t="shared" si="79"/>
        <v>0</v>
      </c>
      <c r="BB104" s="105">
        <f t="shared" si="78"/>
        <v>0</v>
      </c>
      <c r="BC104" s="105"/>
      <c r="BD104" s="105"/>
      <c r="BE104" s="105"/>
      <c r="BF104" s="105"/>
      <c r="BG104" s="105"/>
      <c r="BH104" s="105">
        <f t="shared" si="66"/>
        <v>0</v>
      </c>
      <c r="BI104" s="108">
        <f t="shared" si="77"/>
        <v>0</v>
      </c>
      <c r="BJ104" s="108">
        <f t="shared" si="72"/>
        <v>0</v>
      </c>
      <c r="BK104" s="22">
        <f t="shared" si="73"/>
        <v>48237</v>
      </c>
      <c r="BL104" s="108">
        <f t="shared" si="53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74"/>
        <v>97</v>
      </c>
      <c r="H105" s="245">
        <f t="shared" si="54"/>
        <v>48268</v>
      </c>
      <c r="I105" s="246">
        <f t="shared" si="55"/>
        <v>0.16899999999999998</v>
      </c>
      <c r="J105" s="24">
        <f t="shared" si="56"/>
        <v>0</v>
      </c>
      <c r="K105" s="242">
        <f t="shared" si="67"/>
        <v>0</v>
      </c>
      <c r="L105" s="242">
        <f t="shared" si="68"/>
        <v>0</v>
      </c>
      <c r="M105" s="24">
        <f t="shared" si="82"/>
        <v>0</v>
      </c>
      <c r="N105" s="24">
        <f t="shared" si="50"/>
        <v>0</v>
      </c>
      <c r="O105" s="24">
        <v>0</v>
      </c>
      <c r="P105" s="24">
        <f t="shared" si="80"/>
        <v>0</v>
      </c>
      <c r="Q105" s="24">
        <f t="shared" si="51"/>
        <v>0</v>
      </c>
      <c r="R105" s="24">
        <f t="shared" si="57"/>
        <v>0</v>
      </c>
      <c r="S105" s="24">
        <f t="shared" si="70"/>
        <v>0</v>
      </c>
      <c r="T105" s="24">
        <f>IF(G105=C47,'КЭШ, Реф (БВ_ОПТИ_Базовый)'!$C$26-'КЭШ, Реф (БВ_ОПТИ_Базовый)'!$C$27,0)</f>
        <v>0</v>
      </c>
      <c r="U105" s="36">
        <f t="shared" si="75"/>
        <v>0</v>
      </c>
      <c r="V105" s="36">
        <f t="shared" si="59"/>
        <v>0</v>
      </c>
      <c r="W105" s="36">
        <f t="shared" si="60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43"/>
        <v>21903</v>
      </c>
      <c r="Z105" s="57">
        <f t="shared" si="41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45"/>
        <v>21903</v>
      </c>
      <c r="AO105" s="57">
        <f t="shared" si="44"/>
        <v>66485</v>
      </c>
      <c r="AP105" s="130">
        <f t="shared" si="61"/>
        <v>0</v>
      </c>
      <c r="AQ105" s="109">
        <f t="shared" si="76"/>
        <v>97</v>
      </c>
      <c r="AR105" s="681">
        <f t="shared" si="62"/>
        <v>48268</v>
      </c>
      <c r="AS105" s="177">
        <f t="shared" si="46"/>
        <v>0.22899999999999998</v>
      </c>
      <c r="AT105" s="105">
        <f t="shared" si="63"/>
        <v>0</v>
      </c>
      <c r="AU105" s="105">
        <f t="shared" si="71"/>
        <v>0</v>
      </c>
      <c r="AV105" s="559">
        <f t="shared" si="64"/>
        <v>0</v>
      </c>
      <c r="AW105" s="105">
        <f t="shared" si="65"/>
        <v>0</v>
      </c>
      <c r="AX105" s="105">
        <f t="shared" si="52"/>
        <v>0</v>
      </c>
      <c r="AY105" s="105">
        <v>0</v>
      </c>
      <c r="AZ105" s="105">
        <f t="shared" si="81"/>
        <v>0</v>
      </c>
      <c r="BA105" s="105">
        <f t="shared" si="79"/>
        <v>0</v>
      </c>
      <c r="BB105" s="105">
        <f t="shared" si="78"/>
        <v>0</v>
      </c>
      <c r="BC105" s="105"/>
      <c r="BD105" s="105"/>
      <c r="BE105" s="105"/>
      <c r="BF105" s="105"/>
      <c r="BG105" s="105"/>
      <c r="BH105" s="105">
        <f t="shared" si="66"/>
        <v>0</v>
      </c>
      <c r="BI105" s="108">
        <f t="shared" si="77"/>
        <v>0</v>
      </c>
      <c r="BJ105" s="108">
        <f t="shared" si="72"/>
        <v>0</v>
      </c>
      <c r="BK105" s="22">
        <f t="shared" si="73"/>
        <v>48268</v>
      </c>
      <c r="BL105" s="108">
        <f t="shared" si="53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74"/>
        <v>98</v>
      </c>
      <c r="H106" s="245">
        <f t="shared" si="54"/>
        <v>48297</v>
      </c>
      <c r="I106" s="246">
        <f t="shared" si="55"/>
        <v>0.16899999999999998</v>
      </c>
      <c r="J106" s="24">
        <f t="shared" si="56"/>
        <v>0</v>
      </c>
      <c r="K106" s="242">
        <f t="shared" si="67"/>
        <v>0</v>
      </c>
      <c r="L106" s="242">
        <f t="shared" si="68"/>
        <v>0</v>
      </c>
      <c r="M106" s="24">
        <f t="shared" si="82"/>
        <v>0</v>
      </c>
      <c r="N106" s="24">
        <f t="shared" si="50"/>
        <v>0</v>
      </c>
      <c r="O106" s="24">
        <v>0</v>
      </c>
      <c r="P106" s="24">
        <f t="shared" si="80"/>
        <v>0</v>
      </c>
      <c r="Q106" s="24">
        <f t="shared" si="51"/>
        <v>0</v>
      </c>
      <c r="R106" s="24">
        <f t="shared" si="57"/>
        <v>0</v>
      </c>
      <c r="S106" s="24">
        <f t="shared" si="70"/>
        <v>0</v>
      </c>
      <c r="T106" s="24">
        <f>IF(G106=C48,'КЭШ, Реф (БВ_ОПТИ_Базовый)'!$C$26-'КЭШ, Реф (БВ_ОПТИ_Базовый)'!$C$27,0)</f>
        <v>0</v>
      </c>
      <c r="U106" s="36">
        <f t="shared" si="75"/>
        <v>0</v>
      </c>
      <c r="V106" s="36">
        <f t="shared" si="59"/>
        <v>0</v>
      </c>
      <c r="W106" s="36">
        <f t="shared" si="60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43"/>
        <v>21903</v>
      </c>
      <c r="Z106" s="57">
        <f t="shared" si="41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45"/>
        <v>21903</v>
      </c>
      <c r="AO106" s="57">
        <f t="shared" si="44"/>
        <v>66850</v>
      </c>
      <c r="AP106" s="130">
        <f t="shared" si="61"/>
        <v>0</v>
      </c>
      <c r="AQ106" s="109">
        <f t="shared" si="76"/>
        <v>98</v>
      </c>
      <c r="AR106" s="681">
        <f t="shared" si="62"/>
        <v>48297</v>
      </c>
      <c r="AS106" s="177">
        <f t="shared" si="46"/>
        <v>0.22899999999999998</v>
      </c>
      <c r="AT106" s="105">
        <f t="shared" si="63"/>
        <v>0</v>
      </c>
      <c r="AU106" s="105">
        <f t="shared" si="71"/>
        <v>0</v>
      </c>
      <c r="AV106" s="559">
        <f t="shared" si="64"/>
        <v>0</v>
      </c>
      <c r="AW106" s="105">
        <f t="shared" si="65"/>
        <v>0</v>
      </c>
      <c r="AX106" s="105">
        <f t="shared" si="52"/>
        <v>0</v>
      </c>
      <c r="AY106" s="105">
        <v>0</v>
      </c>
      <c r="AZ106" s="105">
        <f t="shared" si="81"/>
        <v>0</v>
      </c>
      <c r="BA106" s="105">
        <f t="shared" si="79"/>
        <v>0</v>
      </c>
      <c r="BB106" s="105">
        <f t="shared" si="78"/>
        <v>0</v>
      </c>
      <c r="BC106" s="105"/>
      <c r="BD106" s="105"/>
      <c r="BE106" s="105"/>
      <c r="BF106" s="105"/>
      <c r="BG106" s="105"/>
      <c r="BH106" s="105">
        <f t="shared" si="66"/>
        <v>0</v>
      </c>
      <c r="BI106" s="108">
        <f t="shared" si="77"/>
        <v>0</v>
      </c>
      <c r="BJ106" s="108">
        <f t="shared" si="72"/>
        <v>0</v>
      </c>
      <c r="BK106" s="22">
        <f t="shared" si="73"/>
        <v>48297</v>
      </c>
      <c r="BL106" s="108">
        <f t="shared" si="53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74"/>
        <v>99</v>
      </c>
      <c r="H107" s="245">
        <f t="shared" si="54"/>
        <v>48328</v>
      </c>
      <c r="I107" s="246">
        <f t="shared" si="55"/>
        <v>0.16899999999999998</v>
      </c>
      <c r="J107" s="24">
        <f t="shared" si="56"/>
        <v>0</v>
      </c>
      <c r="K107" s="242">
        <f t="shared" si="67"/>
        <v>0</v>
      </c>
      <c r="L107" s="242">
        <f t="shared" si="68"/>
        <v>0</v>
      </c>
      <c r="M107" s="24">
        <f t="shared" si="82"/>
        <v>0</v>
      </c>
      <c r="N107" s="24">
        <f t="shared" si="50"/>
        <v>0</v>
      </c>
      <c r="O107" s="24">
        <v>0</v>
      </c>
      <c r="P107" s="24">
        <f t="shared" si="80"/>
        <v>0</v>
      </c>
      <c r="Q107" s="24">
        <f t="shared" si="51"/>
        <v>0</v>
      </c>
      <c r="R107" s="24">
        <f t="shared" si="57"/>
        <v>0</v>
      </c>
      <c r="S107" s="24">
        <f t="shared" si="70"/>
        <v>0</v>
      </c>
      <c r="T107" s="24">
        <f>IF(G107=C49,'КЭШ, Реф (БВ_ОПТИ_Базовый)'!$C$26-'КЭШ, Реф (БВ_ОПТИ_Базовый)'!$C$27,0)</f>
        <v>0</v>
      </c>
      <c r="U107" s="36">
        <f t="shared" si="75"/>
        <v>0</v>
      </c>
      <c r="V107" s="36">
        <f t="shared" si="59"/>
        <v>0</v>
      </c>
      <c r="W107" s="36">
        <f t="shared" si="60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43"/>
        <v>21903</v>
      </c>
      <c r="Z107" s="57">
        <f t="shared" si="41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45"/>
        <v>21903</v>
      </c>
      <c r="AO107" s="57">
        <f t="shared" si="44"/>
        <v>67215</v>
      </c>
      <c r="AP107" s="130">
        <f t="shared" si="61"/>
        <v>0</v>
      </c>
      <c r="AQ107" s="109">
        <f t="shared" si="76"/>
        <v>99</v>
      </c>
      <c r="AR107" s="681">
        <f t="shared" si="62"/>
        <v>48328</v>
      </c>
      <c r="AS107" s="177">
        <f t="shared" si="46"/>
        <v>0.22899999999999998</v>
      </c>
      <c r="AT107" s="105">
        <f t="shared" si="63"/>
        <v>0</v>
      </c>
      <c r="AU107" s="105">
        <f t="shared" si="71"/>
        <v>0</v>
      </c>
      <c r="AV107" s="559">
        <f t="shared" si="64"/>
        <v>0</v>
      </c>
      <c r="AW107" s="105">
        <f t="shared" si="65"/>
        <v>0</v>
      </c>
      <c r="AX107" s="105">
        <f t="shared" si="52"/>
        <v>0</v>
      </c>
      <c r="AY107" s="105">
        <v>0</v>
      </c>
      <c r="AZ107" s="105">
        <f t="shared" si="81"/>
        <v>0</v>
      </c>
      <c r="BA107" s="105">
        <f t="shared" si="79"/>
        <v>0</v>
      </c>
      <c r="BB107" s="105">
        <f t="shared" si="78"/>
        <v>0</v>
      </c>
      <c r="BC107" s="105"/>
      <c r="BD107" s="105"/>
      <c r="BE107" s="105"/>
      <c r="BF107" s="105"/>
      <c r="BG107" s="105"/>
      <c r="BH107" s="105">
        <f t="shared" si="66"/>
        <v>0</v>
      </c>
      <c r="BI107" s="108">
        <f t="shared" si="77"/>
        <v>0</v>
      </c>
      <c r="BJ107" s="108">
        <f t="shared" si="72"/>
        <v>0</v>
      </c>
      <c r="BK107" s="22">
        <f t="shared" si="73"/>
        <v>48328</v>
      </c>
      <c r="BL107" s="108">
        <f t="shared" si="53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74"/>
        <v>100</v>
      </c>
      <c r="H108" s="245">
        <f t="shared" si="54"/>
        <v>48358</v>
      </c>
      <c r="I108" s="246">
        <f t="shared" si="55"/>
        <v>0.16899999999999998</v>
      </c>
      <c r="J108" s="24">
        <f t="shared" si="56"/>
        <v>0</v>
      </c>
      <c r="K108" s="242">
        <f t="shared" si="67"/>
        <v>0</v>
      </c>
      <c r="L108" s="242">
        <f t="shared" si="68"/>
        <v>0</v>
      </c>
      <c r="M108" s="24">
        <f t="shared" si="82"/>
        <v>0</v>
      </c>
      <c r="N108" s="24">
        <f t="shared" si="50"/>
        <v>0</v>
      </c>
      <c r="O108" s="24">
        <v>0</v>
      </c>
      <c r="P108" s="24">
        <f t="shared" si="80"/>
        <v>0</v>
      </c>
      <c r="Q108" s="24">
        <f t="shared" si="51"/>
        <v>0</v>
      </c>
      <c r="R108" s="24">
        <f t="shared" si="57"/>
        <v>0</v>
      </c>
      <c r="S108" s="24">
        <f t="shared" si="70"/>
        <v>0</v>
      </c>
      <c r="T108" s="24">
        <f>IF(G108=C50,'КЭШ, Реф (БВ_ОПТИ_Базовый)'!$C$26-'КЭШ, Реф (БВ_ОПТИ_Базовый)'!$C$27,0)</f>
        <v>0</v>
      </c>
      <c r="U108" s="36">
        <f t="shared" si="75"/>
        <v>0</v>
      </c>
      <c r="V108" s="36">
        <f>IF(ISERR(CEILING(FLOOR(NPER($C$11/12,-$AE$55,S107),0.1),1))=TRUE,0,CEILING(FLOOR(NPER($C$11/12,-$AE$55,S107),0.1),1))</f>
        <v>0</v>
      </c>
      <c r="W108" s="36">
        <f t="shared" si="60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43"/>
        <v>21903</v>
      </c>
      <c r="Z108" s="57">
        <f t="shared" si="41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45"/>
        <v>21903</v>
      </c>
      <c r="AO108" s="57">
        <f t="shared" si="44"/>
        <v>67580</v>
      </c>
      <c r="AP108" s="130">
        <f t="shared" si="61"/>
        <v>0</v>
      </c>
      <c r="AQ108" s="109">
        <f t="shared" si="76"/>
        <v>100</v>
      </c>
      <c r="AR108" s="681">
        <f t="shared" si="62"/>
        <v>48358</v>
      </c>
      <c r="AS108" s="177">
        <f t="shared" si="46"/>
        <v>0.22899999999999998</v>
      </c>
      <c r="AT108" s="105">
        <f t="shared" si="63"/>
        <v>0</v>
      </c>
      <c r="AU108" s="105">
        <f t="shared" si="71"/>
        <v>0</v>
      </c>
      <c r="AV108" s="559">
        <f t="shared" si="64"/>
        <v>0</v>
      </c>
      <c r="AW108" s="105">
        <f t="shared" si="65"/>
        <v>0</v>
      </c>
      <c r="AX108" s="105">
        <f t="shared" si="52"/>
        <v>0</v>
      </c>
      <c r="AY108" s="105">
        <v>0</v>
      </c>
      <c r="AZ108" s="105">
        <f t="shared" si="81"/>
        <v>0</v>
      </c>
      <c r="BA108" s="105">
        <f t="shared" si="79"/>
        <v>0</v>
      </c>
      <c r="BB108" s="105">
        <f t="shared" si="78"/>
        <v>0</v>
      </c>
      <c r="BC108" s="105"/>
      <c r="BD108" s="105"/>
      <c r="BE108" s="105"/>
      <c r="BF108" s="105"/>
      <c r="BG108" s="105"/>
      <c r="BH108" s="105">
        <f t="shared" si="66"/>
        <v>0</v>
      </c>
      <c r="BI108" s="108">
        <f t="shared" si="77"/>
        <v>0</v>
      </c>
      <c r="BJ108" s="108">
        <f t="shared" si="72"/>
        <v>0</v>
      </c>
      <c r="BK108" s="22">
        <f t="shared" si="73"/>
        <v>48358</v>
      </c>
      <c r="BL108" s="108">
        <f t="shared" si="53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1839852</v>
      </c>
      <c r="K109" s="30">
        <f>(SUM(K9:K108)-IF(CODE(C12)=209,AJ51,0))</f>
        <v>1839852</v>
      </c>
      <c r="L109" s="30">
        <f>(SUM(L9:L108)-IF(CODE(D12)=209,AK51,0))</f>
        <v>785021.43823784858</v>
      </c>
      <c r="M109" s="30">
        <f t="shared" ref="M109:R109" si="83">SUM(M9:M108)</f>
        <v>1054830.5617621511</v>
      </c>
      <c r="N109" s="31">
        <f t="shared" si="83"/>
        <v>0</v>
      </c>
      <c r="O109" s="31">
        <f t="shared" si="83"/>
        <v>0</v>
      </c>
      <c r="P109" s="31">
        <f t="shared" si="83"/>
        <v>785021.43823784858</v>
      </c>
      <c r="Q109" s="31">
        <f t="shared" si="83"/>
        <v>0</v>
      </c>
      <c r="R109" s="31">
        <f t="shared" si="83"/>
        <v>0</v>
      </c>
      <c r="S109" s="31"/>
      <c r="T109" s="31"/>
      <c r="U109" s="31"/>
      <c r="V109" s="31"/>
      <c r="W109" s="31">
        <f>SUM(W9:W108)</f>
        <v>28608.438237848772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43"/>
        <v>21903</v>
      </c>
      <c r="Z109" s="57">
        <f t="shared" ref="Z109:Z143" si="84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4999</v>
      </c>
      <c r="AG109" s="16">
        <f>IF($C$7&lt;=$AF$89,AF89,IF($C$7&lt;=$AE$90,AG90,IF($C$7&lt;=$AE$91,AG91,AG92)))</f>
        <v>6499</v>
      </c>
      <c r="AH109" s="16">
        <f>IF($C$7&lt;=$AF$89,AG89,IF($C$7&lt;=$AE$90,AH90,IF($C$7&lt;=$AE$91,AH91,AH92)))</f>
        <v>8499</v>
      </c>
      <c r="AI109" s="16">
        <f>IF($C$7&lt;=$AF$89,AH89,IF($C$7&lt;=$AE$90,AI90,IF($C$7&lt;=$AE$91,AI91,AI92)))</f>
        <v>9499</v>
      </c>
      <c r="AJ109" s="16">
        <f>IF($C$7&lt;=$AF$89,AI89,IF($C$7&lt;=$AE$90,AJ90,IF($C$7&lt;=$AE$91,AJ91,AJ92)))</f>
        <v>10999</v>
      </c>
      <c r="AK109" s="16">
        <f>IF($C$10&lt;=AF88,AF109,IF($C$10&lt;=AG88,AG109,IF($C$10&lt;=AH88,AH109,IF($C$10&lt;=AI88,AI109,AJ109))))</f>
        <v>10999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45"/>
        <v>21903</v>
      </c>
      <c r="AO109" s="57">
        <f t="shared" si="44"/>
        <v>67945</v>
      </c>
      <c r="AP109" s="130"/>
      <c r="AQ109" s="28"/>
      <c r="AR109" s="29" t="s">
        <v>7</v>
      </c>
      <c r="AS109" s="29"/>
      <c r="AT109" s="30">
        <f>SUM(AT9:AT108)</f>
        <v>1839852</v>
      </c>
      <c r="AU109" s="30">
        <f>SUM(AU9:AU108)</f>
        <v>1839852</v>
      </c>
      <c r="AV109" s="30">
        <f>SUM(AV9:AV108)</f>
        <v>919153.44651612325</v>
      </c>
      <c r="AW109" s="30">
        <f>SUM(AW9:AW108)</f>
        <v>910999.00000000035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77"/>
        <v>0</v>
      </c>
      <c r="BJ109" s="108">
        <f t="shared" si="72"/>
        <v>0</v>
      </c>
      <c r="BK109" s="22" t="str">
        <f t="shared" si="73"/>
        <v>Итого</v>
      </c>
      <c r="BL109" s="108">
        <f t="shared" si="53"/>
        <v>1839852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85">IF(K75 &gt; 0, K75, 0)</f>
        <v>21903</v>
      </c>
      <c r="Z110" s="57">
        <f t="shared" si="84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45"/>
        <v>21903</v>
      </c>
      <c r="AO110" s="57">
        <f t="shared" si="44"/>
        <v>68310</v>
      </c>
      <c r="AP110" s="130"/>
      <c r="BI110" s="108">
        <f t="shared" si="77"/>
        <v>0</v>
      </c>
      <c r="BJ110" s="108">
        <f t="shared" si="72"/>
        <v>0</v>
      </c>
      <c r="BK110" s="22">
        <f t="shared" si="73"/>
        <v>0</v>
      </c>
      <c r="BL110" s="108">
        <f t="shared" si="53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85"/>
        <v>21903</v>
      </c>
      <c r="Z111" s="57">
        <f t="shared" si="84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45"/>
        <v>21903</v>
      </c>
      <c r="AO111" s="57">
        <f t="shared" si="44"/>
        <v>68675</v>
      </c>
      <c r="AP111" s="130"/>
      <c r="BI111" s="108">
        <f t="shared" si="77"/>
        <v>0</v>
      </c>
      <c r="BJ111" s="108">
        <f t="shared" si="72"/>
        <v>0</v>
      </c>
      <c r="BK111" s="22">
        <f t="shared" si="73"/>
        <v>0</v>
      </c>
      <c r="BL111" s="108">
        <f t="shared" si="53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85"/>
        <v>21903</v>
      </c>
      <c r="Z112" s="57">
        <f t="shared" si="84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45"/>
        <v>21903</v>
      </c>
      <c r="AO112" s="57">
        <f t="shared" si="44"/>
        <v>69040</v>
      </c>
      <c r="AP112" s="130"/>
      <c r="BI112" s="108">
        <f t="shared" si="77"/>
        <v>0</v>
      </c>
      <c r="BJ112" s="108">
        <f t="shared" si="72"/>
        <v>0</v>
      </c>
      <c r="BK112" s="22">
        <f t="shared" si="73"/>
        <v>0</v>
      </c>
      <c r="BL112" s="108">
        <f t="shared" si="53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85"/>
        <v>21903</v>
      </c>
      <c r="Z113" s="57">
        <f t="shared" si="84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45"/>
        <v>21903</v>
      </c>
      <c r="AO113" s="57">
        <f t="shared" ref="AO113:AO147" si="86">AO112+365</f>
        <v>69405</v>
      </c>
      <c r="AP113" s="130"/>
      <c r="BI113" s="108">
        <f t="shared" si="77"/>
        <v>0</v>
      </c>
      <c r="BJ113" s="108">
        <f t="shared" si="72"/>
        <v>0</v>
      </c>
      <c r="BK113" s="22">
        <f t="shared" si="73"/>
        <v>0</v>
      </c>
      <c r="BL113" s="108">
        <f t="shared" si="53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85"/>
        <v>21903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87">AU75</f>
        <v>21903</v>
      </c>
      <c r="AO114" s="57">
        <f t="shared" si="86"/>
        <v>69770</v>
      </c>
      <c r="AP114" s="130"/>
      <c r="BI114" s="108">
        <f t="shared" si="77"/>
        <v>0</v>
      </c>
      <c r="BJ114" s="108">
        <f t="shared" si="72"/>
        <v>0</v>
      </c>
      <c r="BK114" s="22">
        <f t="shared" si="73"/>
        <v>0</v>
      </c>
      <c r="BL114" s="108">
        <f t="shared" si="53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85"/>
        <v>21903</v>
      </c>
      <c r="Z115" s="57">
        <f t="shared" si="84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87"/>
        <v>21903</v>
      </c>
      <c r="AO115" s="57">
        <f t="shared" si="86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85"/>
        <v>21903</v>
      </c>
      <c r="Z116" s="57">
        <f t="shared" si="84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87"/>
        <v>21903</v>
      </c>
      <c r="AO116" s="57">
        <f t="shared" si="86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85"/>
        <v>21903</v>
      </c>
      <c r="Z117" s="57">
        <f t="shared" si="84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87"/>
        <v>21903</v>
      </c>
      <c r="AO117" s="57">
        <f t="shared" si="86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85"/>
        <v>21903</v>
      </c>
      <c r="Z118" s="57">
        <f t="shared" si="84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87"/>
        <v>21903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85"/>
        <v>21903</v>
      </c>
      <c r="Z119" s="57">
        <f t="shared" si="84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87"/>
        <v>21903</v>
      </c>
      <c r="AO119" s="57">
        <f t="shared" si="86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85"/>
        <v>21903</v>
      </c>
      <c r="Z120" s="57">
        <f t="shared" si="84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87"/>
        <v>21903</v>
      </c>
      <c r="AO120" s="57">
        <f t="shared" si="86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85"/>
        <v>21903</v>
      </c>
      <c r="Z121" s="57">
        <f t="shared" si="84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87"/>
        <v>21903</v>
      </c>
      <c r="AO121" s="57">
        <f t="shared" si="86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85"/>
        <v>21903</v>
      </c>
      <c r="Z122" s="57">
        <f t="shared" si="84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87"/>
        <v>21903</v>
      </c>
      <c r="AO122" s="57">
        <f t="shared" si="86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85"/>
        <v>21903</v>
      </c>
      <c r="Z123" s="57">
        <f t="shared" si="84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87"/>
        <v>21903</v>
      </c>
      <c r="AO123" s="57">
        <f t="shared" si="86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85"/>
        <v>21903</v>
      </c>
      <c r="Z124" s="57">
        <f t="shared" si="84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87"/>
        <v>21903</v>
      </c>
      <c r="AO124" s="57">
        <f t="shared" si="86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85"/>
        <v>21903</v>
      </c>
      <c r="Z125" s="57">
        <f t="shared" si="84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87"/>
        <v>21903</v>
      </c>
      <c r="AO125" s="57">
        <f t="shared" si="86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85"/>
        <v>21903</v>
      </c>
      <c r="Z126" s="57">
        <f t="shared" si="84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87"/>
        <v>21903</v>
      </c>
      <c r="AO126" s="57">
        <f t="shared" si="86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85"/>
        <v>21903</v>
      </c>
      <c r="Z127" s="57">
        <f t="shared" si="84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87"/>
        <v>21903</v>
      </c>
      <c r="AO127" s="57">
        <f t="shared" si="86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85"/>
        <v>0</v>
      </c>
      <c r="Z128" s="57">
        <f t="shared" si="84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87"/>
        <v>21903</v>
      </c>
      <c r="AO128" s="57">
        <f t="shared" si="86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85"/>
        <v>0</v>
      </c>
      <c r="Z129" s="57">
        <f t="shared" si="84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87"/>
        <v>21903</v>
      </c>
      <c r="AO129" s="57">
        <f t="shared" si="86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85"/>
        <v>0</v>
      </c>
      <c r="Z130" s="57">
        <f t="shared" si="84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87"/>
        <v>21903</v>
      </c>
      <c r="AO130" s="57">
        <f t="shared" si="86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85"/>
        <v>0</v>
      </c>
      <c r="Z131" s="57">
        <f t="shared" si="84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87"/>
        <v>21903</v>
      </c>
      <c r="AO131" s="57">
        <f t="shared" si="86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85"/>
        <v>0</v>
      </c>
      <c r="Z132" s="57">
        <f t="shared" si="84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87"/>
        <v>0</v>
      </c>
      <c r="AO132" s="57">
        <f t="shared" si="86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85"/>
        <v>0</v>
      </c>
      <c r="Z133" s="57">
        <f t="shared" si="84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87"/>
        <v>0</v>
      </c>
      <c r="AO133" s="57">
        <f t="shared" si="86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85"/>
        <v>0</v>
      </c>
      <c r="Z134" s="57">
        <f t="shared" si="84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87"/>
        <v>0</v>
      </c>
      <c r="AO134" s="57">
        <f t="shared" si="86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85"/>
        <v>0</v>
      </c>
      <c r="Z135" s="57">
        <f t="shared" si="84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87"/>
        <v>0</v>
      </c>
      <c r="AO135" s="57">
        <f t="shared" si="86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85"/>
        <v>0</v>
      </c>
      <c r="Z136" s="57">
        <f t="shared" si="84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87"/>
        <v>0</v>
      </c>
      <c r="AO136" s="57">
        <f t="shared" si="86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85"/>
        <v>0</v>
      </c>
      <c r="Z137" s="57">
        <f t="shared" si="84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87"/>
        <v>0</v>
      </c>
      <c r="AO137" s="57">
        <f t="shared" si="86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85"/>
        <v>0</v>
      </c>
      <c r="Z138" s="57">
        <f t="shared" si="84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87"/>
        <v>0</v>
      </c>
      <c r="AO138" s="57">
        <f t="shared" si="86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85"/>
        <v>0</v>
      </c>
      <c r="Z139" s="57">
        <f t="shared" si="84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87"/>
        <v>0</v>
      </c>
      <c r="AO139" s="57">
        <f t="shared" si="86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85"/>
        <v>0</v>
      </c>
      <c r="Z140" s="57">
        <f t="shared" si="84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87"/>
        <v>0</v>
      </c>
      <c r="AO140" s="57">
        <f t="shared" si="86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85"/>
        <v>0</v>
      </c>
      <c r="Z141" s="57">
        <f t="shared" si="84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87"/>
        <v>0</v>
      </c>
      <c r="AO141" s="57">
        <f t="shared" si="86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85"/>
        <v>0</v>
      </c>
      <c r="Z142" s="57">
        <f t="shared" si="84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87"/>
        <v>0</v>
      </c>
      <c r="AO142" s="57">
        <f t="shared" si="86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84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87"/>
        <v>0</v>
      </c>
      <c r="AO143" s="57">
        <f t="shared" si="86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1839852</v>
      </c>
      <c r="Z144" s="154">
        <f>XIRR(Y42:Y143,Z42:Z143)*12</f>
        <v>0.18463579416275022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87"/>
        <v>0</v>
      </c>
      <c r="AO144" s="57">
        <f t="shared" si="86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87"/>
        <v>0</v>
      </c>
      <c r="AO145" s="57">
        <f t="shared" si="86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87"/>
        <v>0</v>
      </c>
      <c r="AO146" s="57">
        <f t="shared" si="86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87"/>
        <v>0</v>
      </c>
      <c r="AO147" s="57">
        <f t="shared" si="86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1839852</v>
      </c>
      <c r="AO148" s="154">
        <f>XIRR(AN46:AN147,AO46:AO147)*12</f>
        <v>0.25343216657638545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2">
    <mergeCell ref="AD85:AJ85"/>
    <mergeCell ref="A31:B31"/>
    <mergeCell ref="A32:E32"/>
    <mergeCell ref="A33:A34"/>
    <mergeCell ref="BO33:BO35"/>
    <mergeCell ref="A35:B35"/>
    <mergeCell ref="A36:B36"/>
    <mergeCell ref="A30:B30"/>
    <mergeCell ref="A20:E20"/>
    <mergeCell ref="A21:B21"/>
    <mergeCell ref="C21:E21"/>
    <mergeCell ref="A22:C22"/>
    <mergeCell ref="A23:B23"/>
    <mergeCell ref="A24:B24"/>
    <mergeCell ref="A25:B25"/>
    <mergeCell ref="A26:B26"/>
    <mergeCell ref="A27:B27"/>
    <mergeCell ref="A28:B28"/>
    <mergeCell ref="A29:B29"/>
    <mergeCell ref="A12:B12"/>
    <mergeCell ref="A13:B13"/>
    <mergeCell ref="BO13:BO14"/>
    <mergeCell ref="BP13:BP14"/>
    <mergeCell ref="A14:A15"/>
    <mergeCell ref="A16:A18"/>
    <mergeCell ref="BU7:BU8"/>
    <mergeCell ref="A8:B8"/>
    <mergeCell ref="A9:B9"/>
    <mergeCell ref="C9:D9"/>
    <mergeCell ref="A10:B10"/>
    <mergeCell ref="BO10:BO11"/>
    <mergeCell ref="BP10:BP11"/>
    <mergeCell ref="A11:B11"/>
    <mergeCell ref="AS6:AS7"/>
    <mergeCell ref="AU6:AU7"/>
    <mergeCell ref="AV6:AV7"/>
    <mergeCell ref="AW6:AW7"/>
    <mergeCell ref="BH6:BH7"/>
    <mergeCell ref="BO6:BU6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Q3:BI4"/>
    <mergeCell ref="BO3:BU3"/>
    <mergeCell ref="A5:E5"/>
    <mergeCell ref="K6:K7"/>
    <mergeCell ref="A7:B7"/>
    <mergeCell ref="BO7:BO8"/>
    <mergeCell ref="BP7:BP8"/>
    <mergeCell ref="BS7:BS8"/>
    <mergeCell ref="BT7:BT8"/>
    <mergeCell ref="AQ6:AQ7"/>
    <mergeCell ref="AR6:AR7"/>
  </mergeCells>
  <conditionalFormatting sqref="D17">
    <cfRule type="cellIs" dxfId="11" priority="1" operator="notEqual">
      <formula>""</formula>
    </cfRule>
  </conditionalFormatting>
  <dataValidations count="5">
    <dataValidation type="list" allowBlank="1" showInputMessage="1" showErrorMessage="1" sqref="C16">
      <formula1>$AD$30:$AE$30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4">
      <formula1>$Z$28:$AA$28</formula1>
    </dataValidation>
    <dataValidation allowBlank="1" showInputMessage="1" showErrorMessage="1" error="Сумма не соответствует диапазону для продукта" sqref="C7:D7"/>
    <dataValidation type="list" allowBlank="1" showInputMessage="1" showErrorMessage="1" sqref="C8">
      <formula1>$CA$9:$CA$11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view="pageBreakPreview" topLeftCell="D45" zoomScale="85" zoomScaleNormal="90" zoomScaleSheetLayoutView="85" workbookViewId="0">
      <selection activeCell="R1" sqref="R1:AL1048576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10" width="15.5703125" style="2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85546875" style="2" hidden="1" customWidth="1"/>
    <col min="25" max="25" width="17.5703125" style="2" hidden="1" customWidth="1"/>
    <col min="26" max="26" width="33.855468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3.42578125" style="2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8" ht="12.75" customHeight="1" x14ac:dyDescent="0.2">
      <c r="A1" s="832" t="s">
        <v>41</v>
      </c>
      <c r="B1" s="832"/>
      <c r="C1" s="832"/>
      <c r="D1" s="832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8" ht="16.5" customHeight="1" x14ac:dyDescent="0.2">
      <c r="A2" s="832"/>
      <c r="B2" s="832"/>
      <c r="C2" s="832"/>
      <c r="D2" s="832"/>
      <c r="E2" s="2"/>
      <c r="F2" s="607">
        <f>AB81</f>
        <v>1368000</v>
      </c>
      <c r="G2" s="607">
        <f>AD81</f>
        <v>1134000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8" ht="17.25" customHeight="1" thickBot="1" x14ac:dyDescent="0.3">
      <c r="A3" s="833" t="s">
        <v>412</v>
      </c>
      <c r="B3" s="833"/>
      <c r="C3" s="833"/>
      <c r="D3" s="833"/>
      <c r="E3" s="834" t="str">
        <f>"График платежей - Максимум + ГС "</f>
        <v xml:space="preserve">График платежей - Максимум + ГС </v>
      </c>
      <c r="F3" s="834"/>
      <c r="G3" s="834"/>
      <c r="H3" s="834"/>
      <c r="I3" s="834"/>
      <c r="J3" s="834"/>
      <c r="K3" s="834"/>
      <c r="L3" s="834"/>
      <c r="M3" s="834"/>
      <c r="N3" s="834"/>
      <c r="O3" s="834"/>
      <c r="P3" s="834"/>
      <c r="Q3" s="834"/>
      <c r="R3" s="834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35" t="str">
        <f>"График платежей - Оптимум"</f>
        <v>График платежей - Оптимум</v>
      </c>
      <c r="AN3" s="835"/>
      <c r="AO3" s="835"/>
      <c r="AP3" s="835"/>
      <c r="AQ3" s="835"/>
      <c r="AR3" s="835"/>
      <c r="AS3" s="835"/>
      <c r="AT3" s="835"/>
      <c r="AU3" s="835"/>
      <c r="AV3" s="835"/>
      <c r="AW3" s="835"/>
      <c r="AX3" s="835"/>
      <c r="AY3" s="102"/>
      <c r="AZ3" s="102"/>
      <c r="BA3" s="102"/>
      <c r="BD3" s="794" t="s">
        <v>94</v>
      </c>
      <c r="BE3" s="794"/>
      <c r="BF3" s="794"/>
      <c r="BG3" s="794"/>
      <c r="BH3" s="794"/>
      <c r="BI3" s="794"/>
      <c r="BJ3" s="794"/>
      <c r="BL3" s="730"/>
      <c r="BM3" s="730"/>
      <c r="BN3" s="730"/>
      <c r="BO3" s="730"/>
      <c r="BP3" s="730"/>
    </row>
    <row r="4" spans="1:68" ht="13.5" hidden="1" customHeight="1" thickBot="1" x14ac:dyDescent="0.25">
      <c r="A4" s="311"/>
      <c r="B4" s="311"/>
      <c r="C4" s="311"/>
      <c r="D4" s="311"/>
      <c r="E4" s="834"/>
      <c r="F4" s="834"/>
      <c r="G4" s="834"/>
      <c r="H4" s="834"/>
      <c r="I4" s="834"/>
      <c r="J4" s="834"/>
      <c r="K4" s="834"/>
      <c r="L4" s="834"/>
      <c r="M4" s="834"/>
      <c r="N4" s="834"/>
      <c r="O4" s="834"/>
      <c r="P4" s="834"/>
      <c r="Q4" s="834"/>
      <c r="R4" s="834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35"/>
      <c r="AN4" s="835"/>
      <c r="AO4" s="835"/>
      <c r="AP4" s="835"/>
      <c r="AQ4" s="835"/>
      <c r="AR4" s="835"/>
      <c r="AS4" s="835"/>
      <c r="AT4" s="835"/>
      <c r="AU4" s="835"/>
      <c r="AV4" s="835"/>
      <c r="AW4" s="835"/>
      <c r="AX4" s="835"/>
      <c r="AY4" s="102"/>
      <c r="AZ4" s="102"/>
      <c r="BA4" s="102"/>
      <c r="BB4" s="57"/>
      <c r="BL4" s="730"/>
      <c r="BM4" s="730"/>
      <c r="BN4" s="730"/>
      <c r="BO4" s="730"/>
      <c r="BP4" s="730"/>
    </row>
    <row r="5" spans="1:68" ht="12" hidden="1" customHeight="1" thickBot="1" x14ac:dyDescent="0.25">
      <c r="A5" s="830"/>
      <c r="B5" s="830"/>
      <c r="C5" s="831"/>
      <c r="D5" s="831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689"/>
      <c r="BA5" s="102"/>
      <c r="BB5" s="57"/>
      <c r="BL5" s="730"/>
      <c r="BM5" s="730"/>
      <c r="BN5" s="730"/>
      <c r="BO5" s="730"/>
      <c r="BP5" s="730"/>
    </row>
    <row r="6" spans="1:68" ht="16.5" customHeight="1" thickBot="1" x14ac:dyDescent="0.25">
      <c r="A6" s="839" t="s">
        <v>413</v>
      </c>
      <c r="B6" s="840"/>
      <c r="C6" s="608" t="s">
        <v>414</v>
      </c>
      <c r="D6" s="608" t="s">
        <v>415</v>
      </c>
      <c r="E6" s="689"/>
      <c r="F6" s="689"/>
      <c r="G6" s="689"/>
      <c r="H6" s="689"/>
      <c r="I6" s="689"/>
      <c r="J6" s="689"/>
      <c r="K6" s="689"/>
      <c r="L6" s="689"/>
      <c r="M6" s="689"/>
      <c r="N6" s="689"/>
      <c r="O6" s="689"/>
      <c r="P6" s="689"/>
      <c r="Q6" s="689"/>
      <c r="R6" s="689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689"/>
      <c r="BA6" s="102"/>
      <c r="BB6" s="57"/>
      <c r="BD6" s="795" t="s">
        <v>95</v>
      </c>
      <c r="BE6" s="795"/>
      <c r="BF6" s="795"/>
      <c r="BG6" s="795"/>
      <c r="BH6" s="795"/>
      <c r="BI6" s="795"/>
      <c r="BJ6" s="795"/>
      <c r="BL6" s="730"/>
      <c r="BM6" s="864"/>
      <c r="BN6" s="864"/>
      <c r="BO6" s="864"/>
      <c r="BP6" s="730"/>
    </row>
    <row r="7" spans="1:68" ht="37.5" customHeight="1" x14ac:dyDescent="0.5">
      <c r="A7" s="841" t="s">
        <v>417</v>
      </c>
      <c r="B7" s="842"/>
      <c r="C7" s="609">
        <f>'Автомобильный (с залогом ТС)'!C7</f>
        <v>900000</v>
      </c>
      <c r="D7" s="610">
        <f>C7</f>
        <v>900000</v>
      </c>
      <c r="E7" s="611" t="s">
        <v>3</v>
      </c>
      <c r="F7" s="612" t="s">
        <v>4</v>
      </c>
      <c r="G7" s="612" t="s">
        <v>5</v>
      </c>
      <c r="H7" s="613" t="s">
        <v>12</v>
      </c>
      <c r="I7" s="613"/>
      <c r="J7" s="613"/>
      <c r="K7" s="613" t="s">
        <v>26</v>
      </c>
      <c r="L7" s="613" t="s">
        <v>36</v>
      </c>
      <c r="M7" s="613" t="s">
        <v>39</v>
      </c>
      <c r="N7" s="613" t="s">
        <v>38</v>
      </c>
      <c r="O7" s="613" t="s">
        <v>37</v>
      </c>
      <c r="P7" s="613" t="s">
        <v>40</v>
      </c>
      <c r="Q7" s="612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-946999</v>
      </c>
      <c r="BB7" s="61"/>
      <c r="BD7" s="784" t="s">
        <v>84</v>
      </c>
      <c r="BE7" s="777" t="s">
        <v>85</v>
      </c>
      <c r="BF7" s="127" t="s">
        <v>86</v>
      </c>
      <c r="BG7" s="124" t="s">
        <v>88</v>
      </c>
      <c r="BH7" s="798" t="s">
        <v>9</v>
      </c>
      <c r="BI7" s="800" t="s">
        <v>89</v>
      </c>
      <c r="BJ7" s="796">
        <v>1</v>
      </c>
      <c r="BL7" s="730"/>
      <c r="BM7" s="731"/>
      <c r="BN7" s="731"/>
      <c r="BO7" s="731"/>
      <c r="BP7" s="730"/>
    </row>
    <row r="8" spans="1:68" ht="16.5" customHeight="1" thickBot="1" x14ac:dyDescent="0.55000000000000004">
      <c r="A8" s="841" t="s">
        <v>421</v>
      </c>
      <c r="B8" s="842"/>
      <c r="C8" s="614" t="str">
        <f>'Автомобильный (с залогом ТС)'!C8</f>
        <v>АВТО_ПакетБВ+ГС_48</v>
      </c>
      <c r="D8" s="615" t="s">
        <v>35</v>
      </c>
      <c r="E8" s="21"/>
      <c r="F8" s="22">
        <f>C9</f>
        <v>45315</v>
      </c>
      <c r="G8" s="23">
        <f>-C28</f>
        <v>-946999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946999</v>
      </c>
      <c r="R8" s="25"/>
      <c r="S8" s="36"/>
      <c r="T8" s="15">
        <v>0.14899999999999999</v>
      </c>
      <c r="U8" s="15">
        <v>0.109</v>
      </c>
      <c r="V8" s="15">
        <v>4.4999999999999998E-2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-910999</v>
      </c>
      <c r="AP8" s="105"/>
      <c r="AQ8" s="106"/>
      <c r="AR8" s="106"/>
      <c r="AS8" s="106"/>
      <c r="AT8" s="106"/>
      <c r="AU8" s="106"/>
      <c r="AV8" s="106"/>
      <c r="AW8" s="107">
        <f>D28</f>
        <v>910999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785"/>
      <c r="BE8" s="778"/>
      <c r="BF8" s="692" t="s">
        <v>87</v>
      </c>
      <c r="BG8" s="126" t="s">
        <v>88</v>
      </c>
      <c r="BH8" s="799"/>
      <c r="BI8" s="801"/>
      <c r="BJ8" s="797"/>
      <c r="BL8" s="730"/>
      <c r="BM8" s="732"/>
      <c r="BN8" s="732"/>
      <c r="BO8" s="732"/>
      <c r="BP8" s="730"/>
    </row>
    <row r="9" spans="1:68" ht="16.5" customHeight="1" thickBot="1" x14ac:dyDescent="0.25">
      <c r="A9" s="841" t="s">
        <v>25</v>
      </c>
      <c r="B9" s="842"/>
      <c r="C9" s="616">
        <f>'Автомобильный (с залогом ТС)'!C9</f>
        <v>45315</v>
      </c>
      <c r="D9" s="617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21903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18368.16</v>
      </c>
      <c r="I9" s="24">
        <f>H9</f>
        <v>18368.16</v>
      </c>
      <c r="J9" s="24"/>
      <c r="K9" s="24">
        <f t="shared" ref="K9:K72" si="7">IF(S9=0,0,IF(S9=1,Q8,IF(Q8+L9+H9&gt;G8,G9-H9-L9,Q8)))</f>
        <v>3534.84</v>
      </c>
      <c r="L9" s="24">
        <f>IF(N9&gt;$C$29,$C$29-H9,IF(S9=0,0,P9)+AF52)</f>
        <v>0</v>
      </c>
      <c r="M9" s="24">
        <f>O8-L8</f>
        <v>0</v>
      </c>
      <c r="N9" s="24">
        <f>H9+O9</f>
        <v>18368.16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943464.16</v>
      </c>
      <c r="R9" s="36">
        <f>C10</f>
        <v>84</v>
      </c>
      <c r="S9" s="36">
        <f t="shared" ref="S9:S72" si="9">IF(ISERR(CEILING(FLOOR(NPER($C$19/12,-$AA$56,Q8),0.1),1))=TRUE,0,CEILING(FLOOR(NPER($C$19/12,-$AA$56,Q8),0.1),1))</f>
        <v>84</v>
      </c>
      <c r="T9" s="15">
        <v>0.159</v>
      </c>
      <c r="U9" s="15">
        <v>0.14899999999999999</v>
      </c>
      <c r="V9" s="15">
        <v>8.8999999999999996E-2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21903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17669.900000000001</v>
      </c>
      <c r="AQ9" s="105">
        <f t="shared" ref="AQ9:AQ46" si="12">IF(AY9=0,0,IF(AY9=1,AW8,IF(AW8+AR9+AP9&gt;AO8,AO9-AP9-AR9,AW8)))</f>
        <v>4233.0999999999985</v>
      </c>
      <c r="AR9" s="105">
        <f>IF(AT9&gt;$D$29,$D$29-AP9,IF(AY9=0,0,AV9)+BN58)</f>
        <v>0</v>
      </c>
      <c r="AS9" s="105"/>
      <c r="AT9" s="105">
        <f>AP9+AU9</f>
        <v>17669.900000000001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906765.9</v>
      </c>
      <c r="AX9" s="108">
        <f>C10</f>
        <v>84</v>
      </c>
      <c r="AY9" s="108">
        <f t="shared" ref="AY9:AY72" si="14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21903</v>
      </c>
      <c r="BC9" s="118">
        <f t="shared" si="4"/>
        <v>928668.9</v>
      </c>
      <c r="BL9" s="730"/>
      <c r="BM9" s="732"/>
      <c r="BN9" s="732"/>
      <c r="BO9" s="732"/>
      <c r="BP9" s="730"/>
    </row>
    <row r="10" spans="1:68" ht="16.5" customHeight="1" x14ac:dyDescent="0.2">
      <c r="A10" s="843" t="s">
        <v>1</v>
      </c>
      <c r="B10" s="844"/>
      <c r="C10" s="618">
        <f>'Автомобильный (с залогом ТС)'!C10</f>
        <v>84</v>
      </c>
      <c r="D10" s="619">
        <f>C10</f>
        <v>84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21903</v>
      </c>
      <c r="H10" s="24">
        <f t="shared" si="6"/>
        <v>17118.98</v>
      </c>
      <c r="I10" s="24">
        <f>H10+I9</f>
        <v>35487.14</v>
      </c>
      <c r="J10" s="24">
        <f t="shared" ref="J10:J67" si="16">IF(E10=$C$10,MIN((I10-I10/$C$19*$C$23),Q9+H10-G9),0)</f>
        <v>0</v>
      </c>
      <c r="K10" s="24">
        <f t="shared" si="7"/>
        <v>4784.0200000000004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17118.98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938680.14</v>
      </c>
      <c r="R10" s="36">
        <f>IF((R9-1)&lt;0,0,R9-1)</f>
        <v>83</v>
      </c>
      <c r="S10" s="36">
        <f t="shared" si="9"/>
        <v>84</v>
      </c>
      <c r="T10" s="15">
        <v>0.19900000000000001</v>
      </c>
      <c r="U10" s="15">
        <v>0.14899999999999999</v>
      </c>
      <c r="V10" s="15">
        <v>8.8999999999999996E-2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21903</v>
      </c>
      <c r="AP10" s="105">
        <f t="shared" si="11"/>
        <v>16453.09</v>
      </c>
      <c r="AQ10" s="105">
        <f t="shared" si="12"/>
        <v>5449.91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16453.09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901315.99</v>
      </c>
      <c r="AX10" s="108">
        <f>IF((AX9-1)&lt;0,0,AX9-1)</f>
        <v>83</v>
      </c>
      <c r="AY10" s="108">
        <f t="shared" si="14"/>
        <v>83</v>
      </c>
      <c r="AZ10" s="22">
        <f t="shared" si="3"/>
        <v>45375</v>
      </c>
      <c r="BA10" s="108">
        <f t="shared" si="3"/>
        <v>21903</v>
      </c>
      <c r="BC10" s="118">
        <f t="shared" si="4"/>
        <v>923218.99</v>
      </c>
      <c r="BD10" s="784" t="s">
        <v>90</v>
      </c>
      <c r="BE10" s="777" t="s">
        <v>85</v>
      </c>
      <c r="BF10" s="129" t="s">
        <v>84</v>
      </c>
      <c r="BL10" s="730"/>
      <c r="BM10" s="733"/>
      <c r="BN10" s="733"/>
      <c r="BO10" s="733"/>
      <c r="BP10" s="730"/>
    </row>
    <row r="11" spans="1:68" ht="16.5" customHeight="1" thickBot="1" x14ac:dyDescent="0.25">
      <c r="A11" s="845" t="s">
        <v>427</v>
      </c>
      <c r="B11" s="621" t="s">
        <v>102</v>
      </c>
      <c r="C11" s="622" t="str">
        <f>'Автомобильный (с залогом ТС)'!C14</f>
        <v>Да</v>
      </c>
      <c r="D11" s="619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21903</v>
      </c>
      <c r="H11" s="24">
        <f t="shared" si="6"/>
        <v>18206.8</v>
      </c>
      <c r="I11" s="24">
        <f t="shared" ref="I11:I74" si="26">H11+I10</f>
        <v>53693.94</v>
      </c>
      <c r="J11" s="24">
        <f t="shared" si="16"/>
        <v>0</v>
      </c>
      <c r="K11" s="24">
        <f t="shared" si="7"/>
        <v>3696.2000000000007</v>
      </c>
      <c r="L11" s="24">
        <f t="shared" si="17"/>
        <v>0</v>
      </c>
      <c r="M11" s="24">
        <f>O10-L10</f>
        <v>0</v>
      </c>
      <c r="N11" s="24">
        <f t="shared" si="18"/>
        <v>18206.8</v>
      </c>
      <c r="O11" s="24">
        <f t="shared" si="19"/>
        <v>0</v>
      </c>
      <c r="P11" s="24">
        <f t="shared" si="20"/>
        <v>0</v>
      </c>
      <c r="Q11" s="24">
        <f t="shared" si="8"/>
        <v>934983.94000000006</v>
      </c>
      <c r="R11" s="36">
        <f>IF((R10-1)&lt;0,0,R10-1)</f>
        <v>82</v>
      </c>
      <c r="S11" s="36">
        <f t="shared" si="9"/>
        <v>83</v>
      </c>
      <c r="T11" s="15">
        <v>0.219</v>
      </c>
      <c r="U11" s="15">
        <v>0.19900000000000001</v>
      </c>
      <c r="V11" s="15">
        <v>0.13900000000000001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21903</v>
      </c>
      <c r="AP11" s="105">
        <f t="shared" si="11"/>
        <v>17482.080000000002</v>
      </c>
      <c r="AQ11" s="105">
        <f t="shared" si="12"/>
        <v>4420.9199999999983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17482.080000000002</v>
      </c>
      <c r="AU11" s="105">
        <f t="shared" si="24"/>
        <v>0</v>
      </c>
      <c r="AV11" s="105">
        <f t="shared" si="25"/>
        <v>0</v>
      </c>
      <c r="AW11" s="105">
        <f t="shared" si="13"/>
        <v>896895.07</v>
      </c>
      <c r="AX11" s="108">
        <f>IF((AX10-1)&lt;0,0,AX10-1)</f>
        <v>82</v>
      </c>
      <c r="AY11" s="108">
        <f t="shared" si="14"/>
        <v>82</v>
      </c>
      <c r="AZ11" s="22">
        <f t="shared" si="3"/>
        <v>45406</v>
      </c>
      <c r="BA11" s="108">
        <f t="shared" si="3"/>
        <v>21903</v>
      </c>
      <c r="BC11" s="118">
        <f t="shared" si="4"/>
        <v>918798.07</v>
      </c>
      <c r="BD11" s="785"/>
      <c r="BE11" s="778"/>
      <c r="BF11" s="691" t="s">
        <v>91</v>
      </c>
      <c r="BL11" s="730"/>
      <c r="BM11" s="864"/>
      <c r="BN11" s="864"/>
      <c r="BO11" s="864"/>
      <c r="BP11" s="730"/>
    </row>
    <row r="12" spans="1:68" ht="16.5" customHeight="1" thickBot="1" x14ac:dyDescent="0.25">
      <c r="A12" s="846"/>
      <c r="B12" s="621" t="s">
        <v>105</v>
      </c>
      <c r="C12" s="623">
        <f>IF(C11="нет",0,$T$41)</f>
        <v>10999</v>
      </c>
      <c r="D12" s="623">
        <f>IF(D11="нет",0,$T$41)</f>
        <v>10999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21903</v>
      </c>
      <c r="H12" s="24">
        <f t="shared" si="6"/>
        <v>17550.11</v>
      </c>
      <c r="I12" s="24">
        <f t="shared" si="26"/>
        <v>71244.05</v>
      </c>
      <c r="J12" s="24">
        <f t="shared" si="16"/>
        <v>0</v>
      </c>
      <c r="K12" s="24">
        <f t="shared" si="7"/>
        <v>4352.8899999999994</v>
      </c>
      <c r="L12" s="24">
        <f t="shared" si="17"/>
        <v>0</v>
      </c>
      <c r="M12" s="24">
        <f t="shared" ref="M12:M86" si="29">O11-L11</f>
        <v>0</v>
      </c>
      <c r="N12" s="24">
        <f t="shared" si="18"/>
        <v>17550.11</v>
      </c>
      <c r="O12" s="24">
        <f t="shared" si="19"/>
        <v>0</v>
      </c>
      <c r="P12" s="24">
        <f t="shared" si="20"/>
        <v>0</v>
      </c>
      <c r="Q12" s="24">
        <f t="shared" si="8"/>
        <v>930631.05</v>
      </c>
      <c r="R12" s="36">
        <f t="shared" ref="R12:R75" si="30">IF((R11-1)&lt;0,0,R11-1)</f>
        <v>81</v>
      </c>
      <c r="S12" s="36">
        <f t="shared" si="9"/>
        <v>82</v>
      </c>
      <c r="T12" s="15">
        <v>0.27900000000000003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21903</v>
      </c>
      <c r="AP12" s="105">
        <f t="shared" si="11"/>
        <v>16835.16</v>
      </c>
      <c r="AQ12" s="105">
        <f t="shared" si="12"/>
        <v>5067.84</v>
      </c>
      <c r="AR12" s="105">
        <f t="shared" si="27"/>
        <v>0</v>
      </c>
      <c r="AS12" s="105">
        <f t="shared" si="22"/>
        <v>0</v>
      </c>
      <c r="AT12" s="105">
        <f t="shared" si="23"/>
        <v>16835.16</v>
      </c>
      <c r="AU12" s="105">
        <f t="shared" si="24"/>
        <v>0</v>
      </c>
      <c r="AV12" s="105">
        <f t="shared" si="25"/>
        <v>0</v>
      </c>
      <c r="AW12" s="105">
        <f t="shared" si="13"/>
        <v>891827.23</v>
      </c>
      <c r="AX12" s="108">
        <f t="shared" ref="AX12:AX75" si="32">IF((AX11-1)&lt;0,0,AX11-1)</f>
        <v>81</v>
      </c>
      <c r="AY12" s="108">
        <f t="shared" si="14"/>
        <v>81</v>
      </c>
      <c r="AZ12" s="22">
        <f t="shared" si="3"/>
        <v>45436</v>
      </c>
      <c r="BA12" s="108">
        <f t="shared" si="3"/>
        <v>21903</v>
      </c>
      <c r="BC12" s="118">
        <f t="shared" si="4"/>
        <v>913730.23</v>
      </c>
      <c r="BL12" s="730"/>
      <c r="BM12" s="731"/>
      <c r="BN12" s="731"/>
      <c r="BO12" s="731"/>
      <c r="BP12" s="730"/>
    </row>
    <row r="13" spans="1:68" ht="16.5" customHeight="1" x14ac:dyDescent="0.2">
      <c r="A13" s="848" t="str">
        <f>IF($C$8="Нет","2. У вас не будет Льготного периода","2. Посмотрите, как изменится график при активации Льготного периода")</f>
        <v>2. Посмотрите, как изменится график при активации Льготного периода</v>
      </c>
      <c r="B13" s="849"/>
      <c r="C13" s="849"/>
      <c r="D13" s="849"/>
      <c r="E13" s="114">
        <f>E12+1</f>
        <v>5</v>
      </c>
      <c r="F13" s="111">
        <f t="shared" si="15"/>
        <v>45467</v>
      </c>
      <c r="G13" s="24">
        <f t="shared" si="5"/>
        <v>21903</v>
      </c>
      <c r="H13" s="24">
        <f t="shared" si="6"/>
        <v>18050.68</v>
      </c>
      <c r="I13" s="24">
        <f t="shared" si="26"/>
        <v>89294.73000000001</v>
      </c>
      <c r="J13" s="24">
        <f t="shared" si="16"/>
        <v>0</v>
      </c>
      <c r="K13" s="24">
        <f t="shared" si="7"/>
        <v>3852.3199999999997</v>
      </c>
      <c r="L13" s="24">
        <f t="shared" si="17"/>
        <v>0</v>
      </c>
      <c r="M13" s="24">
        <f t="shared" si="29"/>
        <v>0</v>
      </c>
      <c r="N13" s="24">
        <f t="shared" si="18"/>
        <v>18050.68</v>
      </c>
      <c r="O13" s="24">
        <f t="shared" si="19"/>
        <v>0</v>
      </c>
      <c r="P13" s="24">
        <f t="shared" si="20"/>
        <v>0</v>
      </c>
      <c r="Q13" s="24">
        <f t="shared" si="8"/>
        <v>926778.7300000001</v>
      </c>
      <c r="R13" s="36">
        <f>IF((R12-1)&lt;0,0,R12-1)</f>
        <v>80</v>
      </c>
      <c r="S13" s="36">
        <f t="shared" si="9"/>
        <v>81</v>
      </c>
      <c r="T13" s="15"/>
      <c r="U13" s="15">
        <f>IF($C$17=29.9%,U12,IF($C$17=24.9%,U11,IF($C$17=19.9%,U10,U9)))</f>
        <v>0.14899999999999999</v>
      </c>
      <c r="V13" s="15">
        <f>IF($C$17=29.9%,V12,IF($C$17=24.9%,V11,IF($C$17=19.9%,V10,V9)))</f>
        <v>8.8999999999999996E-2</v>
      </c>
      <c r="W13" s="15"/>
      <c r="X13" s="15"/>
      <c r="Y13" s="15"/>
      <c r="Z13" s="15"/>
      <c r="AA13" s="62" t="e">
        <f>INDEX(AA4:AA12,MATCH(C17,$T$4:$T$12,0))</f>
        <v>#N/A</v>
      </c>
      <c r="AB13" s="62" t="e">
        <f>INDEX(AB4:AB12,MATCH(D17,$T$4:$T$12,0))</f>
        <v>#N/A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21903</v>
      </c>
      <c r="AP13" s="105">
        <f t="shared" si="11"/>
        <v>17298.04</v>
      </c>
      <c r="AQ13" s="105">
        <f t="shared" si="12"/>
        <v>4604.9599999999991</v>
      </c>
      <c r="AR13" s="105">
        <f t="shared" si="27"/>
        <v>0</v>
      </c>
      <c r="AS13" s="105">
        <f t="shared" si="22"/>
        <v>0</v>
      </c>
      <c r="AT13" s="105">
        <f t="shared" si="23"/>
        <v>17298.04</v>
      </c>
      <c r="AU13" s="105">
        <f t="shared" si="24"/>
        <v>0</v>
      </c>
      <c r="AV13" s="105">
        <f t="shared" si="25"/>
        <v>0</v>
      </c>
      <c r="AW13" s="105">
        <f t="shared" si="13"/>
        <v>887222.27</v>
      </c>
      <c r="AX13" s="108">
        <f>IF((AX12-1)&lt;0,0,AX12-1)</f>
        <v>80</v>
      </c>
      <c r="AY13" s="108">
        <f t="shared" si="14"/>
        <v>80</v>
      </c>
      <c r="AZ13" s="22">
        <f t="shared" si="3"/>
        <v>45467</v>
      </c>
      <c r="BA13" s="108">
        <f t="shared" si="3"/>
        <v>21903</v>
      </c>
      <c r="BC13" s="118">
        <f t="shared" si="4"/>
        <v>909125.27</v>
      </c>
      <c r="BD13" s="784" t="s">
        <v>92</v>
      </c>
      <c r="BE13" s="777" t="s">
        <v>85</v>
      </c>
      <c r="BF13" s="129" t="s">
        <v>90</v>
      </c>
      <c r="BL13" s="730"/>
      <c r="BM13" s="732"/>
      <c r="BN13" s="732"/>
      <c r="BO13" s="732"/>
      <c r="BP13" s="730"/>
    </row>
    <row r="14" spans="1:68" ht="19.5" customHeight="1" thickBot="1" x14ac:dyDescent="0.25">
      <c r="A14" s="624"/>
      <c r="B14" s="624"/>
      <c r="C14" s="614" t="s">
        <v>430</v>
      </c>
      <c r="D14" s="614"/>
      <c r="E14" s="114">
        <f>E13+1</f>
        <v>6</v>
      </c>
      <c r="F14" s="111">
        <f t="shared" si="15"/>
        <v>45497</v>
      </c>
      <c r="G14" s="24">
        <f t="shared" si="5"/>
        <v>21903</v>
      </c>
      <c r="H14" s="24">
        <f t="shared" si="6"/>
        <v>17396.09</v>
      </c>
      <c r="I14" s="24">
        <f t="shared" si="26"/>
        <v>106690.82</v>
      </c>
      <c r="J14" s="24">
        <f t="shared" si="16"/>
        <v>0</v>
      </c>
      <c r="K14" s="24">
        <f t="shared" si="7"/>
        <v>4506.91</v>
      </c>
      <c r="L14" s="24">
        <f t="shared" si="17"/>
        <v>0</v>
      </c>
      <c r="M14" s="24">
        <f>O13-L13</f>
        <v>0</v>
      </c>
      <c r="N14" s="24">
        <f t="shared" si="18"/>
        <v>17396.09</v>
      </c>
      <c r="O14" s="24">
        <f t="shared" si="19"/>
        <v>0</v>
      </c>
      <c r="P14" s="24">
        <f t="shared" si="20"/>
        <v>0</v>
      </c>
      <c r="Q14" s="24">
        <f t="shared" si="8"/>
        <v>922271.82000000007</v>
      </c>
      <c r="R14" s="36">
        <f>IF((R13-1)&lt;0,0,R13-1)</f>
        <v>79</v>
      </c>
      <c r="S14" s="36">
        <f t="shared" si="9"/>
        <v>80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0.22899999999999998</v>
      </c>
      <c r="AB14" s="15">
        <f>D19</f>
        <v>0.22899999999999998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21903</v>
      </c>
      <c r="AP14" s="105">
        <f t="shared" si="11"/>
        <v>16653.599999999999</v>
      </c>
      <c r="AQ14" s="105">
        <f t="shared" si="12"/>
        <v>5249.4000000000015</v>
      </c>
      <c r="AR14" s="105">
        <f t="shared" si="27"/>
        <v>0</v>
      </c>
      <c r="AS14" s="105">
        <f t="shared" si="22"/>
        <v>0</v>
      </c>
      <c r="AT14" s="105">
        <f t="shared" si="23"/>
        <v>16653.599999999999</v>
      </c>
      <c r="AU14" s="105">
        <f t="shared" si="24"/>
        <v>0</v>
      </c>
      <c r="AV14" s="105">
        <f t="shared" si="25"/>
        <v>0</v>
      </c>
      <c r="AW14" s="105">
        <f t="shared" si="13"/>
        <v>881972.87</v>
      </c>
      <c r="AX14" s="108">
        <f>IF((AX13-1)&lt;0,0,AX13-1)</f>
        <v>79</v>
      </c>
      <c r="AY14" s="108">
        <f t="shared" si="14"/>
        <v>79</v>
      </c>
      <c r="AZ14" s="22">
        <f t="shared" si="3"/>
        <v>45497</v>
      </c>
      <c r="BA14" s="108">
        <f t="shared" si="3"/>
        <v>21903</v>
      </c>
      <c r="BC14" s="118">
        <f t="shared" si="4"/>
        <v>903875.87</v>
      </c>
      <c r="BD14" s="785"/>
      <c r="BE14" s="778"/>
      <c r="BF14" s="691" t="s">
        <v>93</v>
      </c>
      <c r="BL14" s="730"/>
      <c r="BM14" s="732"/>
      <c r="BN14" s="732"/>
      <c r="BO14" s="732"/>
      <c r="BP14" s="730"/>
    </row>
    <row r="15" spans="1:68" ht="33" customHeight="1" thickBot="1" x14ac:dyDescent="0.25">
      <c r="A15" s="848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Проведите прямое сравнение 2 (двух) вариантов получения кредита</v>
      </c>
      <c r="B15" s="849"/>
      <c r="C15" s="850"/>
      <c r="D15" s="850"/>
      <c r="E15" s="114">
        <f t="shared" si="28"/>
        <v>7</v>
      </c>
      <c r="F15" s="111">
        <f t="shared" si="15"/>
        <v>45528</v>
      </c>
      <c r="G15" s="24">
        <f t="shared" si="5"/>
        <v>21903</v>
      </c>
      <c r="H15" s="24">
        <f t="shared" si="6"/>
        <v>17888.55</v>
      </c>
      <c r="I15" s="24">
        <f t="shared" si="26"/>
        <v>124579.37000000001</v>
      </c>
      <c r="J15" s="24">
        <f t="shared" si="16"/>
        <v>0</v>
      </c>
      <c r="K15" s="24">
        <f t="shared" si="7"/>
        <v>4014.4500000000007</v>
      </c>
      <c r="L15" s="24">
        <f t="shared" si="17"/>
        <v>0</v>
      </c>
      <c r="M15" s="24">
        <f t="shared" si="29"/>
        <v>0</v>
      </c>
      <c r="N15" s="24">
        <f t="shared" si="18"/>
        <v>17888.55</v>
      </c>
      <c r="O15" s="24">
        <f t="shared" si="19"/>
        <v>0</v>
      </c>
      <c r="P15" s="24">
        <f t="shared" si="20"/>
        <v>0</v>
      </c>
      <c r="Q15" s="24">
        <f t="shared" si="8"/>
        <v>918257.37000000011</v>
      </c>
      <c r="R15" s="36">
        <f t="shared" si="30"/>
        <v>78</v>
      </c>
      <c r="S15" s="36">
        <f t="shared" si="9"/>
        <v>79</v>
      </c>
      <c r="T15" s="54">
        <f>ROUND(Q8*0.5%,-2)</f>
        <v>4700</v>
      </c>
      <c r="U15" s="54">
        <f>ROUND(Q8*0.5%,0)</f>
        <v>4735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21903</v>
      </c>
      <c r="AP15" s="105">
        <f t="shared" si="11"/>
        <v>17106.900000000001</v>
      </c>
      <c r="AQ15" s="105">
        <f t="shared" si="12"/>
        <v>4796.0999999999985</v>
      </c>
      <c r="AR15" s="105">
        <f t="shared" si="27"/>
        <v>0</v>
      </c>
      <c r="AS15" s="105">
        <f t="shared" si="22"/>
        <v>0</v>
      </c>
      <c r="AT15" s="105">
        <f t="shared" si="23"/>
        <v>17106.900000000001</v>
      </c>
      <c r="AU15" s="105">
        <f t="shared" si="24"/>
        <v>0</v>
      </c>
      <c r="AV15" s="105">
        <f t="shared" si="25"/>
        <v>0</v>
      </c>
      <c r="AW15" s="105">
        <f t="shared" si="13"/>
        <v>877176.77</v>
      </c>
      <c r="AX15" s="108">
        <f t="shared" si="32"/>
        <v>78</v>
      </c>
      <c r="AY15" s="108">
        <f t="shared" si="14"/>
        <v>78</v>
      </c>
      <c r="AZ15" s="22">
        <f t="shared" si="3"/>
        <v>45528</v>
      </c>
      <c r="BA15" s="108">
        <f t="shared" si="3"/>
        <v>21903</v>
      </c>
      <c r="BC15" s="118">
        <f t="shared" si="4"/>
        <v>899079.77</v>
      </c>
      <c r="BM15" s="620"/>
      <c r="BN15" s="620"/>
      <c r="BO15" s="620"/>
    </row>
    <row r="16" spans="1:68" ht="16.5" customHeight="1" thickBot="1" x14ac:dyDescent="0.25">
      <c r="A16" s="625"/>
      <c r="B16" s="626"/>
      <c r="C16" s="627" t="s">
        <v>81</v>
      </c>
      <c r="D16" s="628"/>
      <c r="E16" s="114">
        <f t="shared" si="28"/>
        <v>8</v>
      </c>
      <c r="F16" s="111">
        <f t="shared" si="15"/>
        <v>45559</v>
      </c>
      <c r="G16" s="24">
        <f t="shared" si="5"/>
        <v>21903</v>
      </c>
      <c r="H16" s="24">
        <f t="shared" si="6"/>
        <v>17810.68</v>
      </c>
      <c r="I16" s="24">
        <f t="shared" si="26"/>
        <v>142390.05000000002</v>
      </c>
      <c r="J16" s="24">
        <f t="shared" si="16"/>
        <v>0</v>
      </c>
      <c r="K16" s="24">
        <f t="shared" si="7"/>
        <v>4092.3199999999997</v>
      </c>
      <c r="L16" s="24">
        <f t="shared" si="17"/>
        <v>0</v>
      </c>
      <c r="M16" s="24">
        <f t="shared" si="29"/>
        <v>0</v>
      </c>
      <c r="N16" s="24">
        <f t="shared" si="18"/>
        <v>17810.68</v>
      </c>
      <c r="O16" s="24">
        <f t="shared" si="19"/>
        <v>0</v>
      </c>
      <c r="P16" s="24">
        <f t="shared" si="20"/>
        <v>0</v>
      </c>
      <c r="Q16" s="24">
        <f t="shared" si="8"/>
        <v>914165.05000000016</v>
      </c>
      <c r="R16" s="36">
        <f t="shared" si="30"/>
        <v>77</v>
      </c>
      <c r="S16" s="36">
        <f t="shared" si="9"/>
        <v>78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21903</v>
      </c>
      <c r="AP16" s="105">
        <f t="shared" si="11"/>
        <v>17013.87</v>
      </c>
      <c r="AQ16" s="105">
        <f t="shared" si="12"/>
        <v>4889.130000000001</v>
      </c>
      <c r="AR16" s="105">
        <f t="shared" si="27"/>
        <v>0</v>
      </c>
      <c r="AS16" s="105">
        <f t="shared" si="22"/>
        <v>0</v>
      </c>
      <c r="AT16" s="105">
        <f t="shared" si="23"/>
        <v>17013.87</v>
      </c>
      <c r="AU16" s="105">
        <f t="shared" si="24"/>
        <v>0</v>
      </c>
      <c r="AV16" s="105">
        <f t="shared" si="25"/>
        <v>0</v>
      </c>
      <c r="AW16" s="105">
        <f t="shared" si="13"/>
        <v>872287.64</v>
      </c>
      <c r="AX16" s="108">
        <f t="shared" si="32"/>
        <v>77</v>
      </c>
      <c r="AY16" s="108">
        <f t="shared" si="14"/>
        <v>77</v>
      </c>
      <c r="AZ16" s="22">
        <f t="shared" si="3"/>
        <v>45559</v>
      </c>
      <c r="BA16" s="108">
        <f t="shared" si="3"/>
        <v>21903</v>
      </c>
      <c r="BC16" s="118">
        <f t="shared" si="4"/>
        <v>894190.64</v>
      </c>
      <c r="BD16" s="575" t="s">
        <v>368</v>
      </c>
      <c r="BE16" s="571" t="s">
        <v>369</v>
      </c>
      <c r="BF16" s="576" t="s">
        <v>370</v>
      </c>
      <c r="BM16" s="836" t="s">
        <v>480</v>
      </c>
      <c r="BN16" s="837"/>
      <c r="BO16" s="838"/>
    </row>
    <row r="17" spans="1:383" ht="16.5" customHeight="1" thickBot="1" x14ac:dyDescent="0.25">
      <c r="A17" s="851" t="s">
        <v>433</v>
      </c>
      <c r="B17" s="852"/>
      <c r="C17" s="629">
        <f>'Автомобильный (с залогом ТС)'!C11</f>
        <v>0.22899999999999998</v>
      </c>
      <c r="D17" s="630">
        <f>C17</f>
        <v>0.22899999999999998</v>
      </c>
      <c r="E17" s="114">
        <f t="shared" si="28"/>
        <v>9</v>
      </c>
      <c r="F17" s="111">
        <f t="shared" si="15"/>
        <v>45589</v>
      </c>
      <c r="G17" s="24">
        <f t="shared" si="5"/>
        <v>21903</v>
      </c>
      <c r="H17" s="24">
        <f t="shared" si="6"/>
        <v>17159.330000000002</v>
      </c>
      <c r="I17" s="24">
        <f t="shared" si="26"/>
        <v>159549.38</v>
      </c>
      <c r="J17" s="24">
        <f t="shared" si="16"/>
        <v>0</v>
      </c>
      <c r="K17" s="24">
        <f t="shared" si="7"/>
        <v>4743.6699999999983</v>
      </c>
      <c r="L17" s="24">
        <f t="shared" si="17"/>
        <v>0</v>
      </c>
      <c r="M17" s="24">
        <f t="shared" si="29"/>
        <v>0</v>
      </c>
      <c r="N17" s="24">
        <f t="shared" si="18"/>
        <v>17159.330000000002</v>
      </c>
      <c r="O17" s="24">
        <f t="shared" si="19"/>
        <v>0</v>
      </c>
      <c r="P17" s="24">
        <f t="shared" si="20"/>
        <v>0</v>
      </c>
      <c r="Q17" s="24">
        <f t="shared" si="8"/>
        <v>909421.38000000012</v>
      </c>
      <c r="R17" s="36">
        <f t="shared" si="30"/>
        <v>76</v>
      </c>
      <c r="S17" s="36">
        <f t="shared" si="9"/>
        <v>78</v>
      </c>
      <c r="T17" s="64">
        <f>Z81/100</f>
        <v>0.09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21903</v>
      </c>
      <c r="AP17" s="105">
        <f t="shared" si="11"/>
        <v>16373.27</v>
      </c>
      <c r="AQ17" s="105">
        <f t="shared" si="12"/>
        <v>5529.73</v>
      </c>
      <c r="AR17" s="105">
        <f t="shared" si="27"/>
        <v>0</v>
      </c>
      <c r="AS17" s="105">
        <f t="shared" si="22"/>
        <v>0</v>
      </c>
      <c r="AT17" s="105">
        <f t="shared" si="23"/>
        <v>16373.27</v>
      </c>
      <c r="AU17" s="105">
        <f t="shared" si="24"/>
        <v>0</v>
      </c>
      <c r="AV17" s="105">
        <f t="shared" si="25"/>
        <v>0</v>
      </c>
      <c r="AW17" s="105">
        <f t="shared" si="13"/>
        <v>866757.91</v>
      </c>
      <c r="AX17" s="108">
        <f t="shared" si="32"/>
        <v>76</v>
      </c>
      <c r="AY17" s="108">
        <f t="shared" si="14"/>
        <v>76</v>
      </c>
      <c r="AZ17" s="22">
        <f t="shared" si="3"/>
        <v>45589</v>
      </c>
      <c r="BA17" s="108">
        <f t="shared" si="3"/>
        <v>21903</v>
      </c>
      <c r="BC17" s="118">
        <f t="shared" si="4"/>
        <v>888660.91</v>
      </c>
      <c r="BD17" s="583" t="s">
        <v>434</v>
      </c>
      <c r="BE17" s="572" t="s">
        <v>371</v>
      </c>
      <c r="BF17" s="573">
        <v>1.2E-2</v>
      </c>
      <c r="BM17" s="686" t="s">
        <v>418</v>
      </c>
      <c r="BN17" s="687" t="s">
        <v>419</v>
      </c>
      <c r="BO17" s="687" t="s">
        <v>435</v>
      </c>
    </row>
    <row r="18" spans="1:383" ht="16.5" customHeight="1" thickBot="1" x14ac:dyDescent="0.25">
      <c r="A18" s="853" t="s">
        <v>436</v>
      </c>
      <c r="B18" s="854"/>
      <c r="C18" s="631" t="s">
        <v>33</v>
      </c>
      <c r="D18" s="632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21903</v>
      </c>
      <c r="H18" s="24">
        <f t="shared" si="6"/>
        <v>17639.3</v>
      </c>
      <c r="I18" s="24">
        <f t="shared" si="26"/>
        <v>177188.68</v>
      </c>
      <c r="J18" s="24">
        <f t="shared" si="16"/>
        <v>0</v>
      </c>
      <c r="K18" s="24">
        <f t="shared" si="7"/>
        <v>4263.7000000000007</v>
      </c>
      <c r="L18" s="24">
        <f t="shared" si="17"/>
        <v>0</v>
      </c>
      <c r="M18" s="24">
        <f t="shared" si="29"/>
        <v>0</v>
      </c>
      <c r="N18" s="24">
        <f t="shared" si="18"/>
        <v>17639.3</v>
      </c>
      <c r="O18" s="24">
        <f t="shared" si="19"/>
        <v>0</v>
      </c>
      <c r="P18" s="24">
        <f t="shared" si="20"/>
        <v>0</v>
      </c>
      <c r="Q18" s="24">
        <f t="shared" si="8"/>
        <v>905157.68000000017</v>
      </c>
      <c r="R18" s="36">
        <f t="shared" si="30"/>
        <v>75</v>
      </c>
      <c r="S18" s="36">
        <f t="shared" si="9"/>
        <v>77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21903</v>
      </c>
      <c r="AP18" s="105">
        <f t="shared" si="11"/>
        <v>16811.79</v>
      </c>
      <c r="AQ18" s="105">
        <f t="shared" si="12"/>
        <v>5091.2099999999991</v>
      </c>
      <c r="AR18" s="105">
        <f t="shared" si="27"/>
        <v>0</v>
      </c>
      <c r="AS18" s="105">
        <f t="shared" si="22"/>
        <v>0</v>
      </c>
      <c r="AT18" s="105">
        <f t="shared" si="23"/>
        <v>16811.79</v>
      </c>
      <c r="AU18" s="105">
        <f t="shared" si="24"/>
        <v>0</v>
      </c>
      <c r="AV18" s="105">
        <f t="shared" si="25"/>
        <v>0</v>
      </c>
      <c r="AW18" s="105">
        <f t="shared" si="13"/>
        <v>861666.70000000007</v>
      </c>
      <c r="AX18" s="108">
        <f t="shared" si="32"/>
        <v>75</v>
      </c>
      <c r="AY18" s="108">
        <f t="shared" si="14"/>
        <v>75</v>
      </c>
      <c r="AZ18" s="22">
        <f t="shared" si="3"/>
        <v>45620</v>
      </c>
      <c r="BA18" s="108">
        <f t="shared" si="3"/>
        <v>21903</v>
      </c>
      <c r="BC18" s="118">
        <f t="shared" si="4"/>
        <v>883569.70000000007</v>
      </c>
      <c r="BD18" s="574" t="s">
        <v>114</v>
      </c>
      <c r="BE18" s="572" t="s">
        <v>372</v>
      </c>
      <c r="BF18" s="573">
        <v>1.2E-2</v>
      </c>
      <c r="BM18" s="684" t="s">
        <v>360</v>
      </c>
      <c r="BN18" s="688" t="s">
        <v>429</v>
      </c>
      <c r="BO18" s="688" t="s">
        <v>431</v>
      </c>
    </row>
    <row r="19" spans="1:383" ht="12.75" customHeight="1" thickBot="1" x14ac:dyDescent="0.25">
      <c r="A19" s="855" t="s">
        <v>437</v>
      </c>
      <c r="B19" s="856"/>
      <c r="C19" s="630">
        <f>IF(OR(C8="Оптимум+",C8="Уверенность"),C17-6%,IF(C8="Оптимум",C17-4%,C17))</f>
        <v>0.22899999999999998</v>
      </c>
      <c r="D19" s="630">
        <f>IF(D8="Максимум",D17-6%,IF(D8="Оптимум",D17-4%,D17))</f>
        <v>0.22899999999999998</v>
      </c>
      <c r="E19" s="114">
        <f>E18+1</f>
        <v>11</v>
      </c>
      <c r="F19" s="111">
        <f t="shared" si="15"/>
        <v>45650</v>
      </c>
      <c r="G19" s="24">
        <f t="shared" si="5"/>
        <v>21903</v>
      </c>
      <c r="H19" s="24">
        <f t="shared" si="6"/>
        <v>16990.25</v>
      </c>
      <c r="I19" s="24">
        <f t="shared" si="26"/>
        <v>194178.93</v>
      </c>
      <c r="J19" s="24">
        <f t="shared" si="16"/>
        <v>0</v>
      </c>
      <c r="K19" s="24">
        <f t="shared" si="7"/>
        <v>4912.75</v>
      </c>
      <c r="L19" s="24">
        <f t="shared" si="17"/>
        <v>0</v>
      </c>
      <c r="M19" s="24">
        <f>O18-L18</f>
        <v>0</v>
      </c>
      <c r="N19" s="24">
        <f t="shared" si="18"/>
        <v>16990.25</v>
      </c>
      <c r="O19" s="24">
        <f t="shared" si="19"/>
        <v>0</v>
      </c>
      <c r="P19" s="24">
        <f t="shared" si="20"/>
        <v>0</v>
      </c>
      <c r="Q19" s="24">
        <f t="shared" si="8"/>
        <v>900244.93000000017</v>
      </c>
      <c r="R19" s="36">
        <f>IF((R18-1)&lt;0,0,R18-1)</f>
        <v>74</v>
      </c>
      <c r="S19" s="36">
        <f t="shared" si="9"/>
        <v>76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21903</v>
      </c>
      <c r="AP19" s="105">
        <f t="shared" si="11"/>
        <v>16173.91</v>
      </c>
      <c r="AQ19" s="105">
        <f t="shared" si="12"/>
        <v>5729.09</v>
      </c>
      <c r="AR19" s="105">
        <f t="shared" si="27"/>
        <v>0</v>
      </c>
      <c r="AS19" s="105">
        <f t="shared" si="22"/>
        <v>0</v>
      </c>
      <c r="AT19" s="105">
        <f t="shared" si="23"/>
        <v>16173.91</v>
      </c>
      <c r="AU19" s="105">
        <f t="shared" si="24"/>
        <v>0</v>
      </c>
      <c r="AV19" s="105">
        <f t="shared" si="25"/>
        <v>0</v>
      </c>
      <c r="AW19" s="105">
        <f t="shared" si="13"/>
        <v>855937.6100000001</v>
      </c>
      <c r="AX19" s="108">
        <f t="shared" si="32"/>
        <v>74</v>
      </c>
      <c r="AY19" s="108">
        <f t="shared" si="14"/>
        <v>74</v>
      </c>
      <c r="AZ19" s="22">
        <f t="shared" si="3"/>
        <v>45650</v>
      </c>
      <c r="BA19" s="108">
        <f t="shared" si="3"/>
        <v>21903</v>
      </c>
      <c r="BC19" s="118">
        <f t="shared" si="4"/>
        <v>877840.6100000001</v>
      </c>
      <c r="BD19" s="574" t="s">
        <v>360</v>
      </c>
      <c r="BE19" s="572" t="s">
        <v>372</v>
      </c>
      <c r="BF19" s="573">
        <v>1.14E-2</v>
      </c>
      <c r="BM19" s="684" t="s">
        <v>424</v>
      </c>
      <c r="BN19" s="685" t="s">
        <v>425</v>
      </c>
      <c r="BO19" s="688" t="s">
        <v>479</v>
      </c>
    </row>
    <row r="20" spans="1:383" ht="21.75" customHeight="1" thickBot="1" x14ac:dyDescent="0.25">
      <c r="A20" s="857" t="s">
        <v>421</v>
      </c>
      <c r="B20" s="858"/>
      <c r="C20" s="630" t="str">
        <f>C8</f>
        <v>АВТО_ПакетБВ+ГС_48</v>
      </c>
      <c r="D20" s="630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21903</v>
      </c>
      <c r="H20" s="24">
        <f t="shared" si="6"/>
        <v>17498.34</v>
      </c>
      <c r="I20" s="24">
        <f t="shared" si="26"/>
        <v>211677.27</v>
      </c>
      <c r="J20" s="24">
        <f t="shared" si="16"/>
        <v>0</v>
      </c>
      <c r="K20" s="24">
        <f t="shared" si="7"/>
        <v>4404.66</v>
      </c>
      <c r="L20" s="24">
        <f t="shared" si="17"/>
        <v>0</v>
      </c>
      <c r="M20" s="24">
        <f>O19-L19</f>
        <v>0</v>
      </c>
      <c r="N20" s="24">
        <f t="shared" si="18"/>
        <v>17498.34</v>
      </c>
      <c r="O20" s="24">
        <f t="shared" si="19"/>
        <v>0</v>
      </c>
      <c r="P20" s="24">
        <f t="shared" si="20"/>
        <v>0</v>
      </c>
      <c r="Q20" s="24">
        <f t="shared" si="8"/>
        <v>895840.27000000014</v>
      </c>
      <c r="R20" s="36">
        <f>IF((R19-1)&lt;0,0,R19-1)</f>
        <v>73</v>
      </c>
      <c r="S20" s="36">
        <f t="shared" si="9"/>
        <v>75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21903</v>
      </c>
      <c r="AP20" s="105">
        <f t="shared" si="11"/>
        <v>16637.13</v>
      </c>
      <c r="AQ20" s="105">
        <f t="shared" si="12"/>
        <v>5265.869999999999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16637.13</v>
      </c>
      <c r="AU20" s="105">
        <f t="shared" si="24"/>
        <v>0</v>
      </c>
      <c r="AV20" s="105">
        <f t="shared" si="25"/>
        <v>0</v>
      </c>
      <c r="AW20" s="105">
        <f t="shared" si="13"/>
        <v>850671.74000000011</v>
      </c>
      <c r="AX20" s="108">
        <f t="shared" si="32"/>
        <v>73</v>
      </c>
      <c r="AY20" s="108">
        <f t="shared" si="14"/>
        <v>73</v>
      </c>
      <c r="AZ20" s="22">
        <f t="shared" si="3"/>
        <v>45681</v>
      </c>
      <c r="BA20" s="108">
        <f t="shared" si="3"/>
        <v>21903</v>
      </c>
      <c r="BC20" s="118">
        <f t="shared" si="4"/>
        <v>872574.74000000011</v>
      </c>
      <c r="BF20" s="62"/>
      <c r="BM20" s="620"/>
      <c r="BN20" s="620"/>
      <c r="BO20" s="620"/>
    </row>
    <row r="21" spans="1:383" ht="16.5" customHeight="1" thickBot="1" x14ac:dyDescent="0.25">
      <c r="A21" s="855" t="s">
        <v>438</v>
      </c>
      <c r="B21" s="859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21903</v>
      </c>
      <c r="H21" s="24">
        <f t="shared" si="6"/>
        <v>17423.48</v>
      </c>
      <c r="I21" s="24">
        <f t="shared" si="26"/>
        <v>229100.75</v>
      </c>
      <c r="J21" s="24">
        <f t="shared" si="16"/>
        <v>0</v>
      </c>
      <c r="K21" s="24">
        <f t="shared" si="7"/>
        <v>4479.5200000000004</v>
      </c>
      <c r="L21" s="24">
        <f t="shared" si="17"/>
        <v>0</v>
      </c>
      <c r="M21" s="24">
        <f t="shared" si="29"/>
        <v>0</v>
      </c>
      <c r="N21" s="24">
        <f t="shared" si="18"/>
        <v>17423.48</v>
      </c>
      <c r="O21" s="24">
        <f t="shared" si="19"/>
        <v>0</v>
      </c>
      <c r="P21" s="24">
        <f t="shared" si="20"/>
        <v>0</v>
      </c>
      <c r="Q21" s="24">
        <f t="shared" si="8"/>
        <v>891360.75000000012</v>
      </c>
      <c r="R21" s="36">
        <f t="shared" si="30"/>
        <v>72</v>
      </c>
      <c r="S21" s="36">
        <f t="shared" si="9"/>
        <v>74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21903</v>
      </c>
      <c r="AP21" s="105">
        <f t="shared" si="11"/>
        <v>16544.98</v>
      </c>
      <c r="AQ21" s="105">
        <f t="shared" si="12"/>
        <v>5358.02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16544.98</v>
      </c>
      <c r="AU21" s="105">
        <f t="shared" si="24"/>
        <v>0</v>
      </c>
      <c r="AV21" s="105">
        <f t="shared" si="25"/>
        <v>0</v>
      </c>
      <c r="AW21" s="105">
        <f t="shared" si="13"/>
        <v>845313.72000000009</v>
      </c>
      <c r="AX21" s="108">
        <f t="shared" si="32"/>
        <v>72</v>
      </c>
      <c r="AY21" s="108">
        <f t="shared" si="14"/>
        <v>72</v>
      </c>
      <c r="AZ21" s="22">
        <f t="shared" si="3"/>
        <v>45712</v>
      </c>
      <c r="BA21" s="108">
        <f t="shared" si="3"/>
        <v>21903</v>
      </c>
      <c r="BD21" s="2" t="s">
        <v>377</v>
      </c>
      <c r="BK21" s="116"/>
      <c r="BM21" s="836" t="s">
        <v>439</v>
      </c>
      <c r="BN21" s="837"/>
      <c r="BO21" s="838"/>
    </row>
    <row r="22" spans="1:383" ht="16.5" customHeight="1" thickBot="1" x14ac:dyDescent="0.25">
      <c r="A22" s="847" t="s">
        <v>76</v>
      </c>
      <c r="B22" s="634" t="s">
        <v>102</v>
      </c>
      <c r="C22" s="622" t="str">
        <f>'Автомобильный (с залогом ТС)'!C16</f>
        <v>Да</v>
      </c>
      <c r="D22" s="635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21903</v>
      </c>
      <c r="H22" s="24">
        <f t="shared" si="6"/>
        <v>15658.64</v>
      </c>
      <c r="I22" s="24">
        <f t="shared" si="26"/>
        <v>244759.39</v>
      </c>
      <c r="J22" s="24">
        <f t="shared" si="16"/>
        <v>0</v>
      </c>
      <c r="K22" s="24">
        <f t="shared" si="7"/>
        <v>6244.3600000000006</v>
      </c>
      <c r="L22" s="24">
        <f t="shared" si="17"/>
        <v>0</v>
      </c>
      <c r="M22" s="24">
        <f t="shared" si="29"/>
        <v>0</v>
      </c>
      <c r="N22" s="24">
        <f t="shared" si="18"/>
        <v>15658.64</v>
      </c>
      <c r="O22" s="24">
        <f t="shared" si="19"/>
        <v>0</v>
      </c>
      <c r="P22" s="24">
        <f t="shared" si="20"/>
        <v>0</v>
      </c>
      <c r="Q22" s="24">
        <f t="shared" si="8"/>
        <v>885116.39000000013</v>
      </c>
      <c r="R22" s="36">
        <f t="shared" si="30"/>
        <v>71</v>
      </c>
      <c r="S22" s="36">
        <f t="shared" si="9"/>
        <v>73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8.9999999999999993E-3</v>
      </c>
      <c r="U22" s="101">
        <f>IF($D$17=U4,U23,IF($D$17=U5,U23,IF($D$17=U6,U23,IF($D$17=U7,U23,IF($D$17=U8,U24,IF($D$17=U9,U24,IF($D$17=U10,U25,IF($D$17=U11,U26,IF($D$17=U12,U26,"")))))))))</f>
        <v>4.9000000000000002E-2</v>
      </c>
      <c r="V22" s="101" t="str">
        <f>IF($D$17=V4,V23,IF($D$17=V5,V23,IF($D$17=V6,V23,IF($D$17=V7,V23,IF($D$17=V8,V24,IF($D$17=V9,V24,IF($D$17=V10,V25,IF($D$17=V11,V26,IF($D$17=V12,V26,"")))))))))</f>
        <v/>
      </c>
      <c r="W22" s="101" t="str">
        <f>IF($D$17=W4,W23,IF($D$17=W5,W23,IF($D$17=W6,W23,IF($D$17=W7,W23,IF($D$17=W8,W24,IF($D$17=W9,W24,IF($D$17=W10,W25,IF($D$17=W11,W26,IF($D$17=W12,W26,"")))))))))</f>
        <v/>
      </c>
      <c r="X22" s="101" t="str">
        <f>IF($D$17=X4,X23,IF($D$17=X5,X23,IF($D$17=X6,X23,IF($D$17=X7,X23,IF($D$17=X8,X24,IF($D$17=X9,X24,IF($D$17=X10,X25,IF($D$17=X11,X26,IF($D$17=X12,X26,"")))))))))</f>
        <v/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21903</v>
      </c>
      <c r="AP22" s="105">
        <f t="shared" si="11"/>
        <v>14849.73</v>
      </c>
      <c r="AQ22" s="105">
        <f t="shared" si="12"/>
        <v>7053.27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14849.73</v>
      </c>
      <c r="AU22" s="105">
        <f t="shared" si="24"/>
        <v>0</v>
      </c>
      <c r="AV22" s="105">
        <f t="shared" si="25"/>
        <v>0</v>
      </c>
      <c r="AW22" s="105">
        <f t="shared" si="13"/>
        <v>838260.45000000007</v>
      </c>
      <c r="AX22" s="108">
        <f t="shared" si="32"/>
        <v>71</v>
      </c>
      <c r="AY22" s="108">
        <f t="shared" si="14"/>
        <v>71</v>
      </c>
      <c r="AZ22" s="22">
        <f t="shared" si="3"/>
        <v>45740</v>
      </c>
      <c r="BA22" s="108">
        <f t="shared" si="3"/>
        <v>21903</v>
      </c>
      <c r="BD22" s="2" t="s">
        <v>434</v>
      </c>
      <c r="BE22" s="2">
        <f>IF(AND(C10&lt;=47,C17=20.9%),8,IF(C10&lt;=47,8,IF(C17=20.9%,12,12)))</f>
        <v>12</v>
      </c>
      <c r="BH22" s="2" t="s">
        <v>360</v>
      </c>
      <c r="BI22" s="2">
        <f>IF(AND(C10&lt;=47,C17=20.9%),7,IF(AND(C10&lt;=47,C17=16.9%),7,IF(C17=20.9%,10,10)))</f>
        <v>10</v>
      </c>
      <c r="BM22" s="686" t="s">
        <v>418</v>
      </c>
      <c r="BN22" s="687" t="s">
        <v>419</v>
      </c>
      <c r="BO22" s="687" t="s">
        <v>435</v>
      </c>
    </row>
    <row r="23" spans="1:383" ht="13.5" thickBot="1" x14ac:dyDescent="0.25">
      <c r="A23" s="847"/>
      <c r="B23" s="634" t="s">
        <v>440</v>
      </c>
      <c r="C23" s="636">
        <f>IF(C22="Нет",$X$60,C19-3%)</f>
        <v>0.19899999999999998</v>
      </c>
      <c r="D23" s="636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21903</v>
      </c>
      <c r="H23" s="24">
        <f t="shared" si="6"/>
        <v>17214.91</v>
      </c>
      <c r="I23" s="24">
        <f t="shared" si="26"/>
        <v>261974.30000000002</v>
      </c>
      <c r="J23" s="24">
        <f t="shared" si="16"/>
        <v>0</v>
      </c>
      <c r="K23" s="24">
        <f t="shared" si="7"/>
        <v>4688.09</v>
      </c>
      <c r="L23" s="24">
        <f t="shared" si="17"/>
        <v>0</v>
      </c>
      <c r="M23" s="24">
        <f t="shared" si="29"/>
        <v>0</v>
      </c>
      <c r="N23" s="24">
        <f t="shared" si="18"/>
        <v>17214.91</v>
      </c>
      <c r="O23" s="24">
        <f t="shared" si="19"/>
        <v>0</v>
      </c>
      <c r="P23" s="24">
        <f t="shared" si="20"/>
        <v>0</v>
      </c>
      <c r="Q23" s="24">
        <f t="shared" si="8"/>
        <v>880428.30000000016</v>
      </c>
      <c r="R23" s="36">
        <f t="shared" si="30"/>
        <v>70</v>
      </c>
      <c r="S23" s="36">
        <f t="shared" si="9"/>
        <v>72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21903</v>
      </c>
      <c r="AP23" s="105">
        <f t="shared" si="11"/>
        <v>16303.59</v>
      </c>
      <c r="AQ23" s="105">
        <f t="shared" si="12"/>
        <v>5599.41</v>
      </c>
      <c r="AR23" s="105">
        <f t="shared" si="34"/>
        <v>0</v>
      </c>
      <c r="AS23" s="105">
        <f t="shared" si="22"/>
        <v>0</v>
      </c>
      <c r="AT23" s="105">
        <f t="shared" si="23"/>
        <v>16303.59</v>
      </c>
      <c r="AU23" s="105">
        <f t="shared" si="24"/>
        <v>0</v>
      </c>
      <c r="AV23" s="105">
        <f t="shared" si="25"/>
        <v>0</v>
      </c>
      <c r="AW23" s="105">
        <f t="shared" si="13"/>
        <v>832661.04</v>
      </c>
      <c r="AX23" s="108">
        <f t="shared" si="32"/>
        <v>70</v>
      </c>
      <c r="AY23" s="108">
        <f t="shared" si="14"/>
        <v>70</v>
      </c>
      <c r="AZ23" s="22">
        <f t="shared" si="3"/>
        <v>45771</v>
      </c>
      <c r="BA23" s="108">
        <f t="shared" si="3"/>
        <v>21903</v>
      </c>
      <c r="BD23" s="16" t="s">
        <v>373</v>
      </c>
      <c r="BE23" s="637">
        <f>(C7+C12+C25)/(1-BF17*BE22)</f>
        <v>1106307.2429906542</v>
      </c>
      <c r="BF23" s="16"/>
      <c r="BG23" s="16"/>
      <c r="BH23" s="16" t="s">
        <v>373</v>
      </c>
      <c r="BI23" s="143">
        <f>(C7+C12)/(1-BF19*BI22)</f>
        <v>1028215.5756207674</v>
      </c>
      <c r="BM23" s="684" t="s">
        <v>360</v>
      </c>
      <c r="BN23" s="688" t="s">
        <v>429</v>
      </c>
      <c r="BO23" s="688" t="s">
        <v>431</v>
      </c>
    </row>
    <row r="24" spans="1:383" ht="16.5" customHeight="1" thickBot="1" x14ac:dyDescent="0.25">
      <c r="A24" s="847"/>
      <c r="B24" s="634" t="s">
        <v>441</v>
      </c>
      <c r="C24" s="638">
        <v>0.04</v>
      </c>
      <c r="D24" s="638"/>
      <c r="E24" s="114">
        <f t="shared" si="28"/>
        <v>16</v>
      </c>
      <c r="F24" s="111">
        <f t="shared" si="15"/>
        <v>45801</v>
      </c>
      <c r="G24" s="24">
        <f t="shared" si="5"/>
        <v>21903</v>
      </c>
      <c r="H24" s="24">
        <f t="shared" si="6"/>
        <v>16571.349999999999</v>
      </c>
      <c r="I24" s="24">
        <f t="shared" si="26"/>
        <v>278545.65000000002</v>
      </c>
      <c r="J24" s="24">
        <f t="shared" si="16"/>
        <v>0</v>
      </c>
      <c r="K24" s="24">
        <f t="shared" si="7"/>
        <v>5331.6500000000015</v>
      </c>
      <c r="L24" s="24">
        <f t="shared" si="17"/>
        <v>0</v>
      </c>
      <c r="M24" s="24">
        <f t="shared" si="29"/>
        <v>0</v>
      </c>
      <c r="N24" s="24">
        <f t="shared" si="18"/>
        <v>16571.349999999999</v>
      </c>
      <c r="O24" s="24">
        <f t="shared" si="19"/>
        <v>0</v>
      </c>
      <c r="P24" s="24">
        <f t="shared" si="20"/>
        <v>0</v>
      </c>
      <c r="Q24" s="24">
        <f t="shared" si="8"/>
        <v>875096.65000000014</v>
      </c>
      <c r="R24" s="36">
        <f t="shared" si="30"/>
        <v>69</v>
      </c>
      <c r="S24" s="36">
        <f t="shared" si="9"/>
        <v>72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21903</v>
      </c>
      <c r="AP24" s="105">
        <f t="shared" si="11"/>
        <v>15672.28</v>
      </c>
      <c r="AQ24" s="105">
        <f t="shared" si="12"/>
        <v>6230.7199999999993</v>
      </c>
      <c r="AR24" s="105">
        <f t="shared" si="34"/>
        <v>0</v>
      </c>
      <c r="AS24" s="105">
        <f t="shared" si="22"/>
        <v>0</v>
      </c>
      <c r="AT24" s="105">
        <f t="shared" si="23"/>
        <v>15672.28</v>
      </c>
      <c r="AU24" s="105">
        <f t="shared" si="24"/>
        <v>0</v>
      </c>
      <c r="AV24" s="105">
        <f t="shared" si="25"/>
        <v>0</v>
      </c>
      <c r="AW24" s="105">
        <f t="shared" si="13"/>
        <v>826430.32000000007</v>
      </c>
      <c r="AX24" s="108">
        <f t="shared" si="32"/>
        <v>69</v>
      </c>
      <c r="AY24" s="108">
        <f t="shared" si="14"/>
        <v>69</v>
      </c>
      <c r="AZ24" s="22">
        <f t="shared" si="3"/>
        <v>45801</v>
      </c>
      <c r="BA24" s="108">
        <f t="shared" si="3"/>
        <v>21903</v>
      </c>
      <c r="BD24" s="16" t="s">
        <v>374</v>
      </c>
      <c r="BE24" s="143">
        <f>BE23*BF17*BE22</f>
        <v>159308.24299065419</v>
      </c>
      <c r="BF24" s="16"/>
      <c r="BG24" s="16"/>
      <c r="BH24" s="16" t="s">
        <v>374</v>
      </c>
      <c r="BI24" s="143">
        <f>BI23*BF19*BI22</f>
        <v>117216.57562076749</v>
      </c>
      <c r="BM24" s="684" t="s">
        <v>424</v>
      </c>
      <c r="BN24" s="685" t="s">
        <v>425</v>
      </c>
      <c r="BO24" s="688" t="s">
        <v>479</v>
      </c>
    </row>
    <row r="25" spans="1:383" ht="16.5" customHeight="1" x14ac:dyDescent="0.2">
      <c r="A25" s="847"/>
      <c r="B25" s="634" t="s">
        <v>442</v>
      </c>
      <c r="C25" s="639">
        <f>IF(C23&lt;&gt;X60,IF(C22="Нет",0,ROUND($C$7*C24,2)),0)</f>
        <v>36000</v>
      </c>
      <c r="D25" s="639"/>
      <c r="E25" s="114">
        <f t="shared" si="28"/>
        <v>17</v>
      </c>
      <c r="F25" s="111">
        <f t="shared" si="15"/>
        <v>45832</v>
      </c>
      <c r="G25" s="24">
        <f t="shared" si="5"/>
        <v>21903</v>
      </c>
      <c r="H25" s="24">
        <f t="shared" si="6"/>
        <v>17020.03</v>
      </c>
      <c r="I25" s="24">
        <f t="shared" si="26"/>
        <v>295565.68000000005</v>
      </c>
      <c r="J25" s="24">
        <f t="shared" si="16"/>
        <v>0</v>
      </c>
      <c r="K25" s="24">
        <f t="shared" si="7"/>
        <v>4882.9700000000012</v>
      </c>
      <c r="L25" s="24">
        <f t="shared" si="17"/>
        <v>0</v>
      </c>
      <c r="M25" s="24">
        <f t="shared" si="29"/>
        <v>0</v>
      </c>
      <c r="N25" s="24">
        <f t="shared" si="18"/>
        <v>17020.03</v>
      </c>
      <c r="O25" s="24">
        <f t="shared" si="19"/>
        <v>0</v>
      </c>
      <c r="P25" s="24">
        <f t="shared" si="20"/>
        <v>0</v>
      </c>
      <c r="Q25" s="24">
        <f t="shared" si="8"/>
        <v>870213.68000000017</v>
      </c>
      <c r="R25" s="36">
        <f t="shared" si="30"/>
        <v>68</v>
      </c>
      <c r="S25" s="36">
        <f t="shared" si="9"/>
        <v>71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21903</v>
      </c>
      <c r="AP25" s="105">
        <f t="shared" si="11"/>
        <v>16073.5</v>
      </c>
      <c r="AQ25" s="105">
        <f t="shared" si="12"/>
        <v>5829.5</v>
      </c>
      <c r="AR25" s="105">
        <f t="shared" si="34"/>
        <v>0</v>
      </c>
      <c r="AS25" s="105">
        <f t="shared" si="22"/>
        <v>0</v>
      </c>
      <c r="AT25" s="105">
        <f t="shared" si="23"/>
        <v>16073.5</v>
      </c>
      <c r="AU25" s="105">
        <f t="shared" si="24"/>
        <v>0</v>
      </c>
      <c r="AV25" s="105">
        <f t="shared" si="25"/>
        <v>0</v>
      </c>
      <c r="AW25" s="105">
        <f t="shared" si="13"/>
        <v>820600.82000000007</v>
      </c>
      <c r="AX25" s="108">
        <f t="shared" si="32"/>
        <v>68</v>
      </c>
      <c r="AY25" s="108">
        <f t="shared" si="14"/>
        <v>68</v>
      </c>
      <c r="AZ25" s="22">
        <f t="shared" si="3"/>
        <v>45832</v>
      </c>
      <c r="BA25" s="108">
        <f t="shared" si="3"/>
        <v>21903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47"/>
      <c r="B26" s="634" t="s">
        <v>443</v>
      </c>
      <c r="C26" s="639">
        <f>IF(AND($C$23&lt;&gt;X60,C22="Да"),H160-H160/C19*C23,0)</f>
        <v>138468.31572052406</v>
      </c>
      <c r="D26" s="640"/>
      <c r="E26" s="114">
        <f t="shared" si="28"/>
        <v>18</v>
      </c>
      <c r="F26" s="111">
        <f t="shared" si="15"/>
        <v>45862</v>
      </c>
      <c r="G26" s="24">
        <f t="shared" si="5"/>
        <v>21903</v>
      </c>
      <c r="H26" s="24">
        <f t="shared" si="6"/>
        <v>16379.09</v>
      </c>
      <c r="I26" s="24">
        <f t="shared" si="26"/>
        <v>311944.77000000008</v>
      </c>
      <c r="J26" s="24">
        <f t="shared" si="16"/>
        <v>0</v>
      </c>
      <c r="K26" s="24">
        <f t="shared" si="7"/>
        <v>5523.91</v>
      </c>
      <c r="L26" s="24">
        <f t="shared" si="17"/>
        <v>0</v>
      </c>
      <c r="M26" s="24">
        <f t="shared" si="29"/>
        <v>0</v>
      </c>
      <c r="N26" s="24">
        <f t="shared" si="18"/>
        <v>16379.09</v>
      </c>
      <c r="O26" s="24">
        <f t="shared" si="19"/>
        <v>0</v>
      </c>
      <c r="P26" s="24">
        <f t="shared" si="20"/>
        <v>0</v>
      </c>
      <c r="Q26" s="24">
        <f t="shared" si="8"/>
        <v>864689.77000000014</v>
      </c>
      <c r="R26" s="36">
        <f t="shared" si="30"/>
        <v>67</v>
      </c>
      <c r="S26" s="36">
        <f t="shared" si="9"/>
        <v>70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21903</v>
      </c>
      <c r="AP26" s="105">
        <f t="shared" si="11"/>
        <v>15445.28</v>
      </c>
      <c r="AQ26" s="105">
        <f t="shared" si="12"/>
        <v>6457.7199999999993</v>
      </c>
      <c r="AR26" s="105">
        <f t="shared" si="34"/>
        <v>0</v>
      </c>
      <c r="AS26" s="105">
        <f t="shared" si="22"/>
        <v>0</v>
      </c>
      <c r="AT26" s="105">
        <f t="shared" si="23"/>
        <v>15445.28</v>
      </c>
      <c r="AU26" s="105">
        <f t="shared" si="24"/>
        <v>0</v>
      </c>
      <c r="AV26" s="105">
        <f t="shared" si="25"/>
        <v>0</v>
      </c>
      <c r="AW26" s="105">
        <f t="shared" si="13"/>
        <v>814143.10000000009</v>
      </c>
      <c r="AX26" s="108">
        <f t="shared" si="32"/>
        <v>67</v>
      </c>
      <c r="AY26" s="108">
        <f t="shared" si="14"/>
        <v>67</v>
      </c>
      <c r="AZ26" s="22">
        <f t="shared" si="3"/>
        <v>45862</v>
      </c>
      <c r="BA26" s="108">
        <f t="shared" si="3"/>
        <v>21903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47"/>
      <c r="B27" s="641" t="s">
        <v>444</v>
      </c>
      <c r="C27" s="642">
        <f>IF(AND($C$23&lt;&gt;X60,J160&gt;0),C26-J160,C26)</f>
        <v>64.277292576385662</v>
      </c>
      <c r="D27" s="643"/>
      <c r="E27" s="114">
        <f t="shared" si="28"/>
        <v>19</v>
      </c>
      <c r="F27" s="111">
        <f t="shared" si="15"/>
        <v>45893</v>
      </c>
      <c r="G27" s="24">
        <f t="shared" si="5"/>
        <v>21903</v>
      </c>
      <c r="H27" s="24">
        <f t="shared" si="6"/>
        <v>16817.62</v>
      </c>
      <c r="I27" s="24">
        <f t="shared" si="26"/>
        <v>328762.39000000007</v>
      </c>
      <c r="J27" s="24">
        <f t="shared" si="16"/>
        <v>0</v>
      </c>
      <c r="K27" s="24">
        <f t="shared" si="7"/>
        <v>5085.380000000001</v>
      </c>
      <c r="L27" s="24">
        <f t="shared" si="17"/>
        <v>0</v>
      </c>
      <c r="M27" s="24">
        <f t="shared" si="29"/>
        <v>0</v>
      </c>
      <c r="N27" s="24">
        <f t="shared" si="18"/>
        <v>16817.62</v>
      </c>
      <c r="O27" s="24">
        <f t="shared" si="19"/>
        <v>0</v>
      </c>
      <c r="P27" s="24">
        <f t="shared" si="20"/>
        <v>0</v>
      </c>
      <c r="Q27" s="24">
        <f t="shared" si="8"/>
        <v>859604.39000000013</v>
      </c>
      <c r="R27" s="36">
        <f t="shared" si="30"/>
        <v>66</v>
      </c>
      <c r="S27" s="36">
        <f t="shared" si="9"/>
        <v>69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21903</v>
      </c>
      <c r="AP27" s="105">
        <f t="shared" si="11"/>
        <v>15834.53</v>
      </c>
      <c r="AQ27" s="105">
        <f t="shared" si="12"/>
        <v>6068.4699999999993</v>
      </c>
      <c r="AR27" s="105">
        <f t="shared" si="34"/>
        <v>0</v>
      </c>
      <c r="AS27" s="105">
        <f t="shared" si="22"/>
        <v>0</v>
      </c>
      <c r="AT27" s="105">
        <f t="shared" si="23"/>
        <v>15834.53</v>
      </c>
      <c r="AU27" s="105">
        <f t="shared" si="24"/>
        <v>0</v>
      </c>
      <c r="AV27" s="105">
        <f t="shared" si="25"/>
        <v>0</v>
      </c>
      <c r="AW27" s="105">
        <f t="shared" si="13"/>
        <v>808074.63000000012</v>
      </c>
      <c r="AX27" s="108">
        <f t="shared" si="32"/>
        <v>66</v>
      </c>
      <c r="AY27" s="108">
        <f t="shared" si="14"/>
        <v>66</v>
      </c>
      <c r="AZ27" s="22">
        <f t="shared" si="3"/>
        <v>45893</v>
      </c>
      <c r="BA27" s="108">
        <f t="shared" si="3"/>
        <v>21903</v>
      </c>
      <c r="BF27" s="16"/>
      <c r="BG27" s="16"/>
      <c r="BJ27" s="16"/>
    </row>
    <row r="28" spans="1:383" ht="22.5" customHeight="1" x14ac:dyDescent="0.2">
      <c r="A28" s="861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862"/>
      <c r="C28" s="644">
        <f>C7+C32+IF(C22="Да",C25,0)+IF(C11="Да",C12,0)</f>
        <v>946999</v>
      </c>
      <c r="D28" s="644">
        <f>D7+D32+IF(D22="Да",D25,0)+IF(D11="Да",D12,0)</f>
        <v>910999</v>
      </c>
      <c r="E28" s="114">
        <f t="shared" si="28"/>
        <v>20</v>
      </c>
      <c r="F28" s="111">
        <f t="shared" si="15"/>
        <v>45924</v>
      </c>
      <c r="G28" s="24">
        <f t="shared" si="5"/>
        <v>21903</v>
      </c>
      <c r="H28" s="24">
        <f t="shared" si="6"/>
        <v>16718.72</v>
      </c>
      <c r="I28" s="24">
        <f t="shared" si="26"/>
        <v>345481.1100000001</v>
      </c>
      <c r="J28" s="24">
        <f t="shared" si="16"/>
        <v>0</v>
      </c>
      <c r="K28" s="24">
        <f t="shared" si="7"/>
        <v>5184.2799999999988</v>
      </c>
      <c r="L28" s="24">
        <f t="shared" si="17"/>
        <v>0</v>
      </c>
      <c r="M28" s="24">
        <f t="shared" si="29"/>
        <v>0</v>
      </c>
      <c r="N28" s="24">
        <f t="shared" si="18"/>
        <v>16718.72</v>
      </c>
      <c r="O28" s="24">
        <f t="shared" si="19"/>
        <v>0</v>
      </c>
      <c r="P28" s="24">
        <f t="shared" si="20"/>
        <v>0</v>
      </c>
      <c r="Q28" s="24">
        <f t="shared" si="8"/>
        <v>854420.1100000001</v>
      </c>
      <c r="R28" s="36">
        <f t="shared" si="30"/>
        <v>65</v>
      </c>
      <c r="S28" s="36">
        <f t="shared" si="9"/>
        <v>68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21903</v>
      </c>
      <c r="AP28" s="105">
        <f t="shared" si="11"/>
        <v>15716.5</v>
      </c>
      <c r="AQ28" s="105">
        <f t="shared" si="12"/>
        <v>6186.5</v>
      </c>
      <c r="AR28" s="105">
        <f t="shared" si="34"/>
        <v>0</v>
      </c>
      <c r="AS28" s="105">
        <f t="shared" si="22"/>
        <v>0</v>
      </c>
      <c r="AT28" s="105">
        <f t="shared" si="23"/>
        <v>15716.5</v>
      </c>
      <c r="AU28" s="105">
        <f t="shared" si="24"/>
        <v>0</v>
      </c>
      <c r="AV28" s="105">
        <f t="shared" si="25"/>
        <v>0</v>
      </c>
      <c r="AW28" s="105">
        <f t="shared" si="13"/>
        <v>801888.13000000012</v>
      </c>
      <c r="AX28" s="108">
        <f t="shared" si="32"/>
        <v>65</v>
      </c>
      <c r="AY28" s="108">
        <f t="shared" si="14"/>
        <v>65</v>
      </c>
      <c r="AZ28" s="22">
        <f t="shared" si="3"/>
        <v>45924</v>
      </c>
      <c r="BA28" s="108">
        <f t="shared" si="3"/>
        <v>21903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61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862"/>
      <c r="C29" s="645">
        <f>IF(AND(C8="Нет",C22="Нет"),ROUNDUP(AB55/$AE$47,0)*$AE$47,D29)</f>
        <v>21903</v>
      </c>
      <c r="D29" s="646">
        <f>ROUNDUP(AD$55/$AE$47,0)*$AE$47</f>
        <v>21903</v>
      </c>
      <c r="E29" s="114">
        <f t="shared" si="28"/>
        <v>21</v>
      </c>
      <c r="F29" s="111">
        <f t="shared" si="15"/>
        <v>45954</v>
      </c>
      <c r="G29" s="24">
        <f t="shared" si="5"/>
        <v>21903</v>
      </c>
      <c r="H29" s="24">
        <f t="shared" si="6"/>
        <v>16081.83</v>
      </c>
      <c r="I29" s="24">
        <f t="shared" si="26"/>
        <v>361562.94000000012</v>
      </c>
      <c r="J29" s="24">
        <f t="shared" si="16"/>
        <v>0</v>
      </c>
      <c r="K29" s="24">
        <f t="shared" si="7"/>
        <v>5821.17</v>
      </c>
      <c r="L29" s="24">
        <f t="shared" si="17"/>
        <v>0</v>
      </c>
      <c r="M29" s="24">
        <f t="shared" si="29"/>
        <v>0</v>
      </c>
      <c r="N29" s="24">
        <f t="shared" si="18"/>
        <v>16081.83</v>
      </c>
      <c r="O29" s="24">
        <f t="shared" si="19"/>
        <v>0</v>
      </c>
      <c r="P29" s="24">
        <f t="shared" si="20"/>
        <v>0</v>
      </c>
      <c r="Q29" s="24">
        <f t="shared" si="8"/>
        <v>848598.94000000006</v>
      </c>
      <c r="R29" s="36">
        <f t="shared" si="30"/>
        <v>64</v>
      </c>
      <c r="S29" s="36">
        <f t="shared" si="9"/>
        <v>67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21903</v>
      </c>
      <c r="AP29" s="105">
        <f t="shared" si="11"/>
        <v>15093.07</v>
      </c>
      <c r="AQ29" s="105">
        <f t="shared" si="12"/>
        <v>6809.93</v>
      </c>
      <c r="AR29" s="105">
        <f t="shared" si="34"/>
        <v>0</v>
      </c>
      <c r="AS29" s="105">
        <f t="shared" si="22"/>
        <v>0</v>
      </c>
      <c r="AT29" s="105">
        <f t="shared" si="23"/>
        <v>15093.07</v>
      </c>
      <c r="AU29" s="105">
        <f t="shared" si="24"/>
        <v>0</v>
      </c>
      <c r="AV29" s="105">
        <f t="shared" si="25"/>
        <v>0</v>
      </c>
      <c r="AW29" s="105">
        <f t="shared" si="13"/>
        <v>795078.20000000007</v>
      </c>
      <c r="AX29" s="108">
        <f t="shared" si="32"/>
        <v>64</v>
      </c>
      <c r="AY29" s="108">
        <f t="shared" si="14"/>
        <v>64</v>
      </c>
      <c r="AZ29" s="22">
        <f t="shared" si="3"/>
        <v>45954</v>
      </c>
      <c r="BA29" s="108">
        <f t="shared" si="3"/>
        <v>21903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41" t="s">
        <v>445</v>
      </c>
      <c r="B30" s="863"/>
      <c r="C30" s="647">
        <f>IF(OR(C8="Оптимум+",C8="Уверенность"),BE22,IF(C8="нет",0,IF(C8="Оптимум",BI22,0)))</f>
        <v>0</v>
      </c>
      <c r="D30" s="648">
        <f>IF(OR(D7="Максимум"),BE22,IF(D7="нет",0,IF(D7="Оптимум",BI22,0)))</f>
        <v>0</v>
      </c>
      <c r="E30" s="114">
        <f t="shared" si="28"/>
        <v>22</v>
      </c>
      <c r="F30" s="111">
        <f t="shared" si="15"/>
        <v>45985</v>
      </c>
      <c r="G30" s="24">
        <f t="shared" si="5"/>
        <v>21903</v>
      </c>
      <c r="H30" s="24">
        <f t="shared" si="6"/>
        <v>16504.669999999998</v>
      </c>
      <c r="I30" s="24">
        <f t="shared" si="26"/>
        <v>378067.6100000001</v>
      </c>
      <c r="J30" s="24">
        <f t="shared" si="16"/>
        <v>0</v>
      </c>
      <c r="K30" s="24">
        <f t="shared" si="7"/>
        <v>5398.3300000000017</v>
      </c>
      <c r="L30" s="24">
        <f t="shared" si="17"/>
        <v>0</v>
      </c>
      <c r="M30" s="24">
        <f t="shared" si="29"/>
        <v>0</v>
      </c>
      <c r="N30" s="24">
        <f t="shared" si="18"/>
        <v>16504.669999999998</v>
      </c>
      <c r="O30" s="24">
        <f t="shared" si="19"/>
        <v>0</v>
      </c>
      <c r="P30" s="24">
        <f t="shared" si="20"/>
        <v>0</v>
      </c>
      <c r="Q30" s="24">
        <f t="shared" si="8"/>
        <v>843200.6100000001</v>
      </c>
      <c r="R30" s="36">
        <f t="shared" si="30"/>
        <v>63</v>
      </c>
      <c r="S30" s="36">
        <f t="shared" si="9"/>
        <v>66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21903</v>
      </c>
      <c r="AP30" s="105">
        <f t="shared" si="11"/>
        <v>15463.73</v>
      </c>
      <c r="AQ30" s="105">
        <f t="shared" si="12"/>
        <v>6439.27</v>
      </c>
      <c r="AR30" s="105">
        <f t="shared" si="34"/>
        <v>0</v>
      </c>
      <c r="AS30" s="105">
        <f t="shared" si="22"/>
        <v>0</v>
      </c>
      <c r="AT30" s="105">
        <f t="shared" si="23"/>
        <v>15463.73</v>
      </c>
      <c r="AU30" s="105">
        <f t="shared" si="24"/>
        <v>0</v>
      </c>
      <c r="AV30" s="105">
        <f t="shared" si="25"/>
        <v>0</v>
      </c>
      <c r="AW30" s="105">
        <f t="shared" si="13"/>
        <v>788638.93</v>
      </c>
      <c r="AX30" s="108">
        <f t="shared" si="32"/>
        <v>63</v>
      </c>
      <c r="AY30" s="108">
        <f t="shared" si="14"/>
        <v>63</v>
      </c>
      <c r="AZ30" s="22">
        <f t="shared" si="3"/>
        <v>45985</v>
      </c>
      <c r="BA30" s="108">
        <f t="shared" si="3"/>
        <v>21903</v>
      </c>
    </row>
    <row r="31" spans="1:383" ht="21" customHeight="1" x14ac:dyDescent="0.2">
      <c r="A31" s="841" t="s">
        <v>100</v>
      </c>
      <c r="B31" s="842"/>
      <c r="C31" s="649">
        <f>IF(OR(C8="Оптимум+",C8="Уверенность"),$BF$17,IF(C8="нет",0,IF(C8="Оптимум",$BF$19,0)))</f>
        <v>0</v>
      </c>
      <c r="D31" s="649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21903</v>
      </c>
      <c r="H31" s="24">
        <f t="shared" si="6"/>
        <v>15870.65</v>
      </c>
      <c r="I31" s="24">
        <f t="shared" si="26"/>
        <v>393938.26000000013</v>
      </c>
      <c r="J31" s="24">
        <f t="shared" si="16"/>
        <v>0</v>
      </c>
      <c r="K31" s="24">
        <f t="shared" si="7"/>
        <v>6032.35</v>
      </c>
      <c r="L31" s="24">
        <f t="shared" si="17"/>
        <v>0</v>
      </c>
      <c r="M31" s="24">
        <f t="shared" si="29"/>
        <v>0</v>
      </c>
      <c r="N31" s="24">
        <f t="shared" si="18"/>
        <v>15870.65</v>
      </c>
      <c r="O31" s="24">
        <f t="shared" si="19"/>
        <v>0</v>
      </c>
      <c r="P31" s="24">
        <f t="shared" si="20"/>
        <v>0</v>
      </c>
      <c r="Q31" s="24">
        <f t="shared" si="8"/>
        <v>837168.26000000013</v>
      </c>
      <c r="R31" s="36">
        <f t="shared" si="30"/>
        <v>62</v>
      </c>
      <c r="S31" s="36">
        <f t="shared" si="9"/>
        <v>66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21903</v>
      </c>
      <c r="AP31" s="105">
        <f t="shared" si="11"/>
        <v>14843.7</v>
      </c>
      <c r="AQ31" s="105">
        <f t="shared" si="12"/>
        <v>7059.2999999999993</v>
      </c>
      <c r="AR31" s="105">
        <f t="shared" si="34"/>
        <v>0</v>
      </c>
      <c r="AS31" s="105">
        <f t="shared" si="22"/>
        <v>0</v>
      </c>
      <c r="AT31" s="105">
        <f t="shared" si="23"/>
        <v>14843.7</v>
      </c>
      <c r="AU31" s="105">
        <f t="shared" si="24"/>
        <v>0</v>
      </c>
      <c r="AV31" s="105">
        <f t="shared" si="25"/>
        <v>0</v>
      </c>
      <c r="AW31" s="105">
        <f t="shared" si="13"/>
        <v>781579.63</v>
      </c>
      <c r="AX31" s="108">
        <f t="shared" si="32"/>
        <v>62</v>
      </c>
      <c r="AY31" s="108">
        <f t="shared" si="14"/>
        <v>62</v>
      </c>
      <c r="AZ31" s="22">
        <f t="shared" si="3"/>
        <v>46015</v>
      </c>
      <c r="BA31" s="108">
        <f t="shared" si="3"/>
        <v>21903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41" t="s">
        <v>446</v>
      </c>
      <c r="B32" s="842"/>
      <c r="C32" s="650">
        <f>IF(OR(C8="Оптимум+",C8="Уверенность"),$BE$24,IF(C8="нет",0,IF(C8="Оптимум",$BI$24,0)))</f>
        <v>0</v>
      </c>
      <c r="D32" s="650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21903</v>
      </c>
      <c r="H32" s="24">
        <f t="shared" si="6"/>
        <v>16282.35</v>
      </c>
      <c r="I32" s="24">
        <f t="shared" si="26"/>
        <v>410220.6100000001</v>
      </c>
      <c r="J32" s="24">
        <f t="shared" si="16"/>
        <v>0</v>
      </c>
      <c r="K32" s="24">
        <f t="shared" si="7"/>
        <v>5620.65</v>
      </c>
      <c r="L32" s="24">
        <f t="shared" si="17"/>
        <v>0</v>
      </c>
      <c r="M32" s="24">
        <f t="shared" si="29"/>
        <v>0</v>
      </c>
      <c r="N32" s="24">
        <f t="shared" si="18"/>
        <v>16282.35</v>
      </c>
      <c r="O32" s="24">
        <f t="shared" si="19"/>
        <v>0</v>
      </c>
      <c r="P32" s="24">
        <f t="shared" si="20"/>
        <v>0</v>
      </c>
      <c r="Q32" s="24">
        <f t="shared" si="8"/>
        <v>831547.6100000001</v>
      </c>
      <c r="R32" s="36">
        <f t="shared" si="30"/>
        <v>61</v>
      </c>
      <c r="S32" s="36">
        <f t="shared" si="9"/>
        <v>65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8.9999999999999993E-3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21903</v>
      </c>
      <c r="AP32" s="105">
        <f t="shared" si="11"/>
        <v>15201.19</v>
      </c>
      <c r="AQ32" s="105">
        <f t="shared" si="12"/>
        <v>6701.8099999999995</v>
      </c>
      <c r="AR32" s="105">
        <f t="shared" si="34"/>
        <v>0</v>
      </c>
      <c r="AS32" s="105">
        <f t="shared" si="22"/>
        <v>0</v>
      </c>
      <c r="AT32" s="105">
        <f t="shared" si="23"/>
        <v>15201.19</v>
      </c>
      <c r="AU32" s="105">
        <f t="shared" si="24"/>
        <v>0</v>
      </c>
      <c r="AV32" s="105">
        <f t="shared" si="25"/>
        <v>0</v>
      </c>
      <c r="AW32" s="105">
        <f t="shared" si="13"/>
        <v>774877.82</v>
      </c>
      <c r="AX32" s="108">
        <f t="shared" si="32"/>
        <v>61</v>
      </c>
      <c r="AY32" s="108">
        <f t="shared" si="14"/>
        <v>61</v>
      </c>
      <c r="AZ32" s="22">
        <f t="shared" si="3"/>
        <v>46046</v>
      </c>
      <c r="BA32" s="108">
        <f t="shared" si="3"/>
        <v>21903</v>
      </c>
    </row>
    <row r="33" spans="1:1207" ht="19.5" customHeight="1" x14ac:dyDescent="0.2">
      <c r="A33" s="2" t="s">
        <v>447</v>
      </c>
      <c r="B33" s="622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21903</v>
      </c>
      <c r="H33" s="24">
        <f t="shared" si="6"/>
        <v>16173.03</v>
      </c>
      <c r="I33" s="24">
        <f t="shared" si="26"/>
        <v>426393.64000000013</v>
      </c>
      <c r="J33" s="24">
        <f t="shared" si="16"/>
        <v>0</v>
      </c>
      <c r="K33" s="24">
        <f t="shared" si="7"/>
        <v>5729.9699999999993</v>
      </c>
      <c r="L33" s="24">
        <f t="shared" si="17"/>
        <v>0</v>
      </c>
      <c r="M33" s="24">
        <f t="shared" si="29"/>
        <v>0</v>
      </c>
      <c r="N33" s="24">
        <f t="shared" si="18"/>
        <v>16173.03</v>
      </c>
      <c r="O33" s="24">
        <f t="shared" si="19"/>
        <v>0</v>
      </c>
      <c r="P33" s="24">
        <f t="shared" si="20"/>
        <v>0</v>
      </c>
      <c r="Q33" s="24">
        <f t="shared" si="8"/>
        <v>825817.64000000013</v>
      </c>
      <c r="R33" s="36">
        <f t="shared" si="30"/>
        <v>60</v>
      </c>
      <c r="S33" s="36">
        <f t="shared" si="9"/>
        <v>64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21903</v>
      </c>
      <c r="AP33" s="105">
        <f t="shared" si="11"/>
        <v>15070.84</v>
      </c>
      <c r="AQ33" s="105">
        <f t="shared" si="12"/>
        <v>6832.16</v>
      </c>
      <c r="AR33" s="105">
        <f t="shared" si="34"/>
        <v>0</v>
      </c>
      <c r="AS33" s="105">
        <f t="shared" si="22"/>
        <v>0</v>
      </c>
      <c r="AT33" s="105">
        <f t="shared" si="23"/>
        <v>15070.84</v>
      </c>
      <c r="AU33" s="105">
        <f t="shared" si="24"/>
        <v>0</v>
      </c>
      <c r="AV33" s="105">
        <f t="shared" si="25"/>
        <v>0</v>
      </c>
      <c r="AW33" s="105">
        <f t="shared" si="13"/>
        <v>768045.65999999992</v>
      </c>
      <c r="AX33" s="108">
        <f t="shared" si="32"/>
        <v>60</v>
      </c>
      <c r="AY33" s="108">
        <f t="shared" si="14"/>
        <v>60</v>
      </c>
      <c r="AZ33" s="22">
        <f t="shared" si="3"/>
        <v>46077</v>
      </c>
      <c r="BA33" s="108">
        <f t="shared" si="3"/>
        <v>21903</v>
      </c>
      <c r="BD33" s="782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22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21903</v>
      </c>
      <c r="H34" s="24">
        <f t="shared" si="6"/>
        <v>14507.24</v>
      </c>
      <c r="I34" s="24">
        <f t="shared" si="26"/>
        <v>440900.88000000012</v>
      </c>
      <c r="J34" s="24">
        <f t="shared" si="16"/>
        <v>0</v>
      </c>
      <c r="K34" s="24">
        <f t="shared" si="7"/>
        <v>7395.76</v>
      </c>
      <c r="L34" s="24">
        <f t="shared" si="17"/>
        <v>0</v>
      </c>
      <c r="M34" s="24">
        <f t="shared" si="29"/>
        <v>0</v>
      </c>
      <c r="N34" s="24">
        <f t="shared" si="18"/>
        <v>14507.24</v>
      </c>
      <c r="O34" s="24">
        <f t="shared" si="19"/>
        <v>0</v>
      </c>
      <c r="P34" s="24">
        <f t="shared" si="20"/>
        <v>0</v>
      </c>
      <c r="Q34" s="24">
        <f t="shared" si="8"/>
        <v>818421.88000000012</v>
      </c>
      <c r="R34" s="36">
        <f t="shared" si="30"/>
        <v>59</v>
      </c>
      <c r="S34" s="36">
        <f t="shared" si="9"/>
        <v>63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21903</v>
      </c>
      <c r="AP34" s="105">
        <f t="shared" si="11"/>
        <v>13492.35</v>
      </c>
      <c r="AQ34" s="105">
        <f t="shared" si="12"/>
        <v>8410.65</v>
      </c>
      <c r="AR34" s="105">
        <f t="shared" si="34"/>
        <v>0</v>
      </c>
      <c r="AS34" s="105">
        <f t="shared" si="22"/>
        <v>0</v>
      </c>
      <c r="AT34" s="105">
        <f t="shared" si="23"/>
        <v>13492.35</v>
      </c>
      <c r="AU34" s="105">
        <f t="shared" si="24"/>
        <v>0</v>
      </c>
      <c r="AV34" s="105">
        <f t="shared" si="25"/>
        <v>0</v>
      </c>
      <c r="AW34" s="105">
        <f t="shared" si="13"/>
        <v>759635.00999999989</v>
      </c>
      <c r="AX34" s="108">
        <f t="shared" si="32"/>
        <v>59</v>
      </c>
      <c r="AY34" s="108">
        <f t="shared" si="14"/>
        <v>59</v>
      </c>
      <c r="AZ34" s="22">
        <f t="shared" si="3"/>
        <v>46105</v>
      </c>
      <c r="BA34" s="108">
        <f t="shared" si="3"/>
        <v>21903</v>
      </c>
      <c r="BD34" s="782"/>
    </row>
    <row r="35" spans="1:1207" ht="25.5" customHeight="1" x14ac:dyDescent="0.25">
      <c r="A35" s="2" t="s">
        <v>451</v>
      </c>
      <c r="B35" s="622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21903</v>
      </c>
      <c r="H35" s="24">
        <f t="shared" si="6"/>
        <v>15917.75</v>
      </c>
      <c r="I35" s="24">
        <f t="shared" si="26"/>
        <v>456818.63000000012</v>
      </c>
      <c r="J35" s="24">
        <f t="shared" si="16"/>
        <v>0</v>
      </c>
      <c r="K35" s="24">
        <f t="shared" si="7"/>
        <v>5985.25</v>
      </c>
      <c r="L35" s="24">
        <f t="shared" si="17"/>
        <v>0</v>
      </c>
      <c r="M35" s="24">
        <f t="shared" si="29"/>
        <v>0</v>
      </c>
      <c r="N35" s="24">
        <f t="shared" si="18"/>
        <v>15917.75</v>
      </c>
      <c r="O35" s="24">
        <f t="shared" si="19"/>
        <v>0</v>
      </c>
      <c r="P35" s="24">
        <f t="shared" si="20"/>
        <v>0</v>
      </c>
      <c r="Q35" s="24">
        <f t="shared" si="8"/>
        <v>812436.63000000012</v>
      </c>
      <c r="R35" s="36">
        <f t="shared" si="30"/>
        <v>58</v>
      </c>
      <c r="S35" s="36">
        <f t="shared" si="9"/>
        <v>62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21903</v>
      </c>
      <c r="AP35" s="105">
        <f t="shared" si="11"/>
        <v>14774.38</v>
      </c>
      <c r="AQ35" s="105">
        <f t="shared" si="12"/>
        <v>7128.6200000000008</v>
      </c>
      <c r="AR35" s="105">
        <f t="shared" si="34"/>
        <v>0</v>
      </c>
      <c r="AS35" s="105">
        <f t="shared" si="22"/>
        <v>0</v>
      </c>
      <c r="AT35" s="105">
        <f t="shared" si="23"/>
        <v>14774.38</v>
      </c>
      <c r="AU35" s="105">
        <f t="shared" si="24"/>
        <v>0</v>
      </c>
      <c r="AV35" s="105">
        <f t="shared" si="25"/>
        <v>0</v>
      </c>
      <c r="AW35" s="105">
        <f t="shared" si="13"/>
        <v>752506.3899999999</v>
      </c>
      <c r="AX35" s="108">
        <f t="shared" si="32"/>
        <v>58</v>
      </c>
      <c r="AY35" s="108">
        <f t="shared" si="14"/>
        <v>58</v>
      </c>
      <c r="AZ35" s="22">
        <f t="shared" si="3"/>
        <v>46136</v>
      </c>
      <c r="BA35" s="108">
        <f t="shared" si="3"/>
        <v>21903</v>
      </c>
      <c r="BD35" s="782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21903</v>
      </c>
      <c r="H36" s="24">
        <f t="shared" si="6"/>
        <v>15291.62</v>
      </c>
      <c r="I36" s="24">
        <f t="shared" si="26"/>
        <v>472110.25000000012</v>
      </c>
      <c r="J36" s="24">
        <f t="shared" si="16"/>
        <v>0</v>
      </c>
      <c r="K36" s="24">
        <f t="shared" si="7"/>
        <v>6611.3799999999992</v>
      </c>
      <c r="L36" s="24">
        <f t="shared" si="17"/>
        <v>0</v>
      </c>
      <c r="M36" s="24">
        <f t="shared" si="29"/>
        <v>0</v>
      </c>
      <c r="N36" s="24">
        <f t="shared" si="18"/>
        <v>15291.62</v>
      </c>
      <c r="O36" s="24">
        <f t="shared" si="19"/>
        <v>0</v>
      </c>
      <c r="P36" s="24">
        <f t="shared" si="20"/>
        <v>0</v>
      </c>
      <c r="Q36" s="24">
        <f t="shared" si="8"/>
        <v>805825.25000000012</v>
      </c>
      <c r="R36" s="36">
        <f t="shared" si="30"/>
        <v>57</v>
      </c>
      <c r="S36" s="36">
        <f t="shared" si="9"/>
        <v>61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21903</v>
      </c>
      <c r="AP36" s="105">
        <f t="shared" si="11"/>
        <v>14163.61</v>
      </c>
      <c r="AQ36" s="105">
        <f t="shared" si="12"/>
        <v>7739.3899999999994</v>
      </c>
      <c r="AR36" s="105">
        <f t="shared" si="34"/>
        <v>0</v>
      </c>
      <c r="AS36" s="105">
        <f t="shared" si="22"/>
        <v>0</v>
      </c>
      <c r="AT36" s="105">
        <f t="shared" si="23"/>
        <v>14163.61</v>
      </c>
      <c r="AU36" s="105">
        <f t="shared" si="24"/>
        <v>0</v>
      </c>
      <c r="AV36" s="105">
        <f t="shared" si="25"/>
        <v>0</v>
      </c>
      <c r="AW36" s="105">
        <f t="shared" si="13"/>
        <v>744766.99999999988</v>
      </c>
      <c r="AX36" s="108">
        <f t="shared" si="32"/>
        <v>57</v>
      </c>
      <c r="AY36" s="108">
        <f t="shared" si="14"/>
        <v>57</v>
      </c>
      <c r="AZ36" s="22">
        <f t="shared" si="3"/>
        <v>46166</v>
      </c>
      <c r="BA36" s="108">
        <f t="shared" si="3"/>
        <v>21903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21903</v>
      </c>
      <c r="H37" s="24">
        <f t="shared" si="6"/>
        <v>15672.75</v>
      </c>
      <c r="I37" s="24">
        <f t="shared" si="26"/>
        <v>487783.00000000012</v>
      </c>
      <c r="J37" s="24">
        <f t="shared" si="16"/>
        <v>0</v>
      </c>
      <c r="K37" s="24">
        <f t="shared" si="7"/>
        <v>6230.25</v>
      </c>
      <c r="L37" s="24">
        <f t="shared" si="17"/>
        <v>0</v>
      </c>
      <c r="M37" s="24">
        <f t="shared" si="29"/>
        <v>0</v>
      </c>
      <c r="N37" s="24">
        <f t="shared" si="18"/>
        <v>15672.75</v>
      </c>
      <c r="O37" s="24">
        <f t="shared" si="19"/>
        <v>0</v>
      </c>
      <c r="P37" s="24">
        <f t="shared" si="20"/>
        <v>0</v>
      </c>
      <c r="Q37" s="24">
        <f t="shared" si="8"/>
        <v>799595.00000000012</v>
      </c>
      <c r="R37" s="36">
        <f t="shared" si="30"/>
        <v>56</v>
      </c>
      <c r="S37" s="36">
        <f t="shared" si="9"/>
        <v>60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21903</v>
      </c>
      <c r="AP37" s="105">
        <f t="shared" si="11"/>
        <v>14485.21</v>
      </c>
      <c r="AQ37" s="105">
        <f t="shared" si="12"/>
        <v>7417.7900000000009</v>
      </c>
      <c r="AR37" s="105">
        <f t="shared" si="34"/>
        <v>0</v>
      </c>
      <c r="AS37" s="105">
        <f t="shared" si="22"/>
        <v>0</v>
      </c>
      <c r="AT37" s="105">
        <f t="shared" si="23"/>
        <v>14485.21</v>
      </c>
      <c r="AU37" s="105">
        <f t="shared" si="24"/>
        <v>0</v>
      </c>
      <c r="AV37" s="105">
        <f t="shared" si="25"/>
        <v>0</v>
      </c>
      <c r="AW37" s="105">
        <f t="shared" si="13"/>
        <v>737349.20999999985</v>
      </c>
      <c r="AX37" s="108">
        <f t="shared" si="32"/>
        <v>56</v>
      </c>
      <c r="AY37" s="108">
        <f t="shared" si="14"/>
        <v>56</v>
      </c>
      <c r="AZ37" s="22">
        <f t="shared" si="3"/>
        <v>46197</v>
      </c>
      <c r="BA37" s="108">
        <f t="shared" si="3"/>
        <v>21903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21903</v>
      </c>
      <c r="H38" s="24">
        <f t="shared" si="6"/>
        <v>15049.91</v>
      </c>
      <c r="I38" s="24">
        <f t="shared" si="26"/>
        <v>502832.91000000009</v>
      </c>
      <c r="J38" s="24">
        <f t="shared" si="16"/>
        <v>0</v>
      </c>
      <c r="K38" s="24">
        <f t="shared" si="7"/>
        <v>6853.09</v>
      </c>
      <c r="L38" s="24">
        <f t="shared" si="17"/>
        <v>0</v>
      </c>
      <c r="M38" s="24">
        <f t="shared" si="29"/>
        <v>0</v>
      </c>
      <c r="N38" s="24">
        <f t="shared" si="18"/>
        <v>15049.91</v>
      </c>
      <c r="O38" s="24">
        <f t="shared" si="19"/>
        <v>0</v>
      </c>
      <c r="P38" s="24">
        <f t="shared" si="20"/>
        <v>0</v>
      </c>
      <c r="Q38" s="24">
        <f t="shared" si="8"/>
        <v>792741.91000000015</v>
      </c>
      <c r="R38" s="36">
        <f t="shared" si="30"/>
        <v>55</v>
      </c>
      <c r="S38" s="36">
        <f t="shared" si="9"/>
        <v>59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21903</v>
      </c>
      <c r="AP38" s="105">
        <f t="shared" si="11"/>
        <v>13878.33</v>
      </c>
      <c r="AQ38" s="105">
        <f t="shared" si="12"/>
        <v>8024.67</v>
      </c>
      <c r="AR38" s="105">
        <f t="shared" si="34"/>
        <v>0</v>
      </c>
      <c r="AS38" s="105">
        <f t="shared" si="22"/>
        <v>0</v>
      </c>
      <c r="AT38" s="105">
        <f t="shared" si="23"/>
        <v>13878.33</v>
      </c>
      <c r="AU38" s="105">
        <f t="shared" si="24"/>
        <v>0</v>
      </c>
      <c r="AV38" s="105">
        <f t="shared" si="25"/>
        <v>0</v>
      </c>
      <c r="AW38" s="105">
        <f t="shared" si="13"/>
        <v>729324.5399999998</v>
      </c>
      <c r="AX38" s="108">
        <f t="shared" si="32"/>
        <v>55</v>
      </c>
      <c r="AY38" s="108">
        <f t="shared" si="14"/>
        <v>55</v>
      </c>
      <c r="AZ38" s="22">
        <f t="shared" si="3"/>
        <v>46227</v>
      </c>
      <c r="BA38" s="108">
        <f t="shared" si="3"/>
        <v>21903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21903</v>
      </c>
      <c r="H39" s="24">
        <f t="shared" si="6"/>
        <v>15418.29</v>
      </c>
      <c r="I39" s="24">
        <f t="shared" si="26"/>
        <v>518251.20000000007</v>
      </c>
      <c r="J39" s="24">
        <f t="shared" si="16"/>
        <v>0</v>
      </c>
      <c r="K39" s="24">
        <f t="shared" si="7"/>
        <v>6484.7099999999991</v>
      </c>
      <c r="L39" s="24">
        <f t="shared" si="17"/>
        <v>0</v>
      </c>
      <c r="M39" s="24">
        <f t="shared" si="29"/>
        <v>0</v>
      </c>
      <c r="N39" s="24">
        <f t="shared" si="18"/>
        <v>15418.29</v>
      </c>
      <c r="O39" s="24">
        <f t="shared" si="19"/>
        <v>0</v>
      </c>
      <c r="P39" s="24">
        <f t="shared" si="20"/>
        <v>0</v>
      </c>
      <c r="Q39" s="24">
        <f t="shared" si="8"/>
        <v>786257.20000000019</v>
      </c>
      <c r="R39" s="36">
        <f t="shared" si="30"/>
        <v>54</v>
      </c>
      <c r="S39" s="36">
        <f t="shared" si="9"/>
        <v>58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21903</v>
      </c>
      <c r="AP39" s="105">
        <f t="shared" si="11"/>
        <v>14184.86</v>
      </c>
      <c r="AQ39" s="105">
        <f t="shared" si="12"/>
        <v>7718.1399999999994</v>
      </c>
      <c r="AR39" s="105">
        <f t="shared" si="34"/>
        <v>0</v>
      </c>
      <c r="AS39" s="105">
        <f t="shared" si="22"/>
        <v>0</v>
      </c>
      <c r="AT39" s="105">
        <f t="shared" si="23"/>
        <v>14184.86</v>
      </c>
      <c r="AU39" s="105">
        <f t="shared" si="24"/>
        <v>0</v>
      </c>
      <c r="AV39" s="105">
        <f t="shared" si="25"/>
        <v>0</v>
      </c>
      <c r="AW39" s="105">
        <f t="shared" si="13"/>
        <v>721606.39999999979</v>
      </c>
      <c r="AX39" s="108">
        <f t="shared" si="32"/>
        <v>54</v>
      </c>
      <c r="AY39" s="108">
        <f t="shared" si="14"/>
        <v>54</v>
      </c>
      <c r="AZ39" s="22">
        <f t="shared" si="3"/>
        <v>46258</v>
      </c>
      <c r="BA39" s="108">
        <f t="shared" si="3"/>
        <v>21903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21903</v>
      </c>
      <c r="H40" s="24">
        <f t="shared" si="6"/>
        <v>15292.16</v>
      </c>
      <c r="I40" s="24">
        <f t="shared" si="26"/>
        <v>533543.3600000001</v>
      </c>
      <c r="J40" s="24">
        <f t="shared" si="16"/>
        <v>0</v>
      </c>
      <c r="K40" s="24">
        <f t="shared" si="7"/>
        <v>6610.84</v>
      </c>
      <c r="L40" s="24">
        <f t="shared" si="17"/>
        <v>0</v>
      </c>
      <c r="M40" s="24">
        <f t="shared" si="29"/>
        <v>0</v>
      </c>
      <c r="N40" s="24">
        <f t="shared" si="18"/>
        <v>15292.16</v>
      </c>
      <c r="O40" s="24">
        <f t="shared" si="19"/>
        <v>0</v>
      </c>
      <c r="P40" s="24">
        <f t="shared" si="20"/>
        <v>0</v>
      </c>
      <c r="Q40" s="24">
        <f t="shared" si="8"/>
        <v>779646.36000000022</v>
      </c>
      <c r="R40" s="36">
        <f t="shared" si="30"/>
        <v>53</v>
      </c>
      <c r="S40" s="36">
        <f t="shared" si="9"/>
        <v>58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21903</v>
      </c>
      <c r="AP40" s="105">
        <f t="shared" si="11"/>
        <v>14034.75</v>
      </c>
      <c r="AQ40" s="105">
        <f t="shared" si="12"/>
        <v>7868.25</v>
      </c>
      <c r="AR40" s="105">
        <f t="shared" si="34"/>
        <v>0</v>
      </c>
      <c r="AS40" s="105">
        <f t="shared" si="22"/>
        <v>0</v>
      </c>
      <c r="AT40" s="105">
        <f t="shared" si="23"/>
        <v>14034.75</v>
      </c>
      <c r="AU40" s="105">
        <f t="shared" si="24"/>
        <v>0</v>
      </c>
      <c r="AV40" s="105">
        <f t="shared" si="25"/>
        <v>0</v>
      </c>
      <c r="AW40" s="105">
        <f t="shared" si="13"/>
        <v>713738.14999999979</v>
      </c>
      <c r="AX40" s="108">
        <f t="shared" si="32"/>
        <v>53</v>
      </c>
      <c r="AY40" s="108">
        <f t="shared" si="14"/>
        <v>53</v>
      </c>
      <c r="AZ40" s="22">
        <f t="shared" ref="AZ40:BA71" si="36">F40</f>
        <v>46289</v>
      </c>
      <c r="BA40" s="108">
        <f t="shared" si="36"/>
        <v>21903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21903</v>
      </c>
      <c r="H41" s="24">
        <f t="shared" si="6"/>
        <v>14674.44</v>
      </c>
      <c r="I41" s="24">
        <f t="shared" si="26"/>
        <v>548217.80000000005</v>
      </c>
      <c r="J41" s="24">
        <f t="shared" si="16"/>
        <v>0</v>
      </c>
      <c r="K41" s="24">
        <f t="shared" si="7"/>
        <v>7228.5599999999995</v>
      </c>
      <c r="L41" s="24">
        <f t="shared" si="17"/>
        <v>0</v>
      </c>
      <c r="M41" s="24">
        <f t="shared" si="29"/>
        <v>0</v>
      </c>
      <c r="N41" s="24">
        <f t="shared" si="18"/>
        <v>14674.44</v>
      </c>
      <c r="O41" s="24">
        <f t="shared" si="19"/>
        <v>0</v>
      </c>
      <c r="P41" s="24">
        <f t="shared" si="20"/>
        <v>0</v>
      </c>
      <c r="Q41" s="24">
        <f t="shared" si="8"/>
        <v>772417.80000000016</v>
      </c>
      <c r="R41" s="36">
        <f t="shared" si="30"/>
        <v>52</v>
      </c>
      <c r="S41" s="36">
        <f t="shared" si="9"/>
        <v>57</v>
      </c>
      <c r="T41" s="2">
        <f>IF(C11="Да",IF($C$10&gt;=Z35,Z41,IF($C$10&gt;=Y35,Y41,IF($C$10&gt;=X35,X41,IF($C$10&gt;=W35,W41,IF($C$10&gt;=W35,W41,V41))))),"")</f>
        <v>10999</v>
      </c>
      <c r="U41" s="2"/>
      <c r="V41" s="2">
        <f>IF($C$7&lt;=$U$37,V37,IF($C$7&lt;=$U$38,V38,IF($C$7&lt;=$U$39,V39,V40)))</f>
        <v>4999</v>
      </c>
      <c r="W41" s="2">
        <f>IF($C$7&lt;=$U$37,W37,IF($C$7&lt;=$U$38,W38,IF($C$7&lt;=$U$39,W39,W40)))</f>
        <v>6499</v>
      </c>
      <c r="X41" s="2">
        <f>IF($C$7&lt;=$U$37,X37,IF($C$7&lt;=$U$38,X38,IF($C$7&lt;=$U$39,X39,X40)))</f>
        <v>8499</v>
      </c>
      <c r="Y41" s="2">
        <f>IF($C$7&lt;=$U$37,Y37,IF($C$7&lt;=$U$38,Y38,IF($C$7&lt;=$U$39,Y39,Y40)))</f>
        <v>9499</v>
      </c>
      <c r="Z41" s="2">
        <f>IF($C$7&lt;$U$37,Z37,IF($C$7&lt;$U$38,Z38,IF($C$7&lt;$U$39,Z39,Z40)))</f>
        <v>10999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21903</v>
      </c>
      <c r="AP41" s="105">
        <f t="shared" si="11"/>
        <v>13433.92</v>
      </c>
      <c r="AQ41" s="105">
        <f t="shared" si="12"/>
        <v>8469.08</v>
      </c>
      <c r="AR41" s="105">
        <f t="shared" si="34"/>
        <v>0</v>
      </c>
      <c r="AS41" s="105">
        <f t="shared" si="22"/>
        <v>0</v>
      </c>
      <c r="AT41" s="105">
        <f t="shared" si="23"/>
        <v>13433.92</v>
      </c>
      <c r="AU41" s="105">
        <f t="shared" si="24"/>
        <v>0</v>
      </c>
      <c r="AV41" s="105">
        <f t="shared" si="25"/>
        <v>0</v>
      </c>
      <c r="AW41" s="105">
        <f t="shared" si="13"/>
        <v>705269.06999999983</v>
      </c>
      <c r="AX41" s="108">
        <f t="shared" si="32"/>
        <v>52</v>
      </c>
      <c r="AY41" s="108">
        <f t="shared" si="14"/>
        <v>52</v>
      </c>
      <c r="AZ41" s="22">
        <f t="shared" si="36"/>
        <v>46319</v>
      </c>
      <c r="BA41" s="108">
        <f t="shared" si="36"/>
        <v>21903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21903</v>
      </c>
      <c r="H42" s="24">
        <f t="shared" si="6"/>
        <v>15023</v>
      </c>
      <c r="I42" s="24">
        <f t="shared" si="26"/>
        <v>563240.80000000005</v>
      </c>
      <c r="J42" s="24">
        <f t="shared" si="16"/>
        <v>0</v>
      </c>
      <c r="K42" s="24">
        <f t="shared" si="7"/>
        <v>6880</v>
      </c>
      <c r="L42" s="24">
        <f t="shared" si="17"/>
        <v>0</v>
      </c>
      <c r="M42" s="24">
        <f t="shared" si="29"/>
        <v>0</v>
      </c>
      <c r="N42" s="24">
        <f t="shared" si="18"/>
        <v>15023</v>
      </c>
      <c r="O42" s="24">
        <f t="shared" si="19"/>
        <v>0</v>
      </c>
      <c r="P42" s="24">
        <f t="shared" si="20"/>
        <v>0</v>
      </c>
      <c r="Q42" s="24">
        <f t="shared" si="8"/>
        <v>765537.80000000016</v>
      </c>
      <c r="R42" s="36">
        <f t="shared" si="30"/>
        <v>51</v>
      </c>
      <c r="S42" s="36">
        <f t="shared" si="9"/>
        <v>56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21903</v>
      </c>
      <c r="AP42" s="105">
        <f t="shared" si="11"/>
        <v>13717</v>
      </c>
      <c r="AQ42" s="105">
        <f t="shared" si="12"/>
        <v>8186</v>
      </c>
      <c r="AR42" s="105">
        <f t="shared" si="34"/>
        <v>0</v>
      </c>
      <c r="AS42" s="105">
        <f t="shared" si="22"/>
        <v>0</v>
      </c>
      <c r="AT42" s="105">
        <f t="shared" si="23"/>
        <v>13717</v>
      </c>
      <c r="AU42" s="105">
        <f t="shared" si="24"/>
        <v>0</v>
      </c>
      <c r="AV42" s="105">
        <f t="shared" si="25"/>
        <v>0</v>
      </c>
      <c r="AW42" s="105">
        <f t="shared" si="13"/>
        <v>697083.06999999983</v>
      </c>
      <c r="AX42" s="108">
        <f t="shared" si="32"/>
        <v>51</v>
      </c>
      <c r="AY42" s="108">
        <f t="shared" si="14"/>
        <v>51</v>
      </c>
      <c r="AZ42" s="22">
        <f t="shared" si="36"/>
        <v>46350</v>
      </c>
      <c r="BA42" s="108">
        <f t="shared" si="36"/>
        <v>21903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21903</v>
      </c>
      <c r="H43" s="24">
        <f t="shared" si="6"/>
        <v>14408.89</v>
      </c>
      <c r="I43" s="24">
        <f t="shared" si="26"/>
        <v>577649.69000000006</v>
      </c>
      <c r="J43" s="24">
        <f t="shared" si="16"/>
        <v>0</v>
      </c>
      <c r="K43" s="24">
        <f t="shared" si="7"/>
        <v>7494.1100000000006</v>
      </c>
      <c r="L43" s="24">
        <f t="shared" si="17"/>
        <v>0</v>
      </c>
      <c r="M43" s="24">
        <f t="shared" si="29"/>
        <v>0</v>
      </c>
      <c r="N43" s="24">
        <f t="shared" si="18"/>
        <v>14408.89</v>
      </c>
      <c r="O43" s="24">
        <f t="shared" si="19"/>
        <v>0</v>
      </c>
      <c r="P43" s="24">
        <f t="shared" si="20"/>
        <v>0</v>
      </c>
      <c r="Q43" s="24">
        <f t="shared" si="8"/>
        <v>758043.69000000018</v>
      </c>
      <c r="R43" s="36">
        <f t="shared" si="30"/>
        <v>50</v>
      </c>
      <c r="S43" s="36">
        <f t="shared" si="9"/>
        <v>55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21903</v>
      </c>
      <c r="AP43" s="105">
        <f t="shared" si="11"/>
        <v>13120.44</v>
      </c>
      <c r="AQ43" s="105">
        <f t="shared" si="12"/>
        <v>8782.56</v>
      </c>
      <c r="AR43" s="105">
        <f t="shared" si="34"/>
        <v>0</v>
      </c>
      <c r="AS43" s="105">
        <f t="shared" si="22"/>
        <v>0</v>
      </c>
      <c r="AT43" s="105">
        <f t="shared" si="23"/>
        <v>13120.44</v>
      </c>
      <c r="AU43" s="105">
        <f t="shared" si="24"/>
        <v>0</v>
      </c>
      <c r="AV43" s="105">
        <f t="shared" si="25"/>
        <v>0</v>
      </c>
      <c r="AW43" s="105">
        <f t="shared" si="13"/>
        <v>688300.50999999978</v>
      </c>
      <c r="AX43" s="108">
        <f t="shared" si="32"/>
        <v>50</v>
      </c>
      <c r="AY43" s="108">
        <f t="shared" si="14"/>
        <v>50</v>
      </c>
      <c r="AZ43" s="22">
        <f t="shared" si="36"/>
        <v>46380</v>
      </c>
      <c r="BA43" s="108">
        <f t="shared" si="36"/>
        <v>21903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21903</v>
      </c>
      <c r="H44" s="24">
        <f t="shared" si="6"/>
        <v>14743.43</v>
      </c>
      <c r="I44" s="24">
        <f t="shared" si="26"/>
        <v>592393.12000000011</v>
      </c>
      <c r="J44" s="24">
        <f t="shared" si="16"/>
        <v>0</v>
      </c>
      <c r="K44" s="24">
        <f t="shared" si="7"/>
        <v>7159.57</v>
      </c>
      <c r="L44" s="24">
        <f t="shared" si="17"/>
        <v>0</v>
      </c>
      <c r="M44" s="24">
        <f t="shared" si="29"/>
        <v>0</v>
      </c>
      <c r="N44" s="24">
        <f t="shared" si="18"/>
        <v>14743.43</v>
      </c>
      <c r="O44" s="24">
        <f t="shared" si="19"/>
        <v>0</v>
      </c>
      <c r="P44" s="24">
        <f t="shared" si="20"/>
        <v>0</v>
      </c>
      <c r="Q44" s="24">
        <f t="shared" si="8"/>
        <v>750884.12000000023</v>
      </c>
      <c r="R44" s="36">
        <f t="shared" si="30"/>
        <v>49</v>
      </c>
      <c r="S44" s="36">
        <f t="shared" si="9"/>
        <v>54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21903</v>
      </c>
      <c r="AP44" s="105">
        <f t="shared" si="11"/>
        <v>13386.97</v>
      </c>
      <c r="AQ44" s="105">
        <f t="shared" si="12"/>
        <v>8516.0300000000007</v>
      </c>
      <c r="AR44" s="105">
        <f t="shared" si="34"/>
        <v>0</v>
      </c>
      <c r="AS44" s="105">
        <f t="shared" si="22"/>
        <v>0</v>
      </c>
      <c r="AT44" s="105">
        <f t="shared" si="23"/>
        <v>13386.97</v>
      </c>
      <c r="AU44" s="105">
        <f t="shared" si="24"/>
        <v>0</v>
      </c>
      <c r="AV44" s="105">
        <f t="shared" si="25"/>
        <v>0</v>
      </c>
      <c r="AW44" s="105">
        <f t="shared" si="13"/>
        <v>679784.47999999975</v>
      </c>
      <c r="AX44" s="108">
        <f t="shared" si="32"/>
        <v>49</v>
      </c>
      <c r="AY44" s="108">
        <f t="shared" si="14"/>
        <v>49</v>
      </c>
      <c r="AZ44" s="22">
        <f t="shared" si="36"/>
        <v>46411</v>
      </c>
      <c r="BA44" s="108">
        <f t="shared" si="36"/>
        <v>21903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21903</v>
      </c>
      <c r="H45" s="24">
        <f t="shared" si="6"/>
        <v>14604.18</v>
      </c>
      <c r="I45" s="24">
        <f t="shared" si="26"/>
        <v>606997.30000000016</v>
      </c>
      <c r="J45" s="24">
        <f t="shared" si="16"/>
        <v>0</v>
      </c>
      <c r="K45" s="24">
        <f t="shared" si="7"/>
        <v>7298.82</v>
      </c>
      <c r="L45" s="24">
        <f t="shared" si="17"/>
        <v>0</v>
      </c>
      <c r="M45" s="24">
        <f t="shared" si="29"/>
        <v>0</v>
      </c>
      <c r="N45" s="24">
        <f t="shared" si="18"/>
        <v>14604.18</v>
      </c>
      <c r="O45" s="24">
        <f t="shared" si="19"/>
        <v>0</v>
      </c>
      <c r="P45" s="24">
        <f t="shared" si="20"/>
        <v>0</v>
      </c>
      <c r="Q45" s="24">
        <f t="shared" si="8"/>
        <v>743585.30000000028</v>
      </c>
      <c r="R45" s="36">
        <f t="shared" si="30"/>
        <v>48</v>
      </c>
      <c r="S45" s="36">
        <f t="shared" si="9"/>
        <v>53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21903</v>
      </c>
      <c r="AP45" s="105">
        <f t="shared" si="11"/>
        <v>13221.34</v>
      </c>
      <c r="AQ45" s="105">
        <f t="shared" si="12"/>
        <v>8681.66</v>
      </c>
      <c r="AR45" s="105">
        <f t="shared" si="34"/>
        <v>0</v>
      </c>
      <c r="AS45" s="105">
        <f t="shared" si="22"/>
        <v>0</v>
      </c>
      <c r="AT45" s="105">
        <f t="shared" si="23"/>
        <v>13221.34</v>
      </c>
      <c r="AU45" s="105">
        <f t="shared" si="24"/>
        <v>0</v>
      </c>
      <c r="AV45" s="105">
        <f t="shared" si="25"/>
        <v>0</v>
      </c>
      <c r="AW45" s="105">
        <f t="shared" si="13"/>
        <v>671102.81999999972</v>
      </c>
      <c r="AX45" s="108">
        <f t="shared" si="32"/>
        <v>48</v>
      </c>
      <c r="AY45" s="108">
        <f t="shared" si="14"/>
        <v>48</v>
      </c>
      <c r="AZ45" s="22">
        <f t="shared" si="36"/>
        <v>46442</v>
      </c>
      <c r="BA45" s="108">
        <f t="shared" si="36"/>
        <v>21903</v>
      </c>
    </row>
    <row r="46" spans="1:1207" s="16" customFormat="1" x14ac:dyDescent="0.2">
      <c r="A46" s="2"/>
      <c r="B46" s="607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21903</v>
      </c>
      <c r="H46" s="24">
        <f t="shared" si="6"/>
        <v>13062.65</v>
      </c>
      <c r="I46" s="24">
        <f t="shared" si="26"/>
        <v>620059.95000000019</v>
      </c>
      <c r="J46" s="24">
        <f t="shared" si="16"/>
        <v>0</v>
      </c>
      <c r="K46" s="24">
        <f t="shared" si="7"/>
        <v>8840.35</v>
      </c>
      <c r="L46" s="24">
        <f t="shared" si="17"/>
        <v>0</v>
      </c>
      <c r="M46" s="24">
        <f t="shared" si="29"/>
        <v>0</v>
      </c>
      <c r="N46" s="24">
        <f t="shared" si="18"/>
        <v>13062.65</v>
      </c>
      <c r="O46" s="24">
        <f t="shared" si="19"/>
        <v>0</v>
      </c>
      <c r="P46" s="24">
        <f t="shared" si="20"/>
        <v>0</v>
      </c>
      <c r="Q46" s="24">
        <f t="shared" si="8"/>
        <v>734744.9500000003</v>
      </c>
      <c r="R46" s="36">
        <f t="shared" si="30"/>
        <v>47</v>
      </c>
      <c r="S46" s="36">
        <f t="shared" si="9"/>
        <v>52</v>
      </c>
      <c r="T46" s="62">
        <f>IF(C23&lt;&gt;X60, C23,AA14)</f>
        <v>0.19899999999999998</v>
      </c>
      <c r="U46" s="2">
        <f>IF(OR($C$26=0,B34="Нет"),0,-$C$26)</f>
        <v>-138468.31572052406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0.22899999999999998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21903</v>
      </c>
      <c r="AP46" s="105">
        <f t="shared" si="11"/>
        <v>11789.35</v>
      </c>
      <c r="AQ46" s="105">
        <f t="shared" si="12"/>
        <v>10113.65</v>
      </c>
      <c r="AR46" s="105">
        <f t="shared" si="34"/>
        <v>0</v>
      </c>
      <c r="AS46" s="105">
        <f t="shared" si="22"/>
        <v>0</v>
      </c>
      <c r="AT46" s="105">
        <f t="shared" si="23"/>
        <v>11789.35</v>
      </c>
      <c r="AU46" s="105">
        <f t="shared" si="24"/>
        <v>0</v>
      </c>
      <c r="AV46" s="105">
        <f t="shared" si="25"/>
        <v>0</v>
      </c>
      <c r="AW46" s="105">
        <f t="shared" si="13"/>
        <v>660989.16999999969</v>
      </c>
      <c r="AX46" s="108">
        <f t="shared" si="32"/>
        <v>47</v>
      </c>
      <c r="AY46" s="108">
        <f t="shared" si="14"/>
        <v>47</v>
      </c>
      <c r="AZ46" s="22">
        <f t="shared" si="36"/>
        <v>46470</v>
      </c>
      <c r="BA46" s="108">
        <f t="shared" si="36"/>
        <v>21903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21903</v>
      </c>
      <c r="H47" s="24">
        <f t="shared" si="6"/>
        <v>14290.29</v>
      </c>
      <c r="I47" s="24">
        <f t="shared" si="26"/>
        <v>634350.24000000022</v>
      </c>
      <c r="J47" s="24">
        <f t="shared" si="16"/>
        <v>0</v>
      </c>
      <c r="K47" s="24">
        <f t="shared" si="7"/>
        <v>7612.7099999999991</v>
      </c>
      <c r="L47" s="24">
        <f t="shared" si="17"/>
        <v>0</v>
      </c>
      <c r="M47" s="24">
        <f>O46-L46</f>
        <v>0</v>
      </c>
      <c r="N47" s="24">
        <f>H47+O47</f>
        <v>14290.29</v>
      </c>
      <c r="O47" s="24">
        <f>IF(S47=0,0,0)</f>
        <v>0</v>
      </c>
      <c r="P47" s="24">
        <f>IF(S47=0,0,0)</f>
        <v>0</v>
      </c>
      <c r="Q47" s="24">
        <f t="shared" si="8"/>
        <v>727132.24000000034</v>
      </c>
      <c r="R47" s="36">
        <f t="shared" si="30"/>
        <v>46</v>
      </c>
      <c r="S47" s="36">
        <f t="shared" si="9"/>
        <v>51</v>
      </c>
      <c r="T47" s="62">
        <f>IF(C24&lt;&gt;X61, C24,AA15)</f>
        <v>0.04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21903</v>
      </c>
      <c r="AP47" s="105">
        <f t="shared" si="11"/>
        <v>12855.79</v>
      </c>
      <c r="AQ47" s="105">
        <f>IF(AY47=0,0,IF(AY47=1,AW46,IF(AW46+AR47+AP47&gt;AO46,AO47-AP47-AR47,AW46)))</f>
        <v>9047.2099999999991</v>
      </c>
      <c r="AR47" s="105">
        <f t="shared" si="34"/>
        <v>0</v>
      </c>
      <c r="AS47" s="105">
        <f>AU46-AR46</f>
        <v>0</v>
      </c>
      <c r="AT47" s="105">
        <f>AP47+AU47</f>
        <v>12855.79</v>
      </c>
      <c r="AU47" s="105">
        <f>IF(AY47=0,0,0)</f>
        <v>0</v>
      </c>
      <c r="AV47" s="105">
        <f>IF(AY47=0,0,0)</f>
        <v>0</v>
      </c>
      <c r="AW47" s="105">
        <f>IF(OR(AY47=1,AW46=0),0,AW46-AQ47)</f>
        <v>651941.95999999973</v>
      </c>
      <c r="AX47" s="108">
        <f t="shared" si="32"/>
        <v>46</v>
      </c>
      <c r="AY47" s="108">
        <f t="shared" si="14"/>
        <v>46</v>
      </c>
      <c r="AZ47" s="22">
        <f t="shared" si="36"/>
        <v>46501</v>
      </c>
      <c r="BA47" s="108">
        <f t="shared" si="36"/>
        <v>21903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21903</v>
      </c>
      <c r="H48" s="24">
        <f t="shared" si="6"/>
        <v>13686.02</v>
      </c>
      <c r="I48" s="24">
        <f t="shared" si="26"/>
        <v>648036.26000000024</v>
      </c>
      <c r="J48" s="24">
        <f t="shared" si="16"/>
        <v>0</v>
      </c>
      <c r="K48" s="24">
        <f t="shared" si="7"/>
        <v>8216.98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13686.02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718915.26000000036</v>
      </c>
      <c r="R48" s="36">
        <f t="shared" si="30"/>
        <v>45</v>
      </c>
      <c r="S48" s="36">
        <f t="shared" si="9"/>
        <v>50</v>
      </c>
      <c r="T48" s="2"/>
      <c r="U48" s="18">
        <f>G8</f>
        <v>-946999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-910999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21903</v>
      </c>
      <c r="AP48" s="105">
        <f t="shared" si="11"/>
        <v>12270.8</v>
      </c>
      <c r="AQ48" s="105">
        <f t="shared" ref="AQ48:AQ111" si="41">IF(AY48=0,0,IF(AY48=1,AW47,IF(AW47+AR48+AP48&gt;AO47,AO48-AP48-AR48,AW47)))</f>
        <v>9632.2000000000007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12270.8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642309.75999999978</v>
      </c>
      <c r="AX48" s="108">
        <f t="shared" si="32"/>
        <v>45</v>
      </c>
      <c r="AY48" s="108">
        <f t="shared" si="14"/>
        <v>45</v>
      </c>
      <c r="AZ48" s="22">
        <f t="shared" si="36"/>
        <v>46531</v>
      </c>
      <c r="BA48" s="108">
        <f t="shared" si="36"/>
        <v>21903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21903</v>
      </c>
      <c r="H49" s="24">
        <f t="shared" si="6"/>
        <v>13982.41</v>
      </c>
      <c r="I49" s="24">
        <f t="shared" si="26"/>
        <v>662018.67000000027</v>
      </c>
      <c r="J49" s="24">
        <f t="shared" si="16"/>
        <v>0</v>
      </c>
      <c r="K49" s="24">
        <f t="shared" si="7"/>
        <v>7920.59</v>
      </c>
      <c r="L49" s="24">
        <f t="shared" si="17"/>
        <v>0</v>
      </c>
      <c r="M49" s="24">
        <f t="shared" si="37"/>
        <v>0</v>
      </c>
      <c r="N49" s="24">
        <f t="shared" si="38"/>
        <v>13982.41</v>
      </c>
      <c r="O49" s="24">
        <f t="shared" si="39"/>
        <v>0</v>
      </c>
      <c r="P49" s="24">
        <f t="shared" si="40"/>
        <v>0</v>
      </c>
      <c r="Q49" s="24">
        <f t="shared" si="8"/>
        <v>710994.67000000039</v>
      </c>
      <c r="R49" s="36">
        <f t="shared" si="30"/>
        <v>44</v>
      </c>
      <c r="S49" s="36">
        <f t="shared" si="9"/>
        <v>49</v>
      </c>
      <c r="U49" s="34">
        <f>IF(B35="Да",C32,0)+IF(AND(C22="Да",B34="Да"),C25,0)</f>
        <v>36000</v>
      </c>
      <c r="V49" s="57">
        <f>F8</f>
        <v>45315</v>
      </c>
      <c r="X49" s="5" t="s">
        <v>11</v>
      </c>
      <c r="Y49" s="37"/>
      <c r="Z49" s="39">
        <f>C7*(1-Z48)</f>
        <v>900000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10999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21903</v>
      </c>
      <c r="AP49" s="105">
        <f t="shared" si="11"/>
        <v>12492.48</v>
      </c>
      <c r="AQ49" s="105">
        <f t="shared" si="41"/>
        <v>9410.52</v>
      </c>
      <c r="AR49" s="105">
        <f t="shared" si="34"/>
        <v>0</v>
      </c>
      <c r="AS49" s="105">
        <f t="shared" si="42"/>
        <v>0</v>
      </c>
      <c r="AT49" s="105">
        <f t="shared" si="43"/>
        <v>12492.48</v>
      </c>
      <c r="AU49" s="105">
        <f t="shared" si="44"/>
        <v>0</v>
      </c>
      <c r="AV49" s="105">
        <f t="shared" si="45"/>
        <v>0</v>
      </c>
      <c r="AW49" s="105">
        <f t="shared" si="46"/>
        <v>632899.23999999976</v>
      </c>
      <c r="AX49" s="108">
        <f t="shared" si="32"/>
        <v>44</v>
      </c>
      <c r="AY49" s="108">
        <f t="shared" si="14"/>
        <v>44</v>
      </c>
      <c r="AZ49" s="22">
        <f t="shared" si="36"/>
        <v>46562</v>
      </c>
      <c r="BA49" s="108">
        <f t="shared" si="36"/>
        <v>21903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21903</v>
      </c>
      <c r="H50" s="24">
        <f t="shared" si="6"/>
        <v>13382.28</v>
      </c>
      <c r="I50" s="24">
        <f t="shared" si="26"/>
        <v>675400.9500000003</v>
      </c>
      <c r="J50" s="24">
        <f t="shared" si="16"/>
        <v>0</v>
      </c>
      <c r="K50" s="24">
        <f t="shared" si="7"/>
        <v>8520.7199999999993</v>
      </c>
      <c r="L50" s="24">
        <f t="shared" si="17"/>
        <v>0</v>
      </c>
      <c r="M50" s="24">
        <f t="shared" si="37"/>
        <v>0</v>
      </c>
      <c r="N50" s="24">
        <f t="shared" si="38"/>
        <v>13382.28</v>
      </c>
      <c r="O50" s="24">
        <f t="shared" si="39"/>
        <v>0</v>
      </c>
      <c r="P50" s="24">
        <f t="shared" si="40"/>
        <v>0</v>
      </c>
      <c r="Q50" s="24">
        <f t="shared" si="8"/>
        <v>702473.95000000042</v>
      </c>
      <c r="R50" s="36">
        <f t="shared" si="30"/>
        <v>43</v>
      </c>
      <c r="S50" s="36">
        <f t="shared" si="9"/>
        <v>48</v>
      </c>
      <c r="T50" s="2">
        <f t="shared" ref="T50:T113" si="47">IF(AND(E9&gt;=$T$14,E9&lt;=$T$14+5),0,IF($C$9&gt;$AC$52,ROUND(Q8*$T$46/(DATEVALUE(CONCATENATE("01/01/",YEAR(F9)+1))-DATEVALUE(CONCATENATE("01/01/",YEAR(F9))))*(F9-F8),2),0))</f>
        <v>15961.85</v>
      </c>
      <c r="U50" s="34">
        <f t="shared" ref="U50:U108" si="48">IF(U49&lt;0,0,IF(T50=0,IF(T49=0,0,$U$46),G9)-IF(AND(T50&gt;0,T51=0),$C$26,0))</f>
        <v>21903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22730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17669.900000000001</v>
      </c>
      <c r="AJ50" s="34">
        <f t="shared" ref="AJ50:AJ69" si="50">IF(AI50=0,IF(AI49=0,0,$AJ$46),AO9)</f>
        <v>21903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21903</v>
      </c>
      <c r="AP50" s="105">
        <f t="shared" si="11"/>
        <v>11912.38</v>
      </c>
      <c r="AQ50" s="105">
        <f t="shared" si="41"/>
        <v>9990.6200000000008</v>
      </c>
      <c r="AR50" s="105">
        <f t="shared" si="34"/>
        <v>0</v>
      </c>
      <c r="AS50" s="105">
        <f t="shared" si="42"/>
        <v>0</v>
      </c>
      <c r="AT50" s="105">
        <f t="shared" si="43"/>
        <v>11912.38</v>
      </c>
      <c r="AU50" s="105">
        <f t="shared" si="44"/>
        <v>0</v>
      </c>
      <c r="AV50" s="105">
        <f t="shared" si="45"/>
        <v>0</v>
      </c>
      <c r="AW50" s="105">
        <f t="shared" si="46"/>
        <v>622908.61999999976</v>
      </c>
      <c r="AX50" s="108">
        <f t="shared" si="32"/>
        <v>43</v>
      </c>
      <c r="AY50" s="108">
        <f t="shared" si="14"/>
        <v>43</v>
      </c>
      <c r="AZ50" s="22">
        <f t="shared" si="36"/>
        <v>46592</v>
      </c>
      <c r="BA50" s="108">
        <f t="shared" si="36"/>
        <v>21903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21903</v>
      </c>
      <c r="H51" s="24">
        <f t="shared" si="6"/>
        <v>13662.64</v>
      </c>
      <c r="I51" s="24">
        <f t="shared" si="26"/>
        <v>689063.59000000032</v>
      </c>
      <c r="J51" s="24">
        <f t="shared" si="16"/>
        <v>0</v>
      </c>
      <c r="K51" s="24">
        <f t="shared" si="7"/>
        <v>8240.36</v>
      </c>
      <c r="L51" s="24">
        <f t="shared" si="17"/>
        <v>0</v>
      </c>
      <c r="M51" s="24">
        <f t="shared" si="37"/>
        <v>0</v>
      </c>
      <c r="N51" s="24">
        <f t="shared" si="38"/>
        <v>13662.64</v>
      </c>
      <c r="O51" s="24">
        <f t="shared" si="39"/>
        <v>0</v>
      </c>
      <c r="P51" s="24">
        <f t="shared" si="40"/>
        <v>0</v>
      </c>
      <c r="Q51" s="24">
        <f t="shared" si="8"/>
        <v>694233.59000000043</v>
      </c>
      <c r="R51" s="36">
        <f t="shared" si="30"/>
        <v>42</v>
      </c>
      <c r="S51" s="36">
        <f t="shared" si="9"/>
        <v>48</v>
      </c>
      <c r="T51" s="2">
        <f t="shared" si="47"/>
        <v>14876.32</v>
      </c>
      <c r="U51" s="34">
        <f t="shared" si="48"/>
        <v>21903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49"/>
        <v>16453.09</v>
      </c>
      <c r="AJ51" s="34">
        <f t="shared" si="50"/>
        <v>21903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21903</v>
      </c>
      <c r="AP51" s="105">
        <f t="shared" si="11"/>
        <v>12115.15</v>
      </c>
      <c r="AQ51" s="105">
        <f t="shared" si="41"/>
        <v>9787.85</v>
      </c>
      <c r="AR51" s="105">
        <f t="shared" si="34"/>
        <v>0</v>
      </c>
      <c r="AS51" s="105">
        <f t="shared" si="42"/>
        <v>0</v>
      </c>
      <c r="AT51" s="105">
        <f t="shared" si="43"/>
        <v>12115.15</v>
      </c>
      <c r="AU51" s="105">
        <f t="shared" si="44"/>
        <v>0</v>
      </c>
      <c r="AV51" s="105">
        <f t="shared" si="45"/>
        <v>0</v>
      </c>
      <c r="AW51" s="105">
        <f t="shared" si="46"/>
        <v>613120.76999999979</v>
      </c>
      <c r="AX51" s="108">
        <f t="shared" si="32"/>
        <v>42</v>
      </c>
      <c r="AY51" s="108">
        <f t="shared" si="14"/>
        <v>42</v>
      </c>
      <c r="AZ51" s="22">
        <f t="shared" si="36"/>
        <v>46623</v>
      </c>
      <c r="BA51" s="108">
        <f t="shared" si="36"/>
        <v>21903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21903</v>
      </c>
      <c r="H52" s="24">
        <f t="shared" si="6"/>
        <v>13502.37</v>
      </c>
      <c r="I52" s="24">
        <f t="shared" si="26"/>
        <v>702565.96000000031</v>
      </c>
      <c r="J52" s="24">
        <f t="shared" si="16"/>
        <v>0</v>
      </c>
      <c r="K52" s="24">
        <f t="shared" si="7"/>
        <v>8400.6299999999992</v>
      </c>
      <c r="L52" s="24">
        <f t="shared" si="17"/>
        <v>0</v>
      </c>
      <c r="M52" s="24">
        <f t="shared" si="37"/>
        <v>0</v>
      </c>
      <c r="N52" s="24">
        <f t="shared" si="38"/>
        <v>13502.37</v>
      </c>
      <c r="O52" s="24">
        <f t="shared" si="39"/>
        <v>0</v>
      </c>
      <c r="P52" s="24">
        <f t="shared" si="40"/>
        <v>0</v>
      </c>
      <c r="Q52" s="24">
        <f t="shared" si="8"/>
        <v>685832.96000000043</v>
      </c>
      <c r="R52" s="36">
        <f t="shared" si="30"/>
        <v>41</v>
      </c>
      <c r="S52" s="36">
        <f t="shared" si="9"/>
        <v>47</v>
      </c>
      <c r="T52" s="2">
        <f t="shared" si="47"/>
        <v>15821.63</v>
      </c>
      <c r="U52" s="34">
        <f t="shared" si="48"/>
        <v>21903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17482.080000000002</v>
      </c>
      <c r="AJ52" s="34">
        <f t="shared" si="50"/>
        <v>21903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21903</v>
      </c>
      <c r="AP52" s="105">
        <f t="shared" si="11"/>
        <v>11924.78</v>
      </c>
      <c r="AQ52" s="105">
        <f t="shared" si="41"/>
        <v>9978.2199999999993</v>
      </c>
      <c r="AR52" s="105">
        <f t="shared" si="34"/>
        <v>0</v>
      </c>
      <c r="AS52" s="105">
        <f t="shared" si="42"/>
        <v>0</v>
      </c>
      <c r="AT52" s="105">
        <f t="shared" si="43"/>
        <v>11924.78</v>
      </c>
      <c r="AU52" s="105">
        <f t="shared" si="44"/>
        <v>0</v>
      </c>
      <c r="AV52" s="105">
        <f t="shared" si="45"/>
        <v>0</v>
      </c>
      <c r="AW52" s="105">
        <f t="shared" si="46"/>
        <v>603142.54999999981</v>
      </c>
      <c r="AX52" s="108">
        <f t="shared" si="32"/>
        <v>41</v>
      </c>
      <c r="AY52" s="108">
        <f t="shared" si="14"/>
        <v>41</v>
      </c>
      <c r="AZ52" s="22">
        <f t="shared" si="36"/>
        <v>46654</v>
      </c>
      <c r="BA52" s="108">
        <f t="shared" si="36"/>
        <v>21903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21903</v>
      </c>
      <c r="H53" s="24">
        <f t="shared" si="6"/>
        <v>12908.69</v>
      </c>
      <c r="I53" s="24">
        <f t="shared" si="26"/>
        <v>715474.65000000026</v>
      </c>
      <c r="J53" s="24">
        <f t="shared" si="16"/>
        <v>0</v>
      </c>
      <c r="K53" s="24">
        <f t="shared" si="7"/>
        <v>8994.31</v>
      </c>
      <c r="L53" s="24">
        <f t="shared" si="17"/>
        <v>0</v>
      </c>
      <c r="M53" s="24">
        <f t="shared" si="37"/>
        <v>0</v>
      </c>
      <c r="N53" s="24">
        <f t="shared" si="38"/>
        <v>12908.69</v>
      </c>
      <c r="O53" s="24">
        <f t="shared" si="39"/>
        <v>0</v>
      </c>
      <c r="P53" s="24">
        <f t="shared" si="40"/>
        <v>0</v>
      </c>
      <c r="Q53" s="24">
        <f t="shared" si="8"/>
        <v>676838.65000000037</v>
      </c>
      <c r="R53" s="36">
        <f t="shared" si="30"/>
        <v>40</v>
      </c>
      <c r="S53" s="36">
        <f t="shared" si="9"/>
        <v>46</v>
      </c>
      <c r="T53" s="2">
        <f t="shared" si="47"/>
        <v>15250.97</v>
      </c>
      <c r="U53" s="34">
        <f t="shared" si="48"/>
        <v>21903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1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16835.16</v>
      </c>
      <c r="AJ53" s="34">
        <f t="shared" si="50"/>
        <v>21903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21903</v>
      </c>
      <c r="AP53" s="105">
        <f t="shared" si="11"/>
        <v>11352.3</v>
      </c>
      <c r="AQ53" s="105">
        <f t="shared" si="41"/>
        <v>10550.7</v>
      </c>
      <c r="AR53" s="105">
        <f t="shared" si="34"/>
        <v>0</v>
      </c>
      <c r="AS53" s="105">
        <f t="shared" si="42"/>
        <v>0</v>
      </c>
      <c r="AT53" s="105">
        <f t="shared" si="43"/>
        <v>11352.3</v>
      </c>
      <c r="AU53" s="105">
        <f t="shared" si="44"/>
        <v>0</v>
      </c>
      <c r="AV53" s="105">
        <f t="shared" si="45"/>
        <v>0</v>
      </c>
      <c r="AW53" s="105">
        <f t="shared" si="46"/>
        <v>592591.84999999986</v>
      </c>
      <c r="AX53" s="108">
        <f t="shared" si="32"/>
        <v>40</v>
      </c>
      <c r="AY53" s="108">
        <f t="shared" si="14"/>
        <v>40</v>
      </c>
      <c r="AZ53" s="22">
        <f t="shared" si="36"/>
        <v>46684</v>
      </c>
      <c r="BA53" s="108">
        <f t="shared" si="36"/>
        <v>21903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21903</v>
      </c>
      <c r="H54" s="24">
        <f t="shared" si="6"/>
        <v>13164.05</v>
      </c>
      <c r="I54" s="24">
        <f t="shared" si="26"/>
        <v>728638.7000000003</v>
      </c>
      <c r="J54" s="24">
        <f t="shared" si="16"/>
        <v>0</v>
      </c>
      <c r="K54" s="24">
        <f t="shared" si="7"/>
        <v>8738.9500000000007</v>
      </c>
      <c r="L54" s="24">
        <f t="shared" si="17"/>
        <v>0</v>
      </c>
      <c r="M54" s="24">
        <f t="shared" si="37"/>
        <v>0</v>
      </c>
      <c r="N54" s="24">
        <f t="shared" si="38"/>
        <v>13164.05</v>
      </c>
      <c r="O54" s="24">
        <f t="shared" si="39"/>
        <v>0</v>
      </c>
      <c r="P54" s="24">
        <f t="shared" si="40"/>
        <v>0</v>
      </c>
      <c r="Q54" s="24">
        <f t="shared" si="8"/>
        <v>668099.70000000042</v>
      </c>
      <c r="R54" s="36">
        <f t="shared" si="30"/>
        <v>39</v>
      </c>
      <c r="S54" s="36">
        <f t="shared" si="9"/>
        <v>45</v>
      </c>
      <c r="T54" s="2">
        <f t="shared" si="47"/>
        <v>15685.96</v>
      </c>
      <c r="U54" s="34">
        <f t="shared" si="48"/>
        <v>21903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17298.04</v>
      </c>
      <c r="AJ54" s="34">
        <f t="shared" si="50"/>
        <v>21903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21903</v>
      </c>
      <c r="AP54" s="105">
        <f t="shared" si="11"/>
        <v>11525.51</v>
      </c>
      <c r="AQ54" s="105">
        <f t="shared" si="41"/>
        <v>10377.49</v>
      </c>
      <c r="AR54" s="105">
        <f t="shared" si="34"/>
        <v>0</v>
      </c>
      <c r="AS54" s="105">
        <f t="shared" si="42"/>
        <v>0</v>
      </c>
      <c r="AT54" s="105">
        <f t="shared" si="43"/>
        <v>11525.51</v>
      </c>
      <c r="AU54" s="105">
        <f t="shared" si="44"/>
        <v>0</v>
      </c>
      <c r="AV54" s="105">
        <f t="shared" si="45"/>
        <v>0</v>
      </c>
      <c r="AW54" s="105">
        <f t="shared" si="46"/>
        <v>582214.35999999987</v>
      </c>
      <c r="AX54" s="108">
        <f t="shared" si="32"/>
        <v>39</v>
      </c>
      <c r="AY54" s="108">
        <f t="shared" si="14"/>
        <v>39</v>
      </c>
      <c r="AZ54" s="22">
        <f t="shared" si="36"/>
        <v>46715</v>
      </c>
      <c r="BA54" s="108">
        <f t="shared" si="36"/>
        <v>21903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21903</v>
      </c>
      <c r="H55" s="24">
        <f t="shared" si="6"/>
        <v>12574.92</v>
      </c>
      <c r="I55" s="24">
        <f t="shared" si="26"/>
        <v>741213.62000000034</v>
      </c>
      <c r="J55" s="24">
        <f t="shared" si="16"/>
        <v>0</v>
      </c>
      <c r="K55" s="24">
        <f t="shared" si="7"/>
        <v>9328.08</v>
      </c>
      <c r="L55" s="24">
        <f t="shared" si="17"/>
        <v>0</v>
      </c>
      <c r="M55" s="24">
        <f t="shared" si="37"/>
        <v>0</v>
      </c>
      <c r="N55" s="24">
        <f t="shared" si="38"/>
        <v>12574.92</v>
      </c>
      <c r="O55" s="24">
        <f t="shared" si="39"/>
        <v>0</v>
      </c>
      <c r="P55" s="24">
        <f t="shared" si="40"/>
        <v>0</v>
      </c>
      <c r="Q55" s="24">
        <f t="shared" si="8"/>
        <v>658771.62000000046</v>
      </c>
      <c r="R55" s="36">
        <f t="shared" si="30"/>
        <v>38</v>
      </c>
      <c r="S55" s="36">
        <f t="shared" si="9"/>
        <v>44</v>
      </c>
      <c r="T55" s="2">
        <f t="shared" si="47"/>
        <v>15117.13</v>
      </c>
      <c r="U55" s="34">
        <f t="shared" si="48"/>
        <v>21903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(C28+AF52)*AA14/12*(1+AA14/12)^(C10)/((1+AA14/12)^(C10)-1)+C28/10000*IF(C10&lt;11,20,IF(C10&lt;20,2.5,IF(C10&lt;37,1.5,IF(C10&lt;60,0.7,0.5))))*IF(AA14&lt;0.3,AA14/0.2,AA14/0.1)</f>
        <v>22767.734659021884</v>
      </c>
      <c r="AC55" s="2"/>
      <c r="AD55" s="47">
        <f>(D28)*AB14/12*(1+AB14/12)^(D10)/((1+AB14/12)^(D10)-1)+D28/10000*IF(D10&lt;11,20,IF(D10&lt;20,2.5,IF(D10&lt;37,1.5,IF(D10&lt;60,0.7,0.5))))*IF(AA14&lt;0.3,AA14/0.2,AA14/0.1)</f>
        <v>21902.223240609837</v>
      </c>
      <c r="AE55" s="2"/>
      <c r="AF55" s="2"/>
      <c r="AG55" s="2"/>
      <c r="AH55" s="2"/>
      <c r="AI55" s="2">
        <f t="shared" si="49"/>
        <v>16653.599999999999</v>
      </c>
      <c r="AJ55" s="34">
        <f t="shared" si="50"/>
        <v>21903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21903</v>
      </c>
      <c r="AP55" s="105">
        <f t="shared" si="11"/>
        <v>10958.39</v>
      </c>
      <c r="AQ55" s="105">
        <f t="shared" si="41"/>
        <v>10944.61</v>
      </c>
      <c r="AR55" s="105">
        <f t="shared" si="34"/>
        <v>0</v>
      </c>
      <c r="AS55" s="105">
        <f t="shared" si="42"/>
        <v>0</v>
      </c>
      <c r="AT55" s="105">
        <f t="shared" si="43"/>
        <v>10958.39</v>
      </c>
      <c r="AU55" s="105">
        <f t="shared" si="44"/>
        <v>0</v>
      </c>
      <c r="AV55" s="105">
        <f t="shared" si="45"/>
        <v>0</v>
      </c>
      <c r="AW55" s="105">
        <f t="shared" si="46"/>
        <v>571269.74999999988</v>
      </c>
      <c r="AX55" s="108">
        <f t="shared" si="32"/>
        <v>38</v>
      </c>
      <c r="AY55" s="108">
        <f t="shared" si="14"/>
        <v>38</v>
      </c>
      <c r="AZ55" s="22">
        <f t="shared" si="36"/>
        <v>46745</v>
      </c>
      <c r="BA55" s="108">
        <f t="shared" si="36"/>
        <v>21903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21903</v>
      </c>
      <c r="H56" s="24">
        <f t="shared" si="6"/>
        <v>12785.55</v>
      </c>
      <c r="I56" s="24">
        <f t="shared" si="26"/>
        <v>753999.17000000039</v>
      </c>
      <c r="J56" s="24">
        <f t="shared" si="16"/>
        <v>0</v>
      </c>
      <c r="K56" s="24">
        <f t="shared" si="7"/>
        <v>9117.4500000000007</v>
      </c>
      <c r="L56" s="24">
        <f t="shared" si="17"/>
        <v>0</v>
      </c>
      <c r="M56" s="24">
        <f t="shared" si="37"/>
        <v>0</v>
      </c>
      <c r="N56" s="24">
        <f t="shared" si="38"/>
        <v>12785.55</v>
      </c>
      <c r="O56" s="24">
        <f t="shared" si="39"/>
        <v>0</v>
      </c>
      <c r="P56" s="24">
        <f t="shared" si="40"/>
        <v>0</v>
      </c>
      <c r="Q56" s="24">
        <f t="shared" si="8"/>
        <v>649654.17000000051</v>
      </c>
      <c r="R56" s="36">
        <f t="shared" si="30"/>
        <v>37</v>
      </c>
      <c r="S56" s="36">
        <f t="shared" si="9"/>
        <v>43</v>
      </c>
      <c r="T56" s="2">
        <f t="shared" si="47"/>
        <v>15545.07</v>
      </c>
      <c r="U56" s="34">
        <f t="shared" si="48"/>
        <v>21903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22724.362104821885</v>
      </c>
      <c r="AB56" s="156">
        <f>(C28+AF52)*AA14/12*(1+AA14/12)^(C10)/((1+AA14/12)^(C10)-1)+C28/10000*IF(C10&lt;11,20,IF(C10&lt;34,0.7,IF(C10&lt;58,0.3,0.1)))*IF(AA14&lt;0.3,AA14/0.2,AA14/0.1)</f>
        <v>22724.362104821885</v>
      </c>
      <c r="AC56" s="13">
        <f>IF(DAY(C9)&lt;4,AD55,IF(DAY(C9)&gt;28,AD57,AD56))</f>
        <v>21850.068547859839</v>
      </c>
      <c r="AD56" s="47">
        <f>(D28)*AB14/12*(1+AB14/12)^(C10)/((1+AB14/12)^(C10)-1)</f>
        <v>21850.068547859839</v>
      </c>
      <c r="AE56" s="2"/>
      <c r="AF56" s="2"/>
      <c r="AG56" s="2"/>
      <c r="AH56" s="2"/>
      <c r="AI56" s="2">
        <f t="shared" si="49"/>
        <v>17106.900000000001</v>
      </c>
      <c r="AJ56" s="34">
        <f t="shared" si="50"/>
        <v>21903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21903</v>
      </c>
      <c r="AP56" s="105">
        <f t="shared" si="11"/>
        <v>11087.3</v>
      </c>
      <c r="AQ56" s="105">
        <f t="shared" si="41"/>
        <v>10815.7</v>
      </c>
      <c r="AR56" s="105">
        <f t="shared" si="34"/>
        <v>0</v>
      </c>
      <c r="AS56" s="105">
        <f t="shared" si="42"/>
        <v>0</v>
      </c>
      <c r="AT56" s="105">
        <f t="shared" si="43"/>
        <v>11087.3</v>
      </c>
      <c r="AU56" s="105">
        <f t="shared" si="44"/>
        <v>0</v>
      </c>
      <c r="AV56" s="105">
        <f t="shared" si="45"/>
        <v>0</v>
      </c>
      <c r="AW56" s="105">
        <f t="shared" si="46"/>
        <v>560454.04999999993</v>
      </c>
      <c r="AX56" s="108">
        <f t="shared" si="32"/>
        <v>37</v>
      </c>
      <c r="AY56" s="108">
        <f t="shared" si="14"/>
        <v>37</v>
      </c>
      <c r="AZ56" s="22">
        <f t="shared" si="36"/>
        <v>46776</v>
      </c>
      <c r="BA56" s="108">
        <f t="shared" si="36"/>
        <v>21903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21903</v>
      </c>
      <c r="H57" s="24">
        <f t="shared" si="6"/>
        <v>12600.81</v>
      </c>
      <c r="I57" s="24">
        <f t="shared" si="26"/>
        <v>766599.98000000045</v>
      </c>
      <c r="J57" s="24">
        <f t="shared" si="16"/>
        <v>0</v>
      </c>
      <c r="K57" s="24">
        <f t="shared" si="7"/>
        <v>9302.19</v>
      </c>
      <c r="L57" s="24">
        <f t="shared" si="17"/>
        <v>0</v>
      </c>
      <c r="M57" s="24">
        <f t="shared" si="37"/>
        <v>0</v>
      </c>
      <c r="N57" s="24">
        <f t="shared" si="38"/>
        <v>12600.81</v>
      </c>
      <c r="O57" s="24">
        <f t="shared" si="39"/>
        <v>0</v>
      </c>
      <c r="P57" s="24">
        <f t="shared" si="40"/>
        <v>0</v>
      </c>
      <c r="Q57" s="24">
        <f t="shared" si="8"/>
        <v>640351.98000000056</v>
      </c>
      <c r="R57" s="36">
        <f t="shared" si="30"/>
        <v>36</v>
      </c>
      <c r="S57" s="36">
        <f t="shared" si="9"/>
        <v>42</v>
      </c>
      <c r="T57" s="2">
        <f t="shared" si="47"/>
        <v>15477.4</v>
      </c>
      <c r="U57" s="34">
        <f t="shared" si="48"/>
        <v>21903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20270</v>
      </c>
      <c r="AA57" s="13">
        <f>(C28+AF52)*Z58/12*(1+Z58/12)^(C10+AA58)/((1+Z58/12)^(C10+AA58)-1)+10*C28/100000*IF(C10+AA58&lt;24,4,IF(C10+AA58&lt;36,3,IF(C10+AA58&lt;48,2,IF(C10+AA58&lt;60,1.5,1))))*Z58/0.2</f>
        <v>20266.15247744742</v>
      </c>
      <c r="AB57" s="157">
        <f>(C28+AF52)*AA14/12*(1+AA14/12)^(C10)/((1+AA14/12)^(C10)-1)+C28/10000*IF(C10&lt;11,20,IF(C10&lt;34,0.7,IF(C10&lt;48,0.3,0)))*IF(AA14&lt;0.3,AA14/0.2,AA14/0.1)</f>
        <v>22713.518966271884</v>
      </c>
      <c r="AC57" s="13">
        <f>(D28+AF52)*AC58/12*(1+AC58/12)^(C10+AA58)/((1+AC58/12)^(C10+AA58)-1)+10*D28/100000*IF(C10+AA58&lt;24,4,IF(C10+AA58&lt;36,3,IF(C10+AA58&lt;48,2,IF(C10+AA58&lt;60,1.5,1))))*AC58/0.2</f>
        <v>19495.73826456218</v>
      </c>
      <c r="AD57" s="47">
        <f>(D28)*AB14/12*(1+AB14/12)^(C10)/((1+AB14/12)^(C10)-1)</f>
        <v>21850.068547859839</v>
      </c>
      <c r="AE57" s="2"/>
      <c r="AF57" s="2"/>
      <c r="AG57" s="2"/>
      <c r="AH57" s="2"/>
      <c r="AI57" s="2">
        <f t="shared" si="49"/>
        <v>17013.87</v>
      </c>
      <c r="AJ57" s="34">
        <f t="shared" si="50"/>
        <v>21903</v>
      </c>
      <c r="AK57" s="57">
        <f t="shared" si="52"/>
        <v>48235</v>
      </c>
      <c r="AL57" s="130">
        <f t="shared" si="21"/>
        <v>1</v>
      </c>
      <c r="AM57" s="109">
        <f t="shared" si="31"/>
        <v>49</v>
      </c>
      <c r="AN57" s="110">
        <f t="shared" si="10"/>
        <v>46807</v>
      </c>
      <c r="AO57" s="105">
        <f t="shared" si="35"/>
        <v>21903</v>
      </c>
      <c r="AP57" s="105">
        <f t="shared" si="11"/>
        <v>10870.66</v>
      </c>
      <c r="AQ57" s="105">
        <f t="shared" si="41"/>
        <v>11032.34</v>
      </c>
      <c r="AR57" s="105">
        <f t="shared" si="34"/>
        <v>0</v>
      </c>
      <c r="AS57" s="105">
        <f t="shared" si="42"/>
        <v>0</v>
      </c>
      <c r="AT57" s="105">
        <f t="shared" si="43"/>
        <v>10870.66</v>
      </c>
      <c r="AU57" s="105">
        <f t="shared" si="44"/>
        <v>0</v>
      </c>
      <c r="AV57" s="105">
        <f t="shared" si="45"/>
        <v>0</v>
      </c>
      <c r="AW57" s="105">
        <f t="shared" si="46"/>
        <v>549421.71</v>
      </c>
      <c r="AX57" s="108">
        <f t="shared" si="32"/>
        <v>36</v>
      </c>
      <c r="AY57" s="108">
        <f t="shared" si="14"/>
        <v>36</v>
      </c>
      <c r="AZ57" s="22">
        <f t="shared" si="36"/>
        <v>46807</v>
      </c>
      <c r="BA57" s="108">
        <f t="shared" si="36"/>
        <v>21903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21903</v>
      </c>
      <c r="H58" s="24">
        <f t="shared" si="6"/>
        <v>11619.06</v>
      </c>
      <c r="I58" s="24">
        <f t="shared" si="26"/>
        <v>778219.0400000005</v>
      </c>
      <c r="J58" s="24">
        <f t="shared" si="16"/>
        <v>0</v>
      </c>
      <c r="K58" s="24">
        <f t="shared" si="7"/>
        <v>10283.94</v>
      </c>
      <c r="L58" s="24">
        <f t="shared" si="17"/>
        <v>0</v>
      </c>
      <c r="M58" s="24">
        <f t="shared" si="37"/>
        <v>0</v>
      </c>
      <c r="N58" s="24">
        <f t="shared" si="38"/>
        <v>11619.06</v>
      </c>
      <c r="O58" s="24">
        <f t="shared" si="39"/>
        <v>0</v>
      </c>
      <c r="P58" s="24">
        <f t="shared" si="40"/>
        <v>0</v>
      </c>
      <c r="Q58" s="24">
        <f t="shared" si="8"/>
        <v>630068.04000000062</v>
      </c>
      <c r="R58" s="36">
        <f t="shared" si="30"/>
        <v>35</v>
      </c>
      <c r="S58" s="36">
        <f t="shared" si="9"/>
        <v>41</v>
      </c>
      <c r="T58" s="2">
        <f t="shared" si="47"/>
        <v>14911.38</v>
      </c>
      <c r="U58" s="34">
        <f t="shared" si="48"/>
        <v>21903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0.22899999999999998</v>
      </c>
      <c r="AA58" s="2">
        <f xml:space="preserve"> IF(C9&gt;AE49,36,24)</f>
        <v>36</v>
      </c>
      <c r="AB58" s="44">
        <f>(C28+AF52)*AA14/12*(1+AA14/12)^(C10)/((1+AA14/12)^(C10)-1)</f>
        <v>22713.518966271884</v>
      </c>
      <c r="AC58" s="15">
        <f>IF(C9&gt;AE49,D17,D17+0.05)</f>
        <v>0.22899999999999998</v>
      </c>
      <c r="AD58" s="47">
        <f>(D28)*AB14/12*(1+AB14/12)^(C10)/((1+AB14/12)^(C10)-1)</f>
        <v>21850.068547859839</v>
      </c>
      <c r="AE58" s="2"/>
      <c r="AF58" s="2"/>
      <c r="AG58" s="2"/>
      <c r="AH58" s="2"/>
      <c r="AI58" s="2">
        <f t="shared" si="49"/>
        <v>16373.27</v>
      </c>
      <c r="AJ58" s="34">
        <f t="shared" si="50"/>
        <v>21903</v>
      </c>
      <c r="AK58" s="57">
        <f t="shared" si="52"/>
        <v>48600</v>
      </c>
      <c r="AL58" s="130">
        <f t="shared" si="21"/>
        <v>1</v>
      </c>
      <c r="AM58" s="109">
        <f t="shared" si="31"/>
        <v>50</v>
      </c>
      <c r="AN58" s="110">
        <f t="shared" si="10"/>
        <v>46836</v>
      </c>
      <c r="AO58" s="105">
        <f t="shared" si="35"/>
        <v>21903</v>
      </c>
      <c r="AP58" s="105">
        <f t="shared" si="11"/>
        <v>9969.15</v>
      </c>
      <c r="AQ58" s="105">
        <f t="shared" si="41"/>
        <v>11933.85</v>
      </c>
      <c r="AR58" s="105">
        <f t="shared" si="34"/>
        <v>0</v>
      </c>
      <c r="AS58" s="105">
        <f t="shared" si="42"/>
        <v>0</v>
      </c>
      <c r="AT58" s="105">
        <f t="shared" si="43"/>
        <v>9969.15</v>
      </c>
      <c r="AU58" s="105">
        <f t="shared" si="44"/>
        <v>0</v>
      </c>
      <c r="AV58" s="105">
        <f t="shared" si="45"/>
        <v>0</v>
      </c>
      <c r="AW58" s="105">
        <f t="shared" si="46"/>
        <v>537487.86</v>
      </c>
      <c r="AX58" s="108">
        <f t="shared" si="32"/>
        <v>35</v>
      </c>
      <c r="AY58" s="108">
        <f t="shared" si="14"/>
        <v>35</v>
      </c>
      <c r="AZ58" s="22">
        <f t="shared" si="36"/>
        <v>46836</v>
      </c>
      <c r="BA58" s="108">
        <f t="shared" si="36"/>
        <v>21903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21903</v>
      </c>
      <c r="H59" s="24">
        <f t="shared" si="6"/>
        <v>12220.91</v>
      </c>
      <c r="I59" s="24">
        <f t="shared" si="26"/>
        <v>790439.95000000054</v>
      </c>
      <c r="J59" s="24">
        <f t="shared" si="16"/>
        <v>0</v>
      </c>
      <c r="K59" s="24">
        <f t="shared" si="7"/>
        <v>9682.09</v>
      </c>
      <c r="L59" s="24">
        <f t="shared" si="17"/>
        <v>0</v>
      </c>
      <c r="M59" s="24">
        <f t="shared" si="37"/>
        <v>0</v>
      </c>
      <c r="N59" s="24">
        <f t="shared" si="38"/>
        <v>12220.91</v>
      </c>
      <c r="O59" s="24">
        <f t="shared" si="39"/>
        <v>0</v>
      </c>
      <c r="P59" s="24">
        <f t="shared" si="40"/>
        <v>0</v>
      </c>
      <c r="Q59" s="24">
        <f t="shared" si="8"/>
        <v>620385.95000000065</v>
      </c>
      <c r="R59" s="36">
        <f t="shared" si="30"/>
        <v>34</v>
      </c>
      <c r="S59" s="36">
        <f t="shared" si="9"/>
        <v>40</v>
      </c>
      <c r="T59" s="2">
        <f t="shared" si="47"/>
        <v>15328.47</v>
      </c>
      <c r="U59" s="34">
        <f t="shared" si="48"/>
        <v>21903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114</v>
      </c>
      <c r="AG59" s="145" t="s">
        <v>35</v>
      </c>
      <c r="AH59" s="2"/>
      <c r="AI59" s="2">
        <f t="shared" si="49"/>
        <v>16811.79</v>
      </c>
      <c r="AJ59" s="34">
        <f t="shared" si="50"/>
        <v>21903</v>
      </c>
      <c r="AK59" s="57">
        <f t="shared" si="52"/>
        <v>48965</v>
      </c>
      <c r="AL59" s="130">
        <f t="shared" si="21"/>
        <v>1</v>
      </c>
      <c r="AM59" s="109">
        <f t="shared" si="31"/>
        <v>51</v>
      </c>
      <c r="AN59" s="110">
        <f t="shared" si="10"/>
        <v>46867</v>
      </c>
      <c r="AO59" s="105">
        <f t="shared" si="35"/>
        <v>21903</v>
      </c>
      <c r="AP59" s="105">
        <f t="shared" si="11"/>
        <v>10425.209999999999</v>
      </c>
      <c r="AQ59" s="105">
        <f t="shared" si="41"/>
        <v>11477.79</v>
      </c>
      <c r="AR59" s="105">
        <f t="shared" si="34"/>
        <v>0</v>
      </c>
      <c r="AS59" s="105">
        <f t="shared" si="42"/>
        <v>0</v>
      </c>
      <c r="AT59" s="105">
        <f t="shared" si="43"/>
        <v>10425.209999999999</v>
      </c>
      <c r="AU59" s="105">
        <f t="shared" si="44"/>
        <v>0</v>
      </c>
      <c r="AV59" s="105">
        <f t="shared" si="45"/>
        <v>0</v>
      </c>
      <c r="AW59" s="105">
        <f t="shared" si="46"/>
        <v>526010.06999999995</v>
      </c>
      <c r="AX59" s="108">
        <f t="shared" si="32"/>
        <v>34</v>
      </c>
      <c r="AY59" s="108">
        <f t="shared" si="14"/>
        <v>34</v>
      </c>
      <c r="AZ59" s="22">
        <f t="shared" si="36"/>
        <v>46867</v>
      </c>
      <c r="BA59" s="108">
        <f t="shared" si="36"/>
        <v>21903</v>
      </c>
      <c r="BB59" s="2" t="e">
        <f t="shared" si="54"/>
        <v>#VALUE!</v>
      </c>
    </row>
    <row r="60" spans="1:54" s="16" customFormat="1" ht="24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21903</v>
      </c>
      <c r="H60" s="24">
        <f t="shared" si="6"/>
        <v>11644.95</v>
      </c>
      <c r="I60" s="24">
        <f t="shared" si="26"/>
        <v>802084.90000000049</v>
      </c>
      <c r="J60" s="24">
        <f t="shared" si="16"/>
        <v>0</v>
      </c>
      <c r="K60" s="24">
        <f t="shared" si="7"/>
        <v>10258.049999999999</v>
      </c>
      <c r="L60" s="24">
        <f t="shared" si="17"/>
        <v>0</v>
      </c>
      <c r="M60" s="24">
        <f t="shared" si="37"/>
        <v>0</v>
      </c>
      <c r="N60" s="24">
        <f t="shared" si="38"/>
        <v>11644.95</v>
      </c>
      <c r="O60" s="24">
        <f t="shared" si="39"/>
        <v>0</v>
      </c>
      <c r="P60" s="24">
        <f t="shared" si="40"/>
        <v>0</v>
      </c>
      <c r="Q60" s="24">
        <f t="shared" si="8"/>
        <v>610127.90000000061</v>
      </c>
      <c r="R60" s="36">
        <f t="shared" si="30"/>
        <v>33</v>
      </c>
      <c r="S60" s="36">
        <f t="shared" si="9"/>
        <v>39</v>
      </c>
      <c r="T60" s="2">
        <f t="shared" si="47"/>
        <v>14764.46</v>
      </c>
      <c r="U60" s="34">
        <f t="shared" si="48"/>
        <v>21903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453</v>
      </c>
      <c r="AF60" s="145" t="s">
        <v>361</v>
      </c>
      <c r="AG60" s="2" t="s">
        <v>35</v>
      </c>
      <c r="AH60" s="2"/>
      <c r="AI60" s="2">
        <f t="shared" si="49"/>
        <v>16173.91</v>
      </c>
      <c r="AJ60" s="34">
        <f t="shared" si="50"/>
        <v>21903</v>
      </c>
      <c r="AK60" s="57">
        <f>IF(AI60=0,AK59,AK59+365)</f>
        <v>49330</v>
      </c>
      <c r="AL60" s="130">
        <f t="shared" si="21"/>
        <v>1</v>
      </c>
      <c r="AM60" s="109">
        <f t="shared" si="31"/>
        <v>52</v>
      </c>
      <c r="AN60" s="110">
        <f t="shared" si="10"/>
        <v>46897</v>
      </c>
      <c r="AO60" s="105">
        <f t="shared" si="35"/>
        <v>21903</v>
      </c>
      <c r="AP60" s="105">
        <f t="shared" si="11"/>
        <v>9873.4699999999993</v>
      </c>
      <c r="AQ60" s="105">
        <f t="shared" si="41"/>
        <v>12029.53</v>
      </c>
      <c r="AR60" s="105">
        <f t="shared" si="34"/>
        <v>0</v>
      </c>
      <c r="AS60" s="105">
        <f t="shared" si="42"/>
        <v>0</v>
      </c>
      <c r="AT60" s="105">
        <f t="shared" si="43"/>
        <v>9873.4699999999993</v>
      </c>
      <c r="AU60" s="105">
        <f t="shared" si="44"/>
        <v>0</v>
      </c>
      <c r="AV60" s="105">
        <f t="shared" si="45"/>
        <v>0</v>
      </c>
      <c r="AW60" s="105">
        <f t="shared" si="46"/>
        <v>513980.53999999992</v>
      </c>
      <c r="AX60" s="108">
        <f t="shared" si="32"/>
        <v>33</v>
      </c>
      <c r="AY60" s="108">
        <f t="shared" si="14"/>
        <v>33</v>
      </c>
      <c r="AZ60" s="22">
        <f t="shared" si="36"/>
        <v>46897</v>
      </c>
      <c r="BA60" s="108">
        <f t="shared" si="36"/>
        <v>21903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21903</v>
      </c>
      <c r="H61" s="24">
        <f t="shared" si="6"/>
        <v>11834.15</v>
      </c>
      <c r="I61" s="24">
        <f t="shared" si="26"/>
        <v>813919.05000000051</v>
      </c>
      <c r="J61" s="24">
        <f t="shared" si="16"/>
        <v>0</v>
      </c>
      <c r="K61" s="24">
        <f t="shared" si="7"/>
        <v>10068.85</v>
      </c>
      <c r="L61" s="24">
        <f t="shared" si="17"/>
        <v>0</v>
      </c>
      <c r="M61" s="24">
        <f t="shared" si="37"/>
        <v>0</v>
      </c>
      <c r="N61" s="24">
        <f t="shared" si="38"/>
        <v>11834.15</v>
      </c>
      <c r="O61" s="24">
        <f t="shared" si="39"/>
        <v>0</v>
      </c>
      <c r="P61" s="24">
        <f t="shared" si="40"/>
        <v>0</v>
      </c>
      <c r="Q61" s="24">
        <f t="shared" si="8"/>
        <v>600059.05000000063</v>
      </c>
      <c r="R61" s="36">
        <f t="shared" si="30"/>
        <v>32</v>
      </c>
      <c r="S61" s="36">
        <f t="shared" si="9"/>
        <v>38</v>
      </c>
      <c r="T61" s="2">
        <f t="shared" si="47"/>
        <v>15215.37</v>
      </c>
      <c r="U61" s="34">
        <f t="shared" si="48"/>
        <v>21903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16647.400000000001</v>
      </c>
      <c r="AJ61" s="34">
        <f t="shared" si="50"/>
        <v>21903</v>
      </c>
      <c r="AK61" s="57">
        <f t="shared" si="52"/>
        <v>49695</v>
      </c>
      <c r="AL61" s="130">
        <f t="shared" si="21"/>
        <v>1</v>
      </c>
      <c r="AM61" s="109">
        <f t="shared" si="31"/>
        <v>53</v>
      </c>
      <c r="AN61" s="110">
        <f t="shared" si="10"/>
        <v>46928</v>
      </c>
      <c r="AO61" s="105">
        <f t="shared" si="35"/>
        <v>21903</v>
      </c>
      <c r="AP61" s="105">
        <f t="shared" si="11"/>
        <v>9969.26</v>
      </c>
      <c r="AQ61" s="105">
        <f t="shared" si="41"/>
        <v>11933.74</v>
      </c>
      <c r="AR61" s="105">
        <f t="shared" si="34"/>
        <v>0</v>
      </c>
      <c r="AS61" s="105">
        <f t="shared" si="42"/>
        <v>0</v>
      </c>
      <c r="AT61" s="105">
        <f t="shared" si="43"/>
        <v>9969.26</v>
      </c>
      <c r="AU61" s="105">
        <f t="shared" si="44"/>
        <v>0</v>
      </c>
      <c r="AV61" s="105">
        <f t="shared" si="45"/>
        <v>0</v>
      </c>
      <c r="AW61" s="105">
        <f t="shared" si="46"/>
        <v>502046.79999999993</v>
      </c>
      <c r="AX61" s="108">
        <f t="shared" si="32"/>
        <v>32</v>
      </c>
      <c r="AY61" s="108">
        <f t="shared" si="14"/>
        <v>32</v>
      </c>
      <c r="AZ61" s="22">
        <f t="shared" si="36"/>
        <v>46928</v>
      </c>
      <c r="BA61" s="108">
        <f t="shared" si="36"/>
        <v>21903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21903</v>
      </c>
      <c r="H62" s="24">
        <f t="shared" si="6"/>
        <v>11263.4</v>
      </c>
      <c r="I62" s="24">
        <f t="shared" si="26"/>
        <v>825182.45000000054</v>
      </c>
      <c r="J62" s="24">
        <f t="shared" si="16"/>
        <v>0</v>
      </c>
      <c r="K62" s="24">
        <f t="shared" si="7"/>
        <v>10639.6</v>
      </c>
      <c r="L62" s="24">
        <f t="shared" si="17"/>
        <v>0</v>
      </c>
      <c r="M62" s="24">
        <f t="shared" si="37"/>
        <v>0</v>
      </c>
      <c r="N62" s="24">
        <f t="shared" si="38"/>
        <v>11263.4</v>
      </c>
      <c r="O62" s="24">
        <f t="shared" si="39"/>
        <v>0</v>
      </c>
      <c r="P62" s="24">
        <f t="shared" si="40"/>
        <v>0</v>
      </c>
      <c r="Q62" s="24">
        <f t="shared" si="8"/>
        <v>589419.45000000065</v>
      </c>
      <c r="R62" s="36">
        <f t="shared" si="30"/>
        <v>31</v>
      </c>
      <c r="S62" s="36">
        <f t="shared" si="9"/>
        <v>37</v>
      </c>
      <c r="T62" s="2">
        <f t="shared" si="47"/>
        <v>15140.93</v>
      </c>
      <c r="U62" s="34">
        <f t="shared" si="48"/>
        <v>21903</v>
      </c>
      <c r="V62" s="57">
        <f t="shared" si="51"/>
        <v>50060</v>
      </c>
      <c r="W62" s="16">
        <f t="shared" si="53"/>
        <v>13</v>
      </c>
      <c r="Y62" s="171">
        <v>200000</v>
      </c>
      <c r="Z62" s="651">
        <v>3.5000000000000001E-3</v>
      </c>
      <c r="AA62" s="651">
        <v>8.3000000000000001E-4</v>
      </c>
      <c r="AB62" s="651">
        <v>3.5000000000000001E-3</v>
      </c>
      <c r="AC62" s="133">
        <v>3.0000000000000001E-3</v>
      </c>
      <c r="AD62" s="133">
        <v>3.0000000000000001E-3</v>
      </c>
      <c r="AE62" s="133"/>
      <c r="AF62" s="133"/>
      <c r="AG62" s="2"/>
      <c r="AH62" s="2"/>
      <c r="AI62" s="2">
        <f t="shared" si="49"/>
        <v>16544.98</v>
      </c>
      <c r="AJ62" s="34">
        <f t="shared" si="50"/>
        <v>21903</v>
      </c>
      <c r="AK62" s="57">
        <f t="shared" si="52"/>
        <v>50060</v>
      </c>
      <c r="AL62" s="130">
        <f t="shared" si="21"/>
        <v>1</v>
      </c>
      <c r="AM62" s="109">
        <f t="shared" si="31"/>
        <v>54</v>
      </c>
      <c r="AN62" s="110">
        <f t="shared" si="10"/>
        <v>46958</v>
      </c>
      <c r="AO62" s="105">
        <f t="shared" si="35"/>
        <v>21903</v>
      </c>
      <c r="AP62" s="105">
        <f t="shared" si="11"/>
        <v>9423.67</v>
      </c>
      <c r="AQ62" s="105">
        <f t="shared" si="41"/>
        <v>12479.33</v>
      </c>
      <c r="AR62" s="105">
        <f t="shared" si="34"/>
        <v>0</v>
      </c>
      <c r="AS62" s="105">
        <f t="shared" si="42"/>
        <v>0</v>
      </c>
      <c r="AT62" s="105">
        <f t="shared" si="43"/>
        <v>9423.67</v>
      </c>
      <c r="AU62" s="105">
        <f t="shared" si="44"/>
        <v>0</v>
      </c>
      <c r="AV62" s="105">
        <f t="shared" si="45"/>
        <v>0</v>
      </c>
      <c r="AW62" s="105">
        <f t="shared" si="46"/>
        <v>489567.46999999991</v>
      </c>
      <c r="AX62" s="108">
        <f t="shared" si="32"/>
        <v>31</v>
      </c>
      <c r="AY62" s="108">
        <f t="shared" si="14"/>
        <v>31</v>
      </c>
      <c r="AZ62" s="22">
        <f t="shared" si="36"/>
        <v>46958</v>
      </c>
      <c r="BA62" s="108">
        <f t="shared" si="36"/>
        <v>21903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21903</v>
      </c>
      <c r="H63" s="24">
        <f t="shared" si="6"/>
        <v>11432.48</v>
      </c>
      <c r="I63" s="24">
        <f t="shared" si="26"/>
        <v>836614.93000000052</v>
      </c>
      <c r="J63" s="24">
        <f t="shared" si="16"/>
        <v>0</v>
      </c>
      <c r="K63" s="24">
        <f t="shared" si="7"/>
        <v>10470.52</v>
      </c>
      <c r="L63" s="24">
        <f t="shared" si="17"/>
        <v>0</v>
      </c>
      <c r="M63" s="24">
        <f t="shared" si="37"/>
        <v>0</v>
      </c>
      <c r="N63" s="24">
        <f t="shared" si="38"/>
        <v>11432.48</v>
      </c>
      <c r="O63" s="24">
        <f t="shared" si="39"/>
        <v>0</v>
      </c>
      <c r="P63" s="24">
        <f t="shared" si="40"/>
        <v>0</v>
      </c>
      <c r="Q63" s="24">
        <f t="shared" si="8"/>
        <v>578948.93000000063</v>
      </c>
      <c r="R63" s="36">
        <f t="shared" si="30"/>
        <v>30</v>
      </c>
      <c r="S63" s="36">
        <f t="shared" si="9"/>
        <v>37</v>
      </c>
      <c r="T63" s="2">
        <f t="shared" si="47"/>
        <v>13607.29</v>
      </c>
      <c r="U63" s="34">
        <f t="shared" si="48"/>
        <v>21903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51">
        <v>3.0000000000000001E-3</v>
      </c>
      <c r="AA63" s="651">
        <v>8.3000000000000001E-4</v>
      </c>
      <c r="AB63" s="651">
        <v>3.0000000000000001E-3</v>
      </c>
      <c r="AC63" s="133">
        <v>3.0000000000000001E-3</v>
      </c>
      <c r="AD63" s="133">
        <v>3.0000000000000001E-3</v>
      </c>
      <c r="AE63" s="133"/>
      <c r="AF63" s="133"/>
      <c r="AG63" s="2"/>
      <c r="AH63" s="2"/>
      <c r="AI63" s="2">
        <f t="shared" si="49"/>
        <v>14849.73</v>
      </c>
      <c r="AJ63" s="34">
        <f t="shared" si="50"/>
        <v>21903</v>
      </c>
      <c r="AK63" s="57">
        <f t="shared" si="52"/>
        <v>50425</v>
      </c>
      <c r="AL63" s="130">
        <f t="shared" si="21"/>
        <v>1</v>
      </c>
      <c r="AM63" s="109">
        <f t="shared" si="31"/>
        <v>55</v>
      </c>
      <c r="AN63" s="110">
        <f t="shared" si="10"/>
        <v>46989</v>
      </c>
      <c r="AO63" s="105">
        <f t="shared" si="35"/>
        <v>21903</v>
      </c>
      <c r="AP63" s="105">
        <f t="shared" si="11"/>
        <v>9495.74</v>
      </c>
      <c r="AQ63" s="105">
        <f t="shared" si="41"/>
        <v>12407.26</v>
      </c>
      <c r="AR63" s="105">
        <f t="shared" si="34"/>
        <v>0</v>
      </c>
      <c r="AS63" s="105">
        <f t="shared" si="42"/>
        <v>0</v>
      </c>
      <c r="AT63" s="105">
        <f t="shared" si="43"/>
        <v>9495.74</v>
      </c>
      <c r="AU63" s="105">
        <f t="shared" si="44"/>
        <v>0</v>
      </c>
      <c r="AV63" s="105">
        <f t="shared" si="45"/>
        <v>0</v>
      </c>
      <c r="AW63" s="105">
        <f t="shared" si="46"/>
        <v>477160.2099999999</v>
      </c>
      <c r="AX63" s="108">
        <f t="shared" si="32"/>
        <v>30</v>
      </c>
      <c r="AY63" s="108">
        <f t="shared" si="14"/>
        <v>30</v>
      </c>
      <c r="AZ63" s="22">
        <f t="shared" si="36"/>
        <v>46989</v>
      </c>
      <c r="BA63" s="108">
        <f t="shared" si="36"/>
        <v>21903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21903</v>
      </c>
      <c r="H64" s="24">
        <f t="shared" si="6"/>
        <v>11229.39</v>
      </c>
      <c r="I64" s="24">
        <f t="shared" si="26"/>
        <v>847844.32000000053</v>
      </c>
      <c r="J64" s="24">
        <f t="shared" si="16"/>
        <v>0</v>
      </c>
      <c r="K64" s="24">
        <f t="shared" si="7"/>
        <v>10673.61</v>
      </c>
      <c r="L64" s="24">
        <f t="shared" si="17"/>
        <v>0</v>
      </c>
      <c r="M64" s="24">
        <f t="shared" si="29"/>
        <v>0</v>
      </c>
      <c r="N64" s="24">
        <f t="shared" si="18"/>
        <v>11229.39</v>
      </c>
      <c r="O64" s="24">
        <f t="shared" si="19"/>
        <v>0</v>
      </c>
      <c r="P64" s="24">
        <f t="shared" si="20"/>
        <v>0</v>
      </c>
      <c r="Q64" s="24">
        <f t="shared" si="8"/>
        <v>568275.32000000065</v>
      </c>
      <c r="R64" s="36">
        <f t="shared" si="30"/>
        <v>29</v>
      </c>
      <c r="S64" s="36">
        <f t="shared" si="9"/>
        <v>36</v>
      </c>
      <c r="T64" s="2">
        <f t="shared" si="47"/>
        <v>14959.68</v>
      </c>
      <c r="U64" s="34">
        <f t="shared" si="48"/>
        <v>21903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51">
        <v>2.5000000000000001E-3</v>
      </c>
      <c r="AA64" s="651">
        <v>8.3000000000000001E-4</v>
      </c>
      <c r="AB64" s="651">
        <v>2.5000000000000001E-3</v>
      </c>
      <c r="AC64" s="133">
        <v>3.0000000000000001E-3</v>
      </c>
      <c r="AD64" s="133">
        <v>3.0000000000000001E-3</v>
      </c>
      <c r="AE64" s="133"/>
      <c r="AF64" s="133"/>
      <c r="AH64" s="2"/>
      <c r="AI64" s="2">
        <f t="shared" si="49"/>
        <v>16303.59</v>
      </c>
      <c r="AJ64" s="34">
        <f t="shared" si="50"/>
        <v>21903</v>
      </c>
      <c r="AK64" s="57">
        <f t="shared" si="52"/>
        <v>50790</v>
      </c>
      <c r="AL64" s="130">
        <f t="shared" si="21"/>
        <v>1</v>
      </c>
      <c r="AM64" s="109">
        <f t="shared" si="31"/>
        <v>56</v>
      </c>
      <c r="AN64" s="110">
        <f t="shared" si="10"/>
        <v>47020</v>
      </c>
      <c r="AO64" s="105">
        <f t="shared" si="35"/>
        <v>21903</v>
      </c>
      <c r="AP64" s="105">
        <f t="shared" si="11"/>
        <v>9255.08</v>
      </c>
      <c r="AQ64" s="105">
        <f t="shared" si="41"/>
        <v>12647.92</v>
      </c>
      <c r="AR64" s="105">
        <f t="shared" si="34"/>
        <v>0</v>
      </c>
      <c r="AS64" s="105">
        <f t="shared" si="42"/>
        <v>0</v>
      </c>
      <c r="AT64" s="105">
        <f t="shared" si="43"/>
        <v>9255.08</v>
      </c>
      <c r="AU64" s="105">
        <f t="shared" si="44"/>
        <v>0</v>
      </c>
      <c r="AV64" s="105">
        <f t="shared" si="45"/>
        <v>0</v>
      </c>
      <c r="AW64" s="105">
        <f t="shared" si="46"/>
        <v>464512.28999999992</v>
      </c>
      <c r="AX64" s="108">
        <f t="shared" si="32"/>
        <v>29</v>
      </c>
      <c r="AY64" s="108">
        <f t="shared" si="14"/>
        <v>29</v>
      </c>
      <c r="AZ64" s="22">
        <f t="shared" si="36"/>
        <v>47020</v>
      </c>
      <c r="BA64" s="108">
        <f t="shared" si="36"/>
        <v>21903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21903</v>
      </c>
      <c r="H65" s="24">
        <f t="shared" si="6"/>
        <v>10666.81</v>
      </c>
      <c r="I65" s="24">
        <f t="shared" si="26"/>
        <v>858511.13000000059</v>
      </c>
      <c r="J65" s="24">
        <f t="shared" si="16"/>
        <v>0</v>
      </c>
      <c r="K65" s="24">
        <f t="shared" si="7"/>
        <v>11236.19</v>
      </c>
      <c r="L65" s="24">
        <f t="shared" si="17"/>
        <v>0</v>
      </c>
      <c r="M65" s="24">
        <f t="shared" si="29"/>
        <v>0</v>
      </c>
      <c r="N65" s="24">
        <f t="shared" si="18"/>
        <v>10666.81</v>
      </c>
      <c r="O65" s="24">
        <f t="shared" si="19"/>
        <v>0</v>
      </c>
      <c r="P65" s="24">
        <f t="shared" si="20"/>
        <v>0</v>
      </c>
      <c r="Q65" s="24">
        <f t="shared" si="8"/>
        <v>557039.1300000007</v>
      </c>
      <c r="R65" s="36">
        <f t="shared" si="30"/>
        <v>28</v>
      </c>
      <c r="S65" s="36">
        <f t="shared" si="9"/>
        <v>35</v>
      </c>
      <c r="T65" s="2">
        <f t="shared" si="47"/>
        <v>14400.43</v>
      </c>
      <c r="U65" s="34">
        <f t="shared" si="48"/>
        <v>21903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51">
        <v>2E-3</v>
      </c>
      <c r="AA65" s="651">
        <v>8.3000000000000001E-4</v>
      </c>
      <c r="AB65" s="651">
        <v>2E-3</v>
      </c>
      <c r="AC65" s="133">
        <v>3.0000000000000001E-3</v>
      </c>
      <c r="AD65" s="133">
        <v>3.0000000000000001E-3</v>
      </c>
      <c r="AE65" s="133"/>
      <c r="AF65" s="133"/>
      <c r="AH65" s="2"/>
      <c r="AI65" s="2">
        <f t="shared" si="49"/>
        <v>15672.28</v>
      </c>
      <c r="AJ65" s="34">
        <f t="shared" si="50"/>
        <v>21903</v>
      </c>
      <c r="AK65" s="57">
        <f t="shared" si="52"/>
        <v>51155</v>
      </c>
      <c r="AL65" s="130">
        <f t="shared" si="21"/>
        <v>1</v>
      </c>
      <c r="AM65" s="109">
        <f t="shared" si="31"/>
        <v>57</v>
      </c>
      <c r="AN65" s="110">
        <f t="shared" si="10"/>
        <v>47050</v>
      </c>
      <c r="AO65" s="105">
        <f t="shared" si="35"/>
        <v>21903</v>
      </c>
      <c r="AP65" s="105">
        <f t="shared" si="11"/>
        <v>8719.1200000000008</v>
      </c>
      <c r="AQ65" s="105">
        <f t="shared" si="41"/>
        <v>13183.88</v>
      </c>
      <c r="AR65" s="105">
        <f t="shared" si="34"/>
        <v>0</v>
      </c>
      <c r="AS65" s="105">
        <f t="shared" si="42"/>
        <v>0</v>
      </c>
      <c r="AT65" s="105">
        <f t="shared" si="43"/>
        <v>8719.1200000000008</v>
      </c>
      <c r="AU65" s="105">
        <f t="shared" si="44"/>
        <v>0</v>
      </c>
      <c r="AV65" s="105">
        <f t="shared" si="45"/>
        <v>0</v>
      </c>
      <c r="AW65" s="105">
        <f t="shared" si="46"/>
        <v>451328.40999999992</v>
      </c>
      <c r="AX65" s="108">
        <f t="shared" si="32"/>
        <v>28</v>
      </c>
      <c r="AY65" s="108">
        <f t="shared" si="14"/>
        <v>28</v>
      </c>
      <c r="AZ65" s="22">
        <f t="shared" si="36"/>
        <v>47050</v>
      </c>
      <c r="BA65" s="108">
        <f t="shared" si="36"/>
        <v>21903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21903</v>
      </c>
      <c r="H66" s="24">
        <f t="shared" si="6"/>
        <v>10804.43</v>
      </c>
      <c r="I66" s="24">
        <f t="shared" si="26"/>
        <v>869315.56000000064</v>
      </c>
      <c r="J66" s="24">
        <f t="shared" si="16"/>
        <v>0</v>
      </c>
      <c r="K66" s="24">
        <f t="shared" si="7"/>
        <v>11098.57</v>
      </c>
      <c r="L66" s="24">
        <f t="shared" si="17"/>
        <v>0</v>
      </c>
      <c r="M66" s="24">
        <f t="shared" si="29"/>
        <v>0</v>
      </c>
      <c r="N66" s="24">
        <f t="shared" si="18"/>
        <v>10804.43</v>
      </c>
      <c r="O66" s="24">
        <f t="shared" si="19"/>
        <v>0</v>
      </c>
      <c r="P66" s="24">
        <f t="shared" si="20"/>
        <v>0</v>
      </c>
      <c r="Q66" s="24">
        <f t="shared" si="8"/>
        <v>545940.56000000075</v>
      </c>
      <c r="R66" s="36">
        <f t="shared" si="30"/>
        <v>27</v>
      </c>
      <c r="S66" s="36">
        <f t="shared" si="9"/>
        <v>34</v>
      </c>
      <c r="T66" s="2">
        <f t="shared" si="47"/>
        <v>14790.33</v>
      </c>
      <c r="U66" s="34">
        <f t="shared" si="48"/>
        <v>21903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51">
        <v>8.3000000000000001E-4</v>
      </c>
      <c r="AB66" s="66">
        <f>IF(AB81&gt;1000000,AB65,IF(AB81&gt;600000,AB64,IF(AB81&gt;200000,AB63,AB62)))</f>
        <v>2E-3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5" t="s">
        <v>126</v>
      </c>
      <c r="AF66" s="15" t="s">
        <v>126</v>
      </c>
      <c r="AH66" s="2"/>
      <c r="AI66" s="2">
        <f t="shared" si="49"/>
        <v>16073.5</v>
      </c>
      <c r="AJ66" s="34">
        <f t="shared" si="50"/>
        <v>21903</v>
      </c>
      <c r="AK66" s="57">
        <f t="shared" si="52"/>
        <v>51520</v>
      </c>
      <c r="AL66" s="130">
        <f t="shared" si="21"/>
        <v>1</v>
      </c>
      <c r="AM66" s="109">
        <f t="shared" si="31"/>
        <v>58</v>
      </c>
      <c r="AN66" s="110">
        <f t="shared" si="10"/>
        <v>47081</v>
      </c>
      <c r="AO66" s="105">
        <f t="shared" si="35"/>
        <v>21903</v>
      </c>
      <c r="AP66" s="105">
        <f t="shared" si="11"/>
        <v>8754.0400000000009</v>
      </c>
      <c r="AQ66" s="105">
        <f t="shared" si="41"/>
        <v>13148.96</v>
      </c>
      <c r="AR66" s="105">
        <f t="shared" si="34"/>
        <v>0</v>
      </c>
      <c r="AS66" s="105">
        <f t="shared" si="42"/>
        <v>0</v>
      </c>
      <c r="AT66" s="105">
        <f t="shared" si="43"/>
        <v>8754.0400000000009</v>
      </c>
      <c r="AU66" s="105">
        <f t="shared" si="44"/>
        <v>0</v>
      </c>
      <c r="AV66" s="105">
        <f t="shared" si="45"/>
        <v>0</v>
      </c>
      <c r="AW66" s="105">
        <f t="shared" si="46"/>
        <v>438179.4499999999</v>
      </c>
      <c r="AX66" s="108">
        <f t="shared" si="32"/>
        <v>27</v>
      </c>
      <c r="AY66" s="108">
        <f t="shared" si="14"/>
        <v>27</v>
      </c>
      <c r="AZ66" s="22">
        <f t="shared" si="36"/>
        <v>47081</v>
      </c>
      <c r="BA66" s="108">
        <f t="shared" si="36"/>
        <v>21903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21903</v>
      </c>
      <c r="H67" s="24">
        <f t="shared" si="6"/>
        <v>10247.57</v>
      </c>
      <c r="I67" s="24">
        <f t="shared" si="26"/>
        <v>879563.13000000059</v>
      </c>
      <c r="J67" s="24">
        <f t="shared" si="16"/>
        <v>0</v>
      </c>
      <c r="K67" s="24">
        <f t="shared" si="7"/>
        <v>11655.43</v>
      </c>
      <c r="L67" s="24">
        <f t="shared" si="17"/>
        <v>0</v>
      </c>
      <c r="M67" s="24">
        <f t="shared" si="29"/>
        <v>0</v>
      </c>
      <c r="N67" s="24">
        <f t="shared" si="18"/>
        <v>10247.57</v>
      </c>
      <c r="O67" s="24">
        <f t="shared" si="19"/>
        <v>0</v>
      </c>
      <c r="P67" s="24">
        <f t="shared" si="20"/>
        <v>0</v>
      </c>
      <c r="Q67" s="24">
        <f t="shared" si="8"/>
        <v>534285.1300000007</v>
      </c>
      <c r="R67" s="36">
        <f t="shared" si="30"/>
        <v>26</v>
      </c>
      <c r="S67" s="36">
        <f t="shared" si="9"/>
        <v>33</v>
      </c>
      <c r="T67" s="2">
        <f t="shared" si="47"/>
        <v>14233.36</v>
      </c>
      <c r="U67" s="34">
        <f t="shared" si="48"/>
        <v>21903</v>
      </c>
      <c r="V67" s="57">
        <f t="shared" si="51"/>
        <v>51885</v>
      </c>
      <c r="W67" s="16">
        <f t="shared" si="53"/>
        <v>18</v>
      </c>
      <c r="Z67" s="143">
        <f>Z66*Z81*$C$10</f>
        <v>2.6459999999999999</v>
      </c>
      <c r="AA67" s="143">
        <f>AA66*AA81*$C$10</f>
        <v>69022.800000000017</v>
      </c>
      <c r="AB67" s="143">
        <f>AB66*AB81*$C$10</f>
        <v>229824</v>
      </c>
      <c r="AC67" s="143">
        <f>AC66*AC81*$C$10</f>
        <v>324324</v>
      </c>
      <c r="AD67" s="143">
        <f>AD66*AD81*$C$10</f>
        <v>285768</v>
      </c>
      <c r="AE67" s="143">
        <f>AA67+AD67</f>
        <v>354790.80000000005</v>
      </c>
      <c r="AF67" s="143">
        <f>AA67+AB67</f>
        <v>298846.80000000005</v>
      </c>
      <c r="AH67" s="2">
        <v>25176.799999999999</v>
      </c>
      <c r="AI67" s="2">
        <f t="shared" si="49"/>
        <v>15445.28</v>
      </c>
      <c r="AJ67" s="34">
        <f t="shared" si="50"/>
        <v>21903</v>
      </c>
      <c r="AK67" s="57">
        <f t="shared" si="52"/>
        <v>51885</v>
      </c>
      <c r="AL67" s="130">
        <f t="shared" si="21"/>
        <v>1</v>
      </c>
      <c r="AM67" s="109">
        <f t="shared" si="31"/>
        <v>59</v>
      </c>
      <c r="AN67" s="110">
        <f t="shared" si="10"/>
        <v>47111</v>
      </c>
      <c r="AO67" s="105">
        <f t="shared" si="35"/>
        <v>21903</v>
      </c>
      <c r="AP67" s="105">
        <f t="shared" si="11"/>
        <v>8224.84</v>
      </c>
      <c r="AQ67" s="105">
        <f t="shared" si="41"/>
        <v>13678.16</v>
      </c>
      <c r="AR67" s="105">
        <f t="shared" si="34"/>
        <v>0</v>
      </c>
      <c r="AS67" s="105">
        <f t="shared" si="42"/>
        <v>0</v>
      </c>
      <c r="AT67" s="105">
        <f t="shared" si="43"/>
        <v>8224.84</v>
      </c>
      <c r="AU67" s="105">
        <f t="shared" si="44"/>
        <v>0</v>
      </c>
      <c r="AV67" s="105">
        <f t="shared" si="45"/>
        <v>0</v>
      </c>
      <c r="AW67" s="105">
        <f t="shared" si="46"/>
        <v>424501.28999999992</v>
      </c>
      <c r="AX67" s="108">
        <f t="shared" si="32"/>
        <v>26</v>
      </c>
      <c r="AY67" s="108">
        <f t="shared" si="14"/>
        <v>26</v>
      </c>
      <c r="AZ67" s="22">
        <f t="shared" si="36"/>
        <v>47111</v>
      </c>
      <c r="BA67" s="108">
        <f t="shared" si="36"/>
        <v>21903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21903</v>
      </c>
      <c r="H68" s="24">
        <f t="shared" si="6"/>
        <v>10385.07</v>
      </c>
      <c r="I68" s="24">
        <f t="shared" si="26"/>
        <v>889948.20000000054</v>
      </c>
      <c r="J68" s="24">
        <f>IF(AND(E68=$C$10,$C$22&lt;&gt;"Нет"),MIN((I68-I68/$C$19*$C$23),Q67+H68-G67),0)</f>
        <v>0</v>
      </c>
      <c r="K68" s="24">
        <f t="shared" si="7"/>
        <v>11517.93</v>
      </c>
      <c r="L68" s="24">
        <f t="shared" si="17"/>
        <v>0</v>
      </c>
      <c r="M68" s="24">
        <f t="shared" si="29"/>
        <v>0</v>
      </c>
      <c r="N68" s="24">
        <f t="shared" si="18"/>
        <v>10385.07</v>
      </c>
      <c r="O68" s="24">
        <f t="shared" si="19"/>
        <v>0</v>
      </c>
      <c r="P68" s="24">
        <f t="shared" si="20"/>
        <v>0</v>
      </c>
      <c r="Q68" s="24">
        <f t="shared" si="8"/>
        <v>522767.20000000071</v>
      </c>
      <c r="R68" s="36">
        <f t="shared" si="30"/>
        <v>25</v>
      </c>
      <c r="S68" s="36">
        <f t="shared" si="9"/>
        <v>32</v>
      </c>
      <c r="T68" s="2">
        <f t="shared" si="47"/>
        <v>14614.44</v>
      </c>
      <c r="U68" s="34">
        <f t="shared" si="48"/>
        <v>21903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69022.800000000017</v>
      </c>
      <c r="AB68" s="16">
        <v>0</v>
      </c>
      <c r="AC68" s="16">
        <v>0</v>
      </c>
      <c r="AD68" s="16">
        <v>0</v>
      </c>
      <c r="AE68" s="143">
        <f>AA67</f>
        <v>69022.800000000017</v>
      </c>
      <c r="AF68" s="143">
        <f>AA67</f>
        <v>69022.800000000017</v>
      </c>
      <c r="AH68" s="143">
        <f>AH67-AE67</f>
        <v>-329614.00000000006</v>
      </c>
      <c r="AI68" s="2">
        <f t="shared" si="49"/>
        <v>15834.53</v>
      </c>
      <c r="AJ68" s="34">
        <f t="shared" si="50"/>
        <v>21903</v>
      </c>
      <c r="AK68" s="57">
        <f t="shared" si="52"/>
        <v>52250</v>
      </c>
      <c r="AL68" s="130">
        <f t="shared" si="21"/>
        <v>1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21903</v>
      </c>
      <c r="AP68" s="105">
        <f t="shared" si="11"/>
        <v>8251.17</v>
      </c>
      <c r="AQ68" s="105">
        <f>IF(AY68=0,0,IF(AY68=1,AW67,IF(AW67+AR68+AP68&gt;AO67,AO68-AP68-AR68,AW67)))</f>
        <v>13651.83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8251.17</v>
      </c>
      <c r="AU68" s="105">
        <f>IF(AY68=0,0,0)</f>
        <v>0</v>
      </c>
      <c r="AV68" s="105">
        <f>IF(AY68=0,0,0)</f>
        <v>0</v>
      </c>
      <c r="AW68" s="105">
        <f>IF(OR(AY68=1,AW67=0),0,AW67-AQ68)</f>
        <v>410849.4599999999</v>
      </c>
      <c r="AX68" s="108">
        <f t="shared" si="32"/>
        <v>25</v>
      </c>
      <c r="AY68" s="108">
        <f t="shared" si="14"/>
        <v>25</v>
      </c>
      <c r="AZ68" s="22">
        <f t="shared" si="36"/>
        <v>47142</v>
      </c>
      <c r="BA68" s="108">
        <f t="shared" si="36"/>
        <v>21903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21903</v>
      </c>
      <c r="H69" s="24">
        <f t="shared" si="6"/>
        <v>10167.459999999999</v>
      </c>
      <c r="I69" s="24">
        <f t="shared" si="26"/>
        <v>900115.6600000005</v>
      </c>
      <c r="J69" s="24">
        <f t="shared" ref="J69:J132" si="55">IF(AND(E69=$C$10,$C$22&lt;&gt;"Нет"),MIN((I69-I69/$C$19*$C$23),Q68+H69-G68),0)</f>
        <v>0</v>
      </c>
      <c r="K69" s="24">
        <f t="shared" si="7"/>
        <v>11735.54</v>
      </c>
      <c r="L69" s="24">
        <f t="shared" si="17"/>
        <v>0</v>
      </c>
      <c r="M69" s="24">
        <f t="shared" si="29"/>
        <v>0</v>
      </c>
      <c r="N69" s="24">
        <f t="shared" si="18"/>
        <v>10167.459999999999</v>
      </c>
      <c r="O69" s="24">
        <f t="shared" si="19"/>
        <v>0</v>
      </c>
      <c r="P69" s="24">
        <f t="shared" si="20"/>
        <v>0</v>
      </c>
      <c r="Q69" s="24">
        <f t="shared" si="8"/>
        <v>511031.66000000073</v>
      </c>
      <c r="R69" s="36">
        <f t="shared" si="30"/>
        <v>24</v>
      </c>
      <c r="S69" s="36">
        <f t="shared" si="9"/>
        <v>31</v>
      </c>
      <c r="T69" s="2">
        <f t="shared" si="47"/>
        <v>14528.49</v>
      </c>
      <c r="U69" s="34">
        <f t="shared" si="48"/>
        <v>21903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15716.5</v>
      </c>
      <c r="AJ69" s="34">
        <f t="shared" si="50"/>
        <v>21903</v>
      </c>
      <c r="AK69" s="57">
        <f>IF(AI69=0,AK68,AK68+365)</f>
        <v>52615</v>
      </c>
      <c r="AL69" s="130">
        <f t="shared" si="21"/>
        <v>1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21903</v>
      </c>
      <c r="AP69" s="105">
        <f t="shared" si="11"/>
        <v>7990.74</v>
      </c>
      <c r="AQ69" s="105">
        <f>IF(AY69=0,0,IF(AY69=1,AW68,IF(AW68+AR69+AP69&gt;AO68,AO69-AP69-AR69,AW68)))</f>
        <v>13912.26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7990.74</v>
      </c>
      <c r="AU69" s="105">
        <f>IF(AY69=0,0,0)</f>
        <v>0</v>
      </c>
      <c r="AV69" s="105">
        <f>IF(AY69=0,0,0)</f>
        <v>0</v>
      </c>
      <c r="AW69" s="105">
        <f>IF(OR(AY69=1,AW68=0),0,AW68-AQ69)</f>
        <v>396937.1999999999</v>
      </c>
      <c r="AX69" s="108">
        <f t="shared" si="32"/>
        <v>24</v>
      </c>
      <c r="AY69" s="108">
        <f t="shared" si="14"/>
        <v>24</v>
      </c>
      <c r="AZ69" s="22">
        <f t="shared" si="36"/>
        <v>47173</v>
      </c>
      <c r="BA69" s="108">
        <f t="shared" si="36"/>
        <v>21903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21903</v>
      </c>
      <c r="H70" s="24">
        <f t="shared" si="6"/>
        <v>8977.36</v>
      </c>
      <c r="I70" s="24">
        <f t="shared" si="26"/>
        <v>909093.02000000048</v>
      </c>
      <c r="J70" s="24">
        <f t="shared" si="55"/>
        <v>0</v>
      </c>
      <c r="K70" s="24">
        <f t="shared" si="7"/>
        <v>12925.64</v>
      </c>
      <c r="L70" s="24">
        <f t="shared" si="17"/>
        <v>0</v>
      </c>
      <c r="M70" s="24">
        <f t="shared" si="29"/>
        <v>0</v>
      </c>
      <c r="N70" s="24">
        <f t="shared" si="18"/>
        <v>8977.36</v>
      </c>
      <c r="O70" s="24">
        <f t="shared" si="19"/>
        <v>0</v>
      </c>
      <c r="P70" s="24">
        <f t="shared" si="20"/>
        <v>0</v>
      </c>
      <c r="Q70" s="24">
        <f t="shared" si="8"/>
        <v>498106.02000000072</v>
      </c>
      <c r="R70" s="36">
        <f t="shared" si="30"/>
        <v>23</v>
      </c>
      <c r="S70" s="36">
        <f t="shared" si="9"/>
        <v>30</v>
      </c>
      <c r="T70" s="2">
        <f t="shared" si="47"/>
        <v>13975.04</v>
      </c>
      <c r="U70" s="34">
        <f t="shared" si="48"/>
        <v>21903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15093.07</v>
      </c>
      <c r="AJ70" s="34">
        <f>IF(AI70=0,IF(AI69=0,0,$AJ$46),AO29)</f>
        <v>21903</v>
      </c>
      <c r="AK70" s="57">
        <f t="shared" si="52"/>
        <v>52980</v>
      </c>
      <c r="AL70" s="130">
        <f t="shared" si="21"/>
        <v>1</v>
      </c>
      <c r="AM70" s="109">
        <f t="shared" si="31"/>
        <v>62</v>
      </c>
      <c r="AN70" s="110">
        <f t="shared" si="10"/>
        <v>47201</v>
      </c>
      <c r="AO70" s="105">
        <f t="shared" si="35"/>
        <v>21903</v>
      </c>
      <c r="AP70" s="105">
        <f t="shared" si="11"/>
        <v>6973.04</v>
      </c>
      <c r="AQ70" s="105">
        <f t="shared" si="41"/>
        <v>14929.96</v>
      </c>
      <c r="AR70" s="105">
        <f t="shared" si="34"/>
        <v>0</v>
      </c>
      <c r="AS70" s="105">
        <f t="shared" si="42"/>
        <v>0</v>
      </c>
      <c r="AT70" s="105">
        <f t="shared" si="43"/>
        <v>6973.04</v>
      </c>
      <c r="AU70" s="105">
        <f t="shared" si="44"/>
        <v>0</v>
      </c>
      <c r="AV70" s="105">
        <f t="shared" si="45"/>
        <v>0</v>
      </c>
      <c r="AW70" s="105">
        <f t="shared" si="46"/>
        <v>382007.23999999987</v>
      </c>
      <c r="AX70" s="108">
        <f t="shared" si="32"/>
        <v>23</v>
      </c>
      <c r="AY70" s="108">
        <f t="shared" si="14"/>
        <v>23</v>
      </c>
      <c r="AZ70" s="22">
        <f t="shared" si="36"/>
        <v>47201</v>
      </c>
      <c r="BA70" s="108">
        <f t="shared" si="36"/>
        <v>21903</v>
      </c>
      <c r="BB70" s="2" t="e">
        <f t="shared" si="54"/>
        <v>#VALUE!</v>
      </c>
    </row>
    <row r="71" spans="1:54" s="16" customFormat="1" ht="24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21903</v>
      </c>
      <c r="H71" s="24">
        <f t="shared" si="6"/>
        <v>9687.82</v>
      </c>
      <c r="I71" s="24">
        <f t="shared" si="26"/>
        <v>918780.84000000043</v>
      </c>
      <c r="J71" s="24">
        <f t="shared" si="55"/>
        <v>0</v>
      </c>
      <c r="K71" s="24">
        <f t="shared" si="7"/>
        <v>12215.18</v>
      </c>
      <c r="L71" s="24">
        <f t="shared" si="17"/>
        <v>0</v>
      </c>
      <c r="M71" s="24">
        <f t="shared" si="29"/>
        <v>0</v>
      </c>
      <c r="N71" s="24">
        <f t="shared" si="18"/>
        <v>9687.82</v>
      </c>
      <c r="O71" s="24">
        <f t="shared" si="19"/>
        <v>0</v>
      </c>
      <c r="P71" s="24">
        <f t="shared" si="20"/>
        <v>0</v>
      </c>
      <c r="Q71" s="24">
        <f t="shared" si="8"/>
        <v>485890.84000000072</v>
      </c>
      <c r="R71" s="36">
        <f t="shared" si="30"/>
        <v>22</v>
      </c>
      <c r="S71" s="36">
        <f t="shared" si="9"/>
        <v>29</v>
      </c>
      <c r="T71" s="2">
        <f t="shared" si="47"/>
        <v>14342.48</v>
      </c>
      <c r="U71" s="34">
        <f t="shared" si="48"/>
        <v>21903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453</v>
      </c>
      <c r="AF71" s="145" t="s">
        <v>361</v>
      </c>
      <c r="AG71" s="63"/>
      <c r="AH71" s="63"/>
      <c r="AI71" s="2">
        <f t="shared" si="49"/>
        <v>15463.73</v>
      </c>
      <c r="AJ71" s="34">
        <f t="shared" ref="AJ71:AJ82" si="56">IF(AI71=0,IF(AI70=0,0,$AJ$46),AO30)</f>
        <v>21903</v>
      </c>
      <c r="AK71" s="57">
        <f>IF(AI71=0,AK70,AK70+365)</f>
        <v>53345</v>
      </c>
      <c r="AL71" s="130">
        <f t="shared" si="21"/>
        <v>1</v>
      </c>
      <c r="AM71" s="109">
        <f t="shared" si="31"/>
        <v>63</v>
      </c>
      <c r="AN71" s="110">
        <f t="shared" si="10"/>
        <v>47232</v>
      </c>
      <c r="AO71" s="105">
        <f t="shared" si="35"/>
        <v>21903</v>
      </c>
      <c r="AP71" s="105">
        <f t="shared" si="11"/>
        <v>7429.78</v>
      </c>
      <c r="AQ71" s="105">
        <f t="shared" si="41"/>
        <v>14473.220000000001</v>
      </c>
      <c r="AR71" s="105">
        <f t="shared" si="34"/>
        <v>0</v>
      </c>
      <c r="AS71" s="105">
        <f t="shared" si="42"/>
        <v>0</v>
      </c>
      <c r="AT71" s="105">
        <f t="shared" si="43"/>
        <v>7429.78</v>
      </c>
      <c r="AU71" s="105">
        <f t="shared" si="44"/>
        <v>0</v>
      </c>
      <c r="AV71" s="105">
        <f t="shared" si="45"/>
        <v>0</v>
      </c>
      <c r="AW71" s="105">
        <f t="shared" si="46"/>
        <v>367534.0199999999</v>
      </c>
      <c r="AX71" s="108">
        <f t="shared" si="32"/>
        <v>22</v>
      </c>
      <c r="AY71" s="108">
        <f t="shared" si="14"/>
        <v>22</v>
      </c>
      <c r="AZ71" s="22">
        <f t="shared" si="36"/>
        <v>47232</v>
      </c>
      <c r="BA71" s="108">
        <f t="shared" si="36"/>
        <v>21903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21903</v>
      </c>
      <c r="H72" s="24">
        <f t="shared" si="6"/>
        <v>9145.4</v>
      </c>
      <c r="I72" s="24">
        <f t="shared" si="26"/>
        <v>927926.24000000046</v>
      </c>
      <c r="J72" s="24">
        <f t="shared" si="55"/>
        <v>0</v>
      </c>
      <c r="K72" s="24">
        <f t="shared" si="7"/>
        <v>12757.6</v>
      </c>
      <c r="L72" s="24">
        <f t="shared" si="17"/>
        <v>0</v>
      </c>
      <c r="M72" s="24">
        <f t="shared" si="29"/>
        <v>0</v>
      </c>
      <c r="N72" s="24">
        <f t="shared" si="18"/>
        <v>9145.4</v>
      </c>
      <c r="O72" s="24">
        <f t="shared" si="19"/>
        <v>0</v>
      </c>
      <c r="P72" s="24">
        <f t="shared" si="20"/>
        <v>0</v>
      </c>
      <c r="Q72" s="24">
        <f t="shared" si="8"/>
        <v>473133.24000000075</v>
      </c>
      <c r="R72" s="36">
        <f t="shared" si="30"/>
        <v>21</v>
      </c>
      <c r="S72" s="36">
        <f t="shared" si="9"/>
        <v>28</v>
      </c>
      <c r="T72" s="2">
        <f t="shared" si="47"/>
        <v>13791.53</v>
      </c>
      <c r="U72" s="34">
        <f t="shared" si="48"/>
        <v>21903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63"/>
      <c r="AH72" s="63"/>
      <c r="AI72" s="2">
        <f t="shared" si="49"/>
        <v>14843.7</v>
      </c>
      <c r="AJ72" s="34">
        <f t="shared" si="56"/>
        <v>21903</v>
      </c>
      <c r="AK72" s="57">
        <f t="shared" si="52"/>
        <v>53710</v>
      </c>
      <c r="AL72" s="130">
        <f t="shared" si="21"/>
        <v>1</v>
      </c>
      <c r="AM72" s="109">
        <f t="shared" si="31"/>
        <v>64</v>
      </c>
      <c r="AN72" s="110">
        <f t="shared" si="10"/>
        <v>47262</v>
      </c>
      <c r="AO72" s="105">
        <f t="shared" si="35"/>
        <v>21903</v>
      </c>
      <c r="AP72" s="105">
        <f t="shared" si="11"/>
        <v>6917.7</v>
      </c>
      <c r="AQ72" s="105">
        <f t="shared" si="41"/>
        <v>14985.3</v>
      </c>
      <c r="AR72" s="105">
        <f t="shared" si="34"/>
        <v>0</v>
      </c>
      <c r="AS72" s="105">
        <f t="shared" si="42"/>
        <v>0</v>
      </c>
      <c r="AT72" s="105">
        <f t="shared" si="43"/>
        <v>6917.7</v>
      </c>
      <c r="AU72" s="105">
        <f t="shared" si="44"/>
        <v>0</v>
      </c>
      <c r="AV72" s="105">
        <f t="shared" si="45"/>
        <v>0</v>
      </c>
      <c r="AW72" s="105">
        <f t="shared" si="46"/>
        <v>352548.71999999991</v>
      </c>
      <c r="AX72" s="108">
        <f t="shared" si="32"/>
        <v>21</v>
      </c>
      <c r="AY72" s="108">
        <f t="shared" si="14"/>
        <v>21</v>
      </c>
      <c r="AZ72" s="22">
        <f t="shared" ref="AZ72:BA107" si="57">F72</f>
        <v>47262</v>
      </c>
      <c r="BA72" s="108">
        <f t="shared" si="57"/>
        <v>21903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21903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9202.1200000000008</v>
      </c>
      <c r="I73" s="24">
        <f t="shared" si="26"/>
        <v>937128.36000000045</v>
      </c>
      <c r="J73" s="24">
        <f t="shared" si="55"/>
        <v>0</v>
      </c>
      <c r="K73" s="24">
        <f t="shared" ref="K73:K136" si="60">IF(S73=0,0,IF(S73=1,Q72,IF(Q72+L73+H73&gt;G72,G73-H73-L73,Q72)))</f>
        <v>12700.88</v>
      </c>
      <c r="L73" s="24">
        <f t="shared" si="17"/>
        <v>0</v>
      </c>
      <c r="M73" s="24">
        <f t="shared" si="29"/>
        <v>0</v>
      </c>
      <c r="N73" s="24">
        <f t="shared" si="18"/>
        <v>9202.1200000000008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460432.36000000074</v>
      </c>
      <c r="R73" s="36">
        <f t="shared" si="30"/>
        <v>20</v>
      </c>
      <c r="S73" s="36">
        <f t="shared" ref="S73:S136" si="62">IF(ISERR(CEILING(FLOOR(NPER($C$19/12,-$AA$56,Q72),0.1),1))=TRUE,0,CEILING(FLOOR(NPER($C$19/12,-$AA$56,Q72),0.1),1))</f>
        <v>27</v>
      </c>
      <c r="T73" s="2">
        <f t="shared" si="47"/>
        <v>14149.29</v>
      </c>
      <c r="U73" s="34">
        <f t="shared" si="48"/>
        <v>21903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1.35</v>
      </c>
      <c r="AC73" s="134">
        <v>1.43</v>
      </c>
      <c r="AD73" s="134">
        <f>IF($C$10&gt;48,AB94,IF($C$94&gt;36,AA94,Z94))</f>
        <v>1.7</v>
      </c>
      <c r="AE73" s="134"/>
      <c r="AF73" s="134"/>
      <c r="AG73" s="63"/>
      <c r="AH73" s="63"/>
      <c r="AI73" s="2">
        <f t="shared" si="49"/>
        <v>15201.19</v>
      </c>
      <c r="AJ73" s="34">
        <f t="shared" si="56"/>
        <v>21903</v>
      </c>
      <c r="AK73" s="57">
        <f t="shared" si="52"/>
        <v>54075</v>
      </c>
      <c r="AL73" s="130">
        <f t="shared" si="21"/>
        <v>1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21903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6856.83</v>
      </c>
      <c r="AQ73" s="105">
        <f t="shared" si="41"/>
        <v>15046.17</v>
      </c>
      <c r="AR73" s="105">
        <f t="shared" si="34"/>
        <v>0</v>
      </c>
      <c r="AS73" s="105">
        <f t="shared" si="42"/>
        <v>0</v>
      </c>
      <c r="AT73" s="105">
        <f t="shared" si="43"/>
        <v>6856.83</v>
      </c>
      <c r="AU73" s="105">
        <f t="shared" si="44"/>
        <v>0</v>
      </c>
      <c r="AV73" s="105">
        <f t="shared" si="45"/>
        <v>0</v>
      </c>
      <c r="AW73" s="105">
        <f t="shared" si="46"/>
        <v>337502.54999999993</v>
      </c>
      <c r="AX73" s="108">
        <f t="shared" si="32"/>
        <v>20</v>
      </c>
      <c r="AY73" s="108">
        <f t="shared" ref="AY73:AY129" si="65">IF(ISERR(CEILING(FLOOR(NPER($D$19/12,-$AC$56,AW72),0.1),1))=TRUE,0,CEILING(FLOOR(NPER($D$19/12,-$AC$56,AW72),0.1),1))</f>
        <v>20</v>
      </c>
      <c r="AZ73" s="22">
        <f t="shared" si="57"/>
        <v>47293</v>
      </c>
      <c r="BA73" s="108">
        <f t="shared" si="57"/>
        <v>21903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21903</v>
      </c>
      <c r="H74" s="24">
        <f t="shared" si="59"/>
        <v>8666.2199999999993</v>
      </c>
      <c r="I74" s="24">
        <f t="shared" si="26"/>
        <v>945794.58000000042</v>
      </c>
      <c r="J74" s="24">
        <f t="shared" si="55"/>
        <v>0</v>
      </c>
      <c r="K74" s="24">
        <f t="shared" si="60"/>
        <v>13236.78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8666.2199999999993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447195.58000000071</v>
      </c>
      <c r="R74" s="36">
        <f t="shared" si="30"/>
        <v>19</v>
      </c>
      <c r="S74" s="36">
        <f t="shared" si="62"/>
        <v>26</v>
      </c>
      <c r="T74" s="2">
        <f t="shared" si="47"/>
        <v>14054.29</v>
      </c>
      <c r="U74" s="34">
        <f t="shared" si="48"/>
        <v>21903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1.35</v>
      </c>
      <c r="AC74" s="134">
        <v>1.43</v>
      </c>
      <c r="AD74" s="134">
        <f>IF($C$10&gt;48,AB95,IF($C$94&gt;36,AA95,Z95))</f>
        <v>1.7</v>
      </c>
      <c r="AE74" s="134"/>
      <c r="AF74" s="134"/>
      <c r="AG74" s="63"/>
      <c r="AH74" s="63"/>
      <c r="AI74" s="2">
        <f t="shared" si="49"/>
        <v>15070.84</v>
      </c>
      <c r="AJ74" s="34">
        <f t="shared" si="56"/>
        <v>21903</v>
      </c>
      <c r="AK74" s="57">
        <f t="shared" si="52"/>
        <v>54440</v>
      </c>
      <c r="AL74" s="130">
        <f t="shared" si="21"/>
        <v>1</v>
      </c>
      <c r="AM74" s="109">
        <f t="shared" si="31"/>
        <v>66</v>
      </c>
      <c r="AN74" s="110">
        <f t="shared" si="63"/>
        <v>47323</v>
      </c>
      <c r="AO74" s="105">
        <f t="shared" si="35"/>
        <v>21903</v>
      </c>
      <c r="AP74" s="105">
        <f t="shared" si="64"/>
        <v>6352.45</v>
      </c>
      <c r="AQ74" s="105">
        <f t="shared" si="41"/>
        <v>15550.55</v>
      </c>
      <c r="AR74" s="105">
        <f t="shared" si="34"/>
        <v>0</v>
      </c>
      <c r="AS74" s="105">
        <f t="shared" si="42"/>
        <v>0</v>
      </c>
      <c r="AT74" s="105">
        <f t="shared" si="43"/>
        <v>6352.45</v>
      </c>
      <c r="AU74" s="105">
        <f t="shared" si="44"/>
        <v>0</v>
      </c>
      <c r="AV74" s="105">
        <f t="shared" si="45"/>
        <v>0</v>
      </c>
      <c r="AW74" s="105">
        <f t="shared" si="46"/>
        <v>321951.99999999994</v>
      </c>
      <c r="AX74" s="108">
        <f t="shared" si="32"/>
        <v>19</v>
      </c>
      <c r="AY74" s="108">
        <f t="shared" si="65"/>
        <v>19</v>
      </c>
      <c r="AZ74" s="22">
        <f t="shared" si="57"/>
        <v>47323</v>
      </c>
      <c r="BA74" s="108">
        <f t="shared" si="57"/>
        <v>21903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21903</v>
      </c>
      <c r="H75" s="24">
        <f t="shared" si="59"/>
        <v>8697.65</v>
      </c>
      <c r="I75" s="24">
        <f t="shared" ref="I75:I138" si="70">H75+I74</f>
        <v>954492.23000000045</v>
      </c>
      <c r="J75" s="24">
        <f t="shared" si="55"/>
        <v>0</v>
      </c>
      <c r="K75" s="24">
        <f t="shared" si="60"/>
        <v>13205.35</v>
      </c>
      <c r="L75" s="24">
        <f t="shared" si="67"/>
        <v>0</v>
      </c>
      <c r="M75" s="24">
        <f t="shared" si="29"/>
        <v>0</v>
      </c>
      <c r="N75" s="24">
        <f t="shared" si="18"/>
        <v>8697.65</v>
      </c>
      <c r="O75" s="24">
        <f t="shared" si="68"/>
        <v>0</v>
      </c>
      <c r="P75" s="24">
        <f t="shared" si="69"/>
        <v>0</v>
      </c>
      <c r="Q75" s="24">
        <f t="shared" si="61"/>
        <v>433990.23000000074</v>
      </c>
      <c r="R75" s="36">
        <f t="shared" si="30"/>
        <v>18</v>
      </c>
      <c r="S75" s="36">
        <f t="shared" si="62"/>
        <v>25</v>
      </c>
      <c r="T75" s="2">
        <f t="shared" si="47"/>
        <v>12606.73</v>
      </c>
      <c r="U75" s="34">
        <f t="shared" si="48"/>
        <v>21903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1.35</v>
      </c>
      <c r="AC75" s="134">
        <v>1.43</v>
      </c>
      <c r="AD75" s="134">
        <f>IF($C$10&gt;48,AB96,IF($C$94&gt;36,AA96,Z96))</f>
        <v>1.7</v>
      </c>
      <c r="AE75" s="134"/>
      <c r="AF75" s="134"/>
      <c r="AG75" s="63"/>
      <c r="AH75" s="63"/>
      <c r="AI75" s="2">
        <f t="shared" si="49"/>
        <v>13492.35</v>
      </c>
      <c r="AJ75" s="34">
        <f t="shared" si="56"/>
        <v>21903</v>
      </c>
      <c r="AK75" s="57">
        <f t="shared" si="52"/>
        <v>54805</v>
      </c>
      <c r="AL75" s="130">
        <f t="shared" ref="AL75:AL109" si="71">IF(OR(AO75="",AO75=0),0,1)</f>
        <v>1</v>
      </c>
      <c r="AM75" s="109">
        <f t="shared" si="31"/>
        <v>67</v>
      </c>
      <c r="AN75" s="110">
        <f t="shared" si="63"/>
        <v>47354</v>
      </c>
      <c r="AO75" s="105">
        <f t="shared" si="35"/>
        <v>21903</v>
      </c>
      <c r="AP75" s="105">
        <f t="shared" si="64"/>
        <v>6261.75</v>
      </c>
      <c r="AQ75" s="105">
        <f t="shared" si="41"/>
        <v>15641.25</v>
      </c>
      <c r="AR75" s="105">
        <f t="shared" si="34"/>
        <v>0</v>
      </c>
      <c r="AS75" s="105">
        <f t="shared" si="42"/>
        <v>0</v>
      </c>
      <c r="AT75" s="105">
        <f t="shared" si="43"/>
        <v>6261.75</v>
      </c>
      <c r="AU75" s="105">
        <f t="shared" si="44"/>
        <v>0</v>
      </c>
      <c r="AV75" s="105">
        <f t="shared" si="45"/>
        <v>0</v>
      </c>
      <c r="AW75" s="105">
        <f t="shared" si="46"/>
        <v>306310.74999999994</v>
      </c>
      <c r="AX75" s="108">
        <f t="shared" si="32"/>
        <v>18</v>
      </c>
      <c r="AY75" s="108">
        <f t="shared" si="65"/>
        <v>18</v>
      </c>
      <c r="AZ75" s="22">
        <f t="shared" si="57"/>
        <v>47354</v>
      </c>
      <c r="BA75" s="108">
        <f t="shared" si="57"/>
        <v>21903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21903</v>
      </c>
      <c r="H76" s="24">
        <f t="shared" si="59"/>
        <v>8440.81</v>
      </c>
      <c r="I76" s="24">
        <f t="shared" si="70"/>
        <v>962933.0400000005</v>
      </c>
      <c r="J76" s="24">
        <f t="shared" si="55"/>
        <v>0</v>
      </c>
      <c r="K76" s="24">
        <f t="shared" si="60"/>
        <v>13462.19</v>
      </c>
      <c r="L76" s="24">
        <f t="shared" si="67"/>
        <v>0</v>
      </c>
      <c r="M76" s="24">
        <f t="shared" si="29"/>
        <v>0</v>
      </c>
      <c r="N76" s="24">
        <f t="shared" si="18"/>
        <v>8440.81</v>
      </c>
      <c r="O76" s="24">
        <f t="shared" si="68"/>
        <v>0</v>
      </c>
      <c r="P76" s="24">
        <f t="shared" si="69"/>
        <v>0</v>
      </c>
      <c r="Q76" s="24">
        <f t="shared" si="61"/>
        <v>420528.04000000074</v>
      </c>
      <c r="R76" s="36">
        <f t="shared" ref="R76" si="73">IF((R75-1)&lt;0,0,R75-1)</f>
        <v>17</v>
      </c>
      <c r="S76" s="36">
        <f t="shared" si="62"/>
        <v>24</v>
      </c>
      <c r="T76" s="2">
        <f t="shared" si="47"/>
        <v>13832.45</v>
      </c>
      <c r="U76" s="34">
        <f t="shared" si="48"/>
        <v>21903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0.93</v>
      </c>
      <c r="AC76" s="134">
        <v>1.43</v>
      </c>
      <c r="AD76" s="134">
        <f>IF($C$10&gt;48,AB97,IF($C$94&gt;36,AA97,Z97))</f>
        <v>0.93</v>
      </c>
      <c r="AE76" s="134"/>
      <c r="AF76" s="134"/>
      <c r="AG76" s="63"/>
      <c r="AH76" s="63"/>
      <c r="AI76" s="2">
        <f t="shared" si="49"/>
        <v>14774.38</v>
      </c>
      <c r="AJ76" s="34">
        <f t="shared" si="56"/>
        <v>21903</v>
      </c>
      <c r="AK76" s="57">
        <f t="shared" si="52"/>
        <v>55170</v>
      </c>
      <c r="AL76" s="130">
        <f t="shared" si="71"/>
        <v>1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21903</v>
      </c>
      <c r="AP76" s="105">
        <f t="shared" si="64"/>
        <v>5957.53</v>
      </c>
      <c r="AQ76" s="105">
        <f t="shared" si="41"/>
        <v>15945.470000000001</v>
      </c>
      <c r="AR76" s="105">
        <f t="shared" si="34"/>
        <v>0</v>
      </c>
      <c r="AS76" s="105">
        <f t="shared" si="42"/>
        <v>0</v>
      </c>
      <c r="AT76" s="105">
        <f t="shared" si="43"/>
        <v>5957.53</v>
      </c>
      <c r="AU76" s="105">
        <f t="shared" si="44"/>
        <v>0</v>
      </c>
      <c r="AV76" s="105">
        <f t="shared" si="45"/>
        <v>0</v>
      </c>
      <c r="AW76" s="105">
        <f t="shared" si="46"/>
        <v>290365.27999999991</v>
      </c>
      <c r="AX76" s="108">
        <f t="shared" ref="AX76:AX129" si="75">IF((AX75-1)&lt;0,0,AX75-1)</f>
        <v>17</v>
      </c>
      <c r="AY76" s="108">
        <f t="shared" si="65"/>
        <v>17</v>
      </c>
      <c r="AZ76" s="22">
        <f t="shared" si="57"/>
        <v>47385</v>
      </c>
      <c r="BA76" s="108">
        <f t="shared" si="57"/>
        <v>21903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21903</v>
      </c>
      <c r="H77" s="24">
        <f t="shared" si="59"/>
        <v>7915.14</v>
      </c>
      <c r="I77" s="24">
        <f t="shared" si="70"/>
        <v>970848.18000000052</v>
      </c>
      <c r="J77" s="24">
        <f t="shared" si="55"/>
        <v>0</v>
      </c>
      <c r="K77" s="24">
        <f t="shared" si="60"/>
        <v>13987.86</v>
      </c>
      <c r="L77" s="24">
        <f t="shared" si="67"/>
        <v>0</v>
      </c>
      <c r="M77" s="24">
        <f t="shared" si="29"/>
        <v>0</v>
      </c>
      <c r="N77" s="24">
        <f t="shared" si="18"/>
        <v>7915.14</v>
      </c>
      <c r="O77" s="24">
        <f t="shared" si="68"/>
        <v>0</v>
      </c>
      <c r="P77" s="24">
        <f t="shared" si="69"/>
        <v>0</v>
      </c>
      <c r="Q77" s="24">
        <f t="shared" si="61"/>
        <v>406540.18000000075</v>
      </c>
      <c r="R77" s="36">
        <f>IF((R76-1)&lt;0,0,R76-1)</f>
        <v>16</v>
      </c>
      <c r="S77" s="36">
        <f t="shared" si="62"/>
        <v>23</v>
      </c>
      <c r="T77" s="2">
        <f t="shared" si="47"/>
        <v>13288.35</v>
      </c>
      <c r="U77" s="34">
        <f t="shared" si="48"/>
        <v>21903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134"/>
      <c r="AF77" s="134"/>
      <c r="AG77" s="63"/>
      <c r="AH77" s="63"/>
      <c r="AI77" s="2">
        <f t="shared" si="49"/>
        <v>14163.61</v>
      </c>
      <c r="AJ77" s="34">
        <f t="shared" si="56"/>
        <v>21903</v>
      </c>
      <c r="AK77" s="57">
        <f t="shared" si="52"/>
        <v>55535</v>
      </c>
      <c r="AL77" s="130">
        <f t="shared" si="71"/>
        <v>1</v>
      </c>
      <c r="AM77" s="109">
        <f t="shared" si="74"/>
        <v>69</v>
      </c>
      <c r="AN77" s="110">
        <f t="shared" si="63"/>
        <v>47415</v>
      </c>
      <c r="AO77" s="105">
        <f t="shared" si="35"/>
        <v>21903</v>
      </c>
      <c r="AP77" s="105">
        <f t="shared" si="64"/>
        <v>5465.23</v>
      </c>
      <c r="AQ77" s="105">
        <f t="shared" si="41"/>
        <v>16437.77</v>
      </c>
      <c r="AR77" s="105">
        <f t="shared" si="34"/>
        <v>0</v>
      </c>
      <c r="AS77" s="105">
        <f t="shared" si="42"/>
        <v>0</v>
      </c>
      <c r="AT77" s="105">
        <f t="shared" si="43"/>
        <v>5465.23</v>
      </c>
      <c r="AU77" s="105">
        <f t="shared" si="44"/>
        <v>0</v>
      </c>
      <c r="AV77" s="105">
        <f t="shared" si="45"/>
        <v>0</v>
      </c>
      <c r="AW77" s="105">
        <f t="shared" si="46"/>
        <v>273927.50999999989</v>
      </c>
      <c r="AX77" s="108">
        <f t="shared" si="75"/>
        <v>16</v>
      </c>
      <c r="AY77" s="108">
        <f t="shared" si="65"/>
        <v>16</v>
      </c>
      <c r="AZ77" s="22">
        <f t="shared" si="57"/>
        <v>47415</v>
      </c>
      <c r="BA77" s="108">
        <f t="shared" si="57"/>
        <v>21903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21903</v>
      </c>
      <c r="H78" s="24">
        <f t="shared" si="59"/>
        <v>7906.93</v>
      </c>
      <c r="I78" s="24">
        <f t="shared" si="70"/>
        <v>978755.11000000057</v>
      </c>
      <c r="J78" s="24">
        <f t="shared" si="55"/>
        <v>0</v>
      </c>
      <c r="K78" s="24">
        <f t="shared" si="60"/>
        <v>13996.07</v>
      </c>
      <c r="L78" s="24">
        <f t="shared" si="67"/>
        <v>0</v>
      </c>
      <c r="M78" s="24">
        <f t="shared" si="29"/>
        <v>0</v>
      </c>
      <c r="N78" s="24">
        <f t="shared" si="18"/>
        <v>7906.93</v>
      </c>
      <c r="O78" s="24">
        <f t="shared" si="68"/>
        <v>0</v>
      </c>
      <c r="P78" s="24">
        <f t="shared" si="69"/>
        <v>0</v>
      </c>
      <c r="Q78" s="24">
        <f t="shared" si="61"/>
        <v>392544.11000000074</v>
      </c>
      <c r="R78" s="36">
        <f t="shared" ref="R78:R141" si="76">IF((R77-1)&lt;0,0,R77-1)</f>
        <v>15</v>
      </c>
      <c r="S78" s="36">
        <f t="shared" si="62"/>
        <v>22</v>
      </c>
      <c r="T78" s="2">
        <f t="shared" si="47"/>
        <v>13619.55</v>
      </c>
      <c r="U78" s="34">
        <f t="shared" si="48"/>
        <v>21903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134"/>
      <c r="AF78" s="134"/>
      <c r="AG78" s="63"/>
      <c r="AH78" s="63"/>
      <c r="AI78" s="2">
        <f t="shared" si="49"/>
        <v>14485.21</v>
      </c>
      <c r="AJ78" s="34">
        <f t="shared" si="56"/>
        <v>21903</v>
      </c>
      <c r="AK78" s="57">
        <f t="shared" si="52"/>
        <v>55900</v>
      </c>
      <c r="AL78" s="130">
        <f t="shared" si="71"/>
        <v>1</v>
      </c>
      <c r="AM78" s="109">
        <f t="shared" si="74"/>
        <v>70</v>
      </c>
      <c r="AN78" s="110">
        <f t="shared" si="63"/>
        <v>47446</v>
      </c>
      <c r="AO78" s="105">
        <f t="shared" si="35"/>
        <v>21903</v>
      </c>
      <c r="AP78" s="105">
        <f t="shared" si="64"/>
        <v>5327.7</v>
      </c>
      <c r="AQ78" s="105">
        <f t="shared" si="41"/>
        <v>16575.3</v>
      </c>
      <c r="AR78" s="105">
        <f t="shared" si="34"/>
        <v>0</v>
      </c>
      <c r="AS78" s="105">
        <f t="shared" si="42"/>
        <v>0</v>
      </c>
      <c r="AT78" s="105">
        <f t="shared" si="43"/>
        <v>5327.7</v>
      </c>
      <c r="AU78" s="105">
        <f t="shared" si="44"/>
        <v>0</v>
      </c>
      <c r="AV78" s="105">
        <f t="shared" si="45"/>
        <v>0</v>
      </c>
      <c r="AW78" s="105">
        <f t="shared" si="46"/>
        <v>257352.2099999999</v>
      </c>
      <c r="AX78" s="108">
        <f t="shared" si="75"/>
        <v>15</v>
      </c>
      <c r="AY78" s="108">
        <f t="shared" si="65"/>
        <v>15</v>
      </c>
      <c r="AZ78" s="22">
        <f t="shared" si="57"/>
        <v>47446</v>
      </c>
      <c r="BA78" s="108">
        <f t="shared" si="57"/>
        <v>21903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21903</v>
      </c>
      <c r="H79" s="24">
        <f t="shared" si="59"/>
        <v>7388.43</v>
      </c>
      <c r="I79" s="24">
        <f t="shared" si="70"/>
        <v>986143.54000000062</v>
      </c>
      <c r="J79" s="24">
        <f t="shared" si="55"/>
        <v>0</v>
      </c>
      <c r="K79" s="24">
        <f t="shared" si="60"/>
        <v>14514.57</v>
      </c>
      <c r="L79" s="24">
        <f t="shared" si="67"/>
        <v>0</v>
      </c>
      <c r="M79" s="24">
        <f t="shared" si="29"/>
        <v>0</v>
      </c>
      <c r="N79" s="24">
        <f t="shared" si="18"/>
        <v>7388.43</v>
      </c>
      <c r="O79" s="24">
        <f t="shared" si="68"/>
        <v>0</v>
      </c>
      <c r="P79" s="24">
        <f t="shared" si="69"/>
        <v>0</v>
      </c>
      <c r="Q79" s="24">
        <f t="shared" si="61"/>
        <v>378029.54000000074</v>
      </c>
      <c r="R79" s="36">
        <f t="shared" si="76"/>
        <v>14</v>
      </c>
      <c r="S79" s="36">
        <f t="shared" si="62"/>
        <v>22</v>
      </c>
      <c r="T79" s="2">
        <f t="shared" si="47"/>
        <v>13078.31</v>
      </c>
      <c r="U79" s="34">
        <f t="shared" si="48"/>
        <v>21903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G79" s="63"/>
      <c r="AH79" s="63"/>
      <c r="AI79" s="2">
        <f t="shared" si="49"/>
        <v>13878.33</v>
      </c>
      <c r="AJ79" s="34">
        <f t="shared" si="56"/>
        <v>21903</v>
      </c>
      <c r="AK79" s="57">
        <f t="shared" si="52"/>
        <v>56265</v>
      </c>
      <c r="AL79" s="130">
        <f t="shared" si="71"/>
        <v>1</v>
      </c>
      <c r="AM79" s="109">
        <f t="shared" si="74"/>
        <v>71</v>
      </c>
      <c r="AN79" s="110">
        <f t="shared" si="63"/>
        <v>47476</v>
      </c>
      <c r="AO79" s="105">
        <f t="shared" si="35"/>
        <v>21903</v>
      </c>
      <c r="AP79" s="105">
        <f t="shared" si="64"/>
        <v>4843.8599999999997</v>
      </c>
      <c r="AQ79" s="105">
        <f t="shared" si="41"/>
        <v>17059.14</v>
      </c>
      <c r="AR79" s="105">
        <f t="shared" si="34"/>
        <v>0</v>
      </c>
      <c r="AS79" s="105">
        <f t="shared" si="42"/>
        <v>0</v>
      </c>
      <c r="AT79" s="105">
        <f t="shared" si="43"/>
        <v>4843.8599999999997</v>
      </c>
      <c r="AU79" s="105">
        <f t="shared" si="44"/>
        <v>0</v>
      </c>
      <c r="AV79" s="105">
        <f t="shared" si="45"/>
        <v>0</v>
      </c>
      <c r="AW79" s="105">
        <f t="shared" si="46"/>
        <v>240293.06999999989</v>
      </c>
      <c r="AX79" s="108">
        <f t="shared" si="75"/>
        <v>14</v>
      </c>
      <c r="AY79" s="108">
        <f t="shared" si="65"/>
        <v>14</v>
      </c>
      <c r="AZ79" s="22">
        <f t="shared" si="57"/>
        <v>47476</v>
      </c>
      <c r="BA79" s="108">
        <f t="shared" si="57"/>
        <v>21903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21903</v>
      </c>
      <c r="H80" s="24">
        <f t="shared" si="59"/>
        <v>7352.42</v>
      </c>
      <c r="I80" s="24">
        <f t="shared" si="70"/>
        <v>993495.96000000066</v>
      </c>
      <c r="J80" s="24">
        <f t="shared" si="55"/>
        <v>0</v>
      </c>
      <c r="K80" s="24">
        <f t="shared" si="60"/>
        <v>14550.58</v>
      </c>
      <c r="L80" s="24">
        <f t="shared" si="67"/>
        <v>0</v>
      </c>
      <c r="M80" s="24">
        <f t="shared" si="29"/>
        <v>0</v>
      </c>
      <c r="N80" s="24">
        <f t="shared" si="18"/>
        <v>7352.42</v>
      </c>
      <c r="O80" s="24">
        <f t="shared" si="68"/>
        <v>0</v>
      </c>
      <c r="P80" s="24">
        <f t="shared" si="69"/>
        <v>0</v>
      </c>
      <c r="Q80" s="24">
        <f t="shared" si="61"/>
        <v>363478.96000000072</v>
      </c>
      <c r="R80" s="36">
        <f t="shared" si="76"/>
        <v>13</v>
      </c>
      <c r="S80" s="36">
        <f t="shared" si="62"/>
        <v>21</v>
      </c>
      <c r="T80" s="2">
        <f t="shared" si="47"/>
        <v>13398.42</v>
      </c>
      <c r="U80" s="34">
        <f t="shared" si="48"/>
        <v>21903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14184.86</v>
      </c>
      <c r="AJ80" s="34">
        <f t="shared" si="56"/>
        <v>21903</v>
      </c>
      <c r="AK80" s="57">
        <f t="shared" si="52"/>
        <v>56630</v>
      </c>
      <c r="AL80" s="130">
        <f t="shared" si="71"/>
        <v>1</v>
      </c>
      <c r="AM80" s="109">
        <f t="shared" si="74"/>
        <v>72</v>
      </c>
      <c r="AN80" s="110">
        <f t="shared" si="63"/>
        <v>47507</v>
      </c>
      <c r="AO80" s="105">
        <f t="shared" si="35"/>
        <v>21903</v>
      </c>
      <c r="AP80" s="105">
        <f t="shared" si="64"/>
        <v>4673.54</v>
      </c>
      <c r="AQ80" s="105">
        <f t="shared" si="41"/>
        <v>17229.46</v>
      </c>
      <c r="AR80" s="105">
        <f t="shared" si="34"/>
        <v>0</v>
      </c>
      <c r="AS80" s="105">
        <f t="shared" si="42"/>
        <v>0</v>
      </c>
      <c r="AT80" s="105">
        <f t="shared" si="43"/>
        <v>4673.54</v>
      </c>
      <c r="AU80" s="105">
        <f t="shared" si="44"/>
        <v>0</v>
      </c>
      <c r="AV80" s="105">
        <f t="shared" si="45"/>
        <v>0</v>
      </c>
      <c r="AW80" s="105">
        <f t="shared" si="46"/>
        <v>223063.6099999999</v>
      </c>
      <c r="AX80" s="108">
        <f t="shared" si="75"/>
        <v>13</v>
      </c>
      <c r="AY80" s="108">
        <f t="shared" si="65"/>
        <v>13</v>
      </c>
      <c r="AZ80" s="22">
        <f t="shared" si="57"/>
        <v>47507</v>
      </c>
      <c r="BA80" s="108">
        <f t="shared" si="57"/>
        <v>21903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21903</v>
      </c>
      <c r="H81" s="24">
        <f t="shared" si="59"/>
        <v>7069.42</v>
      </c>
      <c r="I81" s="24">
        <f t="shared" si="70"/>
        <v>1000565.3800000007</v>
      </c>
      <c r="J81" s="24">
        <f t="shared" si="55"/>
        <v>0</v>
      </c>
      <c r="K81" s="24">
        <f t="shared" si="60"/>
        <v>14833.58</v>
      </c>
      <c r="L81" s="24">
        <f t="shared" si="67"/>
        <v>0</v>
      </c>
      <c r="M81" s="24">
        <f t="shared" si="29"/>
        <v>0</v>
      </c>
      <c r="N81" s="24">
        <f t="shared" si="18"/>
        <v>7069.42</v>
      </c>
      <c r="O81" s="24">
        <f t="shared" si="68"/>
        <v>0</v>
      </c>
      <c r="P81" s="24">
        <f t="shared" si="69"/>
        <v>0</v>
      </c>
      <c r="Q81" s="24">
        <f t="shared" si="61"/>
        <v>348645.3800000007</v>
      </c>
      <c r="R81" s="36">
        <f t="shared" si="76"/>
        <v>12</v>
      </c>
      <c r="S81" s="36">
        <f t="shared" si="62"/>
        <v>20</v>
      </c>
      <c r="T81" s="2">
        <f t="shared" si="47"/>
        <v>13288.82</v>
      </c>
      <c r="U81" s="34">
        <f t="shared" si="48"/>
        <v>21903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9</v>
      </c>
      <c r="AA81" s="143">
        <f>$C$7*IF($C$7&gt;=$X$78,AA78,IF($C$7&gt;=$X$77,AA77,IF($C$7&gt;=$X$76,AA76,IF($C$7&gt;=$X$75,AA75,IF($C$7&gt;=$X$74,AA74,AA73)))))</f>
        <v>990000.00000000012</v>
      </c>
      <c r="AB81" s="143">
        <f>$C$7*IF($C$7&gt;=$X$78,AB78,IF($C$7&gt;=$X$77,AB77,IF($C$7&gt;=$X$76,AB76,IF($C$7&gt;=$X$75,AB75,IF($C$7&gt;=$X$74,AB74,AB73)))))</f>
        <v>1368000</v>
      </c>
      <c r="AC81" s="143">
        <f>$C$7*IF($C$7&gt;=$X$78,AC78,IF($C$7&gt;=$X$77,AC77,IF($C$7&gt;=$X$76,AC76,IF($C$7&gt;=$X$75,AC75,IF($C$7&gt;=$X$74,AC74,AC73)))))</f>
        <v>1287000</v>
      </c>
      <c r="AD81" s="143">
        <f>$C$7*IF($C$7&gt;=$X$78,AD78,IF($C$7&gt;=$X$77,AD77,IF($C$7&gt;=$X$76,AD76,IF($C$7&gt;=$X$75,AD75,IF($C$7&gt;=$X$74,AD74,AD73)))))</f>
        <v>1134000</v>
      </c>
      <c r="AE81" s="143"/>
      <c r="AF81" s="143"/>
      <c r="AI81" s="2">
        <f t="shared" si="49"/>
        <v>14034.75</v>
      </c>
      <c r="AJ81" s="34">
        <f t="shared" si="56"/>
        <v>21903</v>
      </c>
      <c r="AK81" s="57">
        <f t="shared" si="52"/>
        <v>56995</v>
      </c>
      <c r="AL81" s="130">
        <f t="shared" si="71"/>
        <v>1</v>
      </c>
      <c r="AM81" s="109">
        <f t="shared" si="74"/>
        <v>73</v>
      </c>
      <c r="AN81" s="110">
        <f t="shared" si="63"/>
        <v>47538</v>
      </c>
      <c r="AO81" s="105">
        <f t="shared" si="35"/>
        <v>21903</v>
      </c>
      <c r="AP81" s="105">
        <f t="shared" si="64"/>
        <v>4338.43</v>
      </c>
      <c r="AQ81" s="105">
        <f t="shared" si="41"/>
        <v>17564.57</v>
      </c>
      <c r="AR81" s="105">
        <f t="shared" si="34"/>
        <v>0</v>
      </c>
      <c r="AS81" s="105">
        <f t="shared" si="42"/>
        <v>0</v>
      </c>
      <c r="AT81" s="105">
        <f t="shared" si="43"/>
        <v>4338.43</v>
      </c>
      <c r="AU81" s="105">
        <f t="shared" si="44"/>
        <v>0</v>
      </c>
      <c r="AV81" s="105">
        <f t="shared" si="45"/>
        <v>0</v>
      </c>
      <c r="AW81" s="105">
        <f t="shared" si="46"/>
        <v>205499.03999999989</v>
      </c>
      <c r="AX81" s="108">
        <f t="shared" si="75"/>
        <v>12</v>
      </c>
      <c r="AY81" s="108">
        <f t="shared" si="65"/>
        <v>12</v>
      </c>
      <c r="AZ81" s="22">
        <f t="shared" si="57"/>
        <v>47538</v>
      </c>
      <c r="BA81" s="108">
        <f t="shared" si="57"/>
        <v>21903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21903</v>
      </c>
      <c r="H82" s="24">
        <f t="shared" si="59"/>
        <v>6124.7</v>
      </c>
      <c r="I82" s="24">
        <f t="shared" si="70"/>
        <v>1006690.0800000007</v>
      </c>
      <c r="J82" s="24">
        <f t="shared" si="55"/>
        <v>0</v>
      </c>
      <c r="K82" s="24">
        <f t="shared" si="60"/>
        <v>15778.3</v>
      </c>
      <c r="L82" s="24">
        <f t="shared" si="67"/>
        <v>0</v>
      </c>
      <c r="M82" s="24">
        <f t="shared" si="29"/>
        <v>0</v>
      </c>
      <c r="N82" s="24">
        <f t="shared" si="18"/>
        <v>6124.7</v>
      </c>
      <c r="O82" s="24">
        <f t="shared" si="68"/>
        <v>0</v>
      </c>
      <c r="P82" s="24">
        <f t="shared" si="69"/>
        <v>0</v>
      </c>
      <c r="Q82" s="24">
        <f t="shared" si="61"/>
        <v>332867.08000000071</v>
      </c>
      <c r="R82" s="36">
        <f t="shared" si="76"/>
        <v>11</v>
      </c>
      <c r="S82" s="36">
        <f t="shared" si="62"/>
        <v>19</v>
      </c>
      <c r="T82" s="2">
        <f t="shared" si="47"/>
        <v>12752.02</v>
      </c>
      <c r="U82" s="34">
        <f t="shared" si="48"/>
        <v>21903</v>
      </c>
      <c r="V82" s="57">
        <f t="shared" si="51"/>
        <v>57360</v>
      </c>
      <c r="W82" s="16">
        <f t="shared" si="53"/>
        <v>33</v>
      </c>
      <c r="AI82" s="2">
        <f t="shared" si="49"/>
        <v>13433.92</v>
      </c>
      <c r="AJ82" s="34">
        <f t="shared" si="56"/>
        <v>21903</v>
      </c>
      <c r="AK82" s="57">
        <f>IF(AI82=0,AK81,AK81+365)</f>
        <v>57360</v>
      </c>
      <c r="AL82" s="130">
        <f t="shared" si="71"/>
        <v>1</v>
      </c>
      <c r="AM82" s="109">
        <f t="shared" si="74"/>
        <v>74</v>
      </c>
      <c r="AN82" s="110">
        <f t="shared" si="63"/>
        <v>47566</v>
      </c>
      <c r="AO82" s="105">
        <f t="shared" si="35"/>
        <v>21903</v>
      </c>
      <c r="AP82" s="105">
        <f t="shared" si="64"/>
        <v>3610.03</v>
      </c>
      <c r="AQ82" s="105">
        <f t="shared" si="41"/>
        <v>18292.97</v>
      </c>
      <c r="AR82" s="105">
        <f t="shared" si="34"/>
        <v>0</v>
      </c>
      <c r="AS82" s="105">
        <f t="shared" si="42"/>
        <v>0</v>
      </c>
      <c r="AT82" s="105">
        <f t="shared" si="43"/>
        <v>3610.03</v>
      </c>
      <c r="AU82" s="105">
        <f t="shared" si="44"/>
        <v>0</v>
      </c>
      <c r="AV82" s="105">
        <f t="shared" si="45"/>
        <v>0</v>
      </c>
      <c r="AW82" s="105">
        <f t="shared" si="46"/>
        <v>187206.06999999989</v>
      </c>
      <c r="AX82" s="108">
        <f t="shared" si="75"/>
        <v>11</v>
      </c>
      <c r="AY82" s="108">
        <f t="shared" si="65"/>
        <v>11</v>
      </c>
      <c r="AZ82" s="22">
        <f t="shared" si="57"/>
        <v>47566</v>
      </c>
      <c r="BA82" s="108">
        <f t="shared" si="57"/>
        <v>21903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21903</v>
      </c>
      <c r="H83" s="24">
        <f t="shared" si="59"/>
        <v>6474.04</v>
      </c>
      <c r="I83" s="24">
        <f t="shared" si="70"/>
        <v>1013164.1200000007</v>
      </c>
      <c r="J83" s="24">
        <f t="shared" si="55"/>
        <v>0</v>
      </c>
      <c r="K83" s="24">
        <f t="shared" si="60"/>
        <v>15428.96</v>
      </c>
      <c r="L83" s="24">
        <f t="shared" si="67"/>
        <v>0</v>
      </c>
      <c r="M83" s="24">
        <f t="shared" si="29"/>
        <v>0</v>
      </c>
      <c r="N83" s="24">
        <f t="shared" si="18"/>
        <v>6474.04</v>
      </c>
      <c r="O83" s="24">
        <f t="shared" si="68"/>
        <v>0</v>
      </c>
      <c r="P83" s="24">
        <f t="shared" si="69"/>
        <v>0</v>
      </c>
      <c r="Q83" s="24">
        <f t="shared" si="61"/>
        <v>317438.12000000069</v>
      </c>
      <c r="R83" s="36">
        <f t="shared" si="76"/>
        <v>10</v>
      </c>
      <c r="S83" s="36">
        <f t="shared" si="62"/>
        <v>18</v>
      </c>
      <c r="T83" s="2">
        <f t="shared" si="47"/>
        <v>13054.92</v>
      </c>
      <c r="U83" s="34">
        <f t="shared" si="48"/>
        <v>21903</v>
      </c>
      <c r="V83" s="57">
        <f t="shared" si="51"/>
        <v>57725</v>
      </c>
      <c r="W83" s="16">
        <f t="shared" si="53"/>
        <v>34</v>
      </c>
      <c r="X83" s="860" t="s">
        <v>111</v>
      </c>
      <c r="Y83" s="86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13717</v>
      </c>
      <c r="AJ83" s="34">
        <f>IF(AI83=0,IF(AI82=0,0,$AJ$46),AO42)</f>
        <v>21903</v>
      </c>
      <c r="AK83" s="57">
        <f t="shared" si="52"/>
        <v>57725</v>
      </c>
      <c r="AL83" s="130">
        <f t="shared" si="71"/>
        <v>1</v>
      </c>
      <c r="AM83" s="109">
        <f t="shared" si="74"/>
        <v>75</v>
      </c>
      <c r="AN83" s="110">
        <f t="shared" si="63"/>
        <v>47597</v>
      </c>
      <c r="AO83" s="105">
        <f t="shared" si="35"/>
        <v>21903</v>
      </c>
      <c r="AP83" s="105">
        <f t="shared" si="64"/>
        <v>3641.03</v>
      </c>
      <c r="AQ83" s="105">
        <f t="shared" si="41"/>
        <v>18261.97</v>
      </c>
      <c r="AR83" s="105">
        <f t="shared" si="34"/>
        <v>0</v>
      </c>
      <c r="AS83" s="105">
        <f t="shared" si="42"/>
        <v>0</v>
      </c>
      <c r="AT83" s="105">
        <f t="shared" si="43"/>
        <v>3641.03</v>
      </c>
      <c r="AU83" s="105">
        <f t="shared" si="44"/>
        <v>0</v>
      </c>
      <c r="AV83" s="105">
        <f t="shared" si="45"/>
        <v>0</v>
      </c>
      <c r="AW83" s="105">
        <f t="shared" si="46"/>
        <v>168944.09999999989</v>
      </c>
      <c r="AX83" s="108">
        <f t="shared" si="75"/>
        <v>10</v>
      </c>
      <c r="AY83" s="108">
        <f t="shared" si="65"/>
        <v>10</v>
      </c>
      <c r="AZ83" s="22">
        <f t="shared" si="57"/>
        <v>47597</v>
      </c>
      <c r="BA83" s="108">
        <f t="shared" si="57"/>
        <v>21903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21903</v>
      </c>
      <c r="H84" s="24">
        <f t="shared" si="59"/>
        <v>5974.79</v>
      </c>
      <c r="I84" s="24">
        <f t="shared" si="70"/>
        <v>1019138.9100000007</v>
      </c>
      <c r="J84" s="24">
        <f t="shared" si="55"/>
        <v>0</v>
      </c>
      <c r="K84" s="24">
        <f t="shared" si="60"/>
        <v>15928.21</v>
      </c>
      <c r="L84" s="24">
        <f t="shared" si="67"/>
        <v>0</v>
      </c>
      <c r="M84" s="24">
        <f t="shared" si="29"/>
        <v>0</v>
      </c>
      <c r="N84" s="24">
        <f t="shared" si="18"/>
        <v>5974.79</v>
      </c>
      <c r="O84" s="24">
        <f t="shared" si="68"/>
        <v>0</v>
      </c>
      <c r="P84" s="24">
        <f t="shared" si="69"/>
        <v>0</v>
      </c>
      <c r="Q84" s="24">
        <f t="shared" si="61"/>
        <v>301509.91000000067</v>
      </c>
      <c r="R84" s="36">
        <f t="shared" si="76"/>
        <v>9</v>
      </c>
      <c r="S84" s="36">
        <f t="shared" si="62"/>
        <v>17</v>
      </c>
      <c r="T84" s="2">
        <f t="shared" si="47"/>
        <v>12521.26</v>
      </c>
      <c r="U84" s="34">
        <f t="shared" si="48"/>
        <v>21903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13120.44</v>
      </c>
      <c r="AJ84" s="34">
        <f>IF(AI84=0,IF(AI83=0,0,$AJ$46),AO43)</f>
        <v>21903</v>
      </c>
      <c r="AK84" s="57">
        <f t="shared" si="52"/>
        <v>58090</v>
      </c>
      <c r="AL84" s="130">
        <f t="shared" si="71"/>
        <v>1</v>
      </c>
      <c r="AM84" s="109">
        <f t="shared" si="74"/>
        <v>76</v>
      </c>
      <c r="AN84" s="110">
        <f t="shared" si="63"/>
        <v>47627</v>
      </c>
      <c r="AO84" s="105">
        <f t="shared" si="35"/>
        <v>21903</v>
      </c>
      <c r="AP84" s="105">
        <f t="shared" si="64"/>
        <v>3179.85</v>
      </c>
      <c r="AQ84" s="105">
        <f t="shared" si="41"/>
        <v>18723.150000000001</v>
      </c>
      <c r="AR84" s="105">
        <f t="shared" si="34"/>
        <v>0</v>
      </c>
      <c r="AS84" s="105">
        <f t="shared" si="42"/>
        <v>0</v>
      </c>
      <c r="AT84" s="105">
        <f t="shared" si="43"/>
        <v>3179.85</v>
      </c>
      <c r="AU84" s="105">
        <f t="shared" si="44"/>
        <v>0</v>
      </c>
      <c r="AV84" s="105">
        <f t="shared" si="45"/>
        <v>0</v>
      </c>
      <c r="AW84" s="105">
        <f t="shared" si="46"/>
        <v>150220.9499999999</v>
      </c>
      <c r="AX84" s="108">
        <f t="shared" si="75"/>
        <v>9</v>
      </c>
      <c r="AY84" s="108">
        <f t="shared" si="65"/>
        <v>9</v>
      </c>
      <c r="AZ84" s="22">
        <f t="shared" si="57"/>
        <v>47627</v>
      </c>
      <c r="BA84" s="108">
        <f t="shared" si="57"/>
        <v>21903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21903</v>
      </c>
      <c r="H85" s="24">
        <f t="shared" si="59"/>
        <v>5864.16</v>
      </c>
      <c r="I85" s="24">
        <f t="shared" si="70"/>
        <v>1025003.0700000008</v>
      </c>
      <c r="J85" s="24">
        <f t="shared" si="55"/>
        <v>0</v>
      </c>
      <c r="K85" s="24">
        <f t="shared" si="60"/>
        <v>16038.84</v>
      </c>
      <c r="L85" s="24">
        <f t="shared" si="67"/>
        <v>0</v>
      </c>
      <c r="M85" s="24">
        <f t="shared" si="29"/>
        <v>0</v>
      </c>
      <c r="N85" s="24">
        <f t="shared" si="18"/>
        <v>5864.16</v>
      </c>
      <c r="O85" s="24">
        <f t="shared" si="68"/>
        <v>0</v>
      </c>
      <c r="P85" s="24">
        <f t="shared" si="69"/>
        <v>0</v>
      </c>
      <c r="Q85" s="24">
        <f t="shared" si="61"/>
        <v>285471.07000000065</v>
      </c>
      <c r="R85" s="36">
        <f t="shared" si="76"/>
        <v>8</v>
      </c>
      <c r="S85" s="36">
        <f t="shared" si="62"/>
        <v>16</v>
      </c>
      <c r="T85" s="2">
        <f t="shared" si="47"/>
        <v>12811.98</v>
      </c>
      <c r="U85" s="34">
        <f t="shared" si="48"/>
        <v>21903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34"/>
      <c r="AD85" s="134"/>
      <c r="AE85" s="16">
        <f>IF($C$10&gt;48,AB85,IF($C$94&gt;36,AA85,Z85))</f>
        <v>1.35</v>
      </c>
      <c r="AI85" s="2">
        <f t="shared" si="49"/>
        <v>13386.97</v>
      </c>
      <c r="AJ85" s="34">
        <f>IF(AI85=0,IF(AI84=0,0,$AJ$46),AO44)</f>
        <v>21903</v>
      </c>
      <c r="AK85" s="57">
        <f t="shared" si="52"/>
        <v>58455</v>
      </c>
      <c r="AL85" s="130">
        <f t="shared" si="71"/>
        <v>1</v>
      </c>
      <c r="AM85" s="109">
        <f t="shared" si="74"/>
        <v>77</v>
      </c>
      <c r="AN85" s="110">
        <f t="shared" si="63"/>
        <v>47658</v>
      </c>
      <c r="AO85" s="105">
        <f t="shared" si="35"/>
        <v>21903</v>
      </c>
      <c r="AP85" s="105">
        <f t="shared" si="64"/>
        <v>2921.69</v>
      </c>
      <c r="AQ85" s="105">
        <f t="shared" si="41"/>
        <v>18981.310000000001</v>
      </c>
      <c r="AR85" s="105">
        <f t="shared" si="34"/>
        <v>0</v>
      </c>
      <c r="AS85" s="105">
        <f t="shared" si="42"/>
        <v>0</v>
      </c>
      <c r="AT85" s="105">
        <f t="shared" si="43"/>
        <v>2921.69</v>
      </c>
      <c r="AU85" s="105">
        <f t="shared" si="44"/>
        <v>0</v>
      </c>
      <c r="AV85" s="105">
        <f t="shared" si="45"/>
        <v>0</v>
      </c>
      <c r="AW85" s="105">
        <f t="shared" si="46"/>
        <v>131239.6399999999</v>
      </c>
      <c r="AX85" s="108">
        <f t="shared" si="75"/>
        <v>8</v>
      </c>
      <c r="AY85" s="108">
        <f t="shared" si="65"/>
        <v>8</v>
      </c>
      <c r="AZ85" s="22">
        <f t="shared" si="57"/>
        <v>47658</v>
      </c>
      <c r="BA85" s="108">
        <f t="shared" si="57"/>
        <v>21903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21903</v>
      </c>
      <c r="H86" s="24">
        <f t="shared" si="59"/>
        <v>5373.11</v>
      </c>
      <c r="I86" s="24">
        <f t="shared" si="70"/>
        <v>1030376.1800000007</v>
      </c>
      <c r="J86" s="24">
        <f t="shared" si="55"/>
        <v>0</v>
      </c>
      <c r="K86" s="24">
        <f t="shared" si="60"/>
        <v>16529.89</v>
      </c>
      <c r="L86" s="24">
        <f t="shared" si="67"/>
        <v>0</v>
      </c>
      <c r="M86" s="24">
        <f t="shared" si="29"/>
        <v>0</v>
      </c>
      <c r="N86" s="24">
        <f t="shared" si="18"/>
        <v>5373.11</v>
      </c>
      <c r="O86" s="24">
        <f t="shared" si="68"/>
        <v>0</v>
      </c>
      <c r="P86" s="24">
        <f t="shared" si="69"/>
        <v>0</v>
      </c>
      <c r="Q86" s="24">
        <f t="shared" si="61"/>
        <v>268941.18000000063</v>
      </c>
      <c r="R86" s="36">
        <f t="shared" si="76"/>
        <v>7</v>
      </c>
      <c r="S86" s="36">
        <f t="shared" si="62"/>
        <v>15</v>
      </c>
      <c r="T86" s="2">
        <f t="shared" si="47"/>
        <v>12690.97</v>
      </c>
      <c r="U86" s="34">
        <f t="shared" si="48"/>
        <v>21903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34"/>
      <c r="AD86" s="134"/>
      <c r="AE86" s="16">
        <f>IF($C$10&gt;48,AB86,IF($C$94&gt;36,AA86,Z86))</f>
        <v>1.35</v>
      </c>
      <c r="AI86" s="2">
        <f t="shared" si="49"/>
        <v>13221.34</v>
      </c>
      <c r="AJ86" s="34">
        <f>IF(AI86=0,IF(AI85=0,0,$AJ$46),AO45)</f>
        <v>21903</v>
      </c>
      <c r="AK86" s="57">
        <f t="shared" si="52"/>
        <v>58820</v>
      </c>
      <c r="AL86" s="130">
        <f t="shared" si="71"/>
        <v>1</v>
      </c>
      <c r="AM86" s="109">
        <f t="shared" si="74"/>
        <v>78</v>
      </c>
      <c r="AN86" s="110">
        <f t="shared" si="63"/>
        <v>47688</v>
      </c>
      <c r="AO86" s="105">
        <f t="shared" si="35"/>
        <v>21903</v>
      </c>
      <c r="AP86" s="105">
        <f t="shared" si="64"/>
        <v>2470.1799999999998</v>
      </c>
      <c r="AQ86" s="105">
        <f t="shared" si="41"/>
        <v>19432.82</v>
      </c>
      <c r="AR86" s="105">
        <f t="shared" ref="AR86:AR129" si="77">IF(AT86&gt;$D$29,$D$29-AP86,IF(AY86=0,0,AV86)+BN135)</f>
        <v>0</v>
      </c>
      <c r="AS86" s="105">
        <f t="shared" si="42"/>
        <v>0</v>
      </c>
      <c r="AT86" s="105">
        <f t="shared" si="43"/>
        <v>2470.1799999999998</v>
      </c>
      <c r="AU86" s="105">
        <f t="shared" si="44"/>
        <v>0</v>
      </c>
      <c r="AV86" s="105">
        <f t="shared" si="45"/>
        <v>0</v>
      </c>
      <c r="AW86" s="105">
        <f t="shared" si="46"/>
        <v>111806.81999999989</v>
      </c>
      <c r="AX86" s="108">
        <f t="shared" si="75"/>
        <v>7</v>
      </c>
      <c r="AY86" s="108">
        <f t="shared" si="65"/>
        <v>7</v>
      </c>
      <c r="AZ86" s="22">
        <f t="shared" si="57"/>
        <v>47688</v>
      </c>
      <c r="BA86" s="108">
        <f t="shared" si="57"/>
        <v>21903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21903</v>
      </c>
      <c r="H87" s="24">
        <f t="shared" si="59"/>
        <v>5230.72</v>
      </c>
      <c r="I87" s="24">
        <f t="shared" si="70"/>
        <v>1035606.9000000007</v>
      </c>
      <c r="J87" s="24">
        <f t="shared" si="55"/>
        <v>0</v>
      </c>
      <c r="K87" s="24">
        <f t="shared" si="60"/>
        <v>16672.28</v>
      </c>
      <c r="L87" s="24">
        <f t="shared" si="67"/>
        <v>0</v>
      </c>
      <c r="M87" s="24">
        <f t="shared" ref="M87:M150" si="78">O86-L86</f>
        <v>0</v>
      </c>
      <c r="N87" s="24">
        <f t="shared" ref="N87:N150" si="79">H87+O87</f>
        <v>5230.72</v>
      </c>
      <c r="O87" s="24">
        <f t="shared" si="68"/>
        <v>0</v>
      </c>
      <c r="P87" s="24">
        <f t="shared" si="69"/>
        <v>0</v>
      </c>
      <c r="Q87" s="24">
        <f t="shared" si="61"/>
        <v>252268.90000000063</v>
      </c>
      <c r="R87" s="36">
        <f t="shared" si="76"/>
        <v>6</v>
      </c>
      <c r="S87" s="36">
        <f t="shared" si="62"/>
        <v>14</v>
      </c>
      <c r="T87" s="2">
        <f t="shared" si="47"/>
        <v>11351.39</v>
      </c>
      <c r="U87" s="34">
        <f t="shared" si="48"/>
        <v>21903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34"/>
      <c r="AD87" s="134"/>
      <c r="AE87" s="16">
        <f>IF($C$10&gt;48,AB87,IF($C$94&gt;36,AA87,Z87))</f>
        <v>1.35</v>
      </c>
      <c r="AI87" s="2">
        <f t="shared" si="49"/>
        <v>11789.35</v>
      </c>
      <c r="AJ87" s="34">
        <f>IF(AI87=0,IF(AI86=0,0,$AJ$46),AO46)</f>
        <v>21903</v>
      </c>
      <c r="AK87" s="57">
        <f t="shared" si="52"/>
        <v>59185</v>
      </c>
      <c r="AL87" s="130">
        <f t="shared" si="71"/>
        <v>1</v>
      </c>
      <c r="AM87" s="109">
        <f t="shared" si="74"/>
        <v>79</v>
      </c>
      <c r="AN87" s="110">
        <f t="shared" si="63"/>
        <v>47719</v>
      </c>
      <c r="AO87" s="105">
        <f t="shared" si="35"/>
        <v>21903</v>
      </c>
      <c r="AP87" s="105">
        <f t="shared" si="64"/>
        <v>2174.5700000000002</v>
      </c>
      <c r="AQ87" s="105">
        <f t="shared" si="41"/>
        <v>19728.43</v>
      </c>
      <c r="AR87" s="105">
        <f t="shared" si="77"/>
        <v>0</v>
      </c>
      <c r="AS87" s="105">
        <f t="shared" si="42"/>
        <v>0</v>
      </c>
      <c r="AT87" s="105">
        <f t="shared" si="43"/>
        <v>2174.5700000000002</v>
      </c>
      <c r="AU87" s="105">
        <f t="shared" si="44"/>
        <v>0</v>
      </c>
      <c r="AV87" s="105">
        <f t="shared" si="45"/>
        <v>0</v>
      </c>
      <c r="AW87" s="105">
        <f t="shared" si="46"/>
        <v>92078.389999999898</v>
      </c>
      <c r="AX87" s="108">
        <f t="shared" si="75"/>
        <v>6</v>
      </c>
      <c r="AY87" s="108">
        <f t="shared" si="65"/>
        <v>6</v>
      </c>
      <c r="AZ87" s="22">
        <f t="shared" si="57"/>
        <v>47719</v>
      </c>
      <c r="BA87" s="108">
        <f t="shared" si="57"/>
        <v>21903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21903</v>
      </c>
      <c r="H88" s="24">
        <f t="shared" si="59"/>
        <v>4906.46</v>
      </c>
      <c r="I88" s="24">
        <f t="shared" si="70"/>
        <v>1040513.3600000007</v>
      </c>
      <c r="J88" s="24">
        <f t="shared" si="55"/>
        <v>0</v>
      </c>
      <c r="K88" s="24">
        <f t="shared" si="60"/>
        <v>16996.54</v>
      </c>
      <c r="L88" s="24">
        <f t="shared" si="67"/>
        <v>0</v>
      </c>
      <c r="M88" s="24">
        <f t="shared" si="78"/>
        <v>0</v>
      </c>
      <c r="N88" s="24">
        <f t="shared" si="79"/>
        <v>4906.46</v>
      </c>
      <c r="O88" s="24">
        <f t="shared" si="68"/>
        <v>0</v>
      </c>
      <c r="P88" s="24">
        <f t="shared" si="69"/>
        <v>0</v>
      </c>
      <c r="Q88" s="24">
        <f t="shared" si="61"/>
        <v>235272.36000000063</v>
      </c>
      <c r="R88" s="36">
        <f t="shared" si="76"/>
        <v>5</v>
      </c>
      <c r="S88" s="36">
        <f t="shared" si="62"/>
        <v>13</v>
      </c>
      <c r="T88" s="2">
        <f t="shared" si="47"/>
        <v>12418.2</v>
      </c>
      <c r="U88" s="34">
        <f t="shared" si="48"/>
        <v>21903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25296.87</v>
      </c>
      <c r="AJ88" s="34">
        <f t="shared" ref="AJ88:AJ108" si="80">IF(AI88=0,IF(AI87=0,0,$AJ$46),AO48)</f>
        <v>21903</v>
      </c>
      <c r="AK88" s="57">
        <f t="shared" si="52"/>
        <v>59550</v>
      </c>
      <c r="AL88" s="130">
        <f t="shared" si="71"/>
        <v>1</v>
      </c>
      <c r="AM88" s="109">
        <f t="shared" si="74"/>
        <v>80</v>
      </c>
      <c r="AN88" s="110">
        <f t="shared" si="63"/>
        <v>47750</v>
      </c>
      <c r="AO88" s="105">
        <f t="shared" si="35"/>
        <v>21903</v>
      </c>
      <c r="AP88" s="105">
        <f t="shared" si="64"/>
        <v>1790.86</v>
      </c>
      <c r="AQ88" s="105">
        <f t="shared" si="41"/>
        <v>20112.14</v>
      </c>
      <c r="AR88" s="105">
        <f t="shared" si="77"/>
        <v>0</v>
      </c>
      <c r="AS88" s="105">
        <f t="shared" si="42"/>
        <v>0</v>
      </c>
      <c r="AT88" s="105">
        <f t="shared" si="43"/>
        <v>1790.86</v>
      </c>
      <c r="AU88" s="105">
        <f t="shared" si="44"/>
        <v>0</v>
      </c>
      <c r="AV88" s="105">
        <f t="shared" si="45"/>
        <v>0</v>
      </c>
      <c r="AW88" s="105">
        <f t="shared" si="46"/>
        <v>71966.249999999898</v>
      </c>
      <c r="AX88" s="108">
        <f t="shared" si="75"/>
        <v>5</v>
      </c>
      <c r="AY88" s="108">
        <f t="shared" si="65"/>
        <v>5</v>
      </c>
      <c r="AZ88" s="22">
        <f t="shared" si="57"/>
        <v>47750</v>
      </c>
      <c r="BA88" s="108">
        <f t="shared" si="57"/>
        <v>21903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21903</v>
      </c>
      <c r="H89" s="24">
        <f t="shared" si="59"/>
        <v>4428.28</v>
      </c>
      <c r="I89" s="24">
        <f t="shared" si="70"/>
        <v>1044941.6400000007</v>
      </c>
      <c r="J89" s="24">
        <f t="shared" si="55"/>
        <v>0</v>
      </c>
      <c r="K89" s="24">
        <f t="shared" si="60"/>
        <v>17474.72</v>
      </c>
      <c r="L89" s="24">
        <f t="shared" si="67"/>
        <v>0</v>
      </c>
      <c r="M89" s="24">
        <f t="shared" si="78"/>
        <v>0</v>
      </c>
      <c r="N89" s="24">
        <f t="shared" si="79"/>
        <v>4428.28</v>
      </c>
      <c r="O89" s="24">
        <f t="shared" si="68"/>
        <v>0</v>
      </c>
      <c r="P89" s="24">
        <f t="shared" si="69"/>
        <v>0</v>
      </c>
      <c r="Q89" s="24">
        <f t="shared" si="61"/>
        <v>217797.64000000063</v>
      </c>
      <c r="R89" s="36">
        <f t="shared" si="76"/>
        <v>4</v>
      </c>
      <c r="S89" s="36">
        <f t="shared" si="62"/>
        <v>12</v>
      </c>
      <c r="T89" s="2">
        <f t="shared" si="47"/>
        <v>11893.09</v>
      </c>
      <c r="U89" s="34">
        <f t="shared" si="48"/>
        <v>21903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1">IF(AND(AM49&gt;=$T$14,AM49&lt;=$T$14+5),0,IF($C$9&gt;$AC$52,ROUND(AW48*$AI$46/(DATEVALUE(CONCATENATE("01/01/",YEAR(AN49)+1))-DATEVALUE(CONCATENATE("01/01/",YEAR(AN49))))*(AN49-AN48),2),0))</f>
        <v>12492.48</v>
      </c>
      <c r="AJ89" s="34">
        <f t="shared" si="80"/>
        <v>21903</v>
      </c>
      <c r="AK89" s="57">
        <f t="shared" si="52"/>
        <v>59915</v>
      </c>
      <c r="AL89" s="130">
        <f t="shared" si="71"/>
        <v>1</v>
      </c>
      <c r="AM89" s="109">
        <f t="shared" si="74"/>
        <v>81</v>
      </c>
      <c r="AN89" s="110">
        <f t="shared" si="63"/>
        <v>47780</v>
      </c>
      <c r="AO89" s="105">
        <f t="shared" si="35"/>
        <v>21903</v>
      </c>
      <c r="AP89" s="105">
        <f t="shared" si="64"/>
        <v>1354.54</v>
      </c>
      <c r="AQ89" s="105">
        <f t="shared" si="41"/>
        <v>20548.46</v>
      </c>
      <c r="AR89" s="105">
        <f t="shared" si="77"/>
        <v>0</v>
      </c>
      <c r="AS89" s="105">
        <f t="shared" si="42"/>
        <v>0</v>
      </c>
      <c r="AT89" s="105">
        <f t="shared" si="43"/>
        <v>1354.54</v>
      </c>
      <c r="AU89" s="105">
        <f t="shared" si="44"/>
        <v>0</v>
      </c>
      <c r="AV89" s="105">
        <f t="shared" si="45"/>
        <v>0</v>
      </c>
      <c r="AW89" s="105">
        <f t="shared" si="46"/>
        <v>51417.789999999899</v>
      </c>
      <c r="AX89" s="108">
        <f t="shared" si="75"/>
        <v>4</v>
      </c>
      <c r="AY89" s="108">
        <f t="shared" si="65"/>
        <v>4</v>
      </c>
      <c r="AZ89" s="22">
        <f t="shared" si="57"/>
        <v>47780</v>
      </c>
      <c r="BA89" s="108">
        <f t="shared" si="57"/>
        <v>21903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21903</v>
      </c>
      <c r="H90" s="24">
        <f t="shared" si="59"/>
        <v>4236.01</v>
      </c>
      <c r="I90" s="24">
        <f t="shared" si="70"/>
        <v>1049177.6500000006</v>
      </c>
      <c r="J90" s="24">
        <f t="shared" si="55"/>
        <v>0</v>
      </c>
      <c r="K90" s="24">
        <f t="shared" si="60"/>
        <v>17666.989999999998</v>
      </c>
      <c r="L90" s="24">
        <f t="shared" si="67"/>
        <v>0</v>
      </c>
      <c r="M90" s="24">
        <f t="shared" si="78"/>
        <v>0</v>
      </c>
      <c r="N90" s="24">
        <f t="shared" si="79"/>
        <v>4236.01</v>
      </c>
      <c r="O90" s="24">
        <f t="shared" si="68"/>
        <v>0</v>
      </c>
      <c r="P90" s="24">
        <f t="shared" si="69"/>
        <v>0</v>
      </c>
      <c r="Q90" s="24">
        <f t="shared" si="61"/>
        <v>200130.65000000063</v>
      </c>
      <c r="R90" s="36">
        <f t="shared" si="76"/>
        <v>3</v>
      </c>
      <c r="S90" s="36">
        <f t="shared" si="62"/>
        <v>11</v>
      </c>
      <c r="T90" s="2">
        <f t="shared" si="47"/>
        <v>12150.65</v>
      </c>
      <c r="U90" s="34">
        <f t="shared" si="48"/>
        <v>21903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1"/>
        <v>11912.38</v>
      </c>
      <c r="AJ90" s="34">
        <f t="shared" si="80"/>
        <v>21903</v>
      </c>
      <c r="AK90" s="57">
        <f t="shared" si="52"/>
        <v>60280</v>
      </c>
      <c r="AL90" s="130">
        <f t="shared" si="71"/>
        <v>1</v>
      </c>
      <c r="AM90" s="109">
        <f t="shared" si="74"/>
        <v>82</v>
      </c>
      <c r="AN90" s="110">
        <f t="shared" si="63"/>
        <v>47811</v>
      </c>
      <c r="AO90" s="105">
        <f t="shared" si="35"/>
        <v>21903</v>
      </c>
      <c r="AP90" s="105">
        <f t="shared" si="64"/>
        <v>1000.04</v>
      </c>
      <c r="AQ90" s="105">
        <f t="shared" si="41"/>
        <v>20902.96</v>
      </c>
      <c r="AR90" s="105">
        <f t="shared" si="77"/>
        <v>0</v>
      </c>
      <c r="AS90" s="105">
        <f t="shared" si="42"/>
        <v>0</v>
      </c>
      <c r="AT90" s="105">
        <f t="shared" si="43"/>
        <v>1000.04</v>
      </c>
      <c r="AU90" s="105">
        <f t="shared" si="44"/>
        <v>0</v>
      </c>
      <c r="AV90" s="105">
        <f t="shared" si="45"/>
        <v>0</v>
      </c>
      <c r="AW90" s="105">
        <f t="shared" si="46"/>
        <v>30514.8299999999</v>
      </c>
      <c r="AX90" s="108">
        <f t="shared" si="75"/>
        <v>3</v>
      </c>
      <c r="AY90" s="108">
        <f t="shared" si="65"/>
        <v>3</v>
      </c>
      <c r="AZ90" s="22">
        <f t="shared" si="57"/>
        <v>47811</v>
      </c>
      <c r="BA90" s="108">
        <f t="shared" si="57"/>
        <v>21903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21903</v>
      </c>
      <c r="H91" s="24">
        <f t="shared" si="59"/>
        <v>3766.84</v>
      </c>
      <c r="I91" s="24">
        <f t="shared" si="70"/>
        <v>1052944.4900000007</v>
      </c>
      <c r="J91" s="24">
        <f t="shared" si="55"/>
        <v>0</v>
      </c>
      <c r="K91" s="24">
        <f t="shared" si="60"/>
        <v>18136.16</v>
      </c>
      <c r="L91" s="24">
        <f t="shared" si="67"/>
        <v>0</v>
      </c>
      <c r="M91" s="24">
        <f t="shared" si="78"/>
        <v>0</v>
      </c>
      <c r="N91" s="24">
        <f t="shared" si="79"/>
        <v>3766.84</v>
      </c>
      <c r="O91" s="24">
        <f t="shared" si="68"/>
        <v>0</v>
      </c>
      <c r="P91" s="24">
        <f t="shared" si="69"/>
        <v>0</v>
      </c>
      <c r="Q91" s="24">
        <f t="shared" si="61"/>
        <v>181994.49000000063</v>
      </c>
      <c r="R91" s="36">
        <f t="shared" si="76"/>
        <v>2</v>
      </c>
      <c r="S91" s="36">
        <f t="shared" si="62"/>
        <v>10</v>
      </c>
      <c r="T91" s="2">
        <f t="shared" si="47"/>
        <v>11629.15</v>
      </c>
      <c r="U91" s="34">
        <f t="shared" si="48"/>
        <v>21903</v>
      </c>
      <c r="V91" s="57">
        <f t="shared" si="51"/>
        <v>60645</v>
      </c>
      <c r="W91" s="16">
        <f t="shared" si="53"/>
        <v>42</v>
      </c>
      <c r="AI91" s="2">
        <f t="shared" si="81"/>
        <v>12115.15</v>
      </c>
      <c r="AJ91" s="34">
        <f t="shared" si="80"/>
        <v>21903</v>
      </c>
      <c r="AK91" s="57">
        <f t="shared" si="52"/>
        <v>60645</v>
      </c>
      <c r="AL91" s="130">
        <f t="shared" si="71"/>
        <v>1</v>
      </c>
      <c r="AM91" s="109">
        <f t="shared" si="74"/>
        <v>83</v>
      </c>
      <c r="AN91" s="110">
        <f t="shared" si="63"/>
        <v>47841</v>
      </c>
      <c r="AO91" s="105">
        <f t="shared" si="35"/>
        <v>21903</v>
      </c>
      <c r="AP91" s="105">
        <f t="shared" si="64"/>
        <v>574.35</v>
      </c>
      <c r="AQ91" s="105">
        <f t="shared" si="41"/>
        <v>21328.65</v>
      </c>
      <c r="AR91" s="105">
        <f t="shared" si="77"/>
        <v>0</v>
      </c>
      <c r="AS91" s="105">
        <f t="shared" si="42"/>
        <v>0</v>
      </c>
      <c r="AT91" s="105">
        <f t="shared" si="43"/>
        <v>574.35</v>
      </c>
      <c r="AU91" s="105">
        <f t="shared" si="44"/>
        <v>0</v>
      </c>
      <c r="AV91" s="105">
        <f t="shared" si="45"/>
        <v>0</v>
      </c>
      <c r="AW91" s="105">
        <f t="shared" si="46"/>
        <v>9186.1799999998984</v>
      </c>
      <c r="AX91" s="108">
        <f t="shared" si="75"/>
        <v>2</v>
      </c>
      <c r="AY91" s="108">
        <f t="shared" si="65"/>
        <v>2</v>
      </c>
      <c r="AZ91" s="22">
        <f t="shared" si="57"/>
        <v>47841</v>
      </c>
      <c r="BA91" s="108">
        <f t="shared" si="57"/>
        <v>21903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160307.03842794767</v>
      </c>
      <c r="H92" s="24">
        <f t="shared" si="59"/>
        <v>3539.67</v>
      </c>
      <c r="I92" s="24">
        <f t="shared" si="70"/>
        <v>1056484.1600000006</v>
      </c>
      <c r="J92" s="24">
        <f t="shared" si="55"/>
        <v>138404.03842794767</v>
      </c>
      <c r="K92" s="24">
        <f t="shared" si="60"/>
        <v>156767.36842794766</v>
      </c>
      <c r="L92" s="24">
        <f t="shared" si="67"/>
        <v>0</v>
      </c>
      <c r="M92" s="24">
        <f t="shared" si="78"/>
        <v>0</v>
      </c>
      <c r="N92" s="24">
        <f t="shared" si="79"/>
        <v>3539.67</v>
      </c>
      <c r="O92" s="24">
        <f t="shared" si="68"/>
        <v>0</v>
      </c>
      <c r="P92" s="24">
        <f t="shared" si="69"/>
        <v>0</v>
      </c>
      <c r="Q92" s="24">
        <f t="shared" si="61"/>
        <v>25227.121572052973</v>
      </c>
      <c r="R92" s="36">
        <f t="shared" si="76"/>
        <v>1</v>
      </c>
      <c r="S92" s="36">
        <f t="shared" si="62"/>
        <v>9</v>
      </c>
      <c r="T92" s="2">
        <f t="shared" si="47"/>
        <v>11872.77</v>
      </c>
      <c r="U92" s="34">
        <f t="shared" si="48"/>
        <v>21903</v>
      </c>
      <c r="V92" s="57">
        <f t="shared" si="51"/>
        <v>61010</v>
      </c>
      <c r="W92" s="16">
        <f t="shared" si="53"/>
        <v>43</v>
      </c>
      <c r="X92" s="860" t="s">
        <v>115</v>
      </c>
      <c r="Y92" s="86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1"/>
        <v>11924.78</v>
      </c>
      <c r="AJ92" s="34">
        <f t="shared" si="80"/>
        <v>21903</v>
      </c>
      <c r="AK92" s="57">
        <f t="shared" si="52"/>
        <v>61010</v>
      </c>
      <c r="AL92" s="130">
        <f t="shared" si="71"/>
        <v>1</v>
      </c>
      <c r="AM92" s="109">
        <f t="shared" si="74"/>
        <v>84</v>
      </c>
      <c r="AN92" s="110">
        <f t="shared" si="63"/>
        <v>47872</v>
      </c>
      <c r="AO92" s="105">
        <f t="shared" si="35"/>
        <v>9364.8399999998983</v>
      </c>
      <c r="AP92" s="105">
        <f t="shared" si="64"/>
        <v>178.66</v>
      </c>
      <c r="AQ92" s="105">
        <f t="shared" si="41"/>
        <v>9186.1799999998984</v>
      </c>
      <c r="AR92" s="105">
        <f t="shared" si="77"/>
        <v>0</v>
      </c>
      <c r="AS92" s="105">
        <f t="shared" si="42"/>
        <v>0</v>
      </c>
      <c r="AT92" s="105">
        <f t="shared" si="43"/>
        <v>178.66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1</v>
      </c>
      <c r="AY92" s="108">
        <f t="shared" si="65"/>
        <v>1</v>
      </c>
      <c r="AZ92" s="22">
        <f t="shared" si="57"/>
        <v>47872</v>
      </c>
      <c r="BA92" s="108">
        <f t="shared" si="57"/>
        <v>160307.03842794767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25717.771572052974</v>
      </c>
      <c r="H93" s="24">
        <f t="shared" si="59"/>
        <v>490.65</v>
      </c>
      <c r="I93" s="24">
        <f t="shared" si="70"/>
        <v>1056974.8100000005</v>
      </c>
      <c r="J93" s="24">
        <f t="shared" si="55"/>
        <v>0</v>
      </c>
      <c r="K93" s="24">
        <f t="shared" si="60"/>
        <v>25227.121572052973</v>
      </c>
      <c r="L93" s="24">
        <f t="shared" si="67"/>
        <v>0</v>
      </c>
      <c r="M93" s="24">
        <f t="shared" si="78"/>
        <v>0</v>
      </c>
      <c r="N93" s="24">
        <f t="shared" si="79"/>
        <v>490.65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2</v>
      </c>
      <c r="T93" s="2">
        <f t="shared" si="47"/>
        <v>11733.5</v>
      </c>
      <c r="U93" s="34">
        <f t="shared" si="48"/>
        <v>21903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1"/>
        <v>11352.3</v>
      </c>
      <c r="AJ93" s="34">
        <f t="shared" si="80"/>
        <v>21903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7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25717.771572052974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1056974.8100000005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8"/>
        <v>0</v>
      </c>
      <c r="N94" s="24">
        <f t="shared" si="79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11217.6</v>
      </c>
      <c r="U94" s="34">
        <f t="shared" si="48"/>
        <v>21903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34"/>
      <c r="AD94" s="134"/>
      <c r="AI94" s="2">
        <f t="shared" si="81"/>
        <v>11525.51</v>
      </c>
      <c r="AJ94" s="34">
        <f t="shared" si="80"/>
        <v>21903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7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2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1056974.8100000005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8"/>
        <v>0</v>
      </c>
      <c r="N95" s="24">
        <f t="shared" si="79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11439.5</v>
      </c>
      <c r="U95" s="34">
        <f t="shared" si="48"/>
        <v>21903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34"/>
      <c r="AD95" s="134"/>
      <c r="AI95" s="2">
        <f t="shared" si="81"/>
        <v>10958.39</v>
      </c>
      <c r="AJ95" s="34">
        <f t="shared" si="80"/>
        <v>21903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7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2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1056974.8100000005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8"/>
        <v>0</v>
      </c>
      <c r="N96" s="24">
        <f t="shared" si="79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10927.55</v>
      </c>
      <c r="U96" s="34">
        <f t="shared" si="48"/>
        <v>21903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34"/>
      <c r="AD96" s="134"/>
      <c r="AI96" s="2">
        <f t="shared" si="81"/>
        <v>11080.45</v>
      </c>
      <c r="AJ96" s="34">
        <f t="shared" si="80"/>
        <v>21903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7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2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1056974.8100000005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8"/>
        <v>0</v>
      </c>
      <c r="N97" s="24">
        <f t="shared" si="79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11103.72</v>
      </c>
      <c r="U97" s="34">
        <f t="shared" si="48"/>
        <v>21903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34"/>
      <c r="AD97" s="134"/>
      <c r="AI97" s="2">
        <f t="shared" si="81"/>
        <v>10870.66</v>
      </c>
      <c r="AJ97" s="34">
        <f t="shared" si="80"/>
        <v>21903</v>
      </c>
      <c r="AK97" s="57">
        <f t="shared" si="52"/>
        <v>62835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7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2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1056974.8100000005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8"/>
        <v>0</v>
      </c>
      <c r="N98" s="24">
        <f t="shared" si="79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10950.05</v>
      </c>
      <c r="U98" s="34">
        <f t="shared" si="48"/>
        <v>21903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1"/>
        <v>9969.15</v>
      </c>
      <c r="AJ98" s="34">
        <f t="shared" si="80"/>
        <v>21903</v>
      </c>
      <c r="AK98" s="57">
        <f t="shared" si="52"/>
        <v>63200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7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2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1056974.8100000005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8"/>
        <v>0</v>
      </c>
      <c r="N99" s="24">
        <f t="shared" si="79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10096.92</v>
      </c>
      <c r="U99" s="34">
        <f t="shared" si="48"/>
        <v>21903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1"/>
        <v>10425.209999999999</v>
      </c>
      <c r="AJ99" s="34">
        <f t="shared" si="80"/>
        <v>21903</v>
      </c>
      <c r="AK99" s="57">
        <f t="shared" si="52"/>
        <v>63565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7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2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1056974.8100000005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8"/>
        <v>0</v>
      </c>
      <c r="N100" s="24">
        <f t="shared" si="79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10619.92</v>
      </c>
      <c r="U100" s="34">
        <f t="shared" si="48"/>
        <v>21903</v>
      </c>
      <c r="V100" s="57">
        <f t="shared" si="51"/>
        <v>63930</v>
      </c>
      <c r="W100" s="16">
        <f t="shared" si="53"/>
        <v>51</v>
      </c>
      <c r="AI100" s="2">
        <f t="shared" si="81"/>
        <v>9873.4699999999993</v>
      </c>
      <c r="AJ100" s="34">
        <f t="shared" si="80"/>
        <v>21903</v>
      </c>
      <c r="AK100" s="57">
        <f t="shared" si="52"/>
        <v>63930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7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2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1056974.8100000005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8"/>
        <v>0</v>
      </c>
      <c r="N101" s="24">
        <f t="shared" si="79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10119.41</v>
      </c>
      <c r="U101" s="34">
        <f t="shared" si="48"/>
        <v>21903</v>
      </c>
      <c r="V101" s="57">
        <f t="shared" si="51"/>
        <v>64295</v>
      </c>
      <c r="W101" s="16">
        <f t="shared" si="53"/>
        <v>52</v>
      </c>
      <c r="AI101" s="2">
        <f t="shared" si="81"/>
        <v>9969.26</v>
      </c>
      <c r="AJ101" s="34">
        <f t="shared" si="80"/>
        <v>21903</v>
      </c>
      <c r="AK101" s="57">
        <f t="shared" si="52"/>
        <v>64295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7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2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1056974.8100000005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8"/>
        <v>0</v>
      </c>
      <c r="N102" s="24">
        <f t="shared" si="79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10283.82</v>
      </c>
      <c r="U102" s="34">
        <f t="shared" si="48"/>
        <v>21903</v>
      </c>
      <c r="V102" s="57">
        <f t="shared" si="51"/>
        <v>64660</v>
      </c>
      <c r="W102" s="16">
        <f t="shared" si="53"/>
        <v>53</v>
      </c>
      <c r="AI102" s="2">
        <f t="shared" si="81"/>
        <v>9423.67</v>
      </c>
      <c r="AJ102" s="34">
        <f t="shared" si="80"/>
        <v>21903</v>
      </c>
      <c r="AK102" s="57">
        <f t="shared" si="52"/>
        <v>64660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7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2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1056974.8100000005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8"/>
        <v>0</v>
      </c>
      <c r="N103" s="24">
        <f t="shared" si="79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9787.85</v>
      </c>
      <c r="U103" s="34">
        <f t="shared" si="48"/>
        <v>21903</v>
      </c>
      <c r="V103" s="57">
        <f t="shared" si="51"/>
        <v>65025</v>
      </c>
      <c r="W103" s="16">
        <f t="shared" si="53"/>
        <v>54</v>
      </c>
      <c r="AI103" s="2">
        <f t="shared" si="81"/>
        <v>9495.74</v>
      </c>
      <c r="AJ103" s="34">
        <f t="shared" si="80"/>
        <v>21903</v>
      </c>
      <c r="AK103" s="57">
        <f t="shared" si="52"/>
        <v>65025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3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7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2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1056974.8100000005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8"/>
        <v>0</v>
      </c>
      <c r="N104" s="24">
        <f t="shared" si="79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9934.7800000000007</v>
      </c>
      <c r="U104" s="34">
        <f t="shared" si="48"/>
        <v>21903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1"/>
        <v>9255.08</v>
      </c>
      <c r="AJ104" s="34">
        <f t="shared" si="80"/>
        <v>21903</v>
      </c>
      <c r="AK104" s="57">
        <f t="shared" si="52"/>
        <v>65390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3"/>
        <v>0</v>
      </c>
      <c r="AP104" s="105">
        <f t="shared" si="64"/>
        <v>0</v>
      </c>
      <c r="AQ104" s="105">
        <f t="shared" si="41"/>
        <v>0</v>
      </c>
      <c r="AR104" s="105">
        <f t="shared" si="77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2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1056974.8100000005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8"/>
        <v>0</v>
      </c>
      <c r="N105" s="24">
        <f t="shared" si="79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9758.2900000000009</v>
      </c>
      <c r="U105" s="34">
        <f t="shared" si="48"/>
        <v>21903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1"/>
        <v>8719.1200000000008</v>
      </c>
      <c r="AJ105" s="34">
        <f t="shared" si="80"/>
        <v>21903</v>
      </c>
      <c r="AK105" s="57">
        <f t="shared" si="52"/>
        <v>65755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3"/>
        <v>0</v>
      </c>
      <c r="AP105" s="105">
        <f t="shared" si="64"/>
        <v>0</v>
      </c>
      <c r="AQ105" s="105">
        <f t="shared" si="41"/>
        <v>0</v>
      </c>
      <c r="AR105" s="105">
        <f t="shared" si="77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2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1056974.8100000005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8"/>
        <v>0</v>
      </c>
      <c r="N106" s="24">
        <f t="shared" si="79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9269.41</v>
      </c>
      <c r="U106" s="34">
        <f t="shared" si="48"/>
        <v>21903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1"/>
        <v>8754.0400000000009</v>
      </c>
      <c r="AJ106" s="34">
        <f t="shared" si="80"/>
        <v>21903</v>
      </c>
      <c r="AK106" s="57">
        <f t="shared" si="52"/>
        <v>66120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3"/>
        <v>0</v>
      </c>
      <c r="AP106" s="105">
        <f t="shared" si="64"/>
        <v>0</v>
      </c>
      <c r="AQ106" s="105">
        <f t="shared" si="41"/>
        <v>0</v>
      </c>
      <c r="AR106" s="105">
        <f t="shared" si="77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2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1056974.8100000005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8"/>
        <v>0</v>
      </c>
      <c r="N107" s="24">
        <f t="shared" si="79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9389</v>
      </c>
      <c r="U107" s="34">
        <f t="shared" si="48"/>
        <v>21903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1"/>
        <v>8224.84</v>
      </c>
      <c r="AJ107" s="34">
        <f t="shared" si="80"/>
        <v>21903</v>
      </c>
      <c r="AK107" s="57">
        <f t="shared" si="52"/>
        <v>66485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3"/>
        <v>0</v>
      </c>
      <c r="AP107" s="105">
        <f t="shared" si="64"/>
        <v>0</v>
      </c>
      <c r="AQ107" s="105">
        <f t="shared" si="41"/>
        <v>0</v>
      </c>
      <c r="AR107" s="105">
        <f t="shared" si="77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2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1056974.8100000005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8"/>
        <v>0</v>
      </c>
      <c r="N108" s="24">
        <f t="shared" si="79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8905.1</v>
      </c>
      <c r="U108" s="34">
        <f t="shared" si="48"/>
        <v>21903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1"/>
        <v>8256.26</v>
      </c>
      <c r="AJ108" s="34">
        <f t="shared" si="80"/>
        <v>21903</v>
      </c>
      <c r="AK108" s="57">
        <f t="shared" si="52"/>
        <v>66850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3"/>
        <v>0</v>
      </c>
      <c r="AP108" s="105">
        <f t="shared" si="64"/>
        <v>0</v>
      </c>
      <c r="AQ108" s="105">
        <f t="shared" si="41"/>
        <v>0</v>
      </c>
      <c r="AR108" s="105">
        <f t="shared" si="77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4">F158</f>
        <v>49880</v>
      </c>
      <c r="BA108" s="108">
        <f t="shared" si="84"/>
        <v>0</v>
      </c>
      <c r="BB108" s="2" t="e">
        <f t="shared" si="82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1056974.8100000005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8"/>
        <v>0</v>
      </c>
      <c r="N109" s="24">
        <f t="shared" si="79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9030.15</v>
      </c>
      <c r="U109" s="34">
        <f>IF(U108&lt;0,0,IF(T109=0,IF(T108=0,0,$U$46),G68)-IF(AND(T109&gt;0,T110=0),$C$26,0))</f>
        <v>21903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1"/>
        <v>7990.74</v>
      </c>
      <c r="AJ109" s="34">
        <f>IF(AI109=0,IF(AI108=0,0,$AJ$46),AO69)</f>
        <v>21903</v>
      </c>
      <c r="AK109" s="57">
        <f>IF(AI109=0,AK108,AK108+365)</f>
        <v>67215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3"/>
        <v>0</v>
      </c>
      <c r="AP109" s="105">
        <f t="shared" si="64"/>
        <v>0</v>
      </c>
      <c r="AQ109" s="105">
        <f t="shared" si="41"/>
        <v>0</v>
      </c>
      <c r="AR109" s="105">
        <f t="shared" si="77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4"/>
        <v>49911</v>
      </c>
      <c r="BA109" s="108">
        <f t="shared" si="84"/>
        <v>0</v>
      </c>
      <c r="BB109" s="2" t="e">
        <f t="shared" si="82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1056974.8100000005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8"/>
        <v>0</v>
      </c>
      <c r="N110" s="24">
        <f t="shared" si="79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8835.48</v>
      </c>
      <c r="U110" s="34">
        <f>IF(U109&lt;0,0,IF(T110=0,IF(T109=0,0,$U$46),G69)-IF(AND(T110&gt;0,T111=0),$C$26,0))</f>
        <v>21903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1"/>
        <v>6973.04</v>
      </c>
      <c r="AJ110" s="34">
        <f>IF(AI110=0,IF(AI109=0,0,$AJ$46),AO70)</f>
        <v>21903</v>
      </c>
      <c r="AK110" s="57">
        <f>IF(AI110=0,AK109,AK109+365)</f>
        <v>67580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3"/>
        <v>0</v>
      </c>
      <c r="AP110" s="105">
        <f t="shared" si="64"/>
        <v>0</v>
      </c>
      <c r="AQ110" s="105">
        <f t="shared" si="41"/>
        <v>0</v>
      </c>
      <c r="AR110" s="105">
        <f t="shared" si="77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4"/>
        <v>45315</v>
      </c>
      <c r="BA110" s="108">
        <f t="shared" si="84"/>
        <v>2003973.8100000005</v>
      </c>
      <c r="BB110" s="2" t="e">
        <f t="shared" si="82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1056974.8100000005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8"/>
        <v>0</v>
      </c>
      <c r="N111" s="24">
        <f t="shared" si="79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7801.28</v>
      </c>
      <c r="U111" s="34">
        <f t="shared" ref="U111:U174" si="85">IF(U110&lt;0,0,IF(T111=0,IF(T110=0,0,$U$46),G70)-IF(AND(T111&gt;0,T112=0),$C$26,0))</f>
        <v>21903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1"/>
        <v>7429.78</v>
      </c>
      <c r="AJ111" s="34">
        <f t="shared" ref="AJ111:AJ149" si="86">IF(AI111=0,IF(AI110=0,0,$AJ$46),AO71)</f>
        <v>21903</v>
      </c>
      <c r="AK111" s="57">
        <f t="shared" ref="AK111:AK149" si="87">IF(AI111=0,AK110,AK110+365)</f>
        <v>67945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3"/>
        <v>0</v>
      </c>
      <c r="AP111" s="105">
        <f t="shared" si="64"/>
        <v>0</v>
      </c>
      <c r="AQ111" s="105">
        <f t="shared" si="41"/>
        <v>0</v>
      </c>
      <c r="AR111" s="105">
        <f t="shared" si="77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2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1056974.8100000005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8"/>
        <v>0</v>
      </c>
      <c r="N112" s="24">
        <f t="shared" si="79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8418.67</v>
      </c>
      <c r="U112" s="34">
        <f t="shared" si="85"/>
        <v>21903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1"/>
        <v>6917.7</v>
      </c>
      <c r="AJ112" s="34">
        <f t="shared" si="86"/>
        <v>21903</v>
      </c>
      <c r="AK112" s="57">
        <f t="shared" si="87"/>
        <v>68310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3"/>
        <v>0</v>
      </c>
      <c r="AP112" s="105">
        <f t="shared" si="64"/>
        <v>0</v>
      </c>
      <c r="AQ112" s="105">
        <f t="shared" ref="AQ112:AQ129" si="88">IF(AY112=0,0,IF(AY112=1,AW111,IF(AW111+AR112+AP112&gt;AO111,AO112-AP112-AR112,AW111)))</f>
        <v>0</v>
      </c>
      <c r="AR112" s="105">
        <f t="shared" si="77"/>
        <v>0</v>
      </c>
      <c r="AS112" s="105">
        <f t="shared" ref="AS112:AS129" si="89">AU111-AR111</f>
        <v>0</v>
      </c>
      <c r="AT112" s="105">
        <f t="shared" ref="AT112:AT129" si="90">AP112+AU112</f>
        <v>0</v>
      </c>
      <c r="AU112" s="105">
        <f t="shared" ref="AU112:AU129" si="91">IF(AY112=0,0,0)</f>
        <v>0</v>
      </c>
      <c r="AV112" s="105">
        <f t="shared" ref="AV112:AV129" si="92">IF(AY112=0,0,0)</f>
        <v>0</v>
      </c>
      <c r="AW112" s="105">
        <f t="shared" ref="AW112:AW129" si="93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2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1056974.8100000005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8"/>
        <v>0</v>
      </c>
      <c r="N113" s="24">
        <f t="shared" si="79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7947.31</v>
      </c>
      <c r="U113" s="34">
        <f t="shared" si="85"/>
        <v>21903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1"/>
        <v>6856.83</v>
      </c>
      <c r="AJ113" s="34">
        <f t="shared" si="86"/>
        <v>21903</v>
      </c>
      <c r="AK113" s="57">
        <f t="shared" si="87"/>
        <v>68675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3"/>
        <v>0</v>
      </c>
      <c r="AP113" s="105">
        <f t="shared" si="64"/>
        <v>0</v>
      </c>
      <c r="AQ113" s="105">
        <f t="shared" si="88"/>
        <v>0</v>
      </c>
      <c r="AR113" s="105">
        <f t="shared" si="77"/>
        <v>0</v>
      </c>
      <c r="AS113" s="105">
        <f t="shared" si="89"/>
        <v>0</v>
      </c>
      <c r="AT113" s="105">
        <f t="shared" si="90"/>
        <v>0</v>
      </c>
      <c r="AU113" s="105">
        <f t="shared" si="91"/>
        <v>0</v>
      </c>
      <c r="AV113" s="105">
        <f t="shared" si="92"/>
        <v>0</v>
      </c>
      <c r="AW113" s="105">
        <f t="shared" si="93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2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1056974.8100000005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8"/>
        <v>0</v>
      </c>
      <c r="N114" s="24">
        <f t="shared" si="79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4">IF(AND(E73&gt;=$T$14,E73&lt;=$T$14+5),0,IF($C$9&gt;$AC$52,ROUND(Q72*$T$46/(DATEVALUE(CONCATENATE("01/01/",YEAR(F73)+1))-DATEVALUE(CONCATENATE("01/01/",YEAR(F73))))*(F73-F72),2),0))</f>
        <v>7996.6</v>
      </c>
      <c r="U114" s="34">
        <f t="shared" si="85"/>
        <v>21903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1"/>
        <v>6352.45</v>
      </c>
      <c r="AJ114" s="34">
        <f t="shared" si="86"/>
        <v>21903</v>
      </c>
      <c r="AK114" s="57">
        <f t="shared" si="87"/>
        <v>69040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3"/>
        <v>0</v>
      </c>
      <c r="AP114" s="105">
        <f t="shared" si="64"/>
        <v>0</v>
      </c>
      <c r="AQ114" s="105">
        <f t="shared" si="88"/>
        <v>0</v>
      </c>
      <c r="AR114" s="105">
        <f t="shared" si="77"/>
        <v>0</v>
      </c>
      <c r="AS114" s="105">
        <f t="shared" si="89"/>
        <v>0</v>
      </c>
      <c r="AT114" s="105">
        <f t="shared" si="90"/>
        <v>0</v>
      </c>
      <c r="AU114" s="105">
        <f t="shared" si="91"/>
        <v>0</v>
      </c>
      <c r="AV114" s="105">
        <f t="shared" si="92"/>
        <v>0</v>
      </c>
      <c r="AW114" s="105">
        <f t="shared" si="93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2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1056974.8100000005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8"/>
        <v>0</v>
      </c>
      <c r="N115" s="24">
        <f t="shared" si="79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4"/>
        <v>7530.91</v>
      </c>
      <c r="U115" s="34">
        <f t="shared" si="85"/>
        <v>21903</v>
      </c>
      <c r="V115" s="57">
        <f t="shared" ref="V115:V178" si="95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1"/>
        <v>6261.75</v>
      </c>
      <c r="AJ115" s="34">
        <f t="shared" si="86"/>
        <v>21903</v>
      </c>
      <c r="AK115" s="57">
        <f t="shared" si="87"/>
        <v>69405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3"/>
        <v>0</v>
      </c>
      <c r="AP115" s="105">
        <f t="shared" si="64"/>
        <v>0</v>
      </c>
      <c r="AQ115" s="105">
        <f t="shared" si="88"/>
        <v>0</v>
      </c>
      <c r="AR115" s="105">
        <f t="shared" si="77"/>
        <v>0</v>
      </c>
      <c r="AS115" s="105">
        <f t="shared" si="89"/>
        <v>0</v>
      </c>
      <c r="AT115" s="105">
        <f t="shared" si="90"/>
        <v>0</v>
      </c>
      <c r="AU115" s="105">
        <f t="shared" si="91"/>
        <v>0</v>
      </c>
      <c r="AV115" s="105">
        <f t="shared" si="92"/>
        <v>0</v>
      </c>
      <c r="AW115" s="105">
        <f t="shared" si="93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2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1056974.8100000005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8"/>
        <v>0</v>
      </c>
      <c r="N116" s="24">
        <f t="shared" si="79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4"/>
        <v>7558.22</v>
      </c>
      <c r="U116" s="34">
        <f t="shared" si="85"/>
        <v>21903</v>
      </c>
      <c r="V116" s="57">
        <f t="shared" si="95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1"/>
        <v>5957.53</v>
      </c>
      <c r="AJ116" s="34">
        <f t="shared" si="86"/>
        <v>21903</v>
      </c>
      <c r="AK116" s="57">
        <f t="shared" si="87"/>
        <v>69770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3"/>
        <v>0</v>
      </c>
      <c r="AP116" s="105">
        <f t="shared" si="64"/>
        <v>0</v>
      </c>
      <c r="AQ116" s="105">
        <f t="shared" si="88"/>
        <v>0</v>
      </c>
      <c r="AR116" s="105">
        <f t="shared" si="77"/>
        <v>0</v>
      </c>
      <c r="AS116" s="105">
        <f t="shared" si="89"/>
        <v>0</v>
      </c>
      <c r="AT116" s="105">
        <f t="shared" si="90"/>
        <v>0</v>
      </c>
      <c r="AU116" s="105">
        <f t="shared" si="91"/>
        <v>0</v>
      </c>
      <c r="AV116" s="105">
        <f t="shared" si="92"/>
        <v>0</v>
      </c>
      <c r="AW116" s="105">
        <f t="shared" si="93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2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1056974.8100000005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8"/>
        <v>0</v>
      </c>
      <c r="N117" s="24">
        <f t="shared" si="79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4"/>
        <v>7335.03</v>
      </c>
      <c r="U117" s="34">
        <f t="shared" si="85"/>
        <v>21903</v>
      </c>
      <c r="V117" s="57">
        <f t="shared" si="95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1"/>
        <v>5465.23</v>
      </c>
      <c r="AJ117" s="34">
        <f t="shared" si="86"/>
        <v>21903</v>
      </c>
      <c r="AK117" s="57">
        <f t="shared" si="87"/>
        <v>70135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3"/>
        <v>0</v>
      </c>
      <c r="AP117" s="105">
        <f t="shared" si="64"/>
        <v>0</v>
      </c>
      <c r="AQ117" s="105">
        <f t="shared" si="88"/>
        <v>0</v>
      </c>
      <c r="AR117" s="105">
        <f t="shared" si="77"/>
        <v>0</v>
      </c>
      <c r="AS117" s="105">
        <f t="shared" si="89"/>
        <v>0</v>
      </c>
      <c r="AT117" s="105">
        <f t="shared" si="90"/>
        <v>0</v>
      </c>
      <c r="AU117" s="105">
        <f t="shared" si="91"/>
        <v>0</v>
      </c>
      <c r="AV117" s="105">
        <f t="shared" si="92"/>
        <v>0</v>
      </c>
      <c r="AW117" s="105">
        <f t="shared" si="93"/>
        <v>0</v>
      </c>
      <c r="AX117" s="108">
        <f t="shared" si="75"/>
        <v>0</v>
      </c>
      <c r="AY117" s="108">
        <f t="shared" si="65"/>
        <v>0</v>
      </c>
      <c r="BB117" s="2" t="e">
        <f t="shared" si="82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1056974.8100000005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8"/>
        <v>0</v>
      </c>
      <c r="N118" s="24">
        <f t="shared" si="79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4"/>
        <v>6878.23</v>
      </c>
      <c r="U118" s="34">
        <f t="shared" si="85"/>
        <v>21903</v>
      </c>
      <c r="V118" s="57">
        <f t="shared" si="95"/>
        <v>70500</v>
      </c>
      <c r="W118" s="16">
        <f t="shared" ref="W118:W180" si="96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1"/>
        <v>5327.7</v>
      </c>
      <c r="AJ118" s="34">
        <f t="shared" si="86"/>
        <v>21903</v>
      </c>
      <c r="AK118" s="57">
        <f t="shared" si="87"/>
        <v>70500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3"/>
        <v>0</v>
      </c>
      <c r="AP118" s="105">
        <f t="shared" si="64"/>
        <v>0</v>
      </c>
      <c r="AQ118" s="105">
        <f t="shared" si="88"/>
        <v>0</v>
      </c>
      <c r="AR118" s="105">
        <f t="shared" si="77"/>
        <v>0</v>
      </c>
      <c r="AS118" s="105">
        <f t="shared" si="89"/>
        <v>0</v>
      </c>
      <c r="AT118" s="105">
        <f t="shared" si="90"/>
        <v>0</v>
      </c>
      <c r="AU118" s="105">
        <f t="shared" si="91"/>
        <v>0</v>
      </c>
      <c r="AV118" s="105">
        <f t="shared" si="92"/>
        <v>0</v>
      </c>
      <c r="AW118" s="105">
        <f t="shared" si="93"/>
        <v>0</v>
      </c>
      <c r="AX118" s="108">
        <f t="shared" si="75"/>
        <v>0</v>
      </c>
      <c r="AY118" s="108">
        <f t="shared" si="65"/>
        <v>0</v>
      </c>
      <c r="BB118" s="2" t="e">
        <f t="shared" si="82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1056974.8100000005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8"/>
        <v>0</v>
      </c>
      <c r="N119" s="24">
        <f t="shared" si="79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4"/>
        <v>6871.09</v>
      </c>
      <c r="U119" s="34">
        <f t="shared" si="85"/>
        <v>21903</v>
      </c>
      <c r="V119" s="57">
        <f t="shared" si="95"/>
        <v>70865</v>
      </c>
      <c r="W119" s="16">
        <f t="shared" si="96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1"/>
        <v>4843.8599999999997</v>
      </c>
      <c r="AJ119" s="34">
        <f t="shared" si="86"/>
        <v>21903</v>
      </c>
      <c r="AK119" s="57">
        <f t="shared" si="87"/>
        <v>70865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3"/>
        <v>0</v>
      </c>
      <c r="AP119" s="105">
        <f t="shared" si="64"/>
        <v>0</v>
      </c>
      <c r="AQ119" s="105">
        <f t="shared" si="88"/>
        <v>0</v>
      </c>
      <c r="AR119" s="105">
        <f t="shared" si="77"/>
        <v>0</v>
      </c>
      <c r="AS119" s="105">
        <f t="shared" si="89"/>
        <v>0</v>
      </c>
      <c r="AT119" s="105">
        <f t="shared" si="90"/>
        <v>0</v>
      </c>
      <c r="AU119" s="105">
        <f t="shared" si="91"/>
        <v>0</v>
      </c>
      <c r="AV119" s="105">
        <f t="shared" si="92"/>
        <v>0</v>
      </c>
      <c r="AW119" s="105">
        <f t="shared" si="93"/>
        <v>0</v>
      </c>
      <c r="AX119" s="108">
        <f t="shared" si="75"/>
        <v>0</v>
      </c>
      <c r="AY119" s="108">
        <f t="shared" si="65"/>
        <v>0</v>
      </c>
      <c r="BB119" s="2" t="e">
        <f t="shared" si="82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1056974.8100000005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8"/>
        <v>0</v>
      </c>
      <c r="N120" s="24">
        <f t="shared" si="79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4"/>
        <v>6420.52</v>
      </c>
      <c r="U120" s="34">
        <f t="shared" si="85"/>
        <v>21903</v>
      </c>
      <c r="V120" s="57">
        <f t="shared" si="95"/>
        <v>71230</v>
      </c>
      <c r="W120" s="16">
        <f t="shared" si="96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1"/>
        <v>4673.54</v>
      </c>
      <c r="AJ120" s="34">
        <f t="shared" si="86"/>
        <v>21903</v>
      </c>
      <c r="AK120" s="57">
        <f t="shared" si="87"/>
        <v>71230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3"/>
        <v>0</v>
      </c>
      <c r="AP120" s="105">
        <f t="shared" si="64"/>
        <v>0</v>
      </c>
      <c r="AQ120" s="105">
        <f t="shared" si="88"/>
        <v>0</v>
      </c>
      <c r="AR120" s="105">
        <f t="shared" si="77"/>
        <v>0</v>
      </c>
      <c r="AS120" s="105">
        <f t="shared" si="89"/>
        <v>0</v>
      </c>
      <c r="AT120" s="105">
        <f t="shared" si="90"/>
        <v>0</v>
      </c>
      <c r="AU120" s="105">
        <f t="shared" si="91"/>
        <v>0</v>
      </c>
      <c r="AV120" s="105">
        <f t="shared" si="92"/>
        <v>0</v>
      </c>
      <c r="AW120" s="105">
        <f t="shared" si="93"/>
        <v>0</v>
      </c>
      <c r="AX120" s="108">
        <f t="shared" si="75"/>
        <v>0</v>
      </c>
      <c r="AY120" s="108">
        <f t="shared" si="65"/>
        <v>0</v>
      </c>
      <c r="BB120" s="2" t="e">
        <f t="shared" si="82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1056974.8100000005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8"/>
        <v>0</v>
      </c>
      <c r="N121" s="24">
        <f t="shared" si="79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4"/>
        <v>6389.22</v>
      </c>
      <c r="U121" s="34">
        <f t="shared" si="85"/>
        <v>21903</v>
      </c>
      <c r="V121" s="57">
        <f t="shared" si="95"/>
        <v>71595</v>
      </c>
      <c r="W121" s="16">
        <f t="shared" si="96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1"/>
        <v>4338.43</v>
      </c>
      <c r="AJ121" s="34">
        <f t="shared" si="86"/>
        <v>21903</v>
      </c>
      <c r="AK121" s="57">
        <f t="shared" si="87"/>
        <v>71595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3"/>
        <v>0</v>
      </c>
      <c r="AP121" s="105">
        <f t="shared" si="64"/>
        <v>0</v>
      </c>
      <c r="AQ121" s="105">
        <f t="shared" si="88"/>
        <v>0</v>
      </c>
      <c r="AR121" s="105">
        <f t="shared" si="77"/>
        <v>0</v>
      </c>
      <c r="AS121" s="105">
        <f t="shared" si="89"/>
        <v>0</v>
      </c>
      <c r="AT121" s="105">
        <f t="shared" si="90"/>
        <v>0</v>
      </c>
      <c r="AU121" s="105">
        <f t="shared" si="91"/>
        <v>0</v>
      </c>
      <c r="AV121" s="105">
        <f t="shared" si="92"/>
        <v>0</v>
      </c>
      <c r="AW121" s="105">
        <f t="shared" si="93"/>
        <v>0</v>
      </c>
      <c r="AX121" s="108">
        <f t="shared" si="75"/>
        <v>0</v>
      </c>
      <c r="AY121" s="108">
        <f t="shared" si="65"/>
        <v>0</v>
      </c>
      <c r="BB121" s="2" t="e">
        <f t="shared" si="82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1056974.8100000005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8"/>
        <v>0</v>
      </c>
      <c r="N122" s="24">
        <f t="shared" si="79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4"/>
        <v>6143.29</v>
      </c>
      <c r="U122" s="34">
        <f t="shared" si="85"/>
        <v>21903</v>
      </c>
      <c r="V122" s="57">
        <f t="shared" si="95"/>
        <v>71960</v>
      </c>
      <c r="W122" s="16">
        <f t="shared" si="96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1"/>
        <v>3610.03</v>
      </c>
      <c r="AJ122" s="34">
        <f t="shared" si="86"/>
        <v>21903</v>
      </c>
      <c r="AK122" s="57">
        <f t="shared" si="87"/>
        <v>71960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3"/>
        <v>0</v>
      </c>
      <c r="AP122" s="105">
        <f t="shared" si="64"/>
        <v>0</v>
      </c>
      <c r="AQ122" s="105">
        <f t="shared" si="88"/>
        <v>0</v>
      </c>
      <c r="AR122" s="105">
        <f t="shared" si="77"/>
        <v>0</v>
      </c>
      <c r="AS122" s="105">
        <f t="shared" si="89"/>
        <v>0</v>
      </c>
      <c r="AT122" s="105">
        <f t="shared" si="90"/>
        <v>0</v>
      </c>
      <c r="AU122" s="105">
        <f t="shared" si="91"/>
        <v>0</v>
      </c>
      <c r="AV122" s="105">
        <f t="shared" si="92"/>
        <v>0</v>
      </c>
      <c r="AW122" s="105">
        <f t="shared" si="93"/>
        <v>0</v>
      </c>
      <c r="AX122" s="108">
        <f t="shared" si="75"/>
        <v>0</v>
      </c>
      <c r="AY122" s="108">
        <f t="shared" si="65"/>
        <v>0</v>
      </c>
      <c r="BB122" s="2" t="e">
        <f t="shared" si="82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1056974.8100000005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8"/>
        <v>0</v>
      </c>
      <c r="N123" s="24">
        <f t="shared" si="79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4"/>
        <v>5322.33</v>
      </c>
      <c r="U123" s="34">
        <f t="shared" si="85"/>
        <v>21903</v>
      </c>
      <c r="V123" s="57">
        <f t="shared" si="95"/>
        <v>72325</v>
      </c>
      <c r="W123" s="16">
        <f t="shared" si="96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1"/>
        <v>3641.03</v>
      </c>
      <c r="AJ123" s="34">
        <f t="shared" si="86"/>
        <v>21903</v>
      </c>
      <c r="AK123" s="57">
        <f t="shared" si="87"/>
        <v>72325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3"/>
        <v>0</v>
      </c>
      <c r="AP123" s="105">
        <f t="shared" si="64"/>
        <v>0</v>
      </c>
      <c r="AQ123" s="105">
        <f t="shared" si="88"/>
        <v>0</v>
      </c>
      <c r="AR123" s="105">
        <f t="shared" si="77"/>
        <v>0</v>
      </c>
      <c r="AS123" s="105">
        <f t="shared" si="89"/>
        <v>0</v>
      </c>
      <c r="AT123" s="105">
        <f t="shared" si="90"/>
        <v>0</v>
      </c>
      <c r="AU123" s="105">
        <f t="shared" si="91"/>
        <v>0</v>
      </c>
      <c r="AV123" s="105">
        <f t="shared" si="92"/>
        <v>0</v>
      </c>
      <c r="AW123" s="105">
        <f t="shared" si="93"/>
        <v>0</v>
      </c>
      <c r="AX123" s="108">
        <f t="shared" si="75"/>
        <v>0</v>
      </c>
      <c r="AY123" s="108">
        <f t="shared" si="65"/>
        <v>0</v>
      </c>
      <c r="BB123" s="2" t="e">
        <f t="shared" si="82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1056974.8100000005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8"/>
        <v>0</v>
      </c>
      <c r="N124" s="24">
        <f t="shared" si="79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4"/>
        <v>5625.91</v>
      </c>
      <c r="U124" s="34">
        <f t="shared" si="85"/>
        <v>21903</v>
      </c>
      <c r="V124" s="57">
        <f t="shared" si="95"/>
        <v>72690</v>
      </c>
      <c r="W124" s="16">
        <f t="shared" si="96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1"/>
        <v>3179.85</v>
      </c>
      <c r="AJ124" s="34">
        <f t="shared" si="86"/>
        <v>21903</v>
      </c>
      <c r="AK124" s="57">
        <f t="shared" si="87"/>
        <v>72690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3"/>
        <v>0</v>
      </c>
      <c r="AP124" s="105">
        <f t="shared" si="64"/>
        <v>0</v>
      </c>
      <c r="AQ124" s="105">
        <f t="shared" si="88"/>
        <v>0</v>
      </c>
      <c r="AR124" s="105">
        <f t="shared" si="77"/>
        <v>0</v>
      </c>
      <c r="AS124" s="105">
        <f t="shared" si="89"/>
        <v>0</v>
      </c>
      <c r="AT124" s="105">
        <f t="shared" si="90"/>
        <v>0</v>
      </c>
      <c r="AU124" s="105">
        <f t="shared" si="91"/>
        <v>0</v>
      </c>
      <c r="AV124" s="105">
        <f t="shared" si="92"/>
        <v>0</v>
      </c>
      <c r="AW124" s="105">
        <f t="shared" si="93"/>
        <v>0</v>
      </c>
      <c r="AX124" s="108">
        <f t="shared" si="75"/>
        <v>0</v>
      </c>
      <c r="AY124" s="108">
        <f t="shared" si="65"/>
        <v>0</v>
      </c>
      <c r="BB124" s="2" t="e">
        <f t="shared" si="82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1056974.8100000005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8"/>
        <v>0</v>
      </c>
      <c r="N125" s="24">
        <f t="shared" si="79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4"/>
        <v>5192.07</v>
      </c>
      <c r="U125" s="34">
        <f t="shared" si="85"/>
        <v>21903</v>
      </c>
      <c r="V125" s="57">
        <f t="shared" si="95"/>
        <v>73055</v>
      </c>
      <c r="W125" s="16">
        <f t="shared" si="96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1"/>
        <v>2921.69</v>
      </c>
      <c r="AJ125" s="34">
        <f t="shared" si="86"/>
        <v>21903</v>
      </c>
      <c r="AK125" s="57">
        <f t="shared" si="87"/>
        <v>73055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3"/>
        <v>0</v>
      </c>
      <c r="AP125" s="105">
        <f t="shared" si="64"/>
        <v>0</v>
      </c>
      <c r="AQ125" s="105">
        <f t="shared" si="88"/>
        <v>0</v>
      </c>
      <c r="AR125" s="105">
        <f t="shared" si="77"/>
        <v>0</v>
      </c>
      <c r="AS125" s="105">
        <f t="shared" si="89"/>
        <v>0</v>
      </c>
      <c r="AT125" s="105">
        <f t="shared" si="90"/>
        <v>0</v>
      </c>
      <c r="AU125" s="105">
        <f t="shared" si="91"/>
        <v>0</v>
      </c>
      <c r="AV125" s="105">
        <f t="shared" si="92"/>
        <v>0</v>
      </c>
      <c r="AW125" s="105">
        <f t="shared" si="93"/>
        <v>0</v>
      </c>
      <c r="AX125" s="108">
        <f t="shared" si="75"/>
        <v>0</v>
      </c>
      <c r="AY125" s="108">
        <f t="shared" si="65"/>
        <v>0</v>
      </c>
      <c r="BB125" s="2" t="e">
        <f t="shared" si="82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1056974.8100000005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8"/>
        <v>0</v>
      </c>
      <c r="N126" s="24">
        <f t="shared" si="79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4"/>
        <v>5095.93</v>
      </c>
      <c r="U126" s="34">
        <f t="shared" si="85"/>
        <v>21903</v>
      </c>
      <c r="V126" s="57">
        <f t="shared" si="95"/>
        <v>73420</v>
      </c>
      <c r="W126" s="16">
        <f t="shared" si="96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1"/>
        <v>2470.1799999999998</v>
      </c>
      <c r="AJ126" s="34">
        <f t="shared" si="86"/>
        <v>21903</v>
      </c>
      <c r="AK126" s="57">
        <f t="shared" si="87"/>
        <v>73420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3"/>
        <v>0</v>
      </c>
      <c r="AP126" s="105">
        <f t="shared" si="64"/>
        <v>0</v>
      </c>
      <c r="AQ126" s="105">
        <f t="shared" si="88"/>
        <v>0</v>
      </c>
      <c r="AR126" s="105">
        <f t="shared" si="77"/>
        <v>0</v>
      </c>
      <c r="AS126" s="105">
        <f t="shared" si="89"/>
        <v>0</v>
      </c>
      <c r="AT126" s="105">
        <f t="shared" si="90"/>
        <v>0</v>
      </c>
      <c r="AU126" s="105">
        <f t="shared" si="91"/>
        <v>0</v>
      </c>
      <c r="AV126" s="105">
        <f t="shared" si="92"/>
        <v>0</v>
      </c>
      <c r="AW126" s="105">
        <f t="shared" si="93"/>
        <v>0</v>
      </c>
      <c r="AX126" s="108">
        <f t="shared" si="75"/>
        <v>0</v>
      </c>
      <c r="AY126" s="108">
        <f t="shared" si="65"/>
        <v>0</v>
      </c>
      <c r="BB126" s="2" t="e">
        <f t="shared" si="82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1056974.8100000005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8"/>
        <v>0</v>
      </c>
      <c r="N127" s="24">
        <f t="shared" si="79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4"/>
        <v>4669.21</v>
      </c>
      <c r="U127" s="34">
        <f t="shared" si="85"/>
        <v>21903</v>
      </c>
      <c r="V127" s="57">
        <f t="shared" si="95"/>
        <v>73785</v>
      </c>
      <c r="W127" s="16">
        <f t="shared" si="96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1"/>
        <v>2174.5700000000002</v>
      </c>
      <c r="AJ127" s="34">
        <f t="shared" si="86"/>
        <v>21903</v>
      </c>
      <c r="AK127" s="57">
        <f t="shared" si="87"/>
        <v>73785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3"/>
        <v>0</v>
      </c>
      <c r="AP127" s="105">
        <f t="shared" si="64"/>
        <v>0</v>
      </c>
      <c r="AQ127" s="105">
        <f t="shared" si="88"/>
        <v>0</v>
      </c>
      <c r="AR127" s="105">
        <f t="shared" si="77"/>
        <v>0</v>
      </c>
      <c r="AS127" s="105">
        <f t="shared" si="89"/>
        <v>0</v>
      </c>
      <c r="AT127" s="105">
        <f t="shared" si="90"/>
        <v>0</v>
      </c>
      <c r="AU127" s="105">
        <f t="shared" si="91"/>
        <v>0</v>
      </c>
      <c r="AV127" s="105">
        <f t="shared" si="92"/>
        <v>0</v>
      </c>
      <c r="AW127" s="105">
        <f t="shared" si="93"/>
        <v>0</v>
      </c>
      <c r="AX127" s="108">
        <f t="shared" si="75"/>
        <v>0</v>
      </c>
      <c r="AY127" s="108">
        <f t="shared" si="65"/>
        <v>0</v>
      </c>
      <c r="BB127" s="2" t="e">
        <f t="shared" si="82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1056974.8100000005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8"/>
        <v>0</v>
      </c>
      <c r="N128" s="24">
        <f t="shared" si="79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4"/>
        <v>4545.47</v>
      </c>
      <c r="U128" s="34">
        <f t="shared" si="85"/>
        <v>21903</v>
      </c>
      <c r="V128" s="57">
        <f t="shared" si="95"/>
        <v>74150</v>
      </c>
      <c r="W128" s="16">
        <f t="shared" si="96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1"/>
        <v>1790.86</v>
      </c>
      <c r="AJ128" s="34">
        <f t="shared" si="86"/>
        <v>21903</v>
      </c>
      <c r="AK128" s="57">
        <f t="shared" si="87"/>
        <v>74150</v>
      </c>
      <c r="AM128" s="109">
        <f t="shared" si="74"/>
        <v>120</v>
      </c>
      <c r="AN128" s="110">
        <f t="shared" si="63"/>
        <v>48968</v>
      </c>
      <c r="AO128" s="105">
        <f t="shared" si="83"/>
        <v>0</v>
      </c>
      <c r="AP128" s="105">
        <f t="shared" si="64"/>
        <v>0</v>
      </c>
      <c r="AQ128" s="105">
        <f t="shared" si="88"/>
        <v>0</v>
      </c>
      <c r="AR128" s="105">
        <f t="shared" si="77"/>
        <v>0</v>
      </c>
      <c r="AS128" s="105">
        <f t="shared" si="89"/>
        <v>0</v>
      </c>
      <c r="AT128" s="105">
        <f t="shared" si="90"/>
        <v>0</v>
      </c>
      <c r="AU128" s="105">
        <f t="shared" si="91"/>
        <v>0</v>
      </c>
      <c r="AV128" s="105">
        <f t="shared" si="92"/>
        <v>0</v>
      </c>
      <c r="AW128" s="105">
        <f t="shared" si="93"/>
        <v>0</v>
      </c>
      <c r="AX128" s="108">
        <f t="shared" si="75"/>
        <v>0</v>
      </c>
      <c r="AY128" s="108">
        <f t="shared" si="65"/>
        <v>0</v>
      </c>
      <c r="BB128" s="2" t="e">
        <f t="shared" si="82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1056974.8100000005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8"/>
        <v>0</v>
      </c>
      <c r="N129" s="24">
        <f t="shared" si="79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4"/>
        <v>4263.6899999999996</v>
      </c>
      <c r="U129" s="34">
        <f t="shared" si="85"/>
        <v>21903</v>
      </c>
      <c r="V129" s="57">
        <f t="shared" si="95"/>
        <v>74515</v>
      </c>
      <c r="W129" s="16">
        <f t="shared" si="96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1"/>
        <v>1354.54</v>
      </c>
      <c r="AJ129" s="34">
        <f t="shared" si="86"/>
        <v>21903</v>
      </c>
      <c r="AK129" s="57">
        <f t="shared" si="87"/>
        <v>74515</v>
      </c>
      <c r="AM129" s="109">
        <f t="shared" si="74"/>
        <v>121</v>
      </c>
      <c r="AN129" s="110">
        <f t="shared" si="63"/>
        <v>48999</v>
      </c>
      <c r="AO129" s="105">
        <f t="shared" si="83"/>
        <v>0</v>
      </c>
      <c r="AP129" s="105">
        <f t="shared" si="64"/>
        <v>0</v>
      </c>
      <c r="AQ129" s="105">
        <f t="shared" si="88"/>
        <v>0</v>
      </c>
      <c r="AR129" s="105">
        <f t="shared" si="77"/>
        <v>0</v>
      </c>
      <c r="AS129" s="105">
        <f t="shared" si="89"/>
        <v>0</v>
      </c>
      <c r="AT129" s="105">
        <f t="shared" si="90"/>
        <v>0</v>
      </c>
      <c r="AU129" s="105">
        <f t="shared" si="91"/>
        <v>0</v>
      </c>
      <c r="AV129" s="105">
        <f t="shared" si="92"/>
        <v>0</v>
      </c>
      <c r="AW129" s="105">
        <f t="shared" si="93"/>
        <v>0</v>
      </c>
      <c r="AX129" s="108">
        <f t="shared" si="75"/>
        <v>0</v>
      </c>
      <c r="AY129" s="108">
        <f t="shared" si="65"/>
        <v>0</v>
      </c>
      <c r="BB129" s="2" t="e">
        <f t="shared" si="82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1056974.8100000005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8"/>
        <v>0</v>
      </c>
      <c r="N130" s="24">
        <f t="shared" si="79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4"/>
        <v>3848.15</v>
      </c>
      <c r="U130" s="34">
        <f t="shared" si="85"/>
        <v>21903</v>
      </c>
      <c r="V130" s="57">
        <f t="shared" si="95"/>
        <v>74880</v>
      </c>
      <c r="W130" s="16">
        <f t="shared" si="96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1"/>
        <v>1000.04</v>
      </c>
      <c r="AJ130" s="34">
        <f t="shared" si="86"/>
        <v>21903</v>
      </c>
      <c r="AK130" s="57">
        <f t="shared" si="87"/>
        <v>74880</v>
      </c>
      <c r="BB130" s="2" t="e">
        <f t="shared" si="82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1056974.8100000005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8"/>
        <v>0</v>
      </c>
      <c r="N131" s="24">
        <f t="shared" si="79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4"/>
        <v>3681.08</v>
      </c>
      <c r="U131" s="34">
        <f t="shared" si="85"/>
        <v>21903</v>
      </c>
      <c r="V131" s="57">
        <f t="shared" si="95"/>
        <v>75245</v>
      </c>
      <c r="W131" s="16">
        <f t="shared" si="96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1"/>
        <v>574.35</v>
      </c>
      <c r="AJ131" s="34">
        <f t="shared" si="86"/>
        <v>21903</v>
      </c>
      <c r="AK131" s="57">
        <f t="shared" si="87"/>
        <v>75245</v>
      </c>
      <c r="AM131" s="28"/>
      <c r="AN131" s="29" t="s">
        <v>7</v>
      </c>
      <c r="AO131" s="30">
        <f>(SUM(AO9:AO129)-IF(CODE(C18)=209,BN58,0))</f>
        <v>1827313.8399999999</v>
      </c>
      <c r="AP131" s="30">
        <f>(SUM(AP9:AP129)-IF(CODE(D18)=209,BO58,0))</f>
        <v>916314.8400000002</v>
      </c>
      <c r="AQ131" s="30">
        <f>SUM(AQ9:AQ129)</f>
        <v>910999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2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1056974.8100000005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8"/>
        <v>0</v>
      </c>
      <c r="N132" s="24">
        <f t="shared" si="79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4"/>
        <v>3273.37</v>
      </c>
      <c r="U132" s="34">
        <f t="shared" si="85"/>
        <v>21903</v>
      </c>
      <c r="V132" s="57">
        <f t="shared" si="95"/>
        <v>75610</v>
      </c>
      <c r="W132" s="16">
        <f t="shared" si="96"/>
        <v>83</v>
      </c>
      <c r="AI132" s="2">
        <f t="shared" si="81"/>
        <v>178.66</v>
      </c>
      <c r="AJ132" s="34">
        <f t="shared" si="86"/>
        <v>9364.8399999998983</v>
      </c>
      <c r="AK132" s="57">
        <f t="shared" si="87"/>
        <v>75610</v>
      </c>
      <c r="BB132" s="2" t="e">
        <f t="shared" si="82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1056974.8100000005</v>
      </c>
      <c r="J133" s="24">
        <f t="shared" ref="J133:J159" si="97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8"/>
        <v>0</v>
      </c>
      <c r="N133" s="24">
        <f t="shared" si="79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4"/>
        <v>3075.96</v>
      </c>
      <c r="U133" s="34">
        <f t="shared" si="85"/>
        <v>160307.03842794767</v>
      </c>
      <c r="V133" s="57">
        <f t="shared" si="95"/>
        <v>75975</v>
      </c>
      <c r="W133" s="16">
        <f t="shared" si="96"/>
        <v>84</v>
      </c>
      <c r="AI133" s="2">
        <f t="shared" si="81"/>
        <v>0</v>
      </c>
      <c r="AJ133" s="34">
        <f t="shared" si="86"/>
        <v>0</v>
      </c>
      <c r="AK133" s="57">
        <f t="shared" si="87"/>
        <v>75610</v>
      </c>
      <c r="BB133" s="2" t="e">
        <f t="shared" si="82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1056974.8100000005</v>
      </c>
      <c r="J134" s="24">
        <f t="shared" si="97"/>
        <v>0</v>
      </c>
      <c r="K134" s="24">
        <f t="shared" si="60"/>
        <v>0</v>
      </c>
      <c r="L134" s="24">
        <f t="shared" si="67"/>
        <v>0</v>
      </c>
      <c r="M134" s="24">
        <f t="shared" si="78"/>
        <v>0</v>
      </c>
      <c r="N134" s="24">
        <f t="shared" si="79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4"/>
        <v>426.37</v>
      </c>
      <c r="U134" s="34">
        <f t="shared" si="85"/>
        <v>-112750.54414847109</v>
      </c>
      <c r="V134" s="57">
        <f t="shared" si="95"/>
        <v>76340</v>
      </c>
      <c r="W134" s="16">
        <f t="shared" si="96"/>
        <v>85</v>
      </c>
      <c r="AI134" s="2">
        <f t="shared" si="81"/>
        <v>0</v>
      </c>
      <c r="AJ134" s="34">
        <f t="shared" si="86"/>
        <v>0</v>
      </c>
      <c r="AK134" s="57">
        <f t="shared" si="87"/>
        <v>75610</v>
      </c>
      <c r="BB134" s="2" t="e">
        <f t="shared" si="82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1056974.8100000005</v>
      </c>
      <c r="J135" s="24">
        <f t="shared" si="97"/>
        <v>0</v>
      </c>
      <c r="K135" s="24">
        <f t="shared" si="60"/>
        <v>0</v>
      </c>
      <c r="L135" s="24">
        <f t="shared" si="67"/>
        <v>0</v>
      </c>
      <c r="M135" s="24">
        <f t="shared" si="78"/>
        <v>0</v>
      </c>
      <c r="N135" s="24">
        <f t="shared" si="79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4"/>
        <v>0</v>
      </c>
      <c r="U135" s="34">
        <f t="shared" si="85"/>
        <v>0</v>
      </c>
      <c r="V135" s="57">
        <f t="shared" si="95"/>
        <v>76340</v>
      </c>
      <c r="W135" s="16">
        <f t="shared" si="96"/>
        <v>86</v>
      </c>
      <c r="AI135" s="2">
        <f t="shared" si="81"/>
        <v>0</v>
      </c>
      <c r="AJ135" s="34">
        <f t="shared" si="86"/>
        <v>0</v>
      </c>
      <c r="AK135" s="57">
        <f t="shared" si="87"/>
        <v>75610</v>
      </c>
      <c r="BB135" s="2" t="e">
        <f t="shared" si="82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1056974.8100000005</v>
      </c>
      <c r="J136" s="24">
        <f t="shared" si="97"/>
        <v>0</v>
      </c>
      <c r="K136" s="24">
        <f t="shared" si="60"/>
        <v>0</v>
      </c>
      <c r="L136" s="24">
        <f t="shared" si="67"/>
        <v>0</v>
      </c>
      <c r="M136" s="24">
        <f t="shared" si="78"/>
        <v>0</v>
      </c>
      <c r="N136" s="24">
        <f t="shared" si="79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4"/>
        <v>0</v>
      </c>
      <c r="U136" s="34">
        <f t="shared" si="85"/>
        <v>0</v>
      </c>
      <c r="V136" s="57">
        <f t="shared" si="95"/>
        <v>76340</v>
      </c>
      <c r="W136" s="16">
        <f t="shared" si="96"/>
        <v>87</v>
      </c>
      <c r="AI136" s="2">
        <f t="shared" si="81"/>
        <v>0</v>
      </c>
      <c r="AJ136" s="34">
        <f t="shared" si="86"/>
        <v>0</v>
      </c>
      <c r="AK136" s="57">
        <f t="shared" si="87"/>
        <v>75610</v>
      </c>
      <c r="BB136" s="2" t="e">
        <f t="shared" si="82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8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99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1056974.8100000005</v>
      </c>
      <c r="J137" s="24">
        <f t="shared" si="97"/>
        <v>0</v>
      </c>
      <c r="K137" s="24">
        <f t="shared" ref="K137:K159" si="100">IF(S137=0,0,IF(S137=1,Q136,IF(Q136+L137+H137&gt;G136,G137-H137-L137,Q136)))</f>
        <v>0</v>
      </c>
      <c r="L137" s="24">
        <f t="shared" si="67"/>
        <v>0</v>
      </c>
      <c r="M137" s="24">
        <f t="shared" si="78"/>
        <v>0</v>
      </c>
      <c r="N137" s="24">
        <f t="shared" si="79"/>
        <v>0</v>
      </c>
      <c r="O137" s="24">
        <f t="shared" si="68"/>
        <v>0</v>
      </c>
      <c r="P137" s="24">
        <f t="shared" si="69"/>
        <v>0</v>
      </c>
      <c r="Q137" s="24">
        <f t="shared" ref="Q137:Q159" si="101">IF(OR(S137=1,Q136=0),0,Q136-K137)</f>
        <v>0</v>
      </c>
      <c r="R137" s="36">
        <f t="shared" si="76"/>
        <v>0</v>
      </c>
      <c r="S137" s="36">
        <f t="shared" ref="S137:S159" si="102">IF(ISERR(CEILING(FLOOR(NPER($C$19/12,-$AA$56,Q136),0.1),1))=TRUE,0,CEILING(FLOOR(NPER($C$19/12,-$AA$56,Q136),0.1),1))</f>
        <v>0</v>
      </c>
      <c r="T137" s="2">
        <f t="shared" si="94"/>
        <v>0</v>
      </c>
      <c r="U137" s="34">
        <f t="shared" si="85"/>
        <v>0</v>
      </c>
      <c r="V137" s="57">
        <f t="shared" si="95"/>
        <v>76340</v>
      </c>
      <c r="W137" s="16">
        <f t="shared" si="96"/>
        <v>88</v>
      </c>
      <c r="AI137" s="2">
        <f t="shared" si="81"/>
        <v>0</v>
      </c>
      <c r="AJ137" s="34">
        <f t="shared" si="86"/>
        <v>0</v>
      </c>
      <c r="AK137" s="57">
        <f t="shared" si="87"/>
        <v>75610</v>
      </c>
      <c r="BB137" s="2" t="e">
        <f t="shared" si="82"/>
        <v>#VALUE!</v>
      </c>
    </row>
    <row r="138" spans="5:54" x14ac:dyDescent="0.2">
      <c r="E138" s="114">
        <f t="shared" si="72"/>
        <v>130</v>
      </c>
      <c r="F138" s="111">
        <f t="shared" ref="F138:F160" si="103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8"/>
        <v>0</v>
      </c>
      <c r="H138" s="24">
        <f t="shared" si="99"/>
        <v>0</v>
      </c>
      <c r="I138" s="24">
        <f t="shared" si="70"/>
        <v>1056974.8100000005</v>
      </c>
      <c r="J138" s="24">
        <f t="shared" si="97"/>
        <v>0</v>
      </c>
      <c r="K138" s="24">
        <f t="shared" si="100"/>
        <v>0</v>
      </c>
      <c r="L138" s="24">
        <f t="shared" ref="L138:L159" si="104">IF(N138&gt;$C$29,$C$29-H138,IF(S138=0,0,O138))</f>
        <v>0</v>
      </c>
      <c r="M138" s="24">
        <f t="shared" si="78"/>
        <v>0</v>
      </c>
      <c r="N138" s="24">
        <f t="shared" si="79"/>
        <v>0</v>
      </c>
      <c r="O138" s="24">
        <f t="shared" ref="O138:O156" si="105">IF(S138=0,0,0)</f>
        <v>0</v>
      </c>
      <c r="P138" s="24">
        <f t="shared" ref="P138:P159" si="106">IF(S138=0,0,0)</f>
        <v>0</v>
      </c>
      <c r="Q138" s="24">
        <f t="shared" si="101"/>
        <v>0</v>
      </c>
      <c r="R138" s="36">
        <f t="shared" si="76"/>
        <v>0</v>
      </c>
      <c r="S138" s="36">
        <f t="shared" si="102"/>
        <v>0</v>
      </c>
      <c r="T138" s="2">
        <f t="shared" si="94"/>
        <v>0</v>
      </c>
      <c r="U138" s="34">
        <f t="shared" si="85"/>
        <v>0</v>
      </c>
      <c r="V138" s="57">
        <f t="shared" si="95"/>
        <v>76340</v>
      </c>
      <c r="W138" s="16">
        <f t="shared" si="96"/>
        <v>89</v>
      </c>
      <c r="AI138" s="2">
        <f t="shared" si="81"/>
        <v>0</v>
      </c>
      <c r="AJ138" s="34">
        <f t="shared" si="86"/>
        <v>0</v>
      </c>
      <c r="AK138" s="57">
        <f t="shared" si="87"/>
        <v>75610</v>
      </c>
      <c r="BB138" s="2" t="e">
        <f t="shared" si="82"/>
        <v>#VALUE!</v>
      </c>
    </row>
    <row r="139" spans="5:54" x14ac:dyDescent="0.2">
      <c r="E139" s="114">
        <f t="shared" si="72"/>
        <v>131</v>
      </c>
      <c r="F139" s="111">
        <f t="shared" si="103"/>
        <v>49302</v>
      </c>
      <c r="G139" s="24">
        <f t="shared" si="98"/>
        <v>0</v>
      </c>
      <c r="H139" s="24">
        <f t="shared" si="99"/>
        <v>0</v>
      </c>
      <c r="I139" s="24">
        <f t="shared" ref="I139:I159" si="107">H139+I138</f>
        <v>1056974.8100000005</v>
      </c>
      <c r="J139" s="24">
        <f t="shared" si="97"/>
        <v>0</v>
      </c>
      <c r="K139" s="24">
        <f t="shared" si="100"/>
        <v>0</v>
      </c>
      <c r="L139" s="24">
        <f t="shared" si="104"/>
        <v>0</v>
      </c>
      <c r="M139" s="24">
        <f t="shared" si="78"/>
        <v>0</v>
      </c>
      <c r="N139" s="24">
        <f t="shared" si="79"/>
        <v>0</v>
      </c>
      <c r="O139" s="24">
        <f t="shared" si="105"/>
        <v>0</v>
      </c>
      <c r="P139" s="24">
        <f t="shared" si="106"/>
        <v>0</v>
      </c>
      <c r="Q139" s="24">
        <f t="shared" si="101"/>
        <v>0</v>
      </c>
      <c r="R139" s="36">
        <f t="shared" si="76"/>
        <v>0</v>
      </c>
      <c r="S139" s="36">
        <f t="shared" si="102"/>
        <v>0</v>
      </c>
      <c r="T139" s="2">
        <f t="shared" si="94"/>
        <v>0</v>
      </c>
      <c r="U139" s="34">
        <f t="shared" si="85"/>
        <v>0</v>
      </c>
      <c r="V139" s="57">
        <f t="shared" si="95"/>
        <v>76340</v>
      </c>
      <c r="W139" s="16">
        <f t="shared" si="96"/>
        <v>90</v>
      </c>
      <c r="AI139" s="2">
        <f t="shared" si="81"/>
        <v>0</v>
      </c>
      <c r="AJ139" s="34">
        <f t="shared" si="86"/>
        <v>0</v>
      </c>
      <c r="AK139" s="57">
        <f t="shared" si="87"/>
        <v>75610</v>
      </c>
      <c r="BB139" s="2" t="e">
        <f t="shared" si="82"/>
        <v>#VALUE!</v>
      </c>
    </row>
    <row r="140" spans="5:54" x14ac:dyDescent="0.2">
      <c r="E140" s="114">
        <f t="shared" ref="E140:E159" si="108">E139+1</f>
        <v>132</v>
      </c>
      <c r="F140" s="111">
        <f t="shared" si="103"/>
        <v>49333</v>
      </c>
      <c r="G140" s="24">
        <f t="shared" si="98"/>
        <v>0</v>
      </c>
      <c r="H140" s="24">
        <f t="shared" si="99"/>
        <v>0</v>
      </c>
      <c r="I140" s="24">
        <f t="shared" si="107"/>
        <v>1056974.8100000005</v>
      </c>
      <c r="J140" s="24">
        <f t="shared" si="97"/>
        <v>0</v>
      </c>
      <c r="K140" s="24">
        <f t="shared" si="100"/>
        <v>0</v>
      </c>
      <c r="L140" s="24">
        <f t="shared" si="104"/>
        <v>0</v>
      </c>
      <c r="M140" s="24">
        <f t="shared" si="78"/>
        <v>0</v>
      </c>
      <c r="N140" s="24">
        <f t="shared" si="79"/>
        <v>0</v>
      </c>
      <c r="O140" s="24">
        <f t="shared" si="105"/>
        <v>0</v>
      </c>
      <c r="P140" s="24">
        <f t="shared" si="106"/>
        <v>0</v>
      </c>
      <c r="Q140" s="24">
        <f t="shared" si="101"/>
        <v>0</v>
      </c>
      <c r="R140" s="36">
        <f t="shared" si="76"/>
        <v>0</v>
      </c>
      <c r="S140" s="36">
        <f t="shared" si="102"/>
        <v>0</v>
      </c>
      <c r="T140" s="2">
        <f t="shared" si="94"/>
        <v>0</v>
      </c>
      <c r="U140" s="34">
        <f t="shared" si="85"/>
        <v>0</v>
      </c>
      <c r="V140" s="57">
        <f t="shared" si="95"/>
        <v>76340</v>
      </c>
      <c r="W140" s="16">
        <f t="shared" si="96"/>
        <v>91</v>
      </c>
      <c r="AI140" s="2">
        <f t="shared" si="81"/>
        <v>0</v>
      </c>
      <c r="AJ140" s="34">
        <f t="shared" si="86"/>
        <v>0</v>
      </c>
      <c r="AK140" s="57">
        <f t="shared" si="87"/>
        <v>75610</v>
      </c>
      <c r="BB140" s="2" t="e">
        <f t="shared" si="82"/>
        <v>#VALUE!</v>
      </c>
    </row>
    <row r="141" spans="5:54" x14ac:dyDescent="0.2">
      <c r="E141" s="114">
        <f t="shared" si="108"/>
        <v>133</v>
      </c>
      <c r="F141" s="111">
        <f t="shared" si="103"/>
        <v>49364</v>
      </c>
      <c r="G141" s="24">
        <f t="shared" si="98"/>
        <v>0</v>
      </c>
      <c r="H141" s="24">
        <f t="shared" si="99"/>
        <v>0</v>
      </c>
      <c r="I141" s="24">
        <f t="shared" si="107"/>
        <v>1056974.8100000005</v>
      </c>
      <c r="J141" s="24">
        <f t="shared" si="97"/>
        <v>0</v>
      </c>
      <c r="K141" s="24">
        <f t="shared" si="100"/>
        <v>0</v>
      </c>
      <c r="L141" s="24">
        <f t="shared" si="104"/>
        <v>0</v>
      </c>
      <c r="M141" s="24">
        <f t="shared" si="78"/>
        <v>0</v>
      </c>
      <c r="N141" s="24">
        <f t="shared" si="79"/>
        <v>0</v>
      </c>
      <c r="O141" s="24">
        <f t="shared" si="105"/>
        <v>0</v>
      </c>
      <c r="P141" s="24">
        <f t="shared" si="106"/>
        <v>0</v>
      </c>
      <c r="Q141" s="24">
        <f t="shared" si="101"/>
        <v>0</v>
      </c>
      <c r="R141" s="36">
        <f t="shared" si="76"/>
        <v>0</v>
      </c>
      <c r="S141" s="36">
        <f t="shared" si="102"/>
        <v>0</v>
      </c>
      <c r="T141" s="2">
        <f t="shared" si="94"/>
        <v>0</v>
      </c>
      <c r="U141" s="34">
        <f t="shared" si="85"/>
        <v>0</v>
      </c>
      <c r="V141" s="57">
        <f t="shared" si="95"/>
        <v>76340</v>
      </c>
      <c r="W141" s="16">
        <f t="shared" si="96"/>
        <v>92</v>
      </c>
      <c r="AI141" s="2">
        <f t="shared" si="81"/>
        <v>0</v>
      </c>
      <c r="AJ141" s="34">
        <f t="shared" si="86"/>
        <v>0</v>
      </c>
      <c r="AK141" s="57">
        <f t="shared" si="87"/>
        <v>75610</v>
      </c>
      <c r="BB141" s="2" t="e">
        <f t="shared" si="82"/>
        <v>#VALUE!</v>
      </c>
    </row>
    <row r="142" spans="5:54" x14ac:dyDescent="0.2">
      <c r="E142" s="114">
        <f t="shared" si="108"/>
        <v>134</v>
      </c>
      <c r="F142" s="111">
        <f t="shared" si="103"/>
        <v>49392</v>
      </c>
      <c r="G142" s="24">
        <f t="shared" si="98"/>
        <v>0</v>
      </c>
      <c r="H142" s="24">
        <f t="shared" si="99"/>
        <v>0</v>
      </c>
      <c r="I142" s="24">
        <f t="shared" si="107"/>
        <v>1056974.8100000005</v>
      </c>
      <c r="J142" s="24">
        <f t="shared" si="97"/>
        <v>0</v>
      </c>
      <c r="K142" s="24">
        <f t="shared" si="100"/>
        <v>0</v>
      </c>
      <c r="L142" s="24">
        <f t="shared" si="104"/>
        <v>0</v>
      </c>
      <c r="M142" s="24">
        <f t="shared" si="78"/>
        <v>0</v>
      </c>
      <c r="N142" s="24">
        <f t="shared" si="79"/>
        <v>0</v>
      </c>
      <c r="O142" s="24">
        <f t="shared" si="105"/>
        <v>0</v>
      </c>
      <c r="P142" s="24">
        <f t="shared" si="106"/>
        <v>0</v>
      </c>
      <c r="Q142" s="24">
        <f t="shared" si="101"/>
        <v>0</v>
      </c>
      <c r="R142" s="36">
        <f t="shared" ref="R142:R159" si="109">IF((R141-1)&lt;0,0,R141-1)</f>
        <v>0</v>
      </c>
      <c r="S142" s="36">
        <f t="shared" si="102"/>
        <v>0</v>
      </c>
      <c r="T142" s="2">
        <f t="shared" si="94"/>
        <v>0</v>
      </c>
      <c r="U142" s="34">
        <f t="shared" si="85"/>
        <v>0</v>
      </c>
      <c r="V142" s="57">
        <f t="shared" si="95"/>
        <v>76340</v>
      </c>
      <c r="W142" s="16">
        <f t="shared" si="96"/>
        <v>93</v>
      </c>
      <c r="AI142" s="2">
        <f t="shared" si="81"/>
        <v>0</v>
      </c>
      <c r="AJ142" s="34">
        <f t="shared" si="86"/>
        <v>0</v>
      </c>
      <c r="AK142" s="57">
        <f t="shared" si="87"/>
        <v>75610</v>
      </c>
      <c r="BB142" s="2" t="e">
        <f t="shared" si="82"/>
        <v>#VALUE!</v>
      </c>
    </row>
    <row r="143" spans="5:54" x14ac:dyDescent="0.2">
      <c r="E143" s="114">
        <f t="shared" si="108"/>
        <v>135</v>
      </c>
      <c r="F143" s="111">
        <f t="shared" si="103"/>
        <v>49423</v>
      </c>
      <c r="G143" s="24">
        <f t="shared" si="98"/>
        <v>0</v>
      </c>
      <c r="H143" s="24">
        <f t="shared" si="99"/>
        <v>0</v>
      </c>
      <c r="I143" s="24">
        <f t="shared" si="107"/>
        <v>1056974.8100000005</v>
      </c>
      <c r="J143" s="24">
        <f t="shared" si="97"/>
        <v>0</v>
      </c>
      <c r="K143" s="24">
        <f t="shared" si="100"/>
        <v>0</v>
      </c>
      <c r="L143" s="24">
        <f t="shared" si="104"/>
        <v>0</v>
      </c>
      <c r="M143" s="24">
        <f t="shared" si="78"/>
        <v>0</v>
      </c>
      <c r="N143" s="24">
        <f t="shared" si="79"/>
        <v>0</v>
      </c>
      <c r="O143" s="24">
        <f t="shared" si="105"/>
        <v>0</v>
      </c>
      <c r="P143" s="24">
        <f t="shared" si="106"/>
        <v>0</v>
      </c>
      <c r="Q143" s="24">
        <f t="shared" si="101"/>
        <v>0</v>
      </c>
      <c r="R143" s="36">
        <f t="shared" si="109"/>
        <v>0</v>
      </c>
      <c r="S143" s="36">
        <f t="shared" si="102"/>
        <v>0</v>
      </c>
      <c r="T143" s="2">
        <f t="shared" si="94"/>
        <v>0</v>
      </c>
      <c r="U143" s="34">
        <f t="shared" si="85"/>
        <v>0</v>
      </c>
      <c r="V143" s="57">
        <f t="shared" si="95"/>
        <v>76340</v>
      </c>
      <c r="W143" s="16">
        <f t="shared" si="96"/>
        <v>94</v>
      </c>
      <c r="AI143" s="2">
        <f t="shared" si="81"/>
        <v>0</v>
      </c>
      <c r="AJ143" s="34">
        <f t="shared" si="86"/>
        <v>0</v>
      </c>
      <c r="AK143" s="57">
        <f t="shared" si="87"/>
        <v>75610</v>
      </c>
      <c r="BB143" s="2" t="e">
        <f t="shared" si="82"/>
        <v>#VALUE!</v>
      </c>
    </row>
    <row r="144" spans="5:54" x14ac:dyDescent="0.2">
      <c r="E144" s="114">
        <f t="shared" si="108"/>
        <v>136</v>
      </c>
      <c r="F144" s="111">
        <f t="shared" si="103"/>
        <v>49453</v>
      </c>
      <c r="G144" s="24">
        <f t="shared" si="98"/>
        <v>0</v>
      </c>
      <c r="H144" s="24">
        <f t="shared" si="99"/>
        <v>0</v>
      </c>
      <c r="I144" s="24">
        <f t="shared" si="107"/>
        <v>1056974.8100000005</v>
      </c>
      <c r="J144" s="24">
        <f t="shared" si="97"/>
        <v>0</v>
      </c>
      <c r="K144" s="24">
        <f t="shared" si="100"/>
        <v>0</v>
      </c>
      <c r="L144" s="24">
        <f t="shared" si="104"/>
        <v>0</v>
      </c>
      <c r="M144" s="24">
        <f t="shared" si="78"/>
        <v>0</v>
      </c>
      <c r="N144" s="24">
        <f t="shared" si="79"/>
        <v>0</v>
      </c>
      <c r="O144" s="24">
        <f t="shared" si="105"/>
        <v>0</v>
      </c>
      <c r="P144" s="24">
        <f t="shared" si="106"/>
        <v>0</v>
      </c>
      <c r="Q144" s="24">
        <f t="shared" si="101"/>
        <v>0</v>
      </c>
      <c r="R144" s="36">
        <f t="shared" si="109"/>
        <v>0</v>
      </c>
      <c r="S144" s="36">
        <f t="shared" si="102"/>
        <v>0</v>
      </c>
      <c r="T144" s="2">
        <f t="shared" si="94"/>
        <v>0</v>
      </c>
      <c r="U144" s="34">
        <f t="shared" si="85"/>
        <v>0</v>
      </c>
      <c r="V144" s="57">
        <f t="shared" si="95"/>
        <v>76340</v>
      </c>
      <c r="W144" s="16">
        <f t="shared" si="96"/>
        <v>95</v>
      </c>
      <c r="AI144" s="2">
        <f t="shared" si="81"/>
        <v>0</v>
      </c>
      <c r="AJ144" s="34">
        <f t="shared" si="86"/>
        <v>0</v>
      </c>
      <c r="AK144" s="57">
        <f t="shared" si="87"/>
        <v>75610</v>
      </c>
      <c r="BB144" s="2" t="e">
        <f t="shared" si="82"/>
        <v>#VALUE!</v>
      </c>
    </row>
    <row r="145" spans="5:54" x14ac:dyDescent="0.2">
      <c r="E145" s="114">
        <f t="shared" si="108"/>
        <v>137</v>
      </c>
      <c r="F145" s="111">
        <f t="shared" si="103"/>
        <v>49484</v>
      </c>
      <c r="G145" s="24">
        <f t="shared" si="98"/>
        <v>0</v>
      </c>
      <c r="H145" s="24">
        <f t="shared" si="99"/>
        <v>0</v>
      </c>
      <c r="I145" s="24">
        <f t="shared" si="107"/>
        <v>1056974.8100000005</v>
      </c>
      <c r="J145" s="24">
        <f t="shared" si="97"/>
        <v>0</v>
      </c>
      <c r="K145" s="24">
        <f t="shared" si="100"/>
        <v>0</v>
      </c>
      <c r="L145" s="24">
        <f t="shared" si="104"/>
        <v>0</v>
      </c>
      <c r="M145" s="24">
        <f t="shared" si="78"/>
        <v>0</v>
      </c>
      <c r="N145" s="24">
        <f t="shared" si="79"/>
        <v>0</v>
      </c>
      <c r="O145" s="24">
        <f t="shared" si="105"/>
        <v>0</v>
      </c>
      <c r="P145" s="24">
        <f t="shared" si="106"/>
        <v>0</v>
      </c>
      <c r="Q145" s="24">
        <f t="shared" si="101"/>
        <v>0</v>
      </c>
      <c r="R145" s="36">
        <f t="shared" si="109"/>
        <v>0</v>
      </c>
      <c r="S145" s="36">
        <f t="shared" si="102"/>
        <v>0</v>
      </c>
      <c r="T145" s="2">
        <f t="shared" si="94"/>
        <v>0</v>
      </c>
      <c r="U145" s="34">
        <f t="shared" si="85"/>
        <v>0</v>
      </c>
      <c r="V145" s="57">
        <f t="shared" si="95"/>
        <v>76340</v>
      </c>
      <c r="W145" s="16">
        <f t="shared" si="96"/>
        <v>96</v>
      </c>
      <c r="AI145" s="2">
        <f t="shared" si="81"/>
        <v>0</v>
      </c>
      <c r="AJ145" s="34">
        <f t="shared" si="86"/>
        <v>0</v>
      </c>
      <c r="AK145" s="57">
        <f t="shared" si="87"/>
        <v>75610</v>
      </c>
      <c r="BB145" s="2" t="e">
        <f t="shared" si="82"/>
        <v>#VALUE!</v>
      </c>
    </row>
    <row r="146" spans="5:54" x14ac:dyDescent="0.2">
      <c r="E146" s="114">
        <f t="shared" si="108"/>
        <v>138</v>
      </c>
      <c r="F146" s="111">
        <f t="shared" si="103"/>
        <v>49514</v>
      </c>
      <c r="G146" s="24">
        <f t="shared" si="98"/>
        <v>0</v>
      </c>
      <c r="H146" s="24">
        <f t="shared" si="99"/>
        <v>0</v>
      </c>
      <c r="I146" s="24">
        <f t="shared" si="107"/>
        <v>1056974.8100000005</v>
      </c>
      <c r="J146" s="24">
        <f t="shared" si="97"/>
        <v>0</v>
      </c>
      <c r="K146" s="24">
        <f t="shared" si="100"/>
        <v>0</v>
      </c>
      <c r="L146" s="24">
        <f t="shared" si="104"/>
        <v>0</v>
      </c>
      <c r="M146" s="24">
        <f t="shared" si="78"/>
        <v>0</v>
      </c>
      <c r="N146" s="24">
        <f t="shared" si="79"/>
        <v>0</v>
      </c>
      <c r="O146" s="24">
        <f t="shared" si="105"/>
        <v>0</v>
      </c>
      <c r="P146" s="24">
        <f t="shared" si="106"/>
        <v>0</v>
      </c>
      <c r="Q146" s="24">
        <f t="shared" si="101"/>
        <v>0</v>
      </c>
      <c r="R146" s="36">
        <f t="shared" si="109"/>
        <v>0</v>
      </c>
      <c r="S146" s="36">
        <f t="shared" si="102"/>
        <v>0</v>
      </c>
      <c r="T146" s="2">
        <f t="shared" si="94"/>
        <v>0</v>
      </c>
      <c r="U146" s="34">
        <f t="shared" si="85"/>
        <v>0</v>
      </c>
      <c r="V146" s="57">
        <f t="shared" si="95"/>
        <v>76340</v>
      </c>
      <c r="W146" s="16">
        <f t="shared" si="96"/>
        <v>97</v>
      </c>
      <c r="AI146" s="2">
        <f t="shared" si="81"/>
        <v>0</v>
      </c>
      <c r="AJ146" s="34">
        <f t="shared" si="86"/>
        <v>0</v>
      </c>
      <c r="AK146" s="57">
        <f t="shared" si="87"/>
        <v>75610</v>
      </c>
      <c r="BB146" s="2" t="e">
        <f t="shared" si="82"/>
        <v>#VALUE!</v>
      </c>
    </row>
    <row r="147" spans="5:54" x14ac:dyDescent="0.2">
      <c r="E147" s="114">
        <f t="shared" si="108"/>
        <v>139</v>
      </c>
      <c r="F147" s="111">
        <f t="shared" si="103"/>
        <v>49545</v>
      </c>
      <c r="G147" s="24">
        <f t="shared" si="98"/>
        <v>0</v>
      </c>
      <c r="H147" s="24">
        <f t="shared" si="99"/>
        <v>0</v>
      </c>
      <c r="I147" s="24">
        <f t="shared" si="107"/>
        <v>1056974.8100000005</v>
      </c>
      <c r="J147" s="24">
        <f t="shared" si="97"/>
        <v>0</v>
      </c>
      <c r="K147" s="24">
        <f t="shared" si="100"/>
        <v>0</v>
      </c>
      <c r="L147" s="24">
        <f t="shared" si="104"/>
        <v>0</v>
      </c>
      <c r="M147" s="24">
        <f t="shared" si="78"/>
        <v>0</v>
      </c>
      <c r="N147" s="24">
        <f t="shared" si="79"/>
        <v>0</v>
      </c>
      <c r="O147" s="24">
        <f t="shared" si="105"/>
        <v>0</v>
      </c>
      <c r="P147" s="24">
        <f t="shared" si="106"/>
        <v>0</v>
      </c>
      <c r="Q147" s="24">
        <f t="shared" si="101"/>
        <v>0</v>
      </c>
      <c r="R147" s="36">
        <f t="shared" si="109"/>
        <v>0</v>
      </c>
      <c r="S147" s="36">
        <f t="shared" si="102"/>
        <v>0</v>
      </c>
      <c r="T147" s="2">
        <f t="shared" si="94"/>
        <v>0</v>
      </c>
      <c r="U147" s="34">
        <f t="shared" si="85"/>
        <v>0</v>
      </c>
      <c r="V147" s="57">
        <f t="shared" si="95"/>
        <v>76340</v>
      </c>
      <c r="W147" s="16">
        <f t="shared" si="96"/>
        <v>98</v>
      </c>
      <c r="AI147" s="2">
        <f t="shared" si="81"/>
        <v>0</v>
      </c>
      <c r="AJ147" s="34">
        <f t="shared" si="86"/>
        <v>0</v>
      </c>
      <c r="AK147" s="57">
        <f t="shared" si="87"/>
        <v>75610</v>
      </c>
      <c r="BB147" s="2" t="e">
        <f t="shared" si="82"/>
        <v>#VALUE!</v>
      </c>
    </row>
    <row r="148" spans="5:54" x14ac:dyDescent="0.2">
      <c r="E148" s="114">
        <f t="shared" si="108"/>
        <v>140</v>
      </c>
      <c r="F148" s="111">
        <f t="shared" si="103"/>
        <v>49576</v>
      </c>
      <c r="G148" s="24">
        <f t="shared" si="98"/>
        <v>0</v>
      </c>
      <c r="H148" s="24">
        <f t="shared" si="99"/>
        <v>0</v>
      </c>
      <c r="I148" s="24">
        <f t="shared" si="107"/>
        <v>1056974.8100000005</v>
      </c>
      <c r="J148" s="24">
        <f t="shared" si="97"/>
        <v>0</v>
      </c>
      <c r="K148" s="24">
        <f t="shared" si="100"/>
        <v>0</v>
      </c>
      <c r="L148" s="24">
        <f t="shared" si="104"/>
        <v>0</v>
      </c>
      <c r="M148" s="24">
        <f t="shared" si="78"/>
        <v>0</v>
      </c>
      <c r="N148" s="24">
        <f t="shared" si="79"/>
        <v>0</v>
      </c>
      <c r="O148" s="24">
        <f t="shared" si="105"/>
        <v>0</v>
      </c>
      <c r="P148" s="24">
        <f t="shared" si="106"/>
        <v>0</v>
      </c>
      <c r="Q148" s="24">
        <f t="shared" si="101"/>
        <v>0</v>
      </c>
      <c r="R148" s="36">
        <f t="shared" si="109"/>
        <v>0</v>
      </c>
      <c r="S148" s="36">
        <f t="shared" si="102"/>
        <v>0</v>
      </c>
      <c r="T148" s="2">
        <f t="shared" si="94"/>
        <v>0</v>
      </c>
      <c r="U148" s="34">
        <f t="shared" si="85"/>
        <v>0</v>
      </c>
      <c r="V148" s="57">
        <f t="shared" si="95"/>
        <v>76340</v>
      </c>
      <c r="W148" s="16">
        <f t="shared" si="96"/>
        <v>99</v>
      </c>
      <c r="AI148" s="2">
        <f t="shared" si="81"/>
        <v>0</v>
      </c>
      <c r="AJ148" s="34">
        <f t="shared" si="86"/>
        <v>0</v>
      </c>
      <c r="AK148" s="57">
        <f t="shared" si="87"/>
        <v>75610</v>
      </c>
      <c r="BB148" s="2" t="e">
        <f t="shared" si="82"/>
        <v>#VALUE!</v>
      </c>
    </row>
    <row r="149" spans="5:54" x14ac:dyDescent="0.2">
      <c r="E149" s="114">
        <f t="shared" si="108"/>
        <v>141</v>
      </c>
      <c r="F149" s="111">
        <f t="shared" si="103"/>
        <v>49606</v>
      </c>
      <c r="G149" s="24">
        <f t="shared" si="98"/>
        <v>0</v>
      </c>
      <c r="H149" s="24">
        <f t="shared" si="99"/>
        <v>0</v>
      </c>
      <c r="I149" s="24">
        <f t="shared" si="107"/>
        <v>1056974.8100000005</v>
      </c>
      <c r="J149" s="24">
        <f t="shared" si="97"/>
        <v>0</v>
      </c>
      <c r="K149" s="24">
        <f t="shared" si="100"/>
        <v>0</v>
      </c>
      <c r="L149" s="24">
        <f t="shared" si="104"/>
        <v>0</v>
      </c>
      <c r="M149" s="24">
        <f t="shared" si="78"/>
        <v>0</v>
      </c>
      <c r="N149" s="24">
        <f t="shared" si="79"/>
        <v>0</v>
      </c>
      <c r="O149" s="24">
        <f t="shared" si="105"/>
        <v>0</v>
      </c>
      <c r="P149" s="24">
        <f t="shared" si="106"/>
        <v>0</v>
      </c>
      <c r="Q149" s="24">
        <f t="shared" si="101"/>
        <v>0</v>
      </c>
      <c r="R149" s="36">
        <f t="shared" si="109"/>
        <v>0</v>
      </c>
      <c r="S149" s="36">
        <f t="shared" si="102"/>
        <v>0</v>
      </c>
      <c r="T149" s="2">
        <f t="shared" si="94"/>
        <v>0</v>
      </c>
      <c r="U149" s="34">
        <f t="shared" si="85"/>
        <v>0</v>
      </c>
      <c r="V149" s="57">
        <f t="shared" si="95"/>
        <v>76340</v>
      </c>
      <c r="W149" s="16">
        <f t="shared" si="96"/>
        <v>100</v>
      </c>
      <c r="AI149" s="2">
        <f t="shared" si="81"/>
        <v>0</v>
      </c>
      <c r="AJ149" s="34">
        <f t="shared" si="86"/>
        <v>0</v>
      </c>
      <c r="AK149" s="57">
        <f t="shared" si="87"/>
        <v>75610</v>
      </c>
      <c r="BB149" s="2" t="e">
        <f t="shared" si="82"/>
        <v>#VALUE!</v>
      </c>
    </row>
    <row r="150" spans="5:54" x14ac:dyDescent="0.2">
      <c r="E150" s="114">
        <f t="shared" si="108"/>
        <v>142</v>
      </c>
      <c r="F150" s="111">
        <f t="shared" si="103"/>
        <v>49637</v>
      </c>
      <c r="G150" s="24">
        <f t="shared" si="98"/>
        <v>0</v>
      </c>
      <c r="H150" s="24">
        <f t="shared" si="99"/>
        <v>0</v>
      </c>
      <c r="I150" s="24">
        <f t="shared" si="107"/>
        <v>1056974.8100000005</v>
      </c>
      <c r="J150" s="24">
        <f t="shared" si="97"/>
        <v>0</v>
      </c>
      <c r="K150" s="24">
        <f t="shared" si="100"/>
        <v>0</v>
      </c>
      <c r="L150" s="24">
        <f t="shared" si="104"/>
        <v>0</v>
      </c>
      <c r="M150" s="24">
        <f t="shared" si="78"/>
        <v>0</v>
      </c>
      <c r="N150" s="24">
        <f t="shared" si="79"/>
        <v>0</v>
      </c>
      <c r="O150" s="24">
        <f t="shared" si="105"/>
        <v>0</v>
      </c>
      <c r="P150" s="24">
        <f t="shared" si="106"/>
        <v>0</v>
      </c>
      <c r="Q150" s="24">
        <f t="shared" si="101"/>
        <v>0</v>
      </c>
      <c r="R150" s="36">
        <f t="shared" si="109"/>
        <v>0</v>
      </c>
      <c r="S150" s="36">
        <f t="shared" si="102"/>
        <v>0</v>
      </c>
      <c r="T150" s="2">
        <f t="shared" si="94"/>
        <v>0</v>
      </c>
      <c r="U150" s="34">
        <f t="shared" si="85"/>
        <v>0</v>
      </c>
      <c r="V150" s="57">
        <f t="shared" si="95"/>
        <v>76340</v>
      </c>
      <c r="W150" s="16">
        <f t="shared" si="96"/>
        <v>101</v>
      </c>
      <c r="AI150" s="35">
        <f>SUM(AI50:AI149)</f>
        <v>916493.63</v>
      </c>
      <c r="AJ150" s="35">
        <f>SUM(AJ50:AJ149)</f>
        <v>1805410.8399999999</v>
      </c>
      <c r="AK150" s="154">
        <f>XIRR(AJ48:AJ149,AK48:AK149)*12</f>
        <v>0.23164182901382452</v>
      </c>
      <c r="BB150" s="2" t="e">
        <f t="shared" si="82"/>
        <v>#VALUE!</v>
      </c>
    </row>
    <row r="151" spans="5:54" x14ac:dyDescent="0.2">
      <c r="E151" s="114">
        <f t="shared" si="108"/>
        <v>143</v>
      </c>
      <c r="F151" s="111">
        <f t="shared" si="103"/>
        <v>49667</v>
      </c>
      <c r="G151" s="24">
        <f t="shared" si="98"/>
        <v>0</v>
      </c>
      <c r="H151" s="24">
        <f t="shared" si="99"/>
        <v>0</v>
      </c>
      <c r="I151" s="24">
        <f t="shared" si="107"/>
        <v>1056974.8100000005</v>
      </c>
      <c r="J151" s="24">
        <f t="shared" si="97"/>
        <v>0</v>
      </c>
      <c r="K151" s="24">
        <f t="shared" si="100"/>
        <v>0</v>
      </c>
      <c r="L151" s="24">
        <f t="shared" si="104"/>
        <v>0</v>
      </c>
      <c r="M151" s="24">
        <f t="shared" ref="M151:M159" si="110">O150-L150</f>
        <v>0</v>
      </c>
      <c r="N151" s="24">
        <f t="shared" ref="N151:N159" si="111">H151+O151</f>
        <v>0</v>
      </c>
      <c r="O151" s="24">
        <f t="shared" si="105"/>
        <v>0</v>
      </c>
      <c r="P151" s="24">
        <f t="shared" si="106"/>
        <v>0</v>
      </c>
      <c r="Q151" s="24">
        <f t="shared" si="101"/>
        <v>0</v>
      </c>
      <c r="R151" s="36">
        <f t="shared" si="109"/>
        <v>0</v>
      </c>
      <c r="S151" s="36">
        <f t="shared" si="102"/>
        <v>0</v>
      </c>
      <c r="T151" s="2">
        <f t="shared" si="94"/>
        <v>0</v>
      </c>
      <c r="U151" s="34">
        <f t="shared" si="85"/>
        <v>0</v>
      </c>
      <c r="V151" s="57">
        <f t="shared" si="95"/>
        <v>76340</v>
      </c>
      <c r="W151" s="16">
        <f t="shared" si="96"/>
        <v>102</v>
      </c>
      <c r="BB151" s="2" t="e">
        <f t="shared" si="82"/>
        <v>#VALUE!</v>
      </c>
    </row>
    <row r="152" spans="5:54" x14ac:dyDescent="0.2">
      <c r="E152" s="114">
        <f t="shared" si="108"/>
        <v>144</v>
      </c>
      <c r="F152" s="111">
        <f t="shared" si="103"/>
        <v>49698</v>
      </c>
      <c r="G152" s="24">
        <f t="shared" si="98"/>
        <v>0</v>
      </c>
      <c r="H152" s="24">
        <f t="shared" si="99"/>
        <v>0</v>
      </c>
      <c r="I152" s="24">
        <f t="shared" si="107"/>
        <v>1056974.8100000005</v>
      </c>
      <c r="J152" s="24">
        <f t="shared" si="97"/>
        <v>0</v>
      </c>
      <c r="K152" s="24">
        <f t="shared" si="100"/>
        <v>0</v>
      </c>
      <c r="L152" s="24">
        <f t="shared" si="104"/>
        <v>0</v>
      </c>
      <c r="M152" s="24">
        <f t="shared" si="110"/>
        <v>0</v>
      </c>
      <c r="N152" s="24">
        <f t="shared" si="111"/>
        <v>0</v>
      </c>
      <c r="O152" s="24">
        <f t="shared" si="105"/>
        <v>0</v>
      </c>
      <c r="P152" s="24">
        <f t="shared" si="106"/>
        <v>0</v>
      </c>
      <c r="Q152" s="24">
        <f t="shared" si="101"/>
        <v>0</v>
      </c>
      <c r="R152" s="36">
        <f t="shared" si="109"/>
        <v>0</v>
      </c>
      <c r="S152" s="36">
        <f t="shared" si="102"/>
        <v>0</v>
      </c>
      <c r="T152" s="2">
        <f t="shared" si="94"/>
        <v>0</v>
      </c>
      <c r="U152" s="34">
        <f t="shared" si="85"/>
        <v>0</v>
      </c>
      <c r="V152" s="57">
        <f t="shared" si="95"/>
        <v>76340</v>
      </c>
      <c r="W152" s="16">
        <f t="shared" si="96"/>
        <v>103</v>
      </c>
      <c r="BB152" s="2" t="e">
        <f t="shared" si="82"/>
        <v>#VALUE!</v>
      </c>
    </row>
    <row r="153" spans="5:54" x14ac:dyDescent="0.2">
      <c r="E153" s="114">
        <f t="shared" si="108"/>
        <v>145</v>
      </c>
      <c r="F153" s="111">
        <f t="shared" si="103"/>
        <v>49729</v>
      </c>
      <c r="G153" s="24">
        <f t="shared" si="98"/>
        <v>0</v>
      </c>
      <c r="H153" s="24">
        <f t="shared" si="99"/>
        <v>0</v>
      </c>
      <c r="I153" s="24">
        <f t="shared" si="107"/>
        <v>1056974.8100000005</v>
      </c>
      <c r="J153" s="24">
        <f t="shared" si="97"/>
        <v>0</v>
      </c>
      <c r="K153" s="24">
        <f t="shared" si="100"/>
        <v>0</v>
      </c>
      <c r="L153" s="24">
        <f t="shared" si="104"/>
        <v>0</v>
      </c>
      <c r="M153" s="24">
        <f t="shared" si="110"/>
        <v>0</v>
      </c>
      <c r="N153" s="24">
        <f t="shared" si="111"/>
        <v>0</v>
      </c>
      <c r="O153" s="24">
        <f t="shared" si="105"/>
        <v>0</v>
      </c>
      <c r="P153" s="24">
        <f t="shared" si="106"/>
        <v>0</v>
      </c>
      <c r="Q153" s="24">
        <f t="shared" si="101"/>
        <v>0</v>
      </c>
      <c r="R153" s="36">
        <f t="shared" si="109"/>
        <v>0</v>
      </c>
      <c r="S153" s="36">
        <f t="shared" si="102"/>
        <v>0</v>
      </c>
      <c r="T153" s="2">
        <f t="shared" si="94"/>
        <v>0</v>
      </c>
      <c r="U153" s="34">
        <f t="shared" si="85"/>
        <v>0</v>
      </c>
      <c r="V153" s="57">
        <f t="shared" si="95"/>
        <v>76340</v>
      </c>
      <c r="W153" s="16">
        <f t="shared" si="96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8"/>
        <v>146</v>
      </c>
      <c r="F154" s="111">
        <f t="shared" si="103"/>
        <v>49758</v>
      </c>
      <c r="G154" s="24">
        <f t="shared" si="98"/>
        <v>0</v>
      </c>
      <c r="H154" s="24">
        <f t="shared" si="99"/>
        <v>0</v>
      </c>
      <c r="I154" s="24">
        <f t="shared" si="107"/>
        <v>1056974.8100000005</v>
      </c>
      <c r="J154" s="24">
        <f t="shared" si="97"/>
        <v>0</v>
      </c>
      <c r="K154" s="24">
        <f t="shared" si="100"/>
        <v>0</v>
      </c>
      <c r="L154" s="24">
        <f t="shared" si="104"/>
        <v>0</v>
      </c>
      <c r="M154" s="24">
        <f t="shared" si="110"/>
        <v>0</v>
      </c>
      <c r="N154" s="24">
        <f t="shared" si="111"/>
        <v>0</v>
      </c>
      <c r="O154" s="24">
        <f t="shared" si="105"/>
        <v>0</v>
      </c>
      <c r="P154" s="24">
        <f t="shared" si="106"/>
        <v>0</v>
      </c>
      <c r="Q154" s="24">
        <f t="shared" si="101"/>
        <v>0</v>
      </c>
      <c r="R154" s="36">
        <f t="shared" si="109"/>
        <v>0</v>
      </c>
      <c r="S154" s="36">
        <f t="shared" si="102"/>
        <v>0</v>
      </c>
      <c r="T154" s="2">
        <f t="shared" si="94"/>
        <v>0</v>
      </c>
      <c r="U154" s="34">
        <f t="shared" si="85"/>
        <v>0</v>
      </c>
      <c r="V154" s="57">
        <f t="shared" si="95"/>
        <v>76340</v>
      </c>
      <c r="W154" s="16">
        <f t="shared" si="96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8"/>
        <v>147</v>
      </c>
      <c r="F155" s="111">
        <f t="shared" si="103"/>
        <v>49789</v>
      </c>
      <c r="G155" s="24">
        <f t="shared" si="98"/>
        <v>0</v>
      </c>
      <c r="H155" s="24">
        <f t="shared" si="99"/>
        <v>0</v>
      </c>
      <c r="I155" s="24">
        <f t="shared" si="107"/>
        <v>1056974.8100000005</v>
      </c>
      <c r="J155" s="24">
        <f t="shared" si="97"/>
        <v>0</v>
      </c>
      <c r="K155" s="24">
        <f t="shared" si="100"/>
        <v>0</v>
      </c>
      <c r="L155" s="24">
        <f t="shared" si="104"/>
        <v>0</v>
      </c>
      <c r="M155" s="24">
        <f t="shared" si="110"/>
        <v>0</v>
      </c>
      <c r="N155" s="24">
        <f t="shared" si="111"/>
        <v>0</v>
      </c>
      <c r="O155" s="24">
        <f t="shared" si="105"/>
        <v>0</v>
      </c>
      <c r="P155" s="24">
        <f t="shared" si="106"/>
        <v>0</v>
      </c>
      <c r="Q155" s="24">
        <f t="shared" si="101"/>
        <v>0</v>
      </c>
      <c r="R155" s="36">
        <f t="shared" si="109"/>
        <v>0</v>
      </c>
      <c r="S155" s="36">
        <f t="shared" si="102"/>
        <v>0</v>
      </c>
      <c r="T155" s="2">
        <f t="shared" si="94"/>
        <v>0</v>
      </c>
      <c r="U155" s="34">
        <f t="shared" si="85"/>
        <v>0</v>
      </c>
      <c r="V155" s="57">
        <f t="shared" si="95"/>
        <v>76340</v>
      </c>
      <c r="W155" s="16">
        <f t="shared" si="96"/>
        <v>106</v>
      </c>
      <c r="BB155" s="35" t="e">
        <f>SUM(BB55:BB154)</f>
        <v>#VALUE!</v>
      </c>
    </row>
    <row r="156" spans="5:54" x14ac:dyDescent="0.2">
      <c r="E156" s="114">
        <f t="shared" si="108"/>
        <v>148</v>
      </c>
      <c r="F156" s="111">
        <f t="shared" si="103"/>
        <v>49819</v>
      </c>
      <c r="G156" s="24">
        <f t="shared" si="98"/>
        <v>0</v>
      </c>
      <c r="H156" s="24">
        <f t="shared" si="99"/>
        <v>0</v>
      </c>
      <c r="I156" s="24">
        <f t="shared" si="107"/>
        <v>1056974.8100000005</v>
      </c>
      <c r="J156" s="24">
        <f t="shared" si="97"/>
        <v>0</v>
      </c>
      <c r="K156" s="24">
        <f t="shared" si="100"/>
        <v>0</v>
      </c>
      <c r="L156" s="24">
        <f t="shared" si="104"/>
        <v>0</v>
      </c>
      <c r="M156" s="24">
        <f t="shared" si="110"/>
        <v>0</v>
      </c>
      <c r="N156" s="24">
        <f t="shared" si="111"/>
        <v>0</v>
      </c>
      <c r="O156" s="24">
        <f t="shared" si="105"/>
        <v>0</v>
      </c>
      <c r="P156" s="24">
        <f t="shared" si="106"/>
        <v>0</v>
      </c>
      <c r="Q156" s="24">
        <f t="shared" si="101"/>
        <v>0</v>
      </c>
      <c r="R156" s="36">
        <f t="shared" si="109"/>
        <v>0</v>
      </c>
      <c r="S156" s="36">
        <f t="shared" si="102"/>
        <v>0</v>
      </c>
      <c r="T156" s="2">
        <f t="shared" si="94"/>
        <v>0</v>
      </c>
      <c r="U156" s="34">
        <f t="shared" si="85"/>
        <v>0</v>
      </c>
      <c r="V156" s="57">
        <f t="shared" si="95"/>
        <v>76340</v>
      </c>
      <c r="W156" s="16">
        <f t="shared" si="96"/>
        <v>107</v>
      </c>
    </row>
    <row r="157" spans="5:54" x14ac:dyDescent="0.2">
      <c r="E157" s="114">
        <f t="shared" si="108"/>
        <v>149</v>
      </c>
      <c r="F157" s="111">
        <f t="shared" si="103"/>
        <v>49850</v>
      </c>
      <c r="G157" s="24">
        <f t="shared" si="98"/>
        <v>0</v>
      </c>
      <c r="H157" s="24">
        <f t="shared" si="99"/>
        <v>0</v>
      </c>
      <c r="I157" s="24">
        <f t="shared" si="107"/>
        <v>1056974.8100000005</v>
      </c>
      <c r="J157" s="24">
        <f t="shared" si="97"/>
        <v>0</v>
      </c>
      <c r="K157" s="24">
        <f t="shared" si="100"/>
        <v>0</v>
      </c>
      <c r="L157" s="24">
        <f t="shared" si="104"/>
        <v>0</v>
      </c>
      <c r="M157" s="24">
        <f t="shared" si="110"/>
        <v>0</v>
      </c>
      <c r="N157" s="24">
        <f t="shared" si="111"/>
        <v>0</v>
      </c>
      <c r="O157" s="24">
        <f>IF(S157=0,0,0)</f>
        <v>0</v>
      </c>
      <c r="P157" s="24">
        <f t="shared" si="106"/>
        <v>0</v>
      </c>
      <c r="Q157" s="24">
        <f t="shared" si="101"/>
        <v>0</v>
      </c>
      <c r="R157" s="36">
        <f t="shared" si="109"/>
        <v>0</v>
      </c>
      <c r="S157" s="36">
        <f t="shared" si="102"/>
        <v>0</v>
      </c>
      <c r="T157" s="2">
        <f t="shared" si="94"/>
        <v>0</v>
      </c>
      <c r="U157" s="34">
        <f t="shared" si="85"/>
        <v>0</v>
      </c>
      <c r="V157" s="57">
        <f t="shared" si="95"/>
        <v>76340</v>
      </c>
      <c r="W157" s="16">
        <f t="shared" si="96"/>
        <v>108</v>
      </c>
    </row>
    <row r="158" spans="5:54" x14ac:dyDescent="0.2">
      <c r="E158" s="114">
        <f t="shared" si="108"/>
        <v>150</v>
      </c>
      <c r="F158" s="111">
        <f t="shared" si="103"/>
        <v>49880</v>
      </c>
      <c r="G158" s="24">
        <f t="shared" si="98"/>
        <v>0</v>
      </c>
      <c r="H158" s="24">
        <f t="shared" si="99"/>
        <v>0</v>
      </c>
      <c r="I158" s="24">
        <f t="shared" si="107"/>
        <v>1056974.8100000005</v>
      </c>
      <c r="J158" s="24">
        <f t="shared" si="97"/>
        <v>0</v>
      </c>
      <c r="K158" s="24">
        <f t="shared" si="100"/>
        <v>0</v>
      </c>
      <c r="L158" s="24">
        <f t="shared" si="104"/>
        <v>0</v>
      </c>
      <c r="M158" s="24">
        <f t="shared" si="110"/>
        <v>0</v>
      </c>
      <c r="N158" s="24">
        <f t="shared" si="111"/>
        <v>0</v>
      </c>
      <c r="O158" s="24">
        <f>IF(S158=0,0,0)</f>
        <v>0</v>
      </c>
      <c r="P158" s="24">
        <f t="shared" si="106"/>
        <v>0</v>
      </c>
      <c r="Q158" s="24">
        <f t="shared" si="101"/>
        <v>0</v>
      </c>
      <c r="R158" s="36">
        <f t="shared" si="109"/>
        <v>0</v>
      </c>
      <c r="S158" s="36">
        <f t="shared" si="102"/>
        <v>0</v>
      </c>
      <c r="T158" s="2">
        <f t="shared" si="94"/>
        <v>0</v>
      </c>
      <c r="U158" s="34">
        <f t="shared" si="85"/>
        <v>0</v>
      </c>
      <c r="V158" s="57">
        <f t="shared" si="95"/>
        <v>76340</v>
      </c>
      <c r="W158" s="16">
        <f t="shared" si="96"/>
        <v>109</v>
      </c>
    </row>
    <row r="159" spans="5:54" x14ac:dyDescent="0.2">
      <c r="E159" s="114">
        <f t="shared" si="108"/>
        <v>151</v>
      </c>
      <c r="F159" s="111">
        <f t="shared" si="103"/>
        <v>49911</v>
      </c>
      <c r="G159" s="24">
        <f t="shared" si="98"/>
        <v>0</v>
      </c>
      <c r="H159" s="24">
        <f t="shared" si="99"/>
        <v>0</v>
      </c>
      <c r="I159" s="24">
        <f t="shared" si="107"/>
        <v>1056974.8100000005</v>
      </c>
      <c r="J159" s="24">
        <f t="shared" si="97"/>
        <v>0</v>
      </c>
      <c r="K159" s="24">
        <f t="shared" si="100"/>
        <v>0</v>
      </c>
      <c r="L159" s="24">
        <f t="shared" si="104"/>
        <v>0</v>
      </c>
      <c r="M159" s="24">
        <f t="shared" si="110"/>
        <v>0</v>
      </c>
      <c r="N159" s="24">
        <f t="shared" si="111"/>
        <v>0</v>
      </c>
      <c r="O159" s="24">
        <f>IF(S159=0,0,0)</f>
        <v>0</v>
      </c>
      <c r="P159" s="24">
        <f t="shared" si="106"/>
        <v>0</v>
      </c>
      <c r="Q159" s="24">
        <f t="shared" si="101"/>
        <v>0</v>
      </c>
      <c r="R159" s="36">
        <f t="shared" si="109"/>
        <v>0</v>
      </c>
      <c r="S159" s="36">
        <f t="shared" si="102"/>
        <v>0</v>
      </c>
      <c r="T159" s="2">
        <f t="shared" si="94"/>
        <v>0</v>
      </c>
      <c r="U159" s="34">
        <f t="shared" si="85"/>
        <v>0</v>
      </c>
      <c r="V159" s="57">
        <f t="shared" si="95"/>
        <v>76340</v>
      </c>
      <c r="W159" s="16">
        <f t="shared" si="96"/>
        <v>110</v>
      </c>
    </row>
    <row r="160" spans="5:54" x14ac:dyDescent="0.2">
      <c r="E160" s="28"/>
      <c r="F160" s="111">
        <f t="shared" si="103"/>
        <v>45315</v>
      </c>
      <c r="G160" s="30">
        <f>(SUM(G9:G159)-IF(CODE(C18)=209,AF52,0))</f>
        <v>2003973.8100000005</v>
      </c>
      <c r="H160" s="30">
        <f>(SUM(H9:H159)-IF(CODE(D18)=209,AG52,0))</f>
        <v>1056974.8100000005</v>
      </c>
      <c r="I160" s="30"/>
      <c r="J160" s="30">
        <f>SUM(J9:J159)</f>
        <v>138404.03842794767</v>
      </c>
      <c r="K160" s="30">
        <f>SUM(K9:K159)</f>
        <v>946999.00000000035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4"/>
        <v>0</v>
      </c>
      <c r="U160" s="34">
        <f t="shared" si="85"/>
        <v>0</v>
      </c>
      <c r="V160" s="57">
        <f t="shared" si="95"/>
        <v>76340</v>
      </c>
      <c r="W160" s="16">
        <f t="shared" si="96"/>
        <v>111</v>
      </c>
    </row>
    <row r="161" spans="20:23" x14ac:dyDescent="0.2">
      <c r="T161" s="2">
        <f t="shared" si="94"/>
        <v>0</v>
      </c>
      <c r="U161" s="34">
        <f t="shared" si="85"/>
        <v>0</v>
      </c>
      <c r="V161" s="57">
        <f t="shared" si="95"/>
        <v>76340</v>
      </c>
      <c r="W161" s="16">
        <f t="shared" si="96"/>
        <v>112</v>
      </c>
    </row>
    <row r="162" spans="20:23" x14ac:dyDescent="0.2">
      <c r="T162" s="2">
        <f t="shared" si="94"/>
        <v>0</v>
      </c>
      <c r="U162" s="34">
        <f t="shared" si="85"/>
        <v>0</v>
      </c>
      <c r="V162" s="57">
        <f t="shared" si="95"/>
        <v>76340</v>
      </c>
      <c r="W162" s="16">
        <f t="shared" si="96"/>
        <v>113</v>
      </c>
    </row>
    <row r="163" spans="20:23" x14ac:dyDescent="0.2">
      <c r="T163" s="2">
        <f t="shared" si="94"/>
        <v>0</v>
      </c>
      <c r="U163" s="34">
        <f t="shared" si="85"/>
        <v>0</v>
      </c>
      <c r="V163" s="57">
        <f t="shared" si="95"/>
        <v>76340</v>
      </c>
      <c r="W163" s="16">
        <f t="shared" si="96"/>
        <v>114</v>
      </c>
    </row>
    <row r="164" spans="20:23" x14ac:dyDescent="0.2">
      <c r="T164" s="2">
        <f t="shared" si="94"/>
        <v>0</v>
      </c>
      <c r="U164" s="34">
        <f t="shared" si="85"/>
        <v>0</v>
      </c>
      <c r="V164" s="57">
        <f t="shared" si="95"/>
        <v>76340</v>
      </c>
      <c r="W164" s="16">
        <f t="shared" si="96"/>
        <v>115</v>
      </c>
    </row>
    <row r="165" spans="20:23" x14ac:dyDescent="0.2">
      <c r="T165" s="2">
        <f t="shared" si="94"/>
        <v>0</v>
      </c>
      <c r="U165" s="34">
        <f t="shared" si="85"/>
        <v>0</v>
      </c>
      <c r="V165" s="57">
        <f t="shared" si="95"/>
        <v>76340</v>
      </c>
      <c r="W165" s="16">
        <f t="shared" si="96"/>
        <v>116</v>
      </c>
    </row>
    <row r="166" spans="20:23" x14ac:dyDescent="0.2">
      <c r="T166" s="2">
        <f t="shared" si="94"/>
        <v>0</v>
      </c>
      <c r="U166" s="34">
        <f t="shared" si="85"/>
        <v>0</v>
      </c>
      <c r="V166" s="57">
        <f t="shared" si="95"/>
        <v>76340</v>
      </c>
      <c r="W166" s="16">
        <f t="shared" si="96"/>
        <v>117</v>
      </c>
    </row>
    <row r="167" spans="20:23" x14ac:dyDescent="0.2">
      <c r="T167" s="2">
        <f t="shared" si="94"/>
        <v>0</v>
      </c>
      <c r="U167" s="34">
        <f t="shared" si="85"/>
        <v>0</v>
      </c>
      <c r="V167" s="57">
        <f t="shared" si="95"/>
        <v>76340</v>
      </c>
      <c r="W167" s="16">
        <f t="shared" si="96"/>
        <v>118</v>
      </c>
    </row>
    <row r="168" spans="20:23" x14ac:dyDescent="0.2">
      <c r="T168" s="2">
        <f t="shared" si="94"/>
        <v>0</v>
      </c>
      <c r="U168" s="34">
        <f t="shared" si="85"/>
        <v>0</v>
      </c>
      <c r="V168" s="57">
        <f t="shared" si="95"/>
        <v>76340</v>
      </c>
      <c r="W168" s="16">
        <f t="shared" si="96"/>
        <v>119</v>
      </c>
    </row>
    <row r="169" spans="20:23" x14ac:dyDescent="0.2">
      <c r="T169" s="2">
        <f t="shared" si="94"/>
        <v>0</v>
      </c>
      <c r="U169" s="34">
        <f t="shared" si="85"/>
        <v>0</v>
      </c>
      <c r="V169" s="57">
        <f t="shared" si="95"/>
        <v>76340</v>
      </c>
      <c r="W169" s="16">
        <f t="shared" si="96"/>
        <v>120</v>
      </c>
    </row>
    <row r="170" spans="20:23" x14ac:dyDescent="0.2">
      <c r="T170" s="2">
        <f t="shared" si="94"/>
        <v>0</v>
      </c>
      <c r="U170" s="34">
        <f t="shared" si="85"/>
        <v>0</v>
      </c>
      <c r="V170" s="57">
        <f t="shared" si="95"/>
        <v>76340</v>
      </c>
      <c r="W170" s="16">
        <f t="shared" si="96"/>
        <v>121</v>
      </c>
    </row>
    <row r="171" spans="20:23" x14ac:dyDescent="0.2">
      <c r="T171" s="2">
        <f t="shared" si="94"/>
        <v>0</v>
      </c>
      <c r="U171" s="34">
        <f t="shared" si="85"/>
        <v>0</v>
      </c>
      <c r="V171" s="57">
        <f t="shared" si="95"/>
        <v>76340</v>
      </c>
      <c r="W171" s="16">
        <f t="shared" si="96"/>
        <v>122</v>
      </c>
    </row>
    <row r="172" spans="20:23" x14ac:dyDescent="0.2">
      <c r="T172" s="2">
        <f t="shared" si="94"/>
        <v>0</v>
      </c>
      <c r="U172" s="34">
        <f t="shared" si="85"/>
        <v>0</v>
      </c>
      <c r="V172" s="57">
        <f t="shared" si="95"/>
        <v>76340</v>
      </c>
      <c r="W172" s="16">
        <f t="shared" si="96"/>
        <v>123</v>
      </c>
    </row>
    <row r="173" spans="20:23" x14ac:dyDescent="0.2">
      <c r="T173" s="2">
        <f t="shared" si="94"/>
        <v>0</v>
      </c>
      <c r="U173" s="34">
        <f t="shared" si="85"/>
        <v>0</v>
      </c>
      <c r="V173" s="57">
        <f t="shared" si="95"/>
        <v>76340</v>
      </c>
      <c r="W173" s="16">
        <f t="shared" si="96"/>
        <v>124</v>
      </c>
    </row>
    <row r="174" spans="20:23" x14ac:dyDescent="0.2">
      <c r="T174" s="2">
        <f t="shared" si="94"/>
        <v>0</v>
      </c>
      <c r="U174" s="34">
        <f t="shared" si="85"/>
        <v>0</v>
      </c>
      <c r="V174" s="57">
        <f t="shared" si="95"/>
        <v>76340</v>
      </c>
      <c r="W174" s="16">
        <f t="shared" si="96"/>
        <v>125</v>
      </c>
    </row>
    <row r="175" spans="20:23" x14ac:dyDescent="0.2">
      <c r="T175" s="2">
        <f t="shared" si="94"/>
        <v>0</v>
      </c>
      <c r="U175" s="34">
        <f t="shared" ref="U175:U180" si="112">IF(U174&lt;0,0,IF(T175=0,IF(T174=0,0,$U$46),G134)-IF(AND(T175&gt;0,T176=0),$C$26,0))</f>
        <v>0</v>
      </c>
      <c r="V175" s="57">
        <f t="shared" si="95"/>
        <v>76340</v>
      </c>
      <c r="W175" s="16">
        <f t="shared" si="96"/>
        <v>126</v>
      </c>
    </row>
    <row r="176" spans="20:23" x14ac:dyDescent="0.2">
      <c r="T176" s="2">
        <f t="shared" si="94"/>
        <v>0</v>
      </c>
      <c r="U176" s="34">
        <f t="shared" si="112"/>
        <v>0</v>
      </c>
      <c r="V176" s="57">
        <f t="shared" si="95"/>
        <v>76340</v>
      </c>
      <c r="W176" s="16">
        <f t="shared" si="96"/>
        <v>127</v>
      </c>
    </row>
    <row r="177" spans="20:23" x14ac:dyDescent="0.2">
      <c r="T177" s="2">
        <f t="shared" si="94"/>
        <v>0</v>
      </c>
      <c r="U177" s="34">
        <f t="shared" si="112"/>
        <v>0</v>
      </c>
      <c r="V177" s="57">
        <f t="shared" si="95"/>
        <v>76340</v>
      </c>
      <c r="W177" s="16">
        <f t="shared" si="96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2"/>
        <v>0</v>
      </c>
      <c r="V178" s="57">
        <f t="shared" si="95"/>
        <v>76340</v>
      </c>
      <c r="W178" s="16">
        <f t="shared" si="96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2"/>
        <v>0</v>
      </c>
      <c r="V179" s="57">
        <f t="shared" ref="V179:V180" si="113">IF(T179=0,V178,V178+365)</f>
        <v>76340</v>
      </c>
      <c r="W179" s="16">
        <f t="shared" si="96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2"/>
        <v>0</v>
      </c>
      <c r="V180" s="57">
        <f t="shared" si="113"/>
        <v>76340</v>
      </c>
      <c r="W180" s="16">
        <f t="shared" si="96"/>
        <v>131</v>
      </c>
    </row>
    <row r="181" spans="20:23" x14ac:dyDescent="0.2">
      <c r="T181" s="35">
        <f>SUM(T50:T180)</f>
        <v>918514.58</v>
      </c>
      <c r="U181" s="35">
        <f>SUM(U50:U180)</f>
        <v>1865505.4942794763</v>
      </c>
      <c r="V181" s="154">
        <f>XIRR(U48:U180,V48:V180)*12</f>
        <v>0.23228670358657838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X83:Y83"/>
    <mergeCell ref="X92:Y92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4">
    <dataValidation type="list" allowBlank="1" showInputMessage="1" showErrorMessage="1" sqref="C18:D18">
      <formula1>$T$3:$X$3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B33:B35 D22">
      <formula1>$Z$30:$AA$30</formula1>
    </dataValidation>
    <dataValidation type="list" allowBlank="1" showInputMessage="1" showErrorMessage="1" sqref="D8">
      <formula1>$AA$60:$AH$60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757" t="s">
        <v>475</v>
      </c>
      <c r="B1" s="758"/>
      <c r="C1" s="758"/>
      <c r="D1" s="758"/>
      <c r="E1" s="759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23"/>
      <c r="B2" s="824"/>
      <c r="C2" s="824"/>
      <c r="D2" s="824"/>
      <c r="E2" s="825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70" t="s">
        <v>196</v>
      </c>
      <c r="B3" s="771"/>
      <c r="C3" s="771"/>
      <c r="D3" s="771"/>
      <c r="E3" s="772"/>
      <c r="F3" s="675"/>
      <c r="G3" s="865" t="str">
        <f>CONCATENATE("ГРАФИК ПЛАТЕЖЕЙ - ТАРИФ СУПЕРСМАРТ",IF(C16="Да"," + ГАРАНТИРОВАННАЯ СТАВКА",""))</f>
        <v>ГРАФИК ПЛАТЕЖЕЙ - ТАРИФ СУПЕРСМАРТ + ГАРАНТИРОВАННАЯ СТАВКА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">
        <v>355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2" ht="13.5" hidden="1" customHeight="1" x14ac:dyDescent="0.2">
      <c r="A4" s="187"/>
      <c r="B4" s="185"/>
      <c r="C4" s="521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0.16900000000000001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2" ht="13.5" hidden="1" customHeight="1" x14ac:dyDescent="0.2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0.19900000000000001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668"/>
      <c r="BK5" s="102"/>
      <c r="BL5" s="57"/>
    </row>
    <row r="6" spans="1:72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238"/>
      <c r="K6" s="776" t="s">
        <v>194</v>
      </c>
      <c r="L6" s="776" t="s">
        <v>191</v>
      </c>
      <c r="M6" s="776" t="s">
        <v>192</v>
      </c>
      <c r="N6" s="238"/>
      <c r="O6" s="238"/>
      <c r="P6" s="238"/>
      <c r="Q6" s="238"/>
      <c r="R6" s="238"/>
      <c r="S6" s="776" t="s">
        <v>193</v>
      </c>
      <c r="T6" s="776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22" t="s">
        <v>148</v>
      </c>
      <c r="AQ6" s="822" t="s">
        <v>187</v>
      </c>
      <c r="AR6" s="822" t="s">
        <v>188</v>
      </c>
      <c r="AS6" s="543"/>
      <c r="AT6" s="822" t="s">
        <v>194</v>
      </c>
      <c r="AU6" s="822" t="s">
        <v>191</v>
      </c>
      <c r="AV6" s="822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22" t="s">
        <v>193</v>
      </c>
      <c r="BH6" s="103"/>
      <c r="BI6" s="102"/>
      <c r="BJ6" s="668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2" ht="28.5" customHeight="1" x14ac:dyDescent="0.5">
      <c r="A7" s="766" t="s">
        <v>200</v>
      </c>
      <c r="B7" s="766"/>
      <c r="C7" s="767">
        <v>1100000</v>
      </c>
      <c r="D7" s="767"/>
      <c r="E7" s="510"/>
      <c r="F7" s="231"/>
      <c r="G7" s="776"/>
      <c r="H7" s="776"/>
      <c r="I7" s="776"/>
      <c r="J7" s="570" t="s">
        <v>189</v>
      </c>
      <c r="K7" s="776"/>
      <c r="L7" s="776"/>
      <c r="M7" s="776"/>
      <c r="N7" s="237" t="s">
        <v>36</v>
      </c>
      <c r="O7" s="237" t="s">
        <v>39</v>
      </c>
      <c r="P7" s="237" t="s">
        <v>38</v>
      </c>
      <c r="Q7" s="570" t="s">
        <v>195</v>
      </c>
      <c r="R7" s="669" t="s">
        <v>40</v>
      </c>
      <c r="S7" s="776"/>
      <c r="T7" s="776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84</v>
      </c>
      <c r="AP7" s="822"/>
      <c r="AQ7" s="822"/>
      <c r="AR7" s="822"/>
      <c r="AS7" s="672" t="s">
        <v>156</v>
      </c>
      <c r="AT7" s="822"/>
      <c r="AU7" s="822"/>
      <c r="AV7" s="822"/>
      <c r="AW7" s="676" t="s">
        <v>36</v>
      </c>
      <c r="AX7" s="676" t="s">
        <v>39</v>
      </c>
      <c r="AY7" s="676" t="s">
        <v>38</v>
      </c>
      <c r="AZ7" s="676" t="s">
        <v>158</v>
      </c>
      <c r="BA7" s="676" t="s">
        <v>40</v>
      </c>
      <c r="BB7" s="676"/>
      <c r="BC7" s="676"/>
      <c r="BD7" s="676"/>
      <c r="BE7" s="676"/>
      <c r="BF7" s="676"/>
      <c r="BG7" s="822"/>
      <c r="BH7" s="163" t="s">
        <v>32</v>
      </c>
      <c r="BI7" s="104" t="s">
        <v>31</v>
      </c>
      <c r="BJ7" s="153">
        <f>BJ8</f>
        <v>44591</v>
      </c>
      <c r="BK7" s="108">
        <f>K8</f>
        <v>-1427039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2" ht="18" customHeight="1" thickBot="1" x14ac:dyDescent="0.55000000000000004">
      <c r="A8" s="766" t="s">
        <v>276</v>
      </c>
      <c r="B8" s="766"/>
      <c r="C8" s="502" t="s">
        <v>367</v>
      </c>
      <c r="D8" s="215" t="str">
        <f>C8</f>
        <v>Максимум  плюс/ Забота плюс</v>
      </c>
      <c r="E8" s="510"/>
      <c r="F8" s="231"/>
      <c r="G8" s="253"/>
      <c r="H8" s="240">
        <f>C9</f>
        <v>44591</v>
      </c>
      <c r="I8" s="240"/>
      <c r="J8" s="240"/>
      <c r="K8" s="241">
        <f>-C23</f>
        <v>-1427039</v>
      </c>
      <c r="L8" s="242"/>
      <c r="M8" s="243"/>
      <c r="N8" s="243"/>
      <c r="O8" s="243"/>
      <c r="P8" s="243"/>
      <c r="Q8" s="243"/>
      <c r="R8" s="243"/>
      <c r="S8" s="239">
        <f>C23</f>
        <v>1427039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0.22900000000000001</v>
      </c>
      <c r="AC8" s="15"/>
      <c r="AD8" s="147">
        <f>IF(OR($C$8="Гарантия стандарт",$C$8="Гарантия пакет"),AB5,W4)</f>
        <v>0.29899999999999999</v>
      </c>
      <c r="AE8" s="147">
        <f>IF(OR($D$8="Гарантия стандарт",$D$8="Гарантия пакет"),AB5,W4)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44591</v>
      </c>
      <c r="AR8" s="549"/>
      <c r="AS8" s="549"/>
      <c r="AT8" s="550">
        <f>-D23</f>
        <v>-1389199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1389199</v>
      </c>
      <c r="BH8" s="106"/>
      <c r="BI8" s="108"/>
      <c r="BJ8" s="22">
        <f>H8</f>
        <v>44591</v>
      </c>
      <c r="BK8" s="104">
        <f>$C$25</f>
        <v>194040</v>
      </c>
      <c r="BN8" s="785"/>
      <c r="BO8" s="778"/>
      <c r="BP8" s="671" t="s">
        <v>87</v>
      </c>
      <c r="BQ8" s="126" t="s">
        <v>88</v>
      </c>
      <c r="BR8" s="799"/>
      <c r="BS8" s="801"/>
      <c r="BT8" s="797"/>
    </row>
    <row r="9" spans="1:72" ht="16.899999999999999" customHeight="1" thickBot="1" x14ac:dyDescent="0.25">
      <c r="A9" s="766" t="s">
        <v>199</v>
      </c>
      <c r="B9" s="766"/>
      <c r="C9" s="788">
        <v>44591</v>
      </c>
      <c r="D9" s="788"/>
      <c r="E9" s="510"/>
      <c r="F9" s="231"/>
      <c r="G9" s="244">
        <f>1</f>
        <v>1</v>
      </c>
      <c r="H9" s="245">
        <f>IF((OR(DAY($AD$54)=29,DAY($AD$54)=30,DAY($AD$54)=31)),(EDATE($C$9-28,G9+1)),EDATE($C$9,G9))</f>
        <v>44622</v>
      </c>
      <c r="I9" s="246">
        <f>IF(AND($W$11=1,G9&gt;=$W$11,),0%,$C$11)</f>
        <v>0.17899999999999999</v>
      </c>
      <c r="J9" s="242">
        <f t="shared" ref="J9:J73" si="0">K9+Q9</f>
        <v>29910</v>
      </c>
      <c r="K9" s="242">
        <f>IF(G9&gt;$C$10,0,ROUNDUP($S$8*$C$11/12/((1-(1+$C$11/12)^(0-$C$10))),0))</f>
        <v>29910</v>
      </c>
      <c r="L9" s="242">
        <f>S8*($C$11/365*(H9-H8))</f>
        <v>21694.902495890412</v>
      </c>
      <c r="M9" s="242">
        <f>K9-L9</f>
        <v>8215.097504109588</v>
      </c>
      <c r="N9" s="242">
        <f t="shared" ref="N9:N72" si="1">IF(P9-Q9&gt;$C$24,$C$24-L9,IF(V9=0,0,R9)+$AI$51)</f>
        <v>0</v>
      </c>
      <c r="O9" s="242">
        <v>0</v>
      </c>
      <c r="P9" s="242">
        <f>L9+Q9</f>
        <v>21694.902495890412</v>
      </c>
      <c r="Q9" s="242">
        <f t="shared" ref="Q9:Q72" si="2">IF(V9=0,0,0)</f>
        <v>0</v>
      </c>
      <c r="R9" s="242">
        <f>IF(V9=0,0,0)</f>
        <v>0</v>
      </c>
      <c r="S9" s="242">
        <f>S8-M9-T9</f>
        <v>1418823.9024958904</v>
      </c>
      <c r="T9" s="467"/>
      <c r="U9" s="198">
        <f>C10</f>
        <v>84</v>
      </c>
      <c r="V9" s="36">
        <f>U9</f>
        <v>84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0.25900000000000001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44622</v>
      </c>
      <c r="AR9" s="555">
        <f t="shared" ref="AR9:AR14" si="3">$D$13</f>
        <v>0.17899999999999999</v>
      </c>
      <c r="AS9" s="546">
        <f>AT9+AZ9</f>
        <v>29117</v>
      </c>
      <c r="AT9" s="546">
        <f>IF(AP9&gt;$C$10,0,ROUNDUP($BG$8*$C$11/12/((1-(1+$C$11/12)^(0-$C$10))),0))</f>
        <v>29117</v>
      </c>
      <c r="AU9" s="546">
        <f>BG8*($C$11/365*(AQ9-AQ8))</f>
        <v>21119.630824657535</v>
      </c>
      <c r="AV9" s="546">
        <f>IF(BI9=0,0,IF(BI9=1,BG8,IF(BG8+AW9+AU9&gt;AT8,AT9-AU9-AW9,BG8)))</f>
        <v>7997.3691753424646</v>
      </c>
      <c r="AW9" s="546">
        <f t="shared" ref="AW9:AW72" si="4">IF(AY9-AZ9&gt;$D$24,$D$24-AU9,IF(BI9=0,0,BA9)+BX57)</f>
        <v>0</v>
      </c>
      <c r="AX9" s="546"/>
      <c r="AY9" s="546">
        <f>AU9+AZ9</f>
        <v>21119.630824657535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1381201.6308246576</v>
      </c>
      <c r="BH9" s="108">
        <f>C10</f>
        <v>84</v>
      </c>
      <c r="BI9" s="108">
        <f>BH9</f>
        <v>84</v>
      </c>
      <c r="BJ9" s="22">
        <f>H9</f>
        <v>44622</v>
      </c>
      <c r="BK9" s="108">
        <f t="shared" ref="BK9:BK72" si="6">K9</f>
        <v>29910</v>
      </c>
    </row>
    <row r="10" spans="1:72" ht="18" customHeight="1" x14ac:dyDescent="0.2">
      <c r="A10" s="763" t="s">
        <v>198</v>
      </c>
      <c r="B10" s="763"/>
      <c r="C10" s="787">
        <v>84</v>
      </c>
      <c r="D10" s="787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44653</v>
      </c>
      <c r="I10" s="246">
        <f>IF(AND($W$11=1,G10&gt;=$W$11,G10&lt;=$W$11+0),0%,$C$11)</f>
        <v>0.17899999999999999</v>
      </c>
      <c r="J10" s="242">
        <f t="shared" si="0"/>
        <v>29910</v>
      </c>
      <c r="K10" s="242">
        <f>IF(G10&gt;$C$10,0,IF(T9=0,K9,ROUNDUP(S9*$C$11/12/((1-(1+$C$11/12)^(0-($C$10-G10)))),0)))</f>
        <v>29910</v>
      </c>
      <c r="L10" s="242">
        <f t="shared" ref="L10:L73" si="8">S9*($C$11/365*(H10-H9))</f>
        <v>21570.010506711496</v>
      </c>
      <c r="M10" s="242">
        <f>IF(S9=0,0,IF(S9+L10&gt;K9,K10-L10,S9))</f>
        <v>8339.9894932885036</v>
      </c>
      <c r="N10" s="242">
        <f t="shared" si="1"/>
        <v>0</v>
      </c>
      <c r="O10" s="242">
        <v>0</v>
      </c>
      <c r="P10" s="242">
        <f>L10+Q10</f>
        <v>21570.010506711496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1410483.9130026018</v>
      </c>
      <c r="T10" s="467"/>
      <c r="U10" s="198">
        <f>IF((U9-1)&lt;0,0,U9-1)</f>
        <v>83</v>
      </c>
      <c r="V10" s="36">
        <f t="shared" ref="V10:V73" si="11">U10</f>
        <v>83</v>
      </c>
      <c r="W10" s="54">
        <f>ROUND(S8*0%,-2)</f>
        <v>0</v>
      </c>
      <c r="X10" s="54">
        <f>ROUND(S8*0.5%,0)</f>
        <v>7135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0.13900000000000001</v>
      </c>
      <c r="AE10" s="147">
        <f>IF(OR($D$8="Гарантия стандарт",$D$8="Гарантия пакет"),AB7,W6)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44653</v>
      </c>
      <c r="AR10" s="555">
        <f t="shared" si="3"/>
        <v>0.17899999999999999</v>
      </c>
      <c r="AS10" s="546">
        <f t="shared" ref="AS10:AS73" si="14">AT10+AZ10</f>
        <v>29117</v>
      </c>
      <c r="AT10" s="546">
        <f t="shared" ref="AT10:AT73" si="15">IF(AP10&gt;$C$10,0,ROUNDUP($BG$8*$C$11/12/((1-(1+$C$11/12)^(0-$C$10))),0))</f>
        <v>29117</v>
      </c>
      <c r="AU10" s="546">
        <f t="shared" ref="AU10:AU73" si="16">BG9*($C$11/365*(AQ10-AQ9))</f>
        <v>20998.04890259185</v>
      </c>
      <c r="AV10" s="546">
        <f t="shared" ref="AV10:AV73" si="17">IF(BI10=0,0,IF(BI10=1,BG9,IF(BG9+AW10+AU10&gt;AT9,AT10-AU10-AW10,BG9)))</f>
        <v>8118.9510974081495</v>
      </c>
      <c r="AW10" s="546">
        <f t="shared" si="4"/>
        <v>0</v>
      </c>
      <c r="AX10" s="546">
        <v>0</v>
      </c>
      <c r="AY10" s="546">
        <f t="shared" ref="AY10:AY85" si="18">AU10+AZ10</f>
        <v>20998.04890259185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1373082.6797272495</v>
      </c>
      <c r="BH10" s="108">
        <f>IF((BH9-1)&lt;0,0,BH9-1)</f>
        <v>83</v>
      </c>
      <c r="BI10" s="108">
        <f>BH10</f>
        <v>83</v>
      </c>
      <c r="BJ10" s="22">
        <f>H10</f>
        <v>44653</v>
      </c>
      <c r="BK10" s="108">
        <f t="shared" si="6"/>
        <v>29910</v>
      </c>
      <c r="BN10" s="784" t="s">
        <v>90</v>
      </c>
      <c r="BO10" s="777" t="s">
        <v>85</v>
      </c>
      <c r="BP10" s="129" t="s">
        <v>84</v>
      </c>
    </row>
    <row r="11" spans="1:72" ht="18" customHeight="1" thickBot="1" x14ac:dyDescent="0.25">
      <c r="A11" s="805" t="s">
        <v>172</v>
      </c>
      <c r="B11" s="805"/>
      <c r="C11" s="577">
        <v>0.17899999999999999</v>
      </c>
      <c r="D11" s="578">
        <f>C11</f>
        <v>0.17899999999999999</v>
      </c>
      <c r="E11" s="514"/>
      <c r="F11" s="232"/>
      <c r="G11" s="244">
        <f>G10+1</f>
        <v>3</v>
      </c>
      <c r="H11" s="245">
        <f t="shared" si="7"/>
        <v>44683</v>
      </c>
      <c r="I11" s="246">
        <f>IF(AND($W$11=1,G11&gt;=$W$11,G11&lt;=$W$11+0),0%,$C$11)</f>
        <v>0.17899999999999999</v>
      </c>
      <c r="J11" s="242">
        <f t="shared" si="0"/>
        <v>29910</v>
      </c>
      <c r="K11" s="242">
        <f t="shared" ref="K11:K74" si="21">IF(G11&gt;$C$10,0,IF(T10=0,K10,ROUNDUP(S10*$C$11/12/((1-(1+$C$11/12)^(0-($C$10-G11)))),0)))</f>
        <v>29910</v>
      </c>
      <c r="L11" s="242">
        <f t="shared" si="8"/>
        <v>20751.503048832798</v>
      </c>
      <c r="M11" s="242">
        <f t="shared" ref="M11:M74" si="22">IF(S10=0,0,IF(S10+L11&gt;K10,K11-L11,S10))</f>
        <v>9158.4969511672025</v>
      </c>
      <c r="N11" s="242">
        <f t="shared" si="1"/>
        <v>0</v>
      </c>
      <c r="O11" s="242">
        <v>0</v>
      </c>
      <c r="P11" s="242">
        <f t="shared" ref="P11:P85" si="23">L11+Q11</f>
        <v>20751.503048832798</v>
      </c>
      <c r="Q11" s="242">
        <f t="shared" si="2"/>
        <v>0</v>
      </c>
      <c r="R11" s="242">
        <f t="shared" si="9"/>
        <v>0</v>
      </c>
      <c r="S11" s="242">
        <f t="shared" si="10"/>
        <v>1401325.4160514346</v>
      </c>
      <c r="T11" s="467"/>
      <c r="U11" s="198">
        <f>IF((U10-1)&lt;0,0,U10-1)</f>
        <v>82</v>
      </c>
      <c r="V11" s="36">
        <f t="shared" si="11"/>
        <v>82</v>
      </c>
      <c r="W11" s="130">
        <f>IF($C$8="Нет",0,1)</f>
        <v>1</v>
      </c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44683</v>
      </c>
      <c r="AR11" s="555">
        <f t="shared" si="3"/>
        <v>0.17899999999999999</v>
      </c>
      <c r="AS11" s="546">
        <f t="shared" si="14"/>
        <v>29117</v>
      </c>
      <c r="AT11" s="546">
        <f t="shared" si="15"/>
        <v>29117</v>
      </c>
      <c r="AU11" s="546">
        <f t="shared" si="16"/>
        <v>20201.243808589945</v>
      </c>
      <c r="AV11" s="546">
        <f>IF(BI11=0,0,IF(BI11=1,BG10,IF(BG10+AW11+AU11&gt;AT10,AT11-AU11-AW11,BG10)))</f>
        <v>8915.7561914100552</v>
      </c>
      <c r="AW11" s="546">
        <f t="shared" si="4"/>
        <v>0</v>
      </c>
      <c r="AX11" s="546">
        <v>0</v>
      </c>
      <c r="AY11" s="546">
        <f t="shared" si="18"/>
        <v>20201.243808589945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1364166.9235358394</v>
      </c>
      <c r="BH11" s="108">
        <f>IF((BH10-1)&lt;0,0,BH10-1)</f>
        <v>82</v>
      </c>
      <c r="BI11" s="108">
        <f t="shared" ref="BI11:BI74" si="24">BH11</f>
        <v>82</v>
      </c>
      <c r="BJ11" s="22">
        <f t="shared" ref="BJ11:BJ74" si="25">H11</f>
        <v>44683</v>
      </c>
      <c r="BK11" s="108">
        <f t="shared" si="6"/>
        <v>29910</v>
      </c>
      <c r="BN11" s="785"/>
      <c r="BO11" s="778"/>
      <c r="BP11" s="670" t="s">
        <v>91</v>
      </c>
    </row>
    <row r="12" spans="1:72" ht="18" customHeight="1" thickBot="1" x14ac:dyDescent="0.25">
      <c r="A12" s="805" t="s">
        <v>173</v>
      </c>
      <c r="B12" s="805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44714</v>
      </c>
      <c r="I12" s="246">
        <f>IF(AND($W$11=1,G12&gt;=$W$11,G12&lt;=$W$11+0),0%,$C$11)</f>
        <v>0.17899999999999999</v>
      </c>
      <c r="J12" s="242">
        <f t="shared" si="0"/>
        <v>29910</v>
      </c>
      <c r="K12" s="242">
        <f t="shared" si="21"/>
        <v>29910</v>
      </c>
      <c r="L12" s="242">
        <f t="shared" si="8"/>
        <v>21303.985571697016</v>
      </c>
      <c r="M12" s="242">
        <f t="shared" si="22"/>
        <v>8606.014428302984</v>
      </c>
      <c r="N12" s="242">
        <f t="shared" si="1"/>
        <v>0</v>
      </c>
      <c r="O12" s="242">
        <v>0</v>
      </c>
      <c r="P12" s="242">
        <f t="shared" si="23"/>
        <v>21303.985571697016</v>
      </c>
      <c r="Q12" s="242">
        <f t="shared" si="2"/>
        <v>0</v>
      </c>
      <c r="R12" s="242">
        <f t="shared" si="9"/>
        <v>0</v>
      </c>
      <c r="S12" s="242">
        <f t="shared" si="10"/>
        <v>1392719.4016231317</v>
      </c>
      <c r="T12" s="467"/>
      <c r="U12" s="198">
        <f t="shared" ref="U12:U75" si="27">IF((U11-1)&lt;0,0,U11-1)</f>
        <v>81</v>
      </c>
      <c r="V12" s="36">
        <f t="shared" si="11"/>
        <v>81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44714</v>
      </c>
      <c r="AR12" s="555">
        <f t="shared" si="3"/>
        <v>0.17899999999999999</v>
      </c>
      <c r="AS12" s="546">
        <f t="shared" si="14"/>
        <v>29117</v>
      </c>
      <c r="AT12" s="546">
        <f t="shared" si="15"/>
        <v>29117</v>
      </c>
      <c r="AU12" s="546">
        <f t="shared" si="16"/>
        <v>20739.074681370887</v>
      </c>
      <c r="AV12" s="546">
        <f t="shared" si="17"/>
        <v>8377.9253186291135</v>
      </c>
      <c r="AW12" s="546">
        <f t="shared" si="4"/>
        <v>0</v>
      </c>
      <c r="AX12" s="546">
        <v>0</v>
      </c>
      <c r="AY12" s="546">
        <f t="shared" si="18"/>
        <v>20739.074681370887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1355788.9982172104</v>
      </c>
      <c r="BH12" s="108">
        <f t="shared" ref="BH12:BH75" si="29">IF((BH11-1)&lt;0,0,BH11-1)</f>
        <v>81</v>
      </c>
      <c r="BI12" s="108">
        <f t="shared" si="24"/>
        <v>81</v>
      </c>
      <c r="BJ12" s="22">
        <f t="shared" si="25"/>
        <v>44714</v>
      </c>
      <c r="BK12" s="108">
        <f t="shared" si="6"/>
        <v>29910</v>
      </c>
    </row>
    <row r="13" spans="1:72" ht="18" customHeight="1" x14ac:dyDescent="0.2">
      <c r="A13" s="805" t="s">
        <v>171</v>
      </c>
      <c r="B13" s="806"/>
      <c r="C13" s="360">
        <f>C11</f>
        <v>0.17899999999999999</v>
      </c>
      <c r="D13" s="217">
        <f>D11</f>
        <v>0.17899999999999999</v>
      </c>
      <c r="E13" s="514"/>
      <c r="F13" s="232"/>
      <c r="G13" s="244">
        <f t="shared" si="26"/>
        <v>5</v>
      </c>
      <c r="H13" s="245">
        <f t="shared" si="7"/>
        <v>44744</v>
      </c>
      <c r="I13" s="246">
        <f>IF(AND($W$11=1,G13&gt;=$W$11,G13&lt;=$W$11+0),0%,$C$11)</f>
        <v>0.17899999999999999</v>
      </c>
      <c r="J13" s="242">
        <f t="shared" si="0"/>
        <v>29910</v>
      </c>
      <c r="K13" s="242">
        <f t="shared" si="21"/>
        <v>29910</v>
      </c>
      <c r="L13" s="242">
        <f t="shared" si="8"/>
        <v>20490.145717030733</v>
      </c>
      <c r="M13" s="242">
        <f t="shared" si="22"/>
        <v>9419.8542829692669</v>
      </c>
      <c r="N13" s="242">
        <f t="shared" si="1"/>
        <v>0</v>
      </c>
      <c r="O13" s="242">
        <v>0</v>
      </c>
      <c r="P13" s="242">
        <f t="shared" si="23"/>
        <v>20490.145717030733</v>
      </c>
      <c r="Q13" s="242">
        <f t="shared" si="2"/>
        <v>0</v>
      </c>
      <c r="R13" s="242">
        <f t="shared" si="9"/>
        <v>0</v>
      </c>
      <c r="S13" s="242">
        <f t="shared" si="10"/>
        <v>1383299.5473401623</v>
      </c>
      <c r="T13" s="467"/>
      <c r="U13" s="198">
        <f>IF((U12-1)&lt;0,0,U12-1)</f>
        <v>80</v>
      </c>
      <c r="V13" s="36">
        <f>U13</f>
        <v>80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44744</v>
      </c>
      <c r="AR13" s="555">
        <f t="shared" si="3"/>
        <v>0.17899999999999999</v>
      </c>
      <c r="AS13" s="546">
        <f t="shared" si="14"/>
        <v>29117</v>
      </c>
      <c r="AT13" s="546">
        <f t="shared" si="15"/>
        <v>29117</v>
      </c>
      <c r="AU13" s="546">
        <f t="shared" si="16"/>
        <v>19946.813480620327</v>
      </c>
      <c r="AV13" s="546">
        <f t="shared" si="17"/>
        <v>9170.186519379673</v>
      </c>
      <c r="AW13" s="546">
        <f t="shared" si="4"/>
        <v>0</v>
      </c>
      <c r="AX13" s="546">
        <v>0</v>
      </c>
      <c r="AY13" s="546">
        <f t="shared" si="18"/>
        <v>19946.813480620327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1346618.8116978307</v>
      </c>
      <c r="BH13" s="108">
        <f t="shared" si="29"/>
        <v>80</v>
      </c>
      <c r="BI13" s="108">
        <f t="shared" si="24"/>
        <v>80</v>
      </c>
      <c r="BJ13" s="22">
        <f t="shared" si="25"/>
        <v>44744</v>
      </c>
      <c r="BK13" s="108">
        <f t="shared" si="6"/>
        <v>29910</v>
      </c>
      <c r="BN13" s="784" t="s">
        <v>92</v>
      </c>
      <c r="BO13" s="777" t="s">
        <v>85</v>
      </c>
      <c r="BP13" s="129" t="s">
        <v>90</v>
      </c>
    </row>
    <row r="14" spans="1:72" ht="19.5" customHeight="1" thickBot="1" x14ac:dyDescent="0.25">
      <c r="A14" s="819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6"/>
        <v>6</v>
      </c>
      <c r="H14" s="245">
        <f t="shared" si="7"/>
        <v>44775</v>
      </c>
      <c r="I14" s="246">
        <f>IF(AND($W$11=1,G14&gt;=$W$11,G14&lt;=$W$11+0),0%,$C$11)</f>
        <v>0.17899999999999999</v>
      </c>
      <c r="J14" s="242">
        <f t="shared" si="0"/>
        <v>29910</v>
      </c>
      <c r="K14" s="242">
        <f t="shared" si="21"/>
        <v>29910</v>
      </c>
      <c r="L14" s="242">
        <f t="shared" si="8"/>
        <v>21029.942981344004</v>
      </c>
      <c r="M14" s="242">
        <f t="shared" si="22"/>
        <v>8880.0570186559962</v>
      </c>
      <c r="N14" s="242">
        <f t="shared" si="1"/>
        <v>0</v>
      </c>
      <c r="O14" s="242">
        <v>0</v>
      </c>
      <c r="P14" s="242">
        <f t="shared" si="23"/>
        <v>21029.942981344004</v>
      </c>
      <c r="Q14" s="242">
        <f t="shared" si="2"/>
        <v>0</v>
      </c>
      <c r="R14" s="242">
        <f t="shared" si="9"/>
        <v>0</v>
      </c>
      <c r="S14" s="242">
        <f t="shared" si="10"/>
        <v>1374419.4903215063</v>
      </c>
      <c r="T14" s="242"/>
      <c r="U14" s="198">
        <f>IF((U13-1)&lt;0,0,U13-1)</f>
        <v>79</v>
      </c>
      <c r="V14" s="36">
        <f t="shared" si="11"/>
        <v>79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C14" s="15"/>
      <c r="AE14" s="15">
        <f>IF(OR(D$8="Гарантия стандарт",D$8="Гарантия пакет"),AE13,D13)</f>
        <v>0.17899999999999999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44775</v>
      </c>
      <c r="AR14" s="555">
        <f t="shared" si="3"/>
        <v>0.17899999999999999</v>
      </c>
      <c r="AS14" s="546">
        <f t="shared" si="14"/>
        <v>29117</v>
      </c>
      <c r="AT14" s="546">
        <f t="shared" si="15"/>
        <v>29117</v>
      </c>
      <c r="AU14" s="546">
        <f t="shared" si="16"/>
        <v>20472.29530441442</v>
      </c>
      <c r="AV14" s="546">
        <f t="shared" si="17"/>
        <v>8644.7046955855803</v>
      </c>
      <c r="AW14" s="546">
        <f t="shared" si="4"/>
        <v>0</v>
      </c>
      <c r="AX14" s="546">
        <v>0</v>
      </c>
      <c r="AY14" s="546">
        <f t="shared" si="18"/>
        <v>20472.29530441442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1337974.107002245</v>
      </c>
      <c r="BH14" s="108">
        <f t="shared" si="29"/>
        <v>79</v>
      </c>
      <c r="BI14" s="108">
        <f t="shared" si="24"/>
        <v>79</v>
      </c>
      <c r="BJ14" s="22">
        <f t="shared" si="25"/>
        <v>44775</v>
      </c>
      <c r="BK14" s="108">
        <f t="shared" si="6"/>
        <v>29910</v>
      </c>
      <c r="BN14" s="785"/>
      <c r="BO14" s="778"/>
      <c r="BP14" s="670" t="s">
        <v>93</v>
      </c>
    </row>
    <row r="15" spans="1:72" ht="20.25" customHeight="1" x14ac:dyDescent="0.2">
      <c r="A15" s="820"/>
      <c r="B15" s="418" t="s">
        <v>182</v>
      </c>
      <c r="C15" s="505">
        <f>IF(C14="нет","",AJ109)</f>
        <v>11999</v>
      </c>
      <c r="D15" s="216">
        <f>IF(D14="нет","",AJ109)</f>
        <v>11999</v>
      </c>
      <c r="E15" s="510"/>
      <c r="F15" s="231"/>
      <c r="G15" s="244">
        <f t="shared" si="26"/>
        <v>7</v>
      </c>
      <c r="H15" s="245">
        <f t="shared" si="7"/>
        <v>44806</v>
      </c>
      <c r="I15" s="246">
        <f t="shared" ref="I15:I78" si="30">IF(AND($W$11=1,G15&gt;=$W$11,G15&lt;=$W$11+5),0%,$C$11)</f>
        <v>0.17899999999999999</v>
      </c>
      <c r="J15" s="242">
        <f t="shared" si="0"/>
        <v>29910</v>
      </c>
      <c r="K15" s="242">
        <f t="shared" si="21"/>
        <v>29910</v>
      </c>
      <c r="L15" s="242">
        <f t="shared" si="8"/>
        <v>20894.941785737094</v>
      </c>
      <c r="M15" s="242">
        <f t="shared" si="22"/>
        <v>9015.0582142629064</v>
      </c>
      <c r="N15" s="242">
        <f t="shared" si="1"/>
        <v>0</v>
      </c>
      <c r="O15" s="242">
        <v>0</v>
      </c>
      <c r="P15" s="242">
        <f t="shared" si="23"/>
        <v>20894.941785737094</v>
      </c>
      <c r="Q15" s="242">
        <f t="shared" si="2"/>
        <v>0</v>
      </c>
      <c r="R15" s="242">
        <f t="shared" si="9"/>
        <v>0</v>
      </c>
      <c r="S15" s="242">
        <f t="shared" si="10"/>
        <v>1365404.4321072435</v>
      </c>
      <c r="T15" s="467"/>
      <c r="U15" s="198">
        <f t="shared" si="27"/>
        <v>78</v>
      </c>
      <c r="V15" s="36">
        <f t="shared" si="11"/>
        <v>78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44806</v>
      </c>
      <c r="AR15" s="555">
        <f t="shared" ref="AR15:AR32" si="31">IF($D$16="Да",$AM$37,$D$13)</f>
        <v>0.17899999999999999</v>
      </c>
      <c r="AS15" s="546">
        <f t="shared" si="14"/>
        <v>29117</v>
      </c>
      <c r="AT15" s="546">
        <f t="shared" si="15"/>
        <v>29117</v>
      </c>
      <c r="AU15" s="546">
        <f t="shared" si="16"/>
        <v>20340.872108919062</v>
      </c>
      <c r="AV15" s="546">
        <f t="shared" si="17"/>
        <v>8776.1278910809378</v>
      </c>
      <c r="AW15" s="546">
        <f t="shared" si="4"/>
        <v>0</v>
      </c>
      <c r="AX15" s="546">
        <v>0</v>
      </c>
      <c r="AY15" s="546">
        <f t="shared" si="18"/>
        <v>20340.872108919062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1329197.9791111641</v>
      </c>
      <c r="BH15" s="108">
        <f t="shared" si="29"/>
        <v>78</v>
      </c>
      <c r="BI15" s="108">
        <f t="shared" si="24"/>
        <v>78</v>
      </c>
      <c r="BJ15" s="22">
        <f t="shared" si="25"/>
        <v>44806</v>
      </c>
      <c r="BK15" s="108">
        <f t="shared" si="6"/>
        <v>29910</v>
      </c>
    </row>
    <row r="16" spans="1:72" ht="19.149999999999999" customHeight="1" x14ac:dyDescent="0.2">
      <c r="A16" s="821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44836</v>
      </c>
      <c r="I16" s="246">
        <f t="shared" si="30"/>
        <v>0.17899999999999999</v>
      </c>
      <c r="J16" s="242">
        <f t="shared" si="0"/>
        <v>29910</v>
      </c>
      <c r="K16" s="242">
        <f t="shared" si="21"/>
        <v>29910</v>
      </c>
      <c r="L16" s="242">
        <f t="shared" si="8"/>
        <v>20088.278905249033</v>
      </c>
      <c r="M16" s="242">
        <f t="shared" si="22"/>
        <v>9821.7210947509666</v>
      </c>
      <c r="N16" s="242">
        <f t="shared" si="1"/>
        <v>0</v>
      </c>
      <c r="O16" s="242">
        <v>0</v>
      </c>
      <c r="P16" s="242">
        <f t="shared" si="23"/>
        <v>20088.278905249033</v>
      </c>
      <c r="Q16" s="242">
        <f t="shared" si="2"/>
        <v>0</v>
      </c>
      <c r="R16" s="242">
        <f t="shared" si="9"/>
        <v>0</v>
      </c>
      <c r="S16" s="242">
        <f t="shared" si="10"/>
        <v>1355582.7110124924</v>
      </c>
      <c r="T16" s="467"/>
      <c r="U16" s="198">
        <f t="shared" si="27"/>
        <v>77</v>
      </c>
      <c r="V16" s="36">
        <f t="shared" si="11"/>
        <v>77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44836</v>
      </c>
      <c r="AR16" s="555">
        <f t="shared" si="31"/>
        <v>0.17899999999999999</v>
      </c>
      <c r="AS16" s="546">
        <f t="shared" si="14"/>
        <v>29117</v>
      </c>
      <c r="AT16" s="546">
        <f t="shared" si="15"/>
        <v>29117</v>
      </c>
      <c r="AU16" s="546">
        <f t="shared" si="16"/>
        <v>19555.597665279318</v>
      </c>
      <c r="AV16" s="546">
        <f t="shared" si="17"/>
        <v>9561.4023347206821</v>
      </c>
      <c r="AW16" s="546">
        <f t="shared" si="4"/>
        <v>0</v>
      </c>
      <c r="AX16" s="546">
        <v>0</v>
      </c>
      <c r="AY16" s="546">
        <f t="shared" si="18"/>
        <v>19555.597665279318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1319636.5767764435</v>
      </c>
      <c r="BH16" s="108">
        <f t="shared" si="29"/>
        <v>77</v>
      </c>
      <c r="BI16" s="108">
        <f t="shared" si="24"/>
        <v>77</v>
      </c>
      <c r="BJ16" s="22">
        <f t="shared" si="25"/>
        <v>44836</v>
      </c>
      <c r="BK16" s="108">
        <f t="shared" si="6"/>
        <v>29910</v>
      </c>
    </row>
    <row r="17" spans="1:393" ht="19.899999999999999" customHeight="1" x14ac:dyDescent="0.2">
      <c r="A17" s="821"/>
      <c r="B17" s="186" t="s">
        <v>352</v>
      </c>
      <c r="C17" s="545">
        <f>IF(C16="Да",IF(C11=17.9%,11%,IF((C11=20.9%)*AND(C7&gt;500000),12%,IF(C11=22.9%,12%,12%))),"")</f>
        <v>0.11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44867</v>
      </c>
      <c r="I17" s="246">
        <f t="shared" si="30"/>
        <v>0.17899999999999999</v>
      </c>
      <c r="J17" s="242">
        <f t="shared" si="0"/>
        <v>29910</v>
      </c>
      <c r="K17" s="242">
        <f t="shared" si="21"/>
        <v>29910</v>
      </c>
      <c r="L17" s="242">
        <f t="shared" si="8"/>
        <v>20608.571132625537</v>
      </c>
      <c r="M17" s="242">
        <f t="shared" si="22"/>
        <v>9301.4288673744632</v>
      </c>
      <c r="N17" s="242">
        <f t="shared" si="1"/>
        <v>0</v>
      </c>
      <c r="O17" s="242">
        <v>0</v>
      </c>
      <c r="P17" s="242">
        <f t="shared" si="23"/>
        <v>20608.571132625537</v>
      </c>
      <c r="Q17" s="242">
        <f t="shared" si="2"/>
        <v>0</v>
      </c>
      <c r="R17" s="242">
        <f t="shared" si="9"/>
        <v>0</v>
      </c>
      <c r="S17" s="242">
        <f t="shared" si="10"/>
        <v>1346281.2821451179</v>
      </c>
      <c r="T17" s="467"/>
      <c r="U17" s="198">
        <f t="shared" si="27"/>
        <v>76</v>
      </c>
      <c r="V17" s="36">
        <f t="shared" si="11"/>
        <v>76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44867</v>
      </c>
      <c r="AR17" s="555">
        <f t="shared" si="31"/>
        <v>0.17899999999999999</v>
      </c>
      <c r="AS17" s="546">
        <f t="shared" si="14"/>
        <v>29117</v>
      </c>
      <c r="AT17" s="546">
        <f t="shared" si="15"/>
        <v>29117</v>
      </c>
      <c r="AU17" s="546">
        <f t="shared" si="16"/>
        <v>20062.091409678043</v>
      </c>
      <c r="AV17" s="546">
        <f t="shared" si="17"/>
        <v>9054.9085903219566</v>
      </c>
      <c r="AW17" s="546">
        <f t="shared" si="4"/>
        <v>0</v>
      </c>
      <c r="AX17" s="546">
        <v>0</v>
      </c>
      <c r="AY17" s="546">
        <f t="shared" si="18"/>
        <v>20062.091409678043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1310581.6681861216</v>
      </c>
      <c r="BH17" s="108">
        <f t="shared" si="29"/>
        <v>76</v>
      </c>
      <c r="BI17" s="108">
        <f t="shared" si="24"/>
        <v>76</v>
      </c>
      <c r="BJ17" s="22">
        <f t="shared" si="25"/>
        <v>44867</v>
      </c>
      <c r="BK17" s="108">
        <f t="shared" si="6"/>
        <v>29910</v>
      </c>
    </row>
    <row r="18" spans="1:393" ht="19.899999999999999" customHeight="1" x14ac:dyDescent="0.2">
      <c r="A18" s="821"/>
      <c r="B18" s="186" t="s">
        <v>353</v>
      </c>
      <c r="C18" s="508">
        <f>IF($C$16="ДА",C7*C17,"")</f>
        <v>121000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44897</v>
      </c>
      <c r="I18" s="246">
        <f t="shared" si="30"/>
        <v>0.17899999999999999</v>
      </c>
      <c r="J18" s="242">
        <f t="shared" si="0"/>
        <v>29910</v>
      </c>
      <c r="K18" s="242">
        <f t="shared" si="21"/>
        <v>29910</v>
      </c>
      <c r="L18" s="242">
        <f t="shared" si="8"/>
        <v>19806.93283594324</v>
      </c>
      <c r="M18" s="242">
        <f t="shared" si="22"/>
        <v>10103.06716405676</v>
      </c>
      <c r="N18" s="242">
        <f t="shared" si="1"/>
        <v>0</v>
      </c>
      <c r="O18" s="242">
        <v>0</v>
      </c>
      <c r="P18" s="242">
        <f t="shared" si="23"/>
        <v>19806.93283594324</v>
      </c>
      <c r="Q18" s="242">
        <f t="shared" si="2"/>
        <v>0</v>
      </c>
      <c r="R18" s="242">
        <f t="shared" si="9"/>
        <v>0</v>
      </c>
      <c r="S18" s="242">
        <f t="shared" si="10"/>
        <v>1336178.2149810612</v>
      </c>
      <c r="T18" s="467"/>
      <c r="U18" s="198">
        <f t="shared" si="27"/>
        <v>75</v>
      </c>
      <c r="V18" s="36">
        <f t="shared" si="11"/>
        <v>75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44897</v>
      </c>
      <c r="AR18" s="555">
        <f t="shared" si="31"/>
        <v>0.17899999999999999</v>
      </c>
      <c r="AS18" s="546">
        <f t="shared" si="14"/>
        <v>29117</v>
      </c>
      <c r="AT18" s="546">
        <f t="shared" si="15"/>
        <v>29117</v>
      </c>
      <c r="AU18" s="546">
        <f t="shared" si="16"/>
        <v>19281.708378519103</v>
      </c>
      <c r="AV18" s="546">
        <f t="shared" si="17"/>
        <v>9835.2916214808974</v>
      </c>
      <c r="AW18" s="546">
        <f t="shared" si="4"/>
        <v>0</v>
      </c>
      <c r="AX18" s="546">
        <v>0</v>
      </c>
      <c r="AY18" s="546">
        <f t="shared" si="18"/>
        <v>19281.708378519103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1300746.3765646408</v>
      </c>
      <c r="BH18" s="108">
        <f t="shared" si="29"/>
        <v>75</v>
      </c>
      <c r="BI18" s="108">
        <f t="shared" si="24"/>
        <v>75</v>
      </c>
      <c r="BJ18" s="22">
        <f t="shared" si="25"/>
        <v>44897</v>
      </c>
      <c r="BK18" s="108">
        <f t="shared" si="6"/>
        <v>29910</v>
      </c>
    </row>
    <row r="19" spans="1:393" ht="18.75" customHeight="1" x14ac:dyDescent="0.2">
      <c r="A19" s="673"/>
      <c r="B19" s="186" t="s">
        <v>364</v>
      </c>
      <c r="C19" s="567">
        <f>IF(C16="Да",IF(C11=17.9%,4%,IF((C11=18.9%)*AND(C7&gt;500000),5.9%,IF(C11=22.9%,7.9%,IF(C11=20.9%,5.9%,5.9%)))),"")</f>
        <v>0.04</v>
      </c>
      <c r="D19" s="450"/>
      <c r="E19" s="514"/>
      <c r="F19" s="233"/>
      <c r="G19" s="244">
        <f t="shared" si="26"/>
        <v>11</v>
      </c>
      <c r="H19" s="245">
        <f t="shared" si="7"/>
        <v>44928</v>
      </c>
      <c r="I19" s="246">
        <f t="shared" si="30"/>
        <v>0.17899999999999999</v>
      </c>
      <c r="J19" s="242">
        <f t="shared" si="0"/>
        <v>29910</v>
      </c>
      <c r="K19" s="242">
        <f t="shared" si="21"/>
        <v>29910</v>
      </c>
      <c r="L19" s="242">
        <f t="shared" si="8"/>
        <v>20313.569629944956</v>
      </c>
      <c r="M19" s="242">
        <f t="shared" si="22"/>
        <v>9596.4303700550445</v>
      </c>
      <c r="N19" s="242">
        <f t="shared" si="1"/>
        <v>0</v>
      </c>
      <c r="O19" s="242">
        <v>0</v>
      </c>
      <c r="P19" s="242">
        <f t="shared" si="23"/>
        <v>20313.569629944956</v>
      </c>
      <c r="Q19" s="242">
        <f t="shared" si="2"/>
        <v>0</v>
      </c>
      <c r="R19" s="242">
        <f t="shared" si="9"/>
        <v>0</v>
      </c>
      <c r="S19" s="242">
        <f t="shared" si="10"/>
        <v>1326581.784611006</v>
      </c>
      <c r="T19" s="467"/>
      <c r="U19" s="198">
        <f>IF((U18-1)&lt;0,0,U18-1)</f>
        <v>74</v>
      </c>
      <c r="V19" s="36">
        <f t="shared" si="11"/>
        <v>74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44928</v>
      </c>
      <c r="AR19" s="555">
        <f t="shared" si="31"/>
        <v>0.17899999999999999</v>
      </c>
      <c r="AS19" s="546">
        <f t="shared" si="14"/>
        <v>29117</v>
      </c>
      <c r="AT19" s="546">
        <f t="shared" si="15"/>
        <v>29117</v>
      </c>
      <c r="AU19" s="546">
        <f t="shared" si="16"/>
        <v>19774.908612485458</v>
      </c>
      <c r="AV19" s="546">
        <f t="shared" si="17"/>
        <v>9342.0913875145416</v>
      </c>
      <c r="AW19" s="546">
        <f t="shared" si="4"/>
        <v>0</v>
      </c>
      <c r="AX19" s="546">
        <v>0</v>
      </c>
      <c r="AY19" s="546">
        <f t="shared" si="18"/>
        <v>19774.908612485458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1291404.2851771263</v>
      </c>
      <c r="BH19" s="108">
        <f t="shared" si="29"/>
        <v>74</v>
      </c>
      <c r="BI19" s="108">
        <f t="shared" si="24"/>
        <v>74</v>
      </c>
      <c r="BJ19" s="22">
        <f t="shared" si="25"/>
        <v>44928</v>
      </c>
      <c r="BK19" s="108">
        <f t="shared" si="6"/>
        <v>29910</v>
      </c>
    </row>
    <row r="20" spans="1:393" ht="16.899999999999999" customHeight="1" thickBot="1" x14ac:dyDescent="0.25">
      <c r="A20" s="807"/>
      <c r="B20" s="807"/>
      <c r="C20" s="807"/>
      <c r="D20" s="807"/>
      <c r="E20" s="807"/>
      <c r="F20" s="224"/>
      <c r="G20" s="248">
        <f t="shared" si="26"/>
        <v>12</v>
      </c>
      <c r="H20" s="581">
        <f t="shared" si="7"/>
        <v>44959</v>
      </c>
      <c r="I20" s="250">
        <f t="shared" si="30"/>
        <v>0.17899999999999999</v>
      </c>
      <c r="J20" s="252">
        <f t="shared" si="0"/>
        <v>29910</v>
      </c>
      <c r="K20" s="252">
        <f t="shared" si="21"/>
        <v>29910</v>
      </c>
      <c r="L20" s="252">
        <f t="shared" si="8"/>
        <v>20167.677596730064</v>
      </c>
      <c r="M20" s="252">
        <f t="shared" si="22"/>
        <v>9742.3224032699363</v>
      </c>
      <c r="N20" s="252">
        <f t="shared" si="1"/>
        <v>0</v>
      </c>
      <c r="O20" s="252">
        <v>0</v>
      </c>
      <c r="P20" s="252">
        <f t="shared" si="23"/>
        <v>20167.677596730064</v>
      </c>
      <c r="Q20" s="252">
        <f t="shared" si="2"/>
        <v>0</v>
      </c>
      <c r="R20" s="252">
        <f t="shared" si="9"/>
        <v>0</v>
      </c>
      <c r="S20" s="252">
        <f t="shared" si="10"/>
        <v>1316839.462207736</v>
      </c>
      <c r="T20" s="468"/>
      <c r="U20" s="198">
        <f>IF((U19-1)&lt;0,0,U19-1)</f>
        <v>73</v>
      </c>
      <c r="V20" s="36">
        <f t="shared" si="11"/>
        <v>73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44959</v>
      </c>
      <c r="AR20" s="557">
        <f t="shared" si="31"/>
        <v>0.17899999999999999</v>
      </c>
      <c r="AS20" s="547">
        <f t="shared" si="14"/>
        <v>29117</v>
      </c>
      <c r="AT20" s="547">
        <f t="shared" si="15"/>
        <v>29117</v>
      </c>
      <c r="AU20" s="547">
        <f t="shared" si="16"/>
        <v>19632.883228624312</v>
      </c>
      <c r="AV20" s="547">
        <f t="shared" si="17"/>
        <v>9484.1167713756877</v>
      </c>
      <c r="AW20" s="547">
        <f t="shared" si="4"/>
        <v>0</v>
      </c>
      <c r="AX20" s="547">
        <v>0</v>
      </c>
      <c r="AY20" s="547">
        <f t="shared" si="18"/>
        <v>19632.883228624312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1281920.1684057505</v>
      </c>
      <c r="BH20" s="108">
        <f t="shared" si="29"/>
        <v>73</v>
      </c>
      <c r="BI20" s="108">
        <f t="shared" si="24"/>
        <v>73</v>
      </c>
      <c r="BJ20" s="22">
        <f t="shared" si="25"/>
        <v>44959</v>
      </c>
      <c r="BK20" s="108">
        <f t="shared" si="6"/>
        <v>29910</v>
      </c>
    </row>
    <row r="21" spans="1:393" ht="12.75" customHeight="1" x14ac:dyDescent="0.2">
      <c r="A21" s="817"/>
      <c r="B21" s="817"/>
      <c r="C21" s="817"/>
      <c r="D21" s="817"/>
      <c r="E21" s="817"/>
      <c r="F21" s="224"/>
      <c r="G21" s="244">
        <f t="shared" si="26"/>
        <v>13</v>
      </c>
      <c r="H21" s="245">
        <f t="shared" si="7"/>
        <v>44987</v>
      </c>
      <c r="I21" s="246">
        <f t="shared" si="30"/>
        <v>0.17899999999999999</v>
      </c>
      <c r="J21" s="242">
        <f>K21+Q21</f>
        <v>29910</v>
      </c>
      <c r="K21" s="242">
        <f t="shared" si="21"/>
        <v>29910</v>
      </c>
      <c r="L21" s="242">
        <f t="shared" si="8"/>
        <v>18082.1900947539</v>
      </c>
      <c r="M21" s="242">
        <f t="shared" si="22"/>
        <v>11827.8099052461</v>
      </c>
      <c r="N21" s="242">
        <f t="shared" si="1"/>
        <v>0</v>
      </c>
      <c r="O21" s="242">
        <v>0</v>
      </c>
      <c r="P21" s="242">
        <f t="shared" si="23"/>
        <v>18082.1900947539</v>
      </c>
      <c r="Q21" s="242">
        <f t="shared" si="2"/>
        <v>0</v>
      </c>
      <c r="R21" s="242">
        <f t="shared" si="9"/>
        <v>0</v>
      </c>
      <c r="S21" s="242">
        <f t="shared" si="10"/>
        <v>1305011.6523024898</v>
      </c>
      <c r="T21" s="467"/>
      <c r="U21" s="198">
        <f>IF((U20-1)&lt;0,0,U20-1)</f>
        <v>72</v>
      </c>
      <c r="V21" s="36">
        <f t="shared" si="11"/>
        <v>72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44987</v>
      </c>
      <c r="AR21" s="555">
        <f t="shared" si="31"/>
        <v>0.17899999999999999</v>
      </c>
      <c r="AS21" s="546">
        <f t="shared" si="14"/>
        <v>29117</v>
      </c>
      <c r="AT21" s="546">
        <f t="shared" si="15"/>
        <v>29117</v>
      </c>
      <c r="AU21" s="546">
        <f t="shared" si="16"/>
        <v>17602.695572738688</v>
      </c>
      <c r="AV21" s="546">
        <f t="shared" si="17"/>
        <v>11514.304427261312</v>
      </c>
      <c r="AW21" s="546">
        <f t="shared" si="4"/>
        <v>0</v>
      </c>
      <c r="AX21" s="546">
        <v>0</v>
      </c>
      <c r="AY21" s="546">
        <f t="shared" si="18"/>
        <v>17602.695572738688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1270405.8639784893</v>
      </c>
      <c r="BH21" s="108">
        <f t="shared" si="29"/>
        <v>72</v>
      </c>
      <c r="BI21" s="108">
        <f t="shared" si="24"/>
        <v>72</v>
      </c>
      <c r="BJ21" s="22">
        <f t="shared" si="25"/>
        <v>44987</v>
      </c>
      <c r="BK21" s="108">
        <f t="shared" si="6"/>
        <v>29910</v>
      </c>
    </row>
    <row r="22" spans="1:393" ht="34.15" customHeight="1" x14ac:dyDescent="0.2">
      <c r="A22" s="808" t="s">
        <v>350</v>
      </c>
      <c r="B22" s="808"/>
      <c r="C22" s="809"/>
      <c r="D22" s="678"/>
      <c r="E22" s="678"/>
      <c r="F22" s="225"/>
      <c r="G22" s="244">
        <f t="shared" si="26"/>
        <v>14</v>
      </c>
      <c r="H22" s="245">
        <f t="shared" si="7"/>
        <v>45018</v>
      </c>
      <c r="I22" s="246">
        <f t="shared" si="30"/>
        <v>0.17899999999999999</v>
      </c>
      <c r="J22" s="242">
        <f t="shared" si="0"/>
        <v>29910</v>
      </c>
      <c r="K22" s="242">
        <f t="shared" si="21"/>
        <v>29910</v>
      </c>
      <c r="L22" s="242">
        <f t="shared" si="8"/>
        <v>19839.752489387716</v>
      </c>
      <c r="M22" s="242">
        <f t="shared" si="22"/>
        <v>10070.247510612284</v>
      </c>
      <c r="N22" s="242">
        <f t="shared" si="1"/>
        <v>0</v>
      </c>
      <c r="O22" s="242">
        <v>0</v>
      </c>
      <c r="P22" s="242">
        <f t="shared" si="23"/>
        <v>19839.752489387716</v>
      </c>
      <c r="Q22" s="242">
        <f t="shared" si="2"/>
        <v>0</v>
      </c>
      <c r="R22" s="242">
        <f t="shared" si="9"/>
        <v>0</v>
      </c>
      <c r="S22" s="242">
        <f t="shared" si="10"/>
        <v>1294941.4047918776</v>
      </c>
      <c r="T22" s="467"/>
      <c r="U22" s="198">
        <f t="shared" si="27"/>
        <v>71</v>
      </c>
      <c r="V22" s="36">
        <f t="shared" si="11"/>
        <v>71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45018</v>
      </c>
      <c r="AR22" s="555">
        <f t="shared" si="31"/>
        <v>0.17899999999999999</v>
      </c>
      <c r="AS22" s="546">
        <f t="shared" si="14"/>
        <v>29117</v>
      </c>
      <c r="AT22" s="546">
        <f t="shared" si="15"/>
        <v>29117</v>
      </c>
      <c r="AU22" s="546">
        <f t="shared" si="16"/>
        <v>19313.649696483939</v>
      </c>
      <c r="AV22" s="546">
        <f t="shared" si="17"/>
        <v>9803.3503035160611</v>
      </c>
      <c r="AW22" s="546">
        <f t="shared" si="4"/>
        <v>0</v>
      </c>
      <c r="AX22" s="546">
        <v>0</v>
      </c>
      <c r="AY22" s="546">
        <f t="shared" si="18"/>
        <v>19313.649696483939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1260602.5136749733</v>
      </c>
      <c r="BH22" s="108">
        <f t="shared" si="29"/>
        <v>71</v>
      </c>
      <c r="BI22" s="108">
        <f t="shared" si="24"/>
        <v>71</v>
      </c>
      <c r="BJ22" s="22">
        <f t="shared" si="25"/>
        <v>45018</v>
      </c>
      <c r="BK22" s="108">
        <f t="shared" si="6"/>
        <v>29910</v>
      </c>
    </row>
    <row r="23" spans="1:393" ht="19.149999999999999" customHeight="1" x14ac:dyDescent="0.2">
      <c r="A23" s="810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ФЗ + услуга ГС + Всё под контролем, руб.</v>
      </c>
      <c r="B23" s="810"/>
      <c r="C23" s="358">
        <f>$C$7+(IF($C$8="Нет",0,IF($C$25&lt;&gt;"",$C$25,0))+IF(C14="Нет",0,IF(C14="Да",C15,0))+IF(C16="Нет",0,IF(C16="Да",C18,0)))</f>
        <v>1427039</v>
      </c>
      <c r="D23" s="355">
        <f>$C$7+(IF($D$8="Нет",0,IF($D$25&lt;&gt;"",$D$25,0))+IF(D14="Нет",0,IF(D14="Да",D15,0)))</f>
        <v>1389199</v>
      </c>
      <c r="E23" s="224">
        <f>C23-D23</f>
        <v>37840</v>
      </c>
      <c r="F23" s="226"/>
      <c r="G23" s="244">
        <f t="shared" si="26"/>
        <v>15</v>
      </c>
      <c r="H23" s="245">
        <f t="shared" si="7"/>
        <v>45048</v>
      </c>
      <c r="I23" s="246">
        <f t="shared" si="30"/>
        <v>0.17899999999999999</v>
      </c>
      <c r="J23" s="242">
        <f t="shared" si="0"/>
        <v>29910</v>
      </c>
      <c r="K23" s="242">
        <f t="shared" si="21"/>
        <v>29910</v>
      </c>
      <c r="L23" s="242">
        <f t="shared" si="8"/>
        <v>19051.603681458582</v>
      </c>
      <c r="M23" s="242">
        <f t="shared" si="22"/>
        <v>10858.396318541418</v>
      </c>
      <c r="N23" s="242">
        <f t="shared" si="1"/>
        <v>0</v>
      </c>
      <c r="O23" s="242">
        <v>0</v>
      </c>
      <c r="P23" s="242">
        <f t="shared" si="23"/>
        <v>19051.603681458582</v>
      </c>
      <c r="Q23" s="242">
        <f t="shared" si="2"/>
        <v>0</v>
      </c>
      <c r="R23" s="242">
        <f t="shared" si="9"/>
        <v>0</v>
      </c>
      <c r="S23" s="242">
        <f t="shared" si="10"/>
        <v>1284083.0084733362</v>
      </c>
      <c r="T23" s="467"/>
      <c r="U23" s="198">
        <f t="shared" si="27"/>
        <v>70</v>
      </c>
      <c r="V23" s="36">
        <f t="shared" si="11"/>
        <v>70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45048</v>
      </c>
      <c r="AR23" s="555">
        <f t="shared" si="31"/>
        <v>0.17899999999999999</v>
      </c>
      <c r="AS23" s="546">
        <f t="shared" si="14"/>
        <v>29117</v>
      </c>
      <c r="AT23" s="546">
        <f t="shared" si="15"/>
        <v>29117</v>
      </c>
      <c r="AU23" s="546">
        <f t="shared" si="16"/>
        <v>18546.398625848236</v>
      </c>
      <c r="AV23" s="546">
        <f t="shared" si="17"/>
        <v>10570.601374151764</v>
      </c>
      <c r="AW23" s="546">
        <f t="shared" si="4"/>
        <v>0</v>
      </c>
      <c r="AX23" s="546">
        <v>0</v>
      </c>
      <c r="AY23" s="546">
        <f t="shared" si="18"/>
        <v>18546.398625848236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1250031.9123008216</v>
      </c>
      <c r="BH23" s="108">
        <f t="shared" si="29"/>
        <v>70</v>
      </c>
      <c r="BI23" s="108">
        <f t="shared" si="24"/>
        <v>70</v>
      </c>
      <c r="BJ23" s="22">
        <f t="shared" si="25"/>
        <v>45048</v>
      </c>
      <c r="BK23" s="108">
        <f t="shared" si="6"/>
        <v>29910</v>
      </c>
    </row>
    <row r="24" spans="1:393" ht="18" customHeight="1" x14ac:dyDescent="0.2">
      <c r="A24" s="769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ФЗ + услуга ГС + Всё под контролем, руб.</v>
      </c>
      <c r="B24" s="769"/>
      <c r="C24" s="358">
        <f>K9</f>
        <v>29910</v>
      </c>
      <c r="D24" s="355">
        <f>AT9</f>
        <v>29117</v>
      </c>
      <c r="E24" s="224">
        <f>C24-D24</f>
        <v>793</v>
      </c>
      <c r="F24" s="226"/>
      <c r="G24" s="244">
        <f t="shared" si="26"/>
        <v>16</v>
      </c>
      <c r="H24" s="245">
        <f t="shared" si="7"/>
        <v>45079</v>
      </c>
      <c r="I24" s="246">
        <f t="shared" si="30"/>
        <v>0.17899999999999999</v>
      </c>
      <c r="J24" s="242">
        <f t="shared" si="0"/>
        <v>29910</v>
      </c>
      <c r="K24" s="242">
        <f t="shared" si="21"/>
        <v>29910</v>
      </c>
      <c r="L24" s="242">
        <f t="shared" si="8"/>
        <v>19521.579764434366</v>
      </c>
      <c r="M24" s="242">
        <f t="shared" si="22"/>
        <v>10388.420235565634</v>
      </c>
      <c r="N24" s="242">
        <f t="shared" si="1"/>
        <v>0</v>
      </c>
      <c r="O24" s="242">
        <v>0</v>
      </c>
      <c r="P24" s="242">
        <f t="shared" si="23"/>
        <v>19521.579764434366</v>
      </c>
      <c r="Q24" s="242">
        <f t="shared" si="2"/>
        <v>0</v>
      </c>
      <c r="R24" s="242">
        <f t="shared" si="9"/>
        <v>0</v>
      </c>
      <c r="S24" s="242">
        <f t="shared" si="10"/>
        <v>1273694.5882377706</v>
      </c>
      <c r="T24" s="467"/>
      <c r="U24" s="198">
        <f t="shared" si="27"/>
        <v>69</v>
      </c>
      <c r="V24" s="36">
        <f t="shared" si="11"/>
        <v>69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45079</v>
      </c>
      <c r="AR24" s="555">
        <f t="shared" si="31"/>
        <v>0.17899999999999999</v>
      </c>
      <c r="AS24" s="546">
        <f t="shared" si="14"/>
        <v>29117</v>
      </c>
      <c r="AT24" s="546">
        <f t="shared" si="15"/>
        <v>29117</v>
      </c>
      <c r="AU24" s="546">
        <f t="shared" si="16"/>
        <v>19003.909811937698</v>
      </c>
      <c r="AV24" s="546">
        <f t="shared" si="17"/>
        <v>10113.090188062302</v>
      </c>
      <c r="AW24" s="546">
        <f t="shared" si="4"/>
        <v>0</v>
      </c>
      <c r="AX24" s="546">
        <v>0</v>
      </c>
      <c r="AY24" s="546">
        <f t="shared" si="18"/>
        <v>19003.909811937698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1239918.8221127593</v>
      </c>
      <c r="BH24" s="108">
        <f t="shared" si="29"/>
        <v>69</v>
      </c>
      <c r="BI24" s="108">
        <f t="shared" si="24"/>
        <v>69</v>
      </c>
      <c r="BJ24" s="22">
        <f t="shared" si="25"/>
        <v>45079</v>
      </c>
      <c r="BK24" s="108">
        <f t="shared" si="6"/>
        <v>29910</v>
      </c>
    </row>
    <row r="25" spans="1:393" ht="18" customHeight="1" x14ac:dyDescent="0.2">
      <c r="A25" s="763" t="s">
        <v>285</v>
      </c>
      <c r="B25" s="763"/>
      <c r="C25" s="331">
        <f>C27*C26*C10*0.7</f>
        <v>194040</v>
      </c>
      <c r="D25" s="357">
        <f>IF(D8="Гарантия пакет",(AH65*AH79+AI65*AI79),INDEX($AC$79:$AI$79,MATCH(D$8,$AC$59:$AJ$59,0))*D26)*$C$10</f>
        <v>277200</v>
      </c>
      <c r="E25" s="226">
        <f>C25-D25</f>
        <v>-83160</v>
      </c>
      <c r="F25" s="226"/>
      <c r="G25" s="244">
        <f t="shared" si="26"/>
        <v>17</v>
      </c>
      <c r="H25" s="245">
        <f t="shared" si="7"/>
        <v>45109</v>
      </c>
      <c r="I25" s="246">
        <f t="shared" si="30"/>
        <v>0.17899999999999999</v>
      </c>
      <c r="J25" s="242">
        <f t="shared" si="0"/>
        <v>29910</v>
      </c>
      <c r="K25" s="242">
        <f t="shared" si="21"/>
        <v>29910</v>
      </c>
      <c r="L25" s="242">
        <f t="shared" si="8"/>
        <v>18739.013531059802</v>
      </c>
      <c r="M25" s="242">
        <f t="shared" si="22"/>
        <v>11170.986468940198</v>
      </c>
      <c r="N25" s="242">
        <f t="shared" si="1"/>
        <v>0</v>
      </c>
      <c r="O25" s="242">
        <v>0</v>
      </c>
      <c r="P25" s="242">
        <f t="shared" si="23"/>
        <v>18739.013531059802</v>
      </c>
      <c r="Q25" s="242">
        <f t="shared" si="2"/>
        <v>0</v>
      </c>
      <c r="R25" s="242">
        <f t="shared" si="9"/>
        <v>0</v>
      </c>
      <c r="S25" s="242">
        <f t="shared" si="10"/>
        <v>1262523.6017688303</v>
      </c>
      <c r="T25" s="467"/>
      <c r="U25" s="198">
        <f t="shared" si="27"/>
        <v>68</v>
      </c>
      <c r="V25" s="36">
        <f t="shared" si="11"/>
        <v>68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45109</v>
      </c>
      <c r="AR25" s="555">
        <f t="shared" si="31"/>
        <v>0.17899999999999999</v>
      </c>
      <c r="AS25" s="546">
        <f t="shared" si="14"/>
        <v>29117</v>
      </c>
      <c r="AT25" s="546">
        <f t="shared" si="15"/>
        <v>29117</v>
      </c>
      <c r="AU25" s="546">
        <f t="shared" si="16"/>
        <v>18242.093355467172</v>
      </c>
      <c r="AV25" s="546">
        <f t="shared" si="17"/>
        <v>10874.906644532828</v>
      </c>
      <c r="AW25" s="546">
        <f t="shared" si="4"/>
        <v>0</v>
      </c>
      <c r="AX25" s="546">
        <v>0</v>
      </c>
      <c r="AY25" s="546">
        <f t="shared" si="18"/>
        <v>18242.093355467172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1229043.9154682264</v>
      </c>
      <c r="BH25" s="108">
        <f t="shared" si="29"/>
        <v>68</v>
      </c>
      <c r="BI25" s="108">
        <f t="shared" si="24"/>
        <v>68</v>
      </c>
      <c r="BJ25" s="22">
        <f t="shared" si="25"/>
        <v>45109</v>
      </c>
      <c r="BK25" s="108">
        <f t="shared" si="6"/>
        <v>29910</v>
      </c>
    </row>
    <row r="26" spans="1:393" ht="18" customHeight="1" x14ac:dyDescent="0.2">
      <c r="A26" s="763" t="s">
        <v>100</v>
      </c>
      <c r="B26" s="804"/>
      <c r="C26" s="330">
        <f>IF(C8="Нет",0,0.3%)</f>
        <v>3.0000000000000001E-3</v>
      </c>
      <c r="D26" s="356">
        <f>IF(C8="Нет",0,0.3%)</f>
        <v>3.0000000000000001E-3</v>
      </c>
      <c r="E26" s="225"/>
      <c r="F26" s="192"/>
      <c r="G26" s="244">
        <f t="shared" si="26"/>
        <v>18</v>
      </c>
      <c r="H26" s="245">
        <f t="shared" si="7"/>
        <v>45140</v>
      </c>
      <c r="I26" s="246">
        <f t="shared" si="30"/>
        <v>0.17899999999999999</v>
      </c>
      <c r="J26" s="242">
        <f t="shared" si="0"/>
        <v>29910</v>
      </c>
      <c r="K26" s="242">
        <f t="shared" si="21"/>
        <v>29910</v>
      </c>
      <c r="L26" s="242">
        <f t="shared" si="8"/>
        <v>19193.817715658191</v>
      </c>
      <c r="M26" s="242">
        <f t="shared" si="22"/>
        <v>10716.182284341809</v>
      </c>
      <c r="N26" s="242">
        <f t="shared" si="1"/>
        <v>0</v>
      </c>
      <c r="O26" s="242">
        <v>0</v>
      </c>
      <c r="P26" s="242">
        <f t="shared" si="23"/>
        <v>19193.817715658191</v>
      </c>
      <c r="Q26" s="242">
        <f t="shared" si="2"/>
        <v>0</v>
      </c>
      <c r="R26" s="242">
        <f t="shared" si="9"/>
        <v>0</v>
      </c>
      <c r="S26" s="242">
        <f t="shared" si="10"/>
        <v>1251807.4194844884</v>
      </c>
      <c r="T26" s="467"/>
      <c r="U26" s="198">
        <f t="shared" si="27"/>
        <v>67</v>
      </c>
      <c r="V26" s="36">
        <f t="shared" si="11"/>
        <v>67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45140</v>
      </c>
      <c r="AR26" s="555">
        <f t="shared" si="31"/>
        <v>0.17899999999999999</v>
      </c>
      <c r="AS26" s="546">
        <f t="shared" si="14"/>
        <v>29117</v>
      </c>
      <c r="AT26" s="546">
        <f t="shared" si="15"/>
        <v>29117</v>
      </c>
      <c r="AU26" s="546">
        <f t="shared" si="16"/>
        <v>18684.834758721066</v>
      </c>
      <c r="AV26" s="546">
        <f t="shared" si="17"/>
        <v>10432.165241278934</v>
      </c>
      <c r="AW26" s="546">
        <f t="shared" si="4"/>
        <v>0</v>
      </c>
      <c r="AX26" s="546">
        <v>0</v>
      </c>
      <c r="AY26" s="546">
        <f t="shared" si="18"/>
        <v>18684.834758721066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1218611.7502269475</v>
      </c>
      <c r="BH26" s="108">
        <f t="shared" si="29"/>
        <v>67</v>
      </c>
      <c r="BI26" s="108">
        <f t="shared" si="24"/>
        <v>67</v>
      </c>
      <c r="BJ26" s="22">
        <f t="shared" si="25"/>
        <v>45140</v>
      </c>
      <c r="BK26" s="108">
        <f t="shared" si="6"/>
        <v>29910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63" t="s">
        <v>325</v>
      </c>
      <c r="B27" s="763"/>
      <c r="C27" s="331">
        <f>IF(C8="Нет",0,C7)</f>
        <v>1100000</v>
      </c>
      <c r="D27" s="357">
        <f>IF(D8="Гарантия пакет",(AH65*AH79+AI65*AI79),INDEX($AC$79:$AI$79,MATCH(D$8,$AC$59:$AJ$59,0)))</f>
        <v>1100000</v>
      </c>
      <c r="E27" s="226">
        <f t="shared" ref="E27:E29" si="36">C27-D27</f>
        <v>0</v>
      </c>
      <c r="F27" s="192"/>
      <c r="G27" s="244">
        <f t="shared" si="26"/>
        <v>19</v>
      </c>
      <c r="H27" s="245">
        <f t="shared" si="7"/>
        <v>45171</v>
      </c>
      <c r="I27" s="246">
        <f t="shared" si="30"/>
        <v>0.17899999999999999</v>
      </c>
      <c r="J27" s="242">
        <f t="shared" si="0"/>
        <v>29910</v>
      </c>
      <c r="K27" s="242">
        <f t="shared" si="21"/>
        <v>29910</v>
      </c>
      <c r="L27" s="242">
        <f t="shared" si="8"/>
        <v>19030.902385532674</v>
      </c>
      <c r="M27" s="242">
        <f t="shared" si="22"/>
        <v>10879.097614467326</v>
      </c>
      <c r="N27" s="242">
        <f t="shared" si="1"/>
        <v>0</v>
      </c>
      <c r="O27" s="242">
        <v>0</v>
      </c>
      <c r="P27" s="242">
        <f t="shared" si="23"/>
        <v>19030.902385532674</v>
      </c>
      <c r="Q27" s="242">
        <f t="shared" si="2"/>
        <v>0</v>
      </c>
      <c r="R27" s="242">
        <f t="shared" si="9"/>
        <v>0</v>
      </c>
      <c r="S27" s="242">
        <f t="shared" si="10"/>
        <v>1240928.3218700211</v>
      </c>
      <c r="T27" s="467"/>
      <c r="U27" s="198">
        <f t="shared" si="27"/>
        <v>66</v>
      </c>
      <c r="V27" s="36">
        <f t="shared" si="11"/>
        <v>66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45171</v>
      </c>
      <c r="AR27" s="555">
        <f t="shared" si="31"/>
        <v>0.17899999999999999</v>
      </c>
      <c r="AS27" s="546">
        <f t="shared" si="14"/>
        <v>29117</v>
      </c>
      <c r="AT27" s="546">
        <f t="shared" si="15"/>
        <v>29117</v>
      </c>
      <c r="AU27" s="546">
        <f t="shared" si="16"/>
        <v>18526.237265778993</v>
      </c>
      <c r="AV27" s="546">
        <f t="shared" si="17"/>
        <v>10590.762734221007</v>
      </c>
      <c r="AW27" s="546">
        <f t="shared" si="4"/>
        <v>0</v>
      </c>
      <c r="AX27" s="546">
        <v>0</v>
      </c>
      <c r="AY27" s="546">
        <f t="shared" si="18"/>
        <v>18526.237265778993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1208020.9874927264</v>
      </c>
      <c r="BH27" s="108">
        <f t="shared" si="29"/>
        <v>66</v>
      </c>
      <c r="BI27" s="108">
        <f t="shared" si="24"/>
        <v>66</v>
      </c>
      <c r="BJ27" s="22">
        <f t="shared" si="25"/>
        <v>45171</v>
      </c>
      <c r="BK27" s="108">
        <f t="shared" si="6"/>
        <v>29910</v>
      </c>
    </row>
    <row r="28" spans="1:393" ht="22.5" customHeight="1" x14ac:dyDescent="0.2">
      <c r="A28" s="763" t="s">
        <v>75</v>
      </c>
      <c r="B28" s="763"/>
      <c r="C28" s="194">
        <f>L109</f>
        <v>1090731.5644056359</v>
      </c>
      <c r="D28" s="209">
        <f>AU109</f>
        <v>1061800.5112690115</v>
      </c>
      <c r="E28" s="274">
        <f t="shared" si="36"/>
        <v>28931.053136624396</v>
      </c>
      <c r="F28" s="190"/>
      <c r="G28" s="244">
        <f t="shared" si="26"/>
        <v>20</v>
      </c>
      <c r="H28" s="245">
        <f t="shared" si="7"/>
        <v>45201</v>
      </c>
      <c r="I28" s="246">
        <f t="shared" si="30"/>
        <v>0.17899999999999999</v>
      </c>
      <c r="J28" s="242">
        <f t="shared" si="0"/>
        <v>29910</v>
      </c>
      <c r="K28" s="242">
        <f t="shared" si="21"/>
        <v>29910</v>
      </c>
      <c r="L28" s="242">
        <f t="shared" si="8"/>
        <v>18256.945447786336</v>
      </c>
      <c r="M28" s="242">
        <f t="shared" si="22"/>
        <v>11653.054552213664</v>
      </c>
      <c r="N28" s="242">
        <f t="shared" si="1"/>
        <v>0</v>
      </c>
      <c r="O28" s="242">
        <v>0</v>
      </c>
      <c r="P28" s="242">
        <f t="shared" si="23"/>
        <v>18256.945447786336</v>
      </c>
      <c r="Q28" s="242">
        <f t="shared" si="2"/>
        <v>0</v>
      </c>
      <c r="R28" s="242">
        <f t="shared" si="9"/>
        <v>0</v>
      </c>
      <c r="S28" s="242">
        <f t="shared" si="10"/>
        <v>1229275.2673178073</v>
      </c>
      <c r="T28" s="467"/>
      <c r="U28" s="198">
        <f t="shared" si="27"/>
        <v>65</v>
      </c>
      <c r="V28" s="36">
        <f t="shared" si="11"/>
        <v>65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45201</v>
      </c>
      <c r="AR28" s="555">
        <f t="shared" si="31"/>
        <v>0.17899999999999999</v>
      </c>
      <c r="AS28" s="546">
        <f t="shared" si="14"/>
        <v>29117</v>
      </c>
      <c r="AT28" s="546">
        <f t="shared" si="15"/>
        <v>29117</v>
      </c>
      <c r="AU28" s="546">
        <f t="shared" si="16"/>
        <v>17772.801925577918</v>
      </c>
      <c r="AV28" s="546">
        <f t="shared" si="17"/>
        <v>11344.198074422082</v>
      </c>
      <c r="AW28" s="546">
        <f t="shared" si="4"/>
        <v>0</v>
      </c>
      <c r="AX28" s="546">
        <v>0</v>
      </c>
      <c r="AY28" s="546">
        <f t="shared" si="18"/>
        <v>17772.801925577918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1196676.7894183043</v>
      </c>
      <c r="BH28" s="108">
        <f t="shared" si="29"/>
        <v>65</v>
      </c>
      <c r="BI28" s="108">
        <f t="shared" si="24"/>
        <v>65</v>
      </c>
      <c r="BJ28" s="22">
        <f t="shared" si="25"/>
        <v>45201</v>
      </c>
      <c r="BK28" s="108">
        <f t="shared" si="6"/>
        <v>29910</v>
      </c>
    </row>
    <row r="29" spans="1:393" ht="19.5" customHeight="1" x14ac:dyDescent="0.2">
      <c r="A29" s="763" t="s">
        <v>354</v>
      </c>
      <c r="B29" s="763"/>
      <c r="C29" s="194">
        <f>IF(C18="",0,C28*(1-C19/C11))</f>
        <v>846992.66733175085</v>
      </c>
      <c r="D29" s="209">
        <f>IF(D18="",0,D18*12)</f>
        <v>0</v>
      </c>
      <c r="E29" s="274">
        <f t="shared" si="36"/>
        <v>846992.66733175085</v>
      </c>
      <c r="F29" s="234"/>
      <c r="G29" s="244">
        <f t="shared" si="26"/>
        <v>21</v>
      </c>
      <c r="H29" s="245">
        <f t="shared" si="7"/>
        <v>45232</v>
      </c>
      <c r="I29" s="246">
        <f t="shared" si="30"/>
        <v>0.17899999999999999</v>
      </c>
      <c r="J29" s="242">
        <f t="shared" si="0"/>
        <v>29910</v>
      </c>
      <c r="K29" s="242">
        <f t="shared" si="21"/>
        <v>29910</v>
      </c>
      <c r="L29" s="242">
        <f t="shared" si="8"/>
        <v>18688.351940675377</v>
      </c>
      <c r="M29" s="242">
        <f t="shared" si="22"/>
        <v>11221.648059324623</v>
      </c>
      <c r="N29" s="242">
        <f t="shared" si="1"/>
        <v>0</v>
      </c>
      <c r="O29" s="242">
        <v>0</v>
      </c>
      <c r="P29" s="242">
        <f t="shared" si="23"/>
        <v>18688.351940675377</v>
      </c>
      <c r="Q29" s="242">
        <f t="shared" si="2"/>
        <v>0</v>
      </c>
      <c r="R29" s="242">
        <f t="shared" si="9"/>
        <v>0</v>
      </c>
      <c r="S29" s="242">
        <f t="shared" si="10"/>
        <v>1218053.6192584827</v>
      </c>
      <c r="T29" s="467"/>
      <c r="U29" s="198">
        <f t="shared" si="27"/>
        <v>64</v>
      </c>
      <c r="V29" s="36">
        <f t="shared" si="11"/>
        <v>64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45232</v>
      </c>
      <c r="AR29" s="555">
        <f t="shared" si="31"/>
        <v>0.17899999999999999</v>
      </c>
      <c r="AS29" s="546">
        <f t="shared" si="14"/>
        <v>29117</v>
      </c>
      <c r="AT29" s="546">
        <f t="shared" si="15"/>
        <v>29117</v>
      </c>
      <c r="AU29" s="546">
        <f t="shared" si="16"/>
        <v>18192.765765704578</v>
      </c>
      <c r="AV29" s="546">
        <f t="shared" si="17"/>
        <v>10924.234234295422</v>
      </c>
      <c r="AW29" s="546">
        <f t="shared" si="4"/>
        <v>0</v>
      </c>
      <c r="AX29" s="546">
        <v>0</v>
      </c>
      <c r="AY29" s="546">
        <f t="shared" si="18"/>
        <v>18192.765765704578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1185752.555184009</v>
      </c>
      <c r="BH29" s="108">
        <f t="shared" si="29"/>
        <v>64</v>
      </c>
      <c r="BI29" s="108">
        <f t="shared" si="24"/>
        <v>64</v>
      </c>
      <c r="BJ29" s="22">
        <f t="shared" si="25"/>
        <v>45232</v>
      </c>
      <c r="BK29" s="108">
        <f t="shared" si="6"/>
        <v>29910</v>
      </c>
    </row>
    <row r="30" spans="1:393" ht="35.25" customHeight="1" x14ac:dyDescent="0.2">
      <c r="A30" s="763" t="s">
        <v>157</v>
      </c>
      <c r="B30" s="763"/>
      <c r="C30" s="199">
        <f>J109-C29</f>
        <v>1665447.332668249</v>
      </c>
      <c r="D30" s="209">
        <f>AT109</f>
        <v>2445828</v>
      </c>
      <c r="E30" s="190" t="s">
        <v>358</v>
      </c>
      <c r="F30" s="235"/>
      <c r="G30" s="244">
        <f>G29+1</f>
        <v>22</v>
      </c>
      <c r="H30" s="245">
        <f t="shared" si="7"/>
        <v>45262</v>
      </c>
      <c r="I30" s="246">
        <f t="shared" si="30"/>
        <v>0.17899999999999999</v>
      </c>
      <c r="J30" s="242">
        <f t="shared" si="0"/>
        <v>29910</v>
      </c>
      <c r="K30" s="242">
        <f t="shared" si="21"/>
        <v>29910</v>
      </c>
      <c r="L30" s="242">
        <f t="shared" si="8"/>
        <v>17920.40530251521</v>
      </c>
      <c r="M30" s="242">
        <f t="shared" si="22"/>
        <v>11989.59469748479</v>
      </c>
      <c r="N30" s="242">
        <f t="shared" si="1"/>
        <v>0</v>
      </c>
      <c r="O30" s="242">
        <v>0</v>
      </c>
      <c r="P30" s="242">
        <f t="shared" si="23"/>
        <v>17920.40530251521</v>
      </c>
      <c r="Q30" s="242">
        <f t="shared" si="2"/>
        <v>0</v>
      </c>
      <c r="R30" s="242">
        <f t="shared" si="9"/>
        <v>0</v>
      </c>
      <c r="S30" s="242">
        <f t="shared" si="10"/>
        <v>1206064.024560998</v>
      </c>
      <c r="T30" s="467"/>
      <c r="U30" s="198">
        <f>IF((U29-1)&lt;0,0,U29-1)</f>
        <v>63</v>
      </c>
      <c r="V30" s="36">
        <f t="shared" si="11"/>
        <v>63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45262</v>
      </c>
      <c r="AR30" s="555">
        <f t="shared" si="31"/>
        <v>0.17899999999999999</v>
      </c>
      <c r="AS30" s="546">
        <f t="shared" si="14"/>
        <v>29117</v>
      </c>
      <c r="AT30" s="546">
        <f t="shared" si="15"/>
        <v>29117</v>
      </c>
      <c r="AU30" s="546">
        <f t="shared" si="16"/>
        <v>17445.181428323638</v>
      </c>
      <c r="AV30" s="546">
        <f>IF(BI30=0,0,IF(BI30=1,BG29,IF(BG29+AW30+AU30&gt;AT29,AT30-AU30-AW30,BG29)))</f>
        <v>11671.818571676362</v>
      </c>
      <c r="AW30" s="546">
        <f t="shared" si="4"/>
        <v>0</v>
      </c>
      <c r="AX30" s="546">
        <v>0</v>
      </c>
      <c r="AY30" s="546">
        <f t="shared" si="18"/>
        <v>17445.181428323638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1174080.7366123328</v>
      </c>
      <c r="BH30" s="108">
        <f>IF((BH29-1)&lt;0,0,BH29-1)</f>
        <v>63</v>
      </c>
      <c r="BI30" s="108">
        <f t="shared" si="24"/>
        <v>63</v>
      </c>
      <c r="BJ30" s="22">
        <f t="shared" si="25"/>
        <v>45262</v>
      </c>
      <c r="BK30" s="108">
        <f t="shared" si="6"/>
        <v>29910</v>
      </c>
    </row>
    <row r="31" spans="1:393" ht="42" customHeight="1" x14ac:dyDescent="0.2">
      <c r="A31" s="815" t="s">
        <v>357</v>
      </c>
      <c r="B31" s="815"/>
      <c r="C31" s="518">
        <f>C28-C29</f>
        <v>243738.89707388508</v>
      </c>
      <c r="D31" s="212">
        <f>D28+D29</f>
        <v>1061800.5112690115</v>
      </c>
      <c r="E31" s="200">
        <f>D31-C31</f>
        <v>818061.61419512646</v>
      </c>
      <c r="F31" s="236"/>
      <c r="G31" s="244">
        <f t="shared" si="26"/>
        <v>23</v>
      </c>
      <c r="H31" s="245">
        <f t="shared" si="7"/>
        <v>45293</v>
      </c>
      <c r="I31" s="246">
        <f t="shared" si="30"/>
        <v>0.17899999999999999</v>
      </c>
      <c r="J31" s="242">
        <f t="shared" si="0"/>
        <v>29910</v>
      </c>
      <c r="K31" s="242">
        <f t="shared" si="21"/>
        <v>29910</v>
      </c>
      <c r="L31" s="242">
        <f t="shared" si="8"/>
        <v>18335.477458325968</v>
      </c>
      <c r="M31" s="242">
        <f t="shared" si="22"/>
        <v>11574.522541674032</v>
      </c>
      <c r="N31" s="242">
        <f t="shared" si="1"/>
        <v>0</v>
      </c>
      <c r="O31" s="242">
        <v>0</v>
      </c>
      <c r="P31" s="242">
        <f t="shared" si="23"/>
        <v>18335.477458325968</v>
      </c>
      <c r="Q31" s="242">
        <f t="shared" si="2"/>
        <v>0</v>
      </c>
      <c r="R31" s="242">
        <f t="shared" si="9"/>
        <v>0</v>
      </c>
      <c r="S31" s="242">
        <f t="shared" si="10"/>
        <v>1194489.5020193239</v>
      </c>
      <c r="T31" s="467"/>
      <c r="U31" s="198">
        <f t="shared" si="27"/>
        <v>62</v>
      </c>
      <c r="V31" s="36">
        <f t="shared" si="11"/>
        <v>62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45293</v>
      </c>
      <c r="AR31" s="555">
        <f t="shared" si="31"/>
        <v>0.17899999999999999</v>
      </c>
      <c r="AS31" s="546">
        <f t="shared" si="14"/>
        <v>29117</v>
      </c>
      <c r="AT31" s="546">
        <f t="shared" si="15"/>
        <v>29117</v>
      </c>
      <c r="AU31" s="546">
        <f t="shared" si="16"/>
        <v>17849.24385605982</v>
      </c>
      <c r="AV31" s="546">
        <f t="shared" si="17"/>
        <v>11267.75614394018</v>
      </c>
      <c r="AW31" s="546">
        <f t="shared" si="4"/>
        <v>0</v>
      </c>
      <c r="AX31" s="546">
        <v>0</v>
      </c>
      <c r="AY31" s="546">
        <f t="shared" si="18"/>
        <v>17849.24385605982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1162812.9804683926</v>
      </c>
      <c r="BH31" s="108">
        <f t="shared" si="29"/>
        <v>62</v>
      </c>
      <c r="BI31" s="108">
        <f t="shared" si="24"/>
        <v>62</v>
      </c>
      <c r="BJ31" s="22">
        <f t="shared" si="25"/>
        <v>45293</v>
      </c>
      <c r="BK31" s="108">
        <f t="shared" si="6"/>
        <v>29910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812" t="s">
        <v>175</v>
      </c>
      <c r="B32" s="813"/>
      <c r="C32" s="813"/>
      <c r="D32" s="813"/>
      <c r="E32" s="814"/>
      <c r="F32" s="674"/>
      <c r="G32" s="248">
        <f t="shared" si="26"/>
        <v>24</v>
      </c>
      <c r="H32" s="581">
        <f t="shared" si="7"/>
        <v>45324</v>
      </c>
      <c r="I32" s="250">
        <f t="shared" si="30"/>
        <v>0.17899999999999999</v>
      </c>
      <c r="J32" s="252">
        <f t="shared" si="0"/>
        <v>29910</v>
      </c>
      <c r="K32" s="252">
        <f t="shared" si="21"/>
        <v>29910</v>
      </c>
      <c r="L32" s="252">
        <f t="shared" si="8"/>
        <v>18159.513004671859</v>
      </c>
      <c r="M32" s="252">
        <f t="shared" si="22"/>
        <v>11750.486995328141</v>
      </c>
      <c r="N32" s="252">
        <f t="shared" si="1"/>
        <v>0</v>
      </c>
      <c r="O32" s="252">
        <v>0</v>
      </c>
      <c r="P32" s="252">
        <f t="shared" si="23"/>
        <v>18159.513004671859</v>
      </c>
      <c r="Q32" s="252">
        <f t="shared" si="2"/>
        <v>0</v>
      </c>
      <c r="R32" s="252">
        <f t="shared" si="9"/>
        <v>0</v>
      </c>
      <c r="S32" s="252">
        <f t="shared" si="10"/>
        <v>1182739.0150239957</v>
      </c>
      <c r="T32" s="468"/>
      <c r="U32" s="198">
        <f t="shared" si="27"/>
        <v>61</v>
      </c>
      <c r="V32" s="36">
        <f t="shared" si="11"/>
        <v>61</v>
      </c>
      <c r="W32" s="16"/>
      <c r="X32" s="16"/>
      <c r="Y32" s="57"/>
      <c r="AC32" s="15">
        <f>IF(C12=W3,W17,IF(C12=Y3,Y17,IF(C12=Z3,Z17,IF(C12=AA3,AA17,IF(C12=X3,X17,)))))</f>
        <v>0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45324</v>
      </c>
      <c r="AR32" s="557">
        <f t="shared" si="31"/>
        <v>0.17899999999999999</v>
      </c>
      <c r="AS32" s="547">
        <f t="shared" si="14"/>
        <v>29117</v>
      </c>
      <c r="AT32" s="547">
        <f t="shared" si="15"/>
        <v>29117</v>
      </c>
      <c r="AU32" s="547">
        <f t="shared" si="16"/>
        <v>17677.943092107154</v>
      </c>
      <c r="AV32" s="547">
        <f t="shared" si="17"/>
        <v>11439.056907892846</v>
      </c>
      <c r="AW32" s="547">
        <f t="shared" si="4"/>
        <v>0</v>
      </c>
      <c r="AX32" s="547">
        <v>0</v>
      </c>
      <c r="AY32" s="547">
        <f t="shared" si="18"/>
        <v>17677.943092107154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1151373.9235604997</v>
      </c>
      <c r="BH32" s="108">
        <f t="shared" si="29"/>
        <v>61</v>
      </c>
      <c r="BI32" s="108">
        <f t="shared" si="24"/>
        <v>61</v>
      </c>
      <c r="BJ32" s="22">
        <f t="shared" si="25"/>
        <v>45324</v>
      </c>
      <c r="BK32" s="108">
        <f t="shared" si="6"/>
        <v>29910</v>
      </c>
    </row>
    <row r="33" spans="1:1217" ht="14.25" x14ac:dyDescent="0.2">
      <c r="A33" s="792" t="s">
        <v>186</v>
      </c>
      <c r="B33" s="677" t="s">
        <v>180</v>
      </c>
      <c r="C33" s="674">
        <f>C31/($C$10/12)</f>
        <v>34819.842439126442</v>
      </c>
      <c r="D33" s="674">
        <f>D31/($C$10/12)</f>
        <v>151685.7873241445</v>
      </c>
      <c r="E33" s="674">
        <f>C33-D33</f>
        <v>-116865.94488501806</v>
      </c>
      <c r="F33" s="674"/>
      <c r="G33" s="244">
        <f t="shared" si="26"/>
        <v>25</v>
      </c>
      <c r="H33" s="245">
        <f t="shared" si="7"/>
        <v>45353</v>
      </c>
      <c r="I33" s="246">
        <f t="shared" si="30"/>
        <v>0.17899999999999999</v>
      </c>
      <c r="J33" s="242">
        <f t="shared" si="0"/>
        <v>29910</v>
      </c>
      <c r="K33" s="242">
        <f t="shared" si="21"/>
        <v>29910</v>
      </c>
      <c r="L33" s="242">
        <f t="shared" si="8"/>
        <v>16820.817060245372</v>
      </c>
      <c r="M33" s="242">
        <f t="shared" si="22"/>
        <v>13089.182939754628</v>
      </c>
      <c r="N33" s="242">
        <f t="shared" si="1"/>
        <v>0</v>
      </c>
      <c r="O33" s="242">
        <v>0</v>
      </c>
      <c r="P33" s="242">
        <f t="shared" si="23"/>
        <v>16820.817060245372</v>
      </c>
      <c r="Q33" s="242">
        <f t="shared" si="2"/>
        <v>0</v>
      </c>
      <c r="R33" s="242">
        <f t="shared" si="9"/>
        <v>0</v>
      </c>
      <c r="S33" s="242">
        <f t="shared" si="10"/>
        <v>1169649.8320842411</v>
      </c>
      <c r="T33" s="467"/>
      <c r="U33" s="198">
        <f t="shared" si="27"/>
        <v>60</v>
      </c>
      <c r="V33" s="36">
        <f t="shared" si="11"/>
        <v>60</v>
      </c>
      <c r="W33" s="16"/>
      <c r="X33" s="16"/>
      <c r="Y33" s="57"/>
      <c r="AE33" s="15"/>
      <c r="AF33" s="173">
        <f>$C$24-AG33</f>
        <v>2830</v>
      </c>
      <c r="AG33" s="2">
        <f>ROUNDUP(((S20)*AG37/12*(1+AG37/12)^(U21)/((1+AG37/12)^(U21)-1)+S20/10000*IF(U21&lt;11,20,IF(U21&lt;34,0.7,IF(U21&lt;58,0.3,0.1)))*IF(AG37&lt;0.3,AG37/0.2,AG37/0.1))/AG47,0)*AG47</f>
        <v>27080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45353</v>
      </c>
      <c r="AR33" s="555">
        <f t="shared" ref="AR33:AR44" si="37">IF($D$16="Да",$AM$38,$D$13)</f>
        <v>0.17899999999999999</v>
      </c>
      <c r="AS33" s="546">
        <f t="shared" si="14"/>
        <v>29117</v>
      </c>
      <c r="AT33" s="546">
        <f t="shared" si="15"/>
        <v>29117</v>
      </c>
      <c r="AU33" s="546">
        <f t="shared" si="16"/>
        <v>16374.745307404257</v>
      </c>
      <c r="AV33" s="546">
        <f t="shared" si="17"/>
        <v>12742.254692595743</v>
      </c>
      <c r="AW33" s="546">
        <f t="shared" si="4"/>
        <v>0</v>
      </c>
      <c r="AX33" s="546">
        <v>0</v>
      </c>
      <c r="AY33" s="546">
        <f t="shared" si="18"/>
        <v>16374.745307404257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1138631.668867904</v>
      </c>
      <c r="BH33" s="108">
        <f t="shared" si="29"/>
        <v>60</v>
      </c>
      <c r="BI33" s="108">
        <f t="shared" si="24"/>
        <v>60</v>
      </c>
      <c r="BJ33" s="22">
        <f t="shared" si="25"/>
        <v>45353</v>
      </c>
      <c r="BK33" s="108">
        <f t="shared" si="6"/>
        <v>29910</v>
      </c>
      <c r="BN33" s="782"/>
      <c r="BP33" s="131"/>
    </row>
    <row r="34" spans="1:1217" ht="25.5" customHeight="1" x14ac:dyDescent="0.2">
      <c r="A34" s="792"/>
      <c r="B34" s="677" t="s">
        <v>181</v>
      </c>
      <c r="C34" s="201">
        <f>C33/C23</f>
        <v>2.4400063655671947E-2</v>
      </c>
      <c r="D34" s="201">
        <f>D33/D23</f>
        <v>0.10918938706703972</v>
      </c>
      <c r="E34" s="674"/>
      <c r="F34" s="674"/>
      <c r="G34" s="244">
        <f t="shared" si="26"/>
        <v>26</v>
      </c>
      <c r="H34" s="245">
        <f t="shared" si="7"/>
        <v>45384</v>
      </c>
      <c r="I34" s="246">
        <f t="shared" si="30"/>
        <v>0.17899999999999999</v>
      </c>
      <c r="J34" s="242">
        <f t="shared" si="0"/>
        <v>29910</v>
      </c>
      <c r="K34" s="242">
        <f t="shared" si="21"/>
        <v>29910</v>
      </c>
      <c r="L34" s="242">
        <f t="shared" si="8"/>
        <v>17781.881967768368</v>
      </c>
      <c r="M34" s="242">
        <f t="shared" si="22"/>
        <v>12128.118032231632</v>
      </c>
      <c r="N34" s="242">
        <f t="shared" si="1"/>
        <v>0</v>
      </c>
      <c r="O34" s="242">
        <v>0</v>
      </c>
      <c r="P34" s="242">
        <f t="shared" si="23"/>
        <v>17781.881967768368</v>
      </c>
      <c r="Q34" s="242">
        <f t="shared" si="2"/>
        <v>0</v>
      </c>
      <c r="R34" s="242">
        <f t="shared" si="9"/>
        <v>0</v>
      </c>
      <c r="S34" s="242">
        <f t="shared" si="10"/>
        <v>1157521.7140520094</v>
      </c>
      <c r="T34" s="467"/>
      <c r="U34" s="198">
        <f t="shared" si="27"/>
        <v>59</v>
      </c>
      <c r="V34" s="36">
        <f t="shared" si="11"/>
        <v>59</v>
      </c>
      <c r="W34" s="16"/>
      <c r="X34" s="16"/>
      <c r="Y34" s="57"/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45384</v>
      </c>
      <c r="AR34" s="555">
        <f t="shared" si="37"/>
        <v>0.17899999999999999</v>
      </c>
      <c r="AS34" s="546">
        <f t="shared" si="14"/>
        <v>29117</v>
      </c>
      <c r="AT34" s="546">
        <f t="shared" si="15"/>
        <v>29117</v>
      </c>
      <c r="AU34" s="546">
        <f t="shared" si="16"/>
        <v>17310.320905610959</v>
      </c>
      <c r="AV34" s="546">
        <f t="shared" si="17"/>
        <v>11806.679094389041</v>
      </c>
      <c r="AW34" s="546">
        <f t="shared" si="4"/>
        <v>0</v>
      </c>
      <c r="AX34" s="546">
        <v>0</v>
      </c>
      <c r="AY34" s="546">
        <f t="shared" si="18"/>
        <v>17310.320905610959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1126824.9897735149</v>
      </c>
      <c r="BH34" s="108">
        <f t="shared" si="29"/>
        <v>59</v>
      </c>
      <c r="BI34" s="108">
        <f t="shared" si="24"/>
        <v>59</v>
      </c>
      <c r="BJ34" s="22">
        <f t="shared" si="25"/>
        <v>45384</v>
      </c>
      <c r="BK34" s="108">
        <f t="shared" si="6"/>
        <v>29910</v>
      </c>
      <c r="BN34" s="782"/>
    </row>
    <row r="35" spans="1:1217" ht="31.5" customHeight="1" x14ac:dyDescent="0.2">
      <c r="A35" s="763" t="s">
        <v>177</v>
      </c>
      <c r="B35" s="763"/>
      <c r="C35" s="190">
        <f>C33/12</f>
        <v>2901.6535365938703</v>
      </c>
      <c r="D35" s="674">
        <f>D33/12</f>
        <v>12640.482277012043</v>
      </c>
      <c r="E35" s="674">
        <f>C35-D35</f>
        <v>-9738.8287404181719</v>
      </c>
      <c r="F35" s="674"/>
      <c r="G35" s="244">
        <f t="shared" si="26"/>
        <v>27</v>
      </c>
      <c r="H35" s="245">
        <f t="shared" si="7"/>
        <v>45414</v>
      </c>
      <c r="I35" s="246">
        <f t="shared" si="30"/>
        <v>0.17899999999999999</v>
      </c>
      <c r="J35" s="242">
        <f t="shared" si="0"/>
        <v>29910</v>
      </c>
      <c r="K35" s="242">
        <f t="shared" si="21"/>
        <v>29910</v>
      </c>
      <c r="L35" s="242">
        <f t="shared" si="8"/>
        <v>17029.840012217232</v>
      </c>
      <c r="M35" s="242">
        <f t="shared" si="22"/>
        <v>12880.159987782768</v>
      </c>
      <c r="N35" s="242">
        <f t="shared" si="1"/>
        <v>0</v>
      </c>
      <c r="O35" s="242">
        <v>0</v>
      </c>
      <c r="P35" s="242">
        <f t="shared" si="23"/>
        <v>17029.840012217232</v>
      </c>
      <c r="Q35" s="242">
        <f t="shared" si="2"/>
        <v>0</v>
      </c>
      <c r="R35" s="242">
        <f t="shared" si="9"/>
        <v>0</v>
      </c>
      <c r="S35" s="242">
        <f t="shared" si="10"/>
        <v>1144641.5540642266</v>
      </c>
      <c r="T35" s="467"/>
      <c r="U35" s="198">
        <f t="shared" si="27"/>
        <v>58</v>
      </c>
      <c r="V35" s="36">
        <f t="shared" si="11"/>
        <v>58</v>
      </c>
      <c r="AE35" s="15"/>
      <c r="AF35" s="47">
        <f>ROUNDUP(AH35/AH33*C7/1,0)*1</f>
        <v>2200</v>
      </c>
      <c r="AG35" s="169">
        <v>0.04</v>
      </c>
      <c r="AH35" s="16">
        <f>IF(AG35=3%,INDEX(W40:AE40,MATCH($C$11,$W$39:$AE$39,0)),IF(AG35=4%,INDEX(W37:AE37,MATCH($C$11,$W$36:$AE$36,0)),0))</f>
        <v>12000</v>
      </c>
      <c r="AL35" s="47">
        <f>ROUNDUP(AH35/AH33*C7/1,0)*1</f>
        <v>2200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45414</v>
      </c>
      <c r="AR35" s="555">
        <f t="shared" si="37"/>
        <v>0.17899999999999999</v>
      </c>
      <c r="AS35" s="546">
        <f t="shared" si="14"/>
        <v>29117</v>
      </c>
      <c r="AT35" s="546">
        <f t="shared" si="15"/>
        <v>29117</v>
      </c>
      <c r="AU35" s="546">
        <f t="shared" si="16"/>
        <v>16578.219712558286</v>
      </c>
      <c r="AV35" s="546">
        <f t="shared" si="17"/>
        <v>12538.780287441714</v>
      </c>
      <c r="AW35" s="546">
        <f t="shared" si="4"/>
        <v>0</v>
      </c>
      <c r="AX35" s="546">
        <v>0</v>
      </c>
      <c r="AY35" s="546">
        <f t="shared" si="18"/>
        <v>16578.219712558286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1114286.2094860731</v>
      </c>
      <c r="BH35" s="108">
        <f t="shared" si="29"/>
        <v>58</v>
      </c>
      <c r="BI35" s="108">
        <f t="shared" si="24"/>
        <v>58</v>
      </c>
      <c r="BJ35" s="22">
        <f t="shared" si="25"/>
        <v>45414</v>
      </c>
      <c r="BK35" s="108">
        <f t="shared" si="6"/>
        <v>29910</v>
      </c>
      <c r="BN35" s="782"/>
    </row>
    <row r="36" spans="1:1217" ht="21.75" customHeight="1" thickBot="1" x14ac:dyDescent="0.35">
      <c r="A36" s="789" t="s">
        <v>176</v>
      </c>
      <c r="B36" s="789"/>
      <c r="C36" s="203">
        <f>C35/30</f>
        <v>96.721784553129012</v>
      </c>
      <c r="D36" s="202">
        <f>D35/30</f>
        <v>421.34940923373478</v>
      </c>
      <c r="E36" s="202">
        <f>C36-D36</f>
        <v>-324.62762468060578</v>
      </c>
      <c r="F36" s="178"/>
      <c r="G36" s="244">
        <f t="shared" si="26"/>
        <v>28</v>
      </c>
      <c r="H36" s="245">
        <f t="shared" si="7"/>
        <v>45445</v>
      </c>
      <c r="I36" s="246">
        <f t="shared" si="30"/>
        <v>0.17899999999999999</v>
      </c>
      <c r="J36" s="242">
        <f t="shared" si="0"/>
        <v>29910</v>
      </c>
      <c r="K36" s="242">
        <f t="shared" si="21"/>
        <v>29910</v>
      </c>
      <c r="L36" s="242">
        <f t="shared" si="8"/>
        <v>17401.687626033956</v>
      </c>
      <c r="M36" s="242">
        <f t="shared" si="22"/>
        <v>12508.312373966044</v>
      </c>
      <c r="N36" s="242">
        <f t="shared" si="1"/>
        <v>0</v>
      </c>
      <c r="O36" s="242">
        <v>0</v>
      </c>
      <c r="P36" s="242">
        <f t="shared" si="23"/>
        <v>17401.687626033956</v>
      </c>
      <c r="Q36" s="242">
        <f t="shared" si="2"/>
        <v>0</v>
      </c>
      <c r="R36" s="242">
        <f t="shared" si="9"/>
        <v>0</v>
      </c>
      <c r="S36" s="242">
        <f t="shared" si="10"/>
        <v>1132133.2416902606</v>
      </c>
      <c r="T36" s="467"/>
      <c r="U36" s="198">
        <f t="shared" si="27"/>
        <v>57</v>
      </c>
      <c r="V36" s="36">
        <f t="shared" si="11"/>
        <v>57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29910</v>
      </c>
      <c r="AG36" s="15">
        <f>IF(OR(C$8="Гарантия стандарт",C$8="Гарантия пакет"),AD13,C11)</f>
        <v>0.17899999999999999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29117</v>
      </c>
      <c r="AM36" s="15">
        <f>IF(OR(D$8="Гарантия стандарт",D$8="Гарантия пакет"),AD13,D11)</f>
        <v>0.17899999999999999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45445</v>
      </c>
      <c r="AR36" s="555">
        <f t="shared" si="37"/>
        <v>0.17899999999999999</v>
      </c>
      <c r="AS36" s="546">
        <f t="shared" si="14"/>
        <v>29117</v>
      </c>
      <c r="AT36" s="546">
        <f t="shared" si="15"/>
        <v>29117</v>
      </c>
      <c r="AU36" s="546">
        <f t="shared" si="16"/>
        <v>16940.203223118409</v>
      </c>
      <c r="AV36" s="546">
        <f t="shared" si="17"/>
        <v>12176.796776881591</v>
      </c>
      <c r="AW36" s="546">
        <f t="shared" si="4"/>
        <v>0</v>
      </c>
      <c r="AX36" s="546">
        <v>0</v>
      </c>
      <c r="AY36" s="546">
        <f t="shared" si="18"/>
        <v>16940.203223118409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1102109.4127091914</v>
      </c>
      <c r="BH36" s="108">
        <f t="shared" si="29"/>
        <v>57</v>
      </c>
      <c r="BI36" s="108">
        <f t="shared" si="24"/>
        <v>57</v>
      </c>
      <c r="BJ36" s="22">
        <f t="shared" si="25"/>
        <v>45445</v>
      </c>
      <c r="BK36" s="108">
        <f t="shared" si="6"/>
        <v>29910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45475</v>
      </c>
      <c r="I37" s="246">
        <f t="shared" si="30"/>
        <v>0.17899999999999999</v>
      </c>
      <c r="J37" s="242">
        <f t="shared" si="0"/>
        <v>29910</v>
      </c>
      <c r="K37" s="242">
        <f t="shared" si="21"/>
        <v>29910</v>
      </c>
      <c r="L37" s="242">
        <f t="shared" si="8"/>
        <v>16656.316459936163</v>
      </c>
      <c r="M37" s="242">
        <f t="shared" si="22"/>
        <v>13253.683540063837</v>
      </c>
      <c r="N37" s="242">
        <f t="shared" si="1"/>
        <v>0</v>
      </c>
      <c r="O37" s="242">
        <v>0</v>
      </c>
      <c r="P37" s="242">
        <f t="shared" si="23"/>
        <v>16656.316459936163</v>
      </c>
      <c r="Q37" s="242">
        <f t="shared" si="2"/>
        <v>0</v>
      </c>
      <c r="R37" s="242">
        <f t="shared" si="9"/>
        <v>0</v>
      </c>
      <c r="S37" s="242">
        <f t="shared" si="10"/>
        <v>1118879.5581501967</v>
      </c>
      <c r="T37" s="467"/>
      <c r="U37" s="198">
        <f t="shared" si="27"/>
        <v>56</v>
      </c>
      <c r="V37" s="36">
        <f t="shared" si="11"/>
        <v>56</v>
      </c>
      <c r="W37" s="16">
        <f>INDEX('[1]Для Перспективы'!$B$6:$F$6,MATCH($C$10,'[1]Для Перспективы'!$B$1:$F$1,0))</f>
        <v>5500</v>
      </c>
      <c r="X37" s="16">
        <f>INDEX('[1]Для Перспективы'!$B$8:$F$8,MATCH($C$10,'[1]Для Перспективы'!$B$1:$F$1,0))</f>
        <v>11500</v>
      </c>
      <c r="Y37" s="16">
        <f>INDEX('[1]Для Перспективы'!$B$10:$F$10,MATCH($C$10,'[1]Для Перспективы'!$B$1:$F$1,0))</f>
        <v>12000</v>
      </c>
      <c r="Z37" s="16">
        <f>INDEX('[1]Для Перспективы'!$B$12:$F$12,MATCH($C$10,'[1]Для Перспективы'!$B$1:$F$1,0))</f>
        <v>12000</v>
      </c>
      <c r="AA37" s="16">
        <f>INDEX('[1]Для Перспективы'!$B$14:$F$14,MATCH($C$10,'[1]Для Перспективы'!$B$1:$F$1,0))</f>
        <v>12500</v>
      </c>
      <c r="AB37" s="16" t="e">
        <f>INDEX('[1]Для Перспективы'!$B$22:$D$22,MATCH($C$10,'[1]Для Перспективы'!$B$1:$D$1,0))</f>
        <v>#N/A</v>
      </c>
      <c r="AC37" s="16">
        <f>INDEX('[1]Для Перспективы'!$B$20:$F$20,MATCH($C$10,'[1]Для Перспективы'!$B$1:$F$1,0))</f>
        <v>12000</v>
      </c>
      <c r="AD37" s="16">
        <f>INDEX('[1]Для Перспективы'!$B$6:$F$6,MATCH($C$10,'[1]Для Перспективы'!$B$1:$F$1,0))</f>
        <v>5500</v>
      </c>
      <c r="AE37" s="16">
        <f>INDEX('[1]Для Перспективы'!$B$6:$F$6,MATCH($C$10,'[1]Для Перспективы'!$B$1:$F$1,0))</f>
        <v>5500</v>
      </c>
      <c r="AF37" s="47">
        <f>IF(AG37=AG36,AF36,AF36-$AF$35)</f>
        <v>27710</v>
      </c>
      <c r="AG37" s="169">
        <f>AG36-$AG$35</f>
        <v>0.13899999999999998</v>
      </c>
      <c r="AI37" s="2"/>
      <c r="AJ37" s="2"/>
      <c r="AK37" s="57"/>
      <c r="AL37" s="47">
        <f>AL36-$AL$35</f>
        <v>26917</v>
      </c>
      <c r="AM37" s="169">
        <f>AM36-$AM$35</f>
        <v>0.13899999999999998</v>
      </c>
      <c r="AO37" s="130">
        <f t="shared" si="12"/>
        <v>1</v>
      </c>
      <c r="AP37" s="553">
        <f t="shared" si="28"/>
        <v>29</v>
      </c>
      <c r="AQ37" s="554">
        <f t="shared" si="13"/>
        <v>45475</v>
      </c>
      <c r="AR37" s="555">
        <f t="shared" si="37"/>
        <v>0.17899999999999999</v>
      </c>
      <c r="AS37" s="546">
        <f t="shared" si="14"/>
        <v>29117</v>
      </c>
      <c r="AT37" s="546">
        <f t="shared" si="15"/>
        <v>29117</v>
      </c>
      <c r="AU37" s="546">
        <f t="shared" si="16"/>
        <v>16214.596017118789</v>
      </c>
      <c r="AV37" s="546">
        <f t="shared" si="17"/>
        <v>12902.403982881211</v>
      </c>
      <c r="AW37" s="546">
        <f t="shared" si="4"/>
        <v>0</v>
      </c>
      <c r="AX37" s="546">
        <v>0</v>
      </c>
      <c r="AY37" s="546">
        <f t="shared" si="18"/>
        <v>16214.596017118789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1089207.0087263102</v>
      </c>
      <c r="BH37" s="108">
        <f t="shared" si="29"/>
        <v>56</v>
      </c>
      <c r="BI37" s="108">
        <f t="shared" si="24"/>
        <v>56</v>
      </c>
      <c r="BJ37" s="22">
        <f t="shared" si="25"/>
        <v>45475</v>
      </c>
      <c r="BK37" s="108">
        <f t="shared" si="6"/>
        <v>29910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45506</v>
      </c>
      <c r="I38" s="246">
        <f t="shared" si="30"/>
        <v>0.17899999999999999</v>
      </c>
      <c r="J38" s="242">
        <f t="shared" si="0"/>
        <v>29910</v>
      </c>
      <c r="K38" s="242">
        <f t="shared" si="21"/>
        <v>29910</v>
      </c>
      <c r="L38" s="242">
        <f t="shared" si="8"/>
        <v>17010.034707329978</v>
      </c>
      <c r="M38" s="242">
        <f t="shared" si="22"/>
        <v>12899.965292670022</v>
      </c>
      <c r="N38" s="242">
        <f t="shared" si="1"/>
        <v>0</v>
      </c>
      <c r="O38" s="242">
        <v>0</v>
      </c>
      <c r="P38" s="242">
        <f t="shared" si="23"/>
        <v>17010.034707329978</v>
      </c>
      <c r="Q38" s="242">
        <f t="shared" si="2"/>
        <v>0</v>
      </c>
      <c r="R38" s="242">
        <f t="shared" si="9"/>
        <v>0</v>
      </c>
      <c r="S38" s="242">
        <f t="shared" si="10"/>
        <v>1105979.5928575266</v>
      </c>
      <c r="T38" s="467"/>
      <c r="U38" s="198">
        <f t="shared" si="27"/>
        <v>55</v>
      </c>
      <c r="V38" s="36">
        <f t="shared" si="11"/>
        <v>55</v>
      </c>
      <c r="W38" s="16">
        <f>INDEX('[1]Для Перспективы'!B7:F7,MATCH($C$10,'[1]Для Перспективы'!$B$1:$F$1,0))</f>
        <v>118000</v>
      </c>
      <c r="X38" s="16">
        <f>INDEX('[1]Для Перспективы'!$B$9:$F$9,MATCH($C$10,'[1]Для Перспективы'!$B$1:$F$1,0))</f>
        <v>108900</v>
      </c>
      <c r="Y38" s="16">
        <f>INDEX('[1]Для Перспективы'!$B$11:$F$11,MATCH($C$10,'[1]Для Перспективы'!$B$1:$F$1,0))</f>
        <v>112200</v>
      </c>
      <c r="Z38" s="16">
        <f>INDEX('[1]Для Перспективы'!$B$13:$F$13,MATCH($C$10,'[1]Для Перспективы'!$B$1:$F$1,0))</f>
        <v>115500</v>
      </c>
      <c r="AA38" s="16">
        <f>INDEX('[1]Для Перспективы'!$B$15:$F$15,MATCH($C$10,'[1]Для Перспективы'!$B$1:$F$1,0))</f>
        <v>118900</v>
      </c>
      <c r="AB38" s="16" t="e">
        <f>INDEX('[1]Для Перспективы'!$B$23:$D$23,MATCH($C$10,'[1]Для Перспективы'!$B$1:$D$1,0))</f>
        <v>#N/A</v>
      </c>
      <c r="AC38" s="16" t="e">
        <f>INDEX('[1]Для Перспективы'!$B$11:$D$11,MATCH($C$10,'[1]Для Перспективы'!$B$1:$D$1,0))</f>
        <v>#N/A</v>
      </c>
      <c r="AD38" s="16" t="e">
        <f>INDEX('[1]Для Перспективы'!$B$11:$D$11,MATCH($C$10,'[1]Для Перспективы'!$B$1:$D$1,0))</f>
        <v>#N/A</v>
      </c>
      <c r="AE38" s="16" t="e">
        <f>INDEX('[1]Для Перспективы'!$G21:$I21,MATCH($C$10,'[1]Для Перспективы'!$G$1:$I$1,0))</f>
        <v>#N/A</v>
      </c>
      <c r="AF38" s="47">
        <f t="shared" ref="AF38:AF40" si="38">IF(AG38=AG37,AF37,AF37-$AF$35)</f>
        <v>27710</v>
      </c>
      <c r="AG38" s="169">
        <f>AG36-$AG$35</f>
        <v>0.13899999999999998</v>
      </c>
      <c r="AI38" s="2"/>
      <c r="AJ38" s="2"/>
      <c r="AK38" s="57"/>
      <c r="AL38" s="47">
        <f>AL36-$AL$35</f>
        <v>26917</v>
      </c>
      <c r="AM38" s="169">
        <f>AM36-$AM$35</f>
        <v>0.13899999999999998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45506</v>
      </c>
      <c r="AR38" s="555">
        <f t="shared" si="37"/>
        <v>0.17899999999999999</v>
      </c>
      <c r="AS38" s="546">
        <f t="shared" si="14"/>
        <v>29117</v>
      </c>
      <c r="AT38" s="546">
        <f t="shared" si="15"/>
        <v>29117</v>
      </c>
      <c r="AU38" s="546">
        <f t="shared" si="16"/>
        <v>16558.930661430946</v>
      </c>
      <c r="AV38" s="546">
        <f t="shared" si="17"/>
        <v>12558.069338569054</v>
      </c>
      <c r="AW38" s="546">
        <f t="shared" si="4"/>
        <v>0</v>
      </c>
      <c r="AX38" s="546">
        <v>0</v>
      </c>
      <c r="AY38" s="546">
        <f t="shared" si="18"/>
        <v>16558.930661430946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1076648.9393877413</v>
      </c>
      <c r="BH38" s="108">
        <f t="shared" si="29"/>
        <v>55</v>
      </c>
      <c r="BI38" s="108">
        <f t="shared" si="24"/>
        <v>55</v>
      </c>
      <c r="BJ38" s="22">
        <f t="shared" si="25"/>
        <v>45506</v>
      </c>
      <c r="BK38" s="108">
        <f t="shared" si="6"/>
        <v>29910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45537</v>
      </c>
      <c r="I39" s="246">
        <f t="shared" si="30"/>
        <v>0.17899999999999999</v>
      </c>
      <c r="J39" s="242">
        <f t="shared" si="0"/>
        <v>29910</v>
      </c>
      <c r="K39" s="242">
        <f t="shared" si="21"/>
        <v>29910</v>
      </c>
      <c r="L39" s="242">
        <f t="shared" si="8"/>
        <v>16813.919892510727</v>
      </c>
      <c r="M39" s="242">
        <f t="shared" si="22"/>
        <v>13096.080107489273</v>
      </c>
      <c r="N39" s="242">
        <f t="shared" si="1"/>
        <v>0</v>
      </c>
      <c r="O39" s="242">
        <v>0</v>
      </c>
      <c r="P39" s="242">
        <f t="shared" si="23"/>
        <v>16813.919892510727</v>
      </c>
      <c r="Q39" s="242">
        <f t="shared" si="2"/>
        <v>0</v>
      </c>
      <c r="R39" s="242">
        <f t="shared" si="9"/>
        <v>0</v>
      </c>
      <c r="S39" s="242">
        <f t="shared" si="10"/>
        <v>1092883.5127500372</v>
      </c>
      <c r="T39" s="467"/>
      <c r="U39" s="198">
        <f t="shared" si="27"/>
        <v>54</v>
      </c>
      <c r="V39" s="36">
        <f t="shared" si="11"/>
        <v>54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8"/>
        <v>27710</v>
      </c>
      <c r="AG39" s="169">
        <f>AG36-$AG$35</f>
        <v>0.13899999999999998</v>
      </c>
      <c r="AI39" s="2"/>
      <c r="AJ39" s="2"/>
      <c r="AK39" s="57"/>
      <c r="AL39" s="47">
        <f>AL36-$AL$35</f>
        <v>26917</v>
      </c>
      <c r="AM39" s="169">
        <f>AM36-$AM$35</f>
        <v>0.13899999999999998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45537</v>
      </c>
      <c r="AR39" s="555">
        <f t="shared" si="37"/>
        <v>0.17899999999999999</v>
      </c>
      <c r="AS39" s="546">
        <f t="shared" si="14"/>
        <v>29117</v>
      </c>
      <c r="AT39" s="546">
        <f t="shared" si="15"/>
        <v>29117</v>
      </c>
      <c r="AU39" s="546">
        <f t="shared" si="16"/>
        <v>16368.013601815279</v>
      </c>
      <c r="AV39" s="546">
        <f t="shared" si="17"/>
        <v>12748.986398184721</v>
      </c>
      <c r="AW39" s="546">
        <f t="shared" si="4"/>
        <v>0</v>
      </c>
      <c r="AX39" s="546">
        <v>0</v>
      </c>
      <c r="AY39" s="546">
        <f t="shared" si="18"/>
        <v>16368.013601815279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1063899.9529895566</v>
      </c>
      <c r="BH39" s="108">
        <f t="shared" si="29"/>
        <v>54</v>
      </c>
      <c r="BI39" s="108">
        <f t="shared" si="24"/>
        <v>54</v>
      </c>
      <c r="BJ39" s="22">
        <f t="shared" si="25"/>
        <v>45537</v>
      </c>
      <c r="BK39" s="108">
        <f t="shared" si="6"/>
        <v>29910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45567</v>
      </c>
      <c r="I40" s="246">
        <f t="shared" si="30"/>
        <v>0.17899999999999999</v>
      </c>
      <c r="J40" s="242">
        <f t="shared" si="0"/>
        <v>29910</v>
      </c>
      <c r="K40" s="242">
        <f t="shared" si="21"/>
        <v>29910</v>
      </c>
      <c r="L40" s="242">
        <f t="shared" si="8"/>
        <v>16078.861543747122</v>
      </c>
      <c r="M40" s="242">
        <f t="shared" si="22"/>
        <v>13831.138456252878</v>
      </c>
      <c r="N40" s="242">
        <f t="shared" si="1"/>
        <v>0</v>
      </c>
      <c r="O40" s="242">
        <v>0</v>
      </c>
      <c r="P40" s="242">
        <f t="shared" si="23"/>
        <v>16078.861543747122</v>
      </c>
      <c r="Q40" s="242">
        <f t="shared" si="2"/>
        <v>0</v>
      </c>
      <c r="R40" s="242">
        <f t="shared" si="9"/>
        <v>0</v>
      </c>
      <c r="S40" s="242">
        <f t="shared" si="10"/>
        <v>1079052.3742937844</v>
      </c>
      <c r="T40" s="467"/>
      <c r="U40" s="198">
        <f t="shared" si="27"/>
        <v>53</v>
      </c>
      <c r="V40" s="36">
        <f t="shared" si="11"/>
        <v>53</v>
      </c>
      <c r="W40" s="16">
        <f>INDEX('[1]Для Перспективы'!B2:F2,MATCH($C$10,'[1]Для Перспективы'!$B$1:$F$1,0))</f>
        <v>4000</v>
      </c>
      <c r="X40" s="16">
        <f>INDEX('[1]Для Перспективы'!B8:F8,MATCH($C$10,'[1]Для Перспективы'!$B$1:$F$1,0))</f>
        <v>11500</v>
      </c>
      <c r="Y40" s="16">
        <f>INDEX('[1]Для Перспективы'!B10:F10,MATCH($C$10,'[1]Для Перспективы'!$B$1:$F$1,0))</f>
        <v>12000</v>
      </c>
      <c r="Z40" s="16">
        <f>INDEX('[1]Для Перспективы'!B12:F12,MATCH($C$10,'[1]Для Перспективы'!$B$1:$F$1,0))</f>
        <v>12000</v>
      </c>
      <c r="AA40" s="16">
        <f>INDEX('[1]Для Перспективы'!B14:F14,MATCH($C$10,'[1]Для Перспективы'!$B$1:$F$1,0))</f>
        <v>12500</v>
      </c>
      <c r="AB40" s="16" t="e">
        <f>INDEX('[1]Для Перспективы'!B14:D14,MATCH($C$10,'[1]Для Перспективы'!$B$1:$D$1,0))</f>
        <v>#N/A</v>
      </c>
      <c r="AC40" s="16" t="e">
        <f>INDEX('[1]Для Перспективы'!B16:D16,MATCH($C$10,'[1]Для Перспективы'!$B$1:$D$1,0))</f>
        <v>#N/A</v>
      </c>
      <c r="AD40" s="16" t="e">
        <f>INDEX('[1]Для Перспективы'!B18:D18,MATCH($C$10,'[1]Для Перспективы'!$B$1:$D$1,0))</f>
        <v>#N/A</v>
      </c>
      <c r="AE40" s="16" t="e">
        <f>INDEX('[1]Для Перспективы'!B20:D20,MATCH($C$10,'[1]Для Перспективы'!$B$1:$D$1,0))</f>
        <v>#N/A</v>
      </c>
      <c r="AF40" s="47">
        <f t="shared" si="38"/>
        <v>27710</v>
      </c>
      <c r="AG40" s="169">
        <f>AG36-$AG$35</f>
        <v>0.13899999999999998</v>
      </c>
      <c r="AI40" s="2"/>
      <c r="AJ40" s="2"/>
      <c r="AK40" s="57"/>
      <c r="AL40" s="47">
        <f>AL36-$AL$35</f>
        <v>26917</v>
      </c>
      <c r="AM40" s="169">
        <f>AM36-$AM$35</f>
        <v>0.13899999999999998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45567</v>
      </c>
      <c r="AR40" s="555">
        <f t="shared" si="37"/>
        <v>0.17899999999999999</v>
      </c>
      <c r="AS40" s="546">
        <f t="shared" si="14"/>
        <v>29117</v>
      </c>
      <c r="AT40" s="546">
        <f t="shared" si="15"/>
        <v>29117</v>
      </c>
      <c r="AU40" s="546">
        <f t="shared" si="16"/>
        <v>15652.445883709366</v>
      </c>
      <c r="AV40" s="546">
        <f t="shared" si="17"/>
        <v>13464.554116290634</v>
      </c>
      <c r="AW40" s="546">
        <f t="shared" si="4"/>
        <v>0</v>
      </c>
      <c r="AX40" s="546">
        <v>0</v>
      </c>
      <c r="AY40" s="546">
        <f t="shared" si="18"/>
        <v>15652.445883709366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1050435.3988732661</v>
      </c>
      <c r="BH40" s="108">
        <f t="shared" si="29"/>
        <v>53</v>
      </c>
      <c r="BI40" s="108">
        <f t="shared" si="24"/>
        <v>53</v>
      </c>
      <c r="BJ40" s="22">
        <f t="shared" si="25"/>
        <v>45567</v>
      </c>
      <c r="BK40" s="108">
        <f t="shared" si="6"/>
        <v>29910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45598</v>
      </c>
      <c r="I41" s="246">
        <f t="shared" si="30"/>
        <v>0.17899999999999999</v>
      </c>
      <c r="J41" s="242">
        <f t="shared" si="0"/>
        <v>29910</v>
      </c>
      <c r="K41" s="242">
        <f t="shared" si="21"/>
        <v>29910</v>
      </c>
      <c r="L41" s="242">
        <f t="shared" si="8"/>
        <v>16404.552397140302</v>
      </c>
      <c r="M41" s="242">
        <f t="shared" si="22"/>
        <v>13505.447602859698</v>
      </c>
      <c r="N41" s="242">
        <f t="shared" si="1"/>
        <v>0</v>
      </c>
      <c r="O41" s="242">
        <v>0</v>
      </c>
      <c r="P41" s="242">
        <f t="shared" si="23"/>
        <v>16404.552397140302</v>
      </c>
      <c r="Q41" s="242">
        <f t="shared" si="2"/>
        <v>0</v>
      </c>
      <c r="R41" s="242">
        <f t="shared" si="9"/>
        <v>0</v>
      </c>
      <c r="S41" s="242">
        <f t="shared" si="10"/>
        <v>1065546.9266909247</v>
      </c>
      <c r="T41" s="467"/>
      <c r="U41" s="198">
        <f t="shared" si="27"/>
        <v>52</v>
      </c>
      <c r="V41" s="36">
        <f t="shared" si="11"/>
        <v>52</v>
      </c>
      <c r="W41" s="16">
        <f>INDEX('[1]Для Перспективы'!B3:F3,MATCH($C$10,'[1]Для Перспективы'!$B$1:$F$1,0))</f>
        <v>128000</v>
      </c>
      <c r="X41" s="16">
        <f>INDEX('[1]Для Перспективы'!B9:F9,MATCH($C$10,'[1]Для Перспективы'!$B$1:$F$1,0))</f>
        <v>108900</v>
      </c>
      <c r="Y41" s="16">
        <f>INDEX('[1]Для Перспективы'!B11:F11,MATCH($C$10,'[1]Для Перспективы'!$B$1:$F$1,0))</f>
        <v>112200</v>
      </c>
      <c r="Z41" s="16">
        <f>INDEX('[1]Для Перспективы'!B13:F13,MATCH($C$10,'[1]Для Перспективы'!$B$1:$F$1,0))</f>
        <v>115500</v>
      </c>
      <c r="AA41" s="16">
        <f>INDEX('[1]Для Перспективы'!B15:F15,MATCH($C$10,'[1]Для Перспективы'!$B$1:$F$1,0))</f>
        <v>118900</v>
      </c>
      <c r="AB41" s="16" t="e">
        <f>INDEX('[1]Для Перспективы'!B15:D15,MATCH($C$10,'[1]Для Перспективы'!$B$1:$D$1,0))</f>
        <v>#N/A</v>
      </c>
      <c r="AC41" s="16" t="e">
        <f>INDEX('[1]Для Перспективы'!B17:D17,MATCH($C$10,'[1]Для Перспективы'!$B$1:$D$1,0))</f>
        <v>#N/A</v>
      </c>
      <c r="AD41" s="16" t="e">
        <f>INDEX('[1]Для Перспективы'!B19:D19,MATCH($C$10,'[1]Для Перспективы'!$B$1:$D$1,0))</f>
        <v>#N/A</v>
      </c>
      <c r="AE41" s="16" t="e">
        <f>INDEX('[1]Для Перспективы'!B21:D21,MATCH($C$10,'[1]Для Перспективы'!$B$1:$D$1,0))</f>
        <v>#N/A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45598</v>
      </c>
      <c r="AR41" s="555">
        <f t="shared" si="37"/>
        <v>0.17899999999999999</v>
      </c>
      <c r="AS41" s="546">
        <f t="shared" si="14"/>
        <v>29117</v>
      </c>
      <c r="AT41" s="546">
        <f t="shared" si="15"/>
        <v>29117</v>
      </c>
      <c r="AU41" s="546">
        <f t="shared" si="16"/>
        <v>15969.495968076037</v>
      </c>
      <c r="AV41" s="546">
        <f t="shared" si="17"/>
        <v>13147.504031923963</v>
      </c>
      <c r="AW41" s="546">
        <f t="shared" si="4"/>
        <v>0</v>
      </c>
      <c r="AX41" s="546">
        <v>0</v>
      </c>
      <c r="AY41" s="546">
        <f t="shared" si="18"/>
        <v>15969.495968076037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1037287.8948413421</v>
      </c>
      <c r="BH41" s="108">
        <f t="shared" si="29"/>
        <v>52</v>
      </c>
      <c r="BI41" s="108">
        <f t="shared" si="24"/>
        <v>52</v>
      </c>
      <c r="BJ41" s="22">
        <f t="shared" si="25"/>
        <v>45598</v>
      </c>
      <c r="BK41" s="108">
        <f t="shared" si="6"/>
        <v>29910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45628</v>
      </c>
      <c r="I42" s="246">
        <f t="shared" si="30"/>
        <v>0.17899999999999999</v>
      </c>
      <c r="J42" s="242">
        <f t="shared" si="0"/>
        <v>29910</v>
      </c>
      <c r="K42" s="242">
        <f t="shared" si="21"/>
        <v>29910</v>
      </c>
      <c r="L42" s="242">
        <f t="shared" si="8"/>
        <v>15676.676702274699</v>
      </c>
      <c r="M42" s="242">
        <f t="shared" si="22"/>
        <v>14233.323297725301</v>
      </c>
      <c r="N42" s="242">
        <f t="shared" si="1"/>
        <v>0</v>
      </c>
      <c r="O42" s="242">
        <v>0</v>
      </c>
      <c r="P42" s="242">
        <f t="shared" si="23"/>
        <v>15676.676702274699</v>
      </c>
      <c r="Q42" s="242">
        <f t="shared" si="2"/>
        <v>0</v>
      </c>
      <c r="R42" s="242">
        <f t="shared" si="9"/>
        <v>0</v>
      </c>
      <c r="S42" s="242">
        <f t="shared" si="10"/>
        <v>1051313.6033931994</v>
      </c>
      <c r="T42" s="467"/>
      <c r="U42" s="198">
        <f t="shared" si="27"/>
        <v>51</v>
      </c>
      <c r="V42" s="36">
        <f t="shared" si="11"/>
        <v>51</v>
      </c>
      <c r="W42" s="2"/>
      <c r="X42" s="18">
        <f>K8</f>
        <v>-1427039</v>
      </c>
      <c r="Y42" s="57">
        <f>H8</f>
        <v>44591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45628</v>
      </c>
      <c r="AR42" s="555">
        <f t="shared" si="37"/>
        <v>0.17899999999999999</v>
      </c>
      <c r="AS42" s="546">
        <f t="shared" si="14"/>
        <v>29117</v>
      </c>
      <c r="AT42" s="546">
        <f t="shared" si="15"/>
        <v>29117</v>
      </c>
      <c r="AU42" s="546">
        <f t="shared" si="16"/>
        <v>15260.920535063033</v>
      </c>
      <c r="AV42" s="546">
        <f t="shared" si="17"/>
        <v>13856.079464936967</v>
      </c>
      <c r="AW42" s="546">
        <f t="shared" si="4"/>
        <v>0</v>
      </c>
      <c r="AX42" s="546">
        <v>0</v>
      </c>
      <c r="AY42" s="546">
        <f t="shared" si="18"/>
        <v>15260.920535063033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1023431.8153764051</v>
      </c>
      <c r="BH42" s="108">
        <f t="shared" si="29"/>
        <v>51</v>
      </c>
      <c r="BI42" s="108">
        <f t="shared" si="24"/>
        <v>51</v>
      </c>
      <c r="BJ42" s="22">
        <f t="shared" si="25"/>
        <v>45628</v>
      </c>
      <c r="BK42" s="108">
        <f t="shared" si="6"/>
        <v>29910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45659</v>
      </c>
      <c r="I43" s="246">
        <f t="shared" si="30"/>
        <v>0.17899999999999999</v>
      </c>
      <c r="J43" s="242">
        <f t="shared" si="0"/>
        <v>29910</v>
      </c>
      <c r="K43" s="242">
        <f t="shared" si="21"/>
        <v>29910</v>
      </c>
      <c r="L43" s="242">
        <f t="shared" si="8"/>
        <v>15982.847082818804</v>
      </c>
      <c r="M43" s="242">
        <f t="shared" si="22"/>
        <v>13927.152917181196</v>
      </c>
      <c r="N43" s="242">
        <f t="shared" si="1"/>
        <v>0</v>
      </c>
      <c r="O43" s="242">
        <v>0</v>
      </c>
      <c r="P43" s="242">
        <f t="shared" si="23"/>
        <v>15982.847082818804</v>
      </c>
      <c r="Q43" s="242">
        <f t="shared" si="2"/>
        <v>0</v>
      </c>
      <c r="R43" s="242">
        <f t="shared" si="9"/>
        <v>0</v>
      </c>
      <c r="S43" s="242">
        <f t="shared" si="10"/>
        <v>1037386.4504760182</v>
      </c>
      <c r="T43" s="467"/>
      <c r="U43" s="198">
        <f t="shared" si="27"/>
        <v>50</v>
      </c>
      <c r="V43" s="36">
        <f t="shared" si="11"/>
        <v>50</v>
      </c>
      <c r="X43" s="34">
        <f>IF(OR(C8="Гарантия стандарт",C8="Гарантия пакет"),AH65*AH79*$C$10,0)</f>
        <v>0</v>
      </c>
      <c r="Y43" s="57">
        <f>H8</f>
        <v>44591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45659</v>
      </c>
      <c r="AR43" s="555">
        <f t="shared" si="37"/>
        <v>0.17899999999999999</v>
      </c>
      <c r="AS43" s="546">
        <f t="shared" si="14"/>
        <v>29117</v>
      </c>
      <c r="AT43" s="546">
        <f t="shared" si="15"/>
        <v>29117</v>
      </c>
      <c r="AU43" s="546">
        <f t="shared" si="16"/>
        <v>15558.967516503211</v>
      </c>
      <c r="AV43" s="546">
        <f t="shared" si="17"/>
        <v>13558.032483496789</v>
      </c>
      <c r="AW43" s="546">
        <f t="shared" si="4"/>
        <v>0</v>
      </c>
      <c r="AX43" s="546">
        <v>0</v>
      </c>
      <c r="AY43" s="546">
        <f t="shared" si="18"/>
        <v>15558.967516503211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1009873.7828929083</v>
      </c>
      <c r="BH43" s="108">
        <f t="shared" si="29"/>
        <v>50</v>
      </c>
      <c r="BI43" s="108">
        <f t="shared" si="24"/>
        <v>50</v>
      </c>
      <c r="BJ43" s="22">
        <f t="shared" si="25"/>
        <v>45659</v>
      </c>
      <c r="BK43" s="108">
        <f t="shared" si="6"/>
        <v>29910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45690</v>
      </c>
      <c r="I44" s="250">
        <f t="shared" si="30"/>
        <v>0.17899999999999999</v>
      </c>
      <c r="J44" s="252">
        <f t="shared" si="0"/>
        <v>29910</v>
      </c>
      <c r="K44" s="252">
        <f t="shared" si="21"/>
        <v>29910</v>
      </c>
      <c r="L44" s="252">
        <f t="shared" si="8"/>
        <v>15771.116201894316</v>
      </c>
      <c r="M44" s="252">
        <f t="shared" si="22"/>
        <v>14138.883798105684</v>
      </c>
      <c r="N44" s="252">
        <f t="shared" si="1"/>
        <v>0</v>
      </c>
      <c r="O44" s="252">
        <v>0</v>
      </c>
      <c r="P44" s="252">
        <f t="shared" si="23"/>
        <v>15771.116201894316</v>
      </c>
      <c r="Q44" s="252">
        <f t="shared" si="2"/>
        <v>0</v>
      </c>
      <c r="R44" s="252">
        <f t="shared" si="9"/>
        <v>0</v>
      </c>
      <c r="S44" s="252">
        <f t="shared" si="10"/>
        <v>1023247.5666779126</v>
      </c>
      <c r="T44" s="468"/>
      <c r="U44" s="198">
        <f t="shared" si="27"/>
        <v>49</v>
      </c>
      <c r="V44" s="36">
        <f t="shared" si="11"/>
        <v>49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29910</v>
      </c>
      <c r="Y44" s="57">
        <f>Y43+365</f>
        <v>44956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45690</v>
      </c>
      <c r="AR44" s="557">
        <f t="shared" si="37"/>
        <v>0.17899999999999999</v>
      </c>
      <c r="AS44" s="547">
        <f t="shared" si="14"/>
        <v>29117</v>
      </c>
      <c r="AT44" s="547">
        <f t="shared" si="15"/>
        <v>29117</v>
      </c>
      <c r="AU44" s="547">
        <f t="shared" si="16"/>
        <v>15352.848277459585</v>
      </c>
      <c r="AV44" s="547">
        <f t="shared" si="17"/>
        <v>13764.151722540415</v>
      </c>
      <c r="AW44" s="547">
        <f t="shared" si="4"/>
        <v>0</v>
      </c>
      <c r="AX44" s="547">
        <v>0</v>
      </c>
      <c r="AY44" s="547">
        <f t="shared" si="18"/>
        <v>15352.848277459585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996109.63117036794</v>
      </c>
      <c r="BH44" s="108">
        <f t="shared" si="29"/>
        <v>49</v>
      </c>
      <c r="BI44" s="108">
        <f t="shared" si="24"/>
        <v>49</v>
      </c>
      <c r="BJ44" s="22">
        <f t="shared" si="25"/>
        <v>45690</v>
      </c>
      <c r="BK44" s="108">
        <f t="shared" si="6"/>
        <v>29910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45718</v>
      </c>
      <c r="I45" s="246">
        <f t="shared" si="30"/>
        <v>0.17899999999999999</v>
      </c>
      <c r="J45" s="242">
        <f t="shared" si="0"/>
        <v>29910</v>
      </c>
      <c r="K45" s="242">
        <f t="shared" si="21"/>
        <v>29910</v>
      </c>
      <c r="L45" s="242">
        <f t="shared" si="8"/>
        <v>14050.730970382734</v>
      </c>
      <c r="M45" s="242">
        <f t="shared" si="22"/>
        <v>15859.269029617266</v>
      </c>
      <c r="N45" s="242">
        <f t="shared" si="1"/>
        <v>0</v>
      </c>
      <c r="O45" s="242">
        <v>0</v>
      </c>
      <c r="P45" s="242">
        <f t="shared" si="23"/>
        <v>14050.730970382734</v>
      </c>
      <c r="Q45" s="242">
        <f t="shared" si="2"/>
        <v>0</v>
      </c>
      <c r="R45" s="242">
        <f t="shared" si="9"/>
        <v>0</v>
      </c>
      <c r="S45" s="242">
        <f t="shared" si="10"/>
        <v>1007388.2976482953</v>
      </c>
      <c r="T45" s="467"/>
      <c r="U45" s="198">
        <f t="shared" si="27"/>
        <v>48</v>
      </c>
      <c r="V45" s="36">
        <f t="shared" si="11"/>
        <v>48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29910</v>
      </c>
      <c r="Y45" s="57">
        <f t="shared" ref="Y45:Y108" si="39">Y44+365</f>
        <v>45321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45718</v>
      </c>
      <c r="AR45" s="555">
        <f t="shared" ref="AR45:AR56" si="40">IF($D$16="Да",$AM$39,$D$13)</f>
        <v>0.17899999999999999</v>
      </c>
      <c r="AS45" s="546">
        <f t="shared" si="14"/>
        <v>29117</v>
      </c>
      <c r="AT45" s="546">
        <f t="shared" si="15"/>
        <v>29117</v>
      </c>
      <c r="AU45" s="546">
        <f t="shared" si="16"/>
        <v>13678.086223084614</v>
      </c>
      <c r="AV45" s="546">
        <f t="shared" si="17"/>
        <v>15438.913776915386</v>
      </c>
      <c r="AW45" s="546">
        <f t="shared" si="4"/>
        <v>0</v>
      </c>
      <c r="AX45" s="546">
        <v>0</v>
      </c>
      <c r="AY45" s="546">
        <f t="shared" si="18"/>
        <v>13678.086223084614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980670.71739345253</v>
      </c>
      <c r="BH45" s="108">
        <f t="shared" si="29"/>
        <v>48</v>
      </c>
      <c r="BI45" s="108">
        <f t="shared" si="24"/>
        <v>48</v>
      </c>
      <c r="BJ45" s="22">
        <f t="shared" si="25"/>
        <v>45718</v>
      </c>
      <c r="BK45" s="108">
        <f t="shared" si="6"/>
        <v>29910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45749</v>
      </c>
      <c r="I46" s="246">
        <f t="shared" si="30"/>
        <v>0.17899999999999999</v>
      </c>
      <c r="J46" s="242">
        <f t="shared" si="0"/>
        <v>29910</v>
      </c>
      <c r="K46" s="242">
        <f t="shared" si="21"/>
        <v>29910</v>
      </c>
      <c r="L46" s="242">
        <f t="shared" si="8"/>
        <v>15315.062092192851</v>
      </c>
      <c r="M46" s="242">
        <f t="shared" si="22"/>
        <v>14594.937907807149</v>
      </c>
      <c r="N46" s="242">
        <f t="shared" si="1"/>
        <v>0</v>
      </c>
      <c r="O46" s="242">
        <v>0</v>
      </c>
      <c r="P46" s="242">
        <f t="shared" si="23"/>
        <v>15315.062092192851</v>
      </c>
      <c r="Q46" s="242">
        <f t="shared" si="2"/>
        <v>0</v>
      </c>
      <c r="R46" s="242">
        <f t="shared" si="9"/>
        <v>0</v>
      </c>
      <c r="S46" s="242">
        <f t="shared" si="10"/>
        <v>992793.35974048811</v>
      </c>
      <c r="T46" s="467"/>
      <c r="U46" s="198">
        <f t="shared" si="27"/>
        <v>47</v>
      </c>
      <c r="V46" s="36">
        <f t="shared" si="11"/>
        <v>47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29910</v>
      </c>
      <c r="Y46" s="57">
        <f t="shared" si="39"/>
        <v>45686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-1389199</v>
      </c>
      <c r="AN46" s="57">
        <f>AQ8</f>
        <v>44591</v>
      </c>
      <c r="AO46" s="130">
        <f t="shared" si="12"/>
        <v>1</v>
      </c>
      <c r="AP46" s="553">
        <f t="shared" si="28"/>
        <v>38</v>
      </c>
      <c r="AQ46" s="554">
        <f t="shared" si="13"/>
        <v>45749</v>
      </c>
      <c r="AR46" s="555">
        <f t="shared" si="40"/>
        <v>0.17899999999999999</v>
      </c>
      <c r="AS46" s="546">
        <f t="shared" si="14"/>
        <v>29117</v>
      </c>
      <c r="AT46" s="546">
        <f t="shared" si="15"/>
        <v>29117</v>
      </c>
      <c r="AU46" s="546">
        <f t="shared" si="16"/>
        <v>14908.881673469228</v>
      </c>
      <c r="AV46" s="546">
        <f t="shared" si="17"/>
        <v>14208.118326530772</v>
      </c>
      <c r="AW46" s="546">
        <f t="shared" si="4"/>
        <v>0</v>
      </c>
      <c r="AX46" s="546">
        <v>0</v>
      </c>
      <c r="AY46" s="546">
        <f t="shared" si="18"/>
        <v>14908.881673469228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966462.59906692174</v>
      </c>
      <c r="BH46" s="108">
        <f t="shared" si="29"/>
        <v>47</v>
      </c>
      <c r="BI46" s="108">
        <f t="shared" si="24"/>
        <v>47</v>
      </c>
      <c r="BJ46" s="22">
        <f t="shared" si="25"/>
        <v>45749</v>
      </c>
      <c r="BK46" s="108">
        <f t="shared" si="6"/>
        <v>29910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45779</v>
      </c>
      <c r="I47" s="246">
        <f t="shared" si="30"/>
        <v>0.17899999999999999</v>
      </c>
      <c r="J47" s="242">
        <f t="shared" si="0"/>
        <v>29910</v>
      </c>
      <c r="K47" s="242">
        <f t="shared" si="21"/>
        <v>29910</v>
      </c>
      <c r="L47" s="242">
        <f t="shared" si="8"/>
        <v>14606.302306318961</v>
      </c>
      <c r="M47" s="242">
        <f t="shared" si="22"/>
        <v>15303.697693681039</v>
      </c>
      <c r="N47" s="242">
        <f t="shared" si="1"/>
        <v>0</v>
      </c>
      <c r="O47" s="242">
        <v>0</v>
      </c>
      <c r="P47" s="242">
        <f t="shared" si="23"/>
        <v>14606.302306318961</v>
      </c>
      <c r="Q47" s="242">
        <f t="shared" si="2"/>
        <v>0</v>
      </c>
      <c r="R47" s="242">
        <f t="shared" si="9"/>
        <v>0</v>
      </c>
      <c r="S47" s="242">
        <f t="shared" si="10"/>
        <v>977489.66204680712</v>
      </c>
      <c r="T47" s="467"/>
      <c r="U47" s="198">
        <f t="shared" si="27"/>
        <v>46</v>
      </c>
      <c r="V47" s="36">
        <f t="shared" si="11"/>
        <v>46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29910</v>
      </c>
      <c r="Y47" s="57">
        <f t="shared" si="39"/>
        <v>46051</v>
      </c>
      <c r="Z47" s="5" t="s">
        <v>42</v>
      </c>
      <c r="AA47" s="8"/>
      <c r="AB47" s="17">
        <f>AC51/C7</f>
        <v>1.2234799999999999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44591</v>
      </c>
      <c r="AO47" s="130">
        <f t="shared" si="12"/>
        <v>1</v>
      </c>
      <c r="AP47" s="553">
        <f t="shared" si="28"/>
        <v>39</v>
      </c>
      <c r="AQ47" s="554">
        <f t="shared" si="13"/>
        <v>45779</v>
      </c>
      <c r="AR47" s="555">
        <f t="shared" si="40"/>
        <v>0.17899999999999999</v>
      </c>
      <c r="AS47" s="546">
        <f t="shared" si="14"/>
        <v>29117</v>
      </c>
      <c r="AT47" s="546">
        <f t="shared" si="15"/>
        <v>29117</v>
      </c>
      <c r="AU47" s="546">
        <f t="shared" si="16"/>
        <v>14218.915498601013</v>
      </c>
      <c r="AV47" s="546">
        <f t="shared" si="17"/>
        <v>14898.084501398987</v>
      </c>
      <c r="AW47" s="546">
        <f t="shared" si="4"/>
        <v>0</v>
      </c>
      <c r="AX47" s="546">
        <v>0</v>
      </c>
      <c r="AY47" s="546">
        <f t="shared" si="18"/>
        <v>14218.915498601013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951564.51456552278</v>
      </c>
      <c r="BH47" s="108">
        <f t="shared" si="29"/>
        <v>46</v>
      </c>
      <c r="BI47" s="108">
        <f t="shared" si="24"/>
        <v>46</v>
      </c>
      <c r="BJ47" s="22">
        <f t="shared" si="25"/>
        <v>45779</v>
      </c>
      <c r="BK47" s="108">
        <f t="shared" si="6"/>
        <v>29910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45810</v>
      </c>
      <c r="I48" s="246">
        <f t="shared" si="30"/>
        <v>0.17899999999999999</v>
      </c>
      <c r="J48" s="242">
        <f t="shared" si="0"/>
        <v>29910</v>
      </c>
      <c r="K48" s="242">
        <f t="shared" si="21"/>
        <v>29910</v>
      </c>
      <c r="L48" s="242">
        <f t="shared" si="8"/>
        <v>14860.520916980091</v>
      </c>
      <c r="M48" s="242">
        <f t="shared" si="22"/>
        <v>15049.479083019909</v>
      </c>
      <c r="N48" s="242">
        <f t="shared" si="1"/>
        <v>0</v>
      </c>
      <c r="O48" s="242">
        <v>0</v>
      </c>
      <c r="P48" s="242">
        <f t="shared" si="23"/>
        <v>14860.520916980091</v>
      </c>
      <c r="Q48" s="242">
        <f t="shared" si="2"/>
        <v>0</v>
      </c>
      <c r="R48" s="242">
        <f t="shared" si="9"/>
        <v>0</v>
      </c>
      <c r="S48" s="242">
        <f t="shared" si="10"/>
        <v>962440.18296378723</v>
      </c>
      <c r="T48" s="467"/>
      <c r="U48" s="198">
        <f t="shared" si="27"/>
        <v>45</v>
      </c>
      <c r="V48" s="36">
        <f t="shared" si="11"/>
        <v>45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29910</v>
      </c>
      <c r="Y48" s="57">
        <f t="shared" si="39"/>
        <v>46416</v>
      </c>
      <c r="Z48" s="5"/>
      <c r="AA48" s="8"/>
      <c r="AB48" s="17">
        <f>IF(C8=AC59,AC65,IF(C8=AD59,AD65,IF(C8=AF59,AF65,IF(C8=AG59,AG65,IF(C8=AE59,AE65,IF(C8=AH59,AH65,IF(C8=AI59,AI65,IF(C8=AJ59,AJ65,Y23))))))))</f>
        <v>2E-3</v>
      </c>
      <c r="AC48" s="39">
        <f>C7*(1-AC47)</f>
        <v>1100000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IF(AND(Y5&gt;=$W$11,Y5&lt;=$W$11+5),0,IF($C$9&gt;$AF$51,ROUND(AI8*#REF!/(DATEVALUE(CONCATENATE("01/01/",YEAR(Z5)+1))-DATEVALUE(CONCATENATE("01/01/",YEAR(Z5))))*(Z5-Z4),2),0))</f>
        <v>#REF!</v>
      </c>
      <c r="AM48" s="34">
        <f>AT9</f>
        <v>29117</v>
      </c>
      <c r="AN48" s="57">
        <f>AN47+365</f>
        <v>44956</v>
      </c>
      <c r="AO48" s="130">
        <f t="shared" si="12"/>
        <v>1</v>
      </c>
      <c r="AP48" s="553">
        <f t="shared" si="28"/>
        <v>40</v>
      </c>
      <c r="AQ48" s="554">
        <f t="shared" si="13"/>
        <v>45810</v>
      </c>
      <c r="AR48" s="555">
        <f t="shared" si="40"/>
        <v>0.17899999999999999</v>
      </c>
      <c r="AS48" s="546">
        <f t="shared" si="14"/>
        <v>29117</v>
      </c>
      <c r="AT48" s="546">
        <f t="shared" si="15"/>
        <v>29117</v>
      </c>
      <c r="AU48" s="546">
        <f t="shared" si="16"/>
        <v>14466.387647463249</v>
      </c>
      <c r="AV48" s="546">
        <f t="shared" si="17"/>
        <v>14650.612352536751</v>
      </c>
      <c r="AW48" s="546">
        <f t="shared" si="4"/>
        <v>0</v>
      </c>
      <c r="AX48" s="546">
        <v>0</v>
      </c>
      <c r="AY48" s="546">
        <f t="shared" si="18"/>
        <v>14466.387647463249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936913.90221298602</v>
      </c>
      <c r="BH48" s="108">
        <f t="shared" si="29"/>
        <v>45</v>
      </c>
      <c r="BI48" s="108">
        <f t="shared" si="24"/>
        <v>45</v>
      </c>
      <c r="BJ48" s="22">
        <f t="shared" si="25"/>
        <v>45810</v>
      </c>
      <c r="BK48" s="108">
        <f t="shared" si="6"/>
        <v>29910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45840</v>
      </c>
      <c r="I49" s="246">
        <f t="shared" si="30"/>
        <v>0.17899999999999999</v>
      </c>
      <c r="J49" s="242">
        <f t="shared" si="0"/>
        <v>29910</v>
      </c>
      <c r="K49" s="242">
        <f t="shared" si="21"/>
        <v>29910</v>
      </c>
      <c r="L49" s="242">
        <f t="shared" si="8"/>
        <v>14159.736390453527</v>
      </c>
      <c r="M49" s="242">
        <f t="shared" si="22"/>
        <v>15750.263609546473</v>
      </c>
      <c r="N49" s="242">
        <f t="shared" si="1"/>
        <v>0</v>
      </c>
      <c r="O49" s="242">
        <v>0</v>
      </c>
      <c r="P49" s="242">
        <f t="shared" si="23"/>
        <v>14159.736390453527</v>
      </c>
      <c r="Q49" s="242">
        <f t="shared" si="2"/>
        <v>0</v>
      </c>
      <c r="R49" s="242">
        <f t="shared" si="9"/>
        <v>0</v>
      </c>
      <c r="S49" s="242">
        <f t="shared" si="10"/>
        <v>946689.91935424076</v>
      </c>
      <c r="T49" s="467"/>
      <c r="U49" s="198">
        <f t="shared" si="27"/>
        <v>44</v>
      </c>
      <c r="V49" s="36">
        <f t="shared" si="11"/>
        <v>44</v>
      </c>
      <c r="W49" s="2">
        <f>IF(AND(G14&gt;=$W$11,G14&lt;=$W$11+5),0,IF($C$9&gt;$AF$51,ROUND(S13*#REF!/(DATEVALUE(CONCATENATE("01/01/",YEAR(H14)+1))-DATEVALUE(CONCATENATE("01/01/",YEAR(H14))))*(H14-H13),2),0))</f>
        <v>0</v>
      </c>
      <c r="X49" s="34">
        <f t="shared" si="41"/>
        <v>29910</v>
      </c>
      <c r="Y49" s="57">
        <f t="shared" si="39"/>
        <v>46781</v>
      </c>
      <c r="Z49" s="2"/>
      <c r="AA49" s="2"/>
      <c r="AB49" s="15">
        <f>IF(D8=AC59,AC65,IF(D8=AD59,AD65,IF(D8=AF59,AF65,IF(D8=AG59,AG65,IF(D8=AE59,AE65,IF(D8=AH59,AH65,IF(D8=AI59,AI65,Y23)))))))</f>
        <v>2E-3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29910</v>
      </c>
      <c r="AI49" s="2"/>
      <c r="AJ49" s="2"/>
      <c r="AK49" s="2"/>
      <c r="AL49" s="2" t="e">
        <f>IF(AND(Y6&gt;=$W$11,Y6&lt;=$W$11+5),0,IF($C$9&gt;$AF$51,ROUND(AI9*#REF!/(DATEVALUE(CONCATENATE("01/01/",YEAR(Z6)+1))-DATEVALUE(CONCATENATE("01/01/",YEAR(Z6))))*(Z6-Z5),2),0))</f>
        <v>#REF!</v>
      </c>
      <c r="AM49" s="34">
        <f>AT10</f>
        <v>29117</v>
      </c>
      <c r="AN49" s="57">
        <f t="shared" ref="AN49:AN112" si="42">AN48+365</f>
        <v>45321</v>
      </c>
      <c r="AO49" s="130">
        <f t="shared" si="12"/>
        <v>1</v>
      </c>
      <c r="AP49" s="553">
        <f t="shared" si="28"/>
        <v>41</v>
      </c>
      <c r="AQ49" s="554">
        <f t="shared" si="13"/>
        <v>45840</v>
      </c>
      <c r="AR49" s="555">
        <f t="shared" si="40"/>
        <v>0.17899999999999999</v>
      </c>
      <c r="AS49" s="546">
        <f t="shared" si="14"/>
        <v>29117</v>
      </c>
      <c r="AT49" s="546">
        <f t="shared" si="15"/>
        <v>29117</v>
      </c>
      <c r="AU49" s="546">
        <f t="shared" si="16"/>
        <v>13784.185355845848</v>
      </c>
      <c r="AV49" s="546">
        <f t="shared" si="17"/>
        <v>15332.814644154152</v>
      </c>
      <c r="AW49" s="546">
        <f t="shared" si="4"/>
        <v>0</v>
      </c>
      <c r="AX49" s="546">
        <v>0</v>
      </c>
      <c r="AY49" s="546">
        <f t="shared" si="18"/>
        <v>13784.185355845848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921581.08756883186</v>
      </c>
      <c r="BH49" s="108">
        <f t="shared" si="29"/>
        <v>44</v>
      </c>
      <c r="BI49" s="108">
        <f t="shared" si="24"/>
        <v>44</v>
      </c>
      <c r="BJ49" s="22">
        <f t="shared" si="25"/>
        <v>45840</v>
      </c>
      <c r="BK49" s="108">
        <f t="shared" si="6"/>
        <v>29910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45871</v>
      </c>
      <c r="I50" s="246">
        <f t="shared" si="30"/>
        <v>0.17899999999999999</v>
      </c>
      <c r="J50" s="242">
        <f t="shared" si="0"/>
        <v>29910</v>
      </c>
      <c r="K50" s="242">
        <f t="shared" si="21"/>
        <v>29910</v>
      </c>
      <c r="L50" s="242">
        <f t="shared" si="8"/>
        <v>14392.280445196389</v>
      </c>
      <c r="M50" s="242">
        <f t="shared" si="22"/>
        <v>15517.719554803611</v>
      </c>
      <c r="N50" s="242">
        <f t="shared" si="1"/>
        <v>0</v>
      </c>
      <c r="O50" s="242">
        <v>0</v>
      </c>
      <c r="P50" s="242">
        <f t="shared" si="23"/>
        <v>14392.280445196389</v>
      </c>
      <c r="Q50" s="242">
        <f t="shared" si="2"/>
        <v>0</v>
      </c>
      <c r="R50" s="242">
        <f t="shared" si="9"/>
        <v>0</v>
      </c>
      <c r="S50" s="242">
        <f t="shared" si="10"/>
        <v>931172.19979943719</v>
      </c>
      <c r="T50" s="467"/>
      <c r="U50" s="198">
        <f t="shared" si="27"/>
        <v>43</v>
      </c>
      <c r="V50" s="36">
        <f t="shared" si="11"/>
        <v>43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29910</v>
      </c>
      <c r="Y50" s="57">
        <f t="shared" si="39"/>
        <v>47146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29117</v>
      </c>
      <c r="AN50" s="57">
        <f t="shared" si="42"/>
        <v>45686</v>
      </c>
      <c r="AO50" s="130">
        <f t="shared" si="12"/>
        <v>1</v>
      </c>
      <c r="AP50" s="553">
        <f t="shared" si="28"/>
        <v>42</v>
      </c>
      <c r="AQ50" s="554">
        <f t="shared" si="13"/>
        <v>45871</v>
      </c>
      <c r="AR50" s="555">
        <f t="shared" si="40"/>
        <v>0.17899999999999999</v>
      </c>
      <c r="AS50" s="546">
        <f t="shared" si="14"/>
        <v>29117</v>
      </c>
      <c r="AT50" s="546">
        <f t="shared" si="15"/>
        <v>29117</v>
      </c>
      <c r="AU50" s="546">
        <f t="shared" si="16"/>
        <v>14010.557410738214</v>
      </c>
      <c r="AV50" s="546">
        <f t="shared" si="17"/>
        <v>15106.442589261786</v>
      </c>
      <c r="AW50" s="546">
        <f t="shared" si="4"/>
        <v>0</v>
      </c>
      <c r="AX50" s="546">
        <v>0</v>
      </c>
      <c r="AY50" s="546">
        <f t="shared" si="18"/>
        <v>14010.557410738214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906474.64497957006</v>
      </c>
      <c r="BH50" s="108">
        <f t="shared" si="29"/>
        <v>43</v>
      </c>
      <c r="BI50" s="108">
        <f t="shared" si="24"/>
        <v>43</v>
      </c>
      <c r="BJ50" s="22">
        <f t="shared" si="25"/>
        <v>45871</v>
      </c>
      <c r="BK50" s="108">
        <f t="shared" si="6"/>
        <v>29910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45902</v>
      </c>
      <c r="I51" s="246">
        <f t="shared" si="30"/>
        <v>0.17899999999999999</v>
      </c>
      <c r="J51" s="242">
        <f t="shared" si="0"/>
        <v>29910</v>
      </c>
      <c r="K51" s="242">
        <f t="shared" si="21"/>
        <v>29910</v>
      </c>
      <c r="L51" s="242">
        <f t="shared" si="8"/>
        <v>14156.368593663225</v>
      </c>
      <c r="M51" s="242">
        <f t="shared" si="22"/>
        <v>15753.631406336775</v>
      </c>
      <c r="N51" s="242">
        <f t="shared" si="1"/>
        <v>0</v>
      </c>
      <c r="O51" s="242">
        <v>0</v>
      </c>
      <c r="P51" s="242">
        <f t="shared" si="23"/>
        <v>14156.368593663225</v>
      </c>
      <c r="Q51" s="242">
        <f t="shared" si="2"/>
        <v>0</v>
      </c>
      <c r="R51" s="242">
        <f t="shared" si="9"/>
        <v>0</v>
      </c>
      <c r="S51" s="242">
        <f t="shared" si="10"/>
        <v>915418.5683931004</v>
      </c>
      <c r="T51" s="467"/>
      <c r="U51" s="198">
        <f t="shared" si="27"/>
        <v>42</v>
      </c>
      <c r="V51" s="36">
        <f t="shared" si="11"/>
        <v>42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29910</v>
      </c>
      <c r="Y51" s="57">
        <f t="shared" si="39"/>
        <v>47511</v>
      </c>
      <c r="Z51" s="11" t="s">
        <v>18</v>
      </c>
      <c r="AA51" s="11"/>
      <c r="AB51" s="11"/>
      <c r="AC51" s="42">
        <f>(D30-C7)</f>
        <v>1345828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IF(AND(Y7&gt;=$W$11,Y7&lt;=$W$11+5),0,IF($C$9&gt;$AF$51,ROUND(AI11*#REF!/(DATEVALUE(CONCATENATE("01/01/",YEAR(Z7)+1))-DATEVALUE(CONCATENATE("01/01/",YEAR(Z7))))*(Z7-#REF!),2),0))</f>
        <v>#REF!</v>
      </c>
      <c r="AM51" s="34">
        <f t="shared" si="43"/>
        <v>29117</v>
      </c>
      <c r="AN51" s="57">
        <f t="shared" si="42"/>
        <v>46051</v>
      </c>
      <c r="AO51" s="130">
        <f t="shared" si="12"/>
        <v>1</v>
      </c>
      <c r="AP51" s="553">
        <f t="shared" si="28"/>
        <v>43</v>
      </c>
      <c r="AQ51" s="554">
        <f t="shared" si="13"/>
        <v>45902</v>
      </c>
      <c r="AR51" s="555">
        <f t="shared" si="40"/>
        <v>0.17899999999999999</v>
      </c>
      <c r="AS51" s="546">
        <f t="shared" si="14"/>
        <v>29117</v>
      </c>
      <c r="AT51" s="546">
        <f t="shared" si="15"/>
        <v>29117</v>
      </c>
      <c r="AU51" s="546">
        <f t="shared" si="16"/>
        <v>13780.898095867491</v>
      </c>
      <c r="AV51" s="546">
        <f t="shared" si="17"/>
        <v>15336.101904132509</v>
      </c>
      <c r="AW51" s="546">
        <f t="shared" si="4"/>
        <v>0</v>
      </c>
      <c r="AX51" s="546">
        <v>0</v>
      </c>
      <c r="AY51" s="546">
        <f t="shared" si="18"/>
        <v>13780.898095867491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891138.54307543754</v>
      </c>
      <c r="BH51" s="108">
        <f t="shared" si="29"/>
        <v>42</v>
      </c>
      <c r="BI51" s="108">
        <f t="shared" si="24"/>
        <v>42</v>
      </c>
      <c r="BJ51" s="22">
        <f t="shared" si="25"/>
        <v>45902</v>
      </c>
      <c r="BK51" s="108">
        <f t="shared" si="6"/>
        <v>29910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45932</v>
      </c>
      <c r="I52" s="246">
        <f t="shared" si="30"/>
        <v>0.17899999999999999</v>
      </c>
      <c r="J52" s="242">
        <f t="shared" si="0"/>
        <v>29910</v>
      </c>
      <c r="K52" s="242">
        <f t="shared" si="21"/>
        <v>29910</v>
      </c>
      <c r="L52" s="242">
        <f t="shared" si="8"/>
        <v>13467.938937728628</v>
      </c>
      <c r="M52" s="242">
        <f t="shared" si="22"/>
        <v>16442.061062271372</v>
      </c>
      <c r="N52" s="242">
        <f t="shared" si="1"/>
        <v>0</v>
      </c>
      <c r="O52" s="242">
        <v>0</v>
      </c>
      <c r="P52" s="242">
        <f t="shared" si="23"/>
        <v>13467.938937728628</v>
      </c>
      <c r="Q52" s="242">
        <f t="shared" si="2"/>
        <v>0</v>
      </c>
      <c r="R52" s="242">
        <f t="shared" si="9"/>
        <v>0</v>
      </c>
      <c r="S52" s="242">
        <f t="shared" si="10"/>
        <v>898976.50733082904</v>
      </c>
      <c r="T52" s="467"/>
      <c r="U52" s="198">
        <f t="shared" si="27"/>
        <v>41</v>
      </c>
      <c r="V52" s="36">
        <f t="shared" si="11"/>
        <v>41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29910</v>
      </c>
      <c r="Y52" s="57">
        <f t="shared" si="39"/>
        <v>47876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IF(AND(Y8&gt;=$W$11,Y8&lt;=$W$11+5),0,IF($C$9&gt;$AF$51,ROUND(AI12*#REF!/(DATEVALUE(CONCATENATE("01/01/",YEAR(Z8)+1))-DATEVALUE(CONCATENATE("01/01/",YEAR(Z8))))*(Z8-Z7),2),0))</f>
        <v>#REF!</v>
      </c>
      <c r="AM52" s="34">
        <f t="shared" si="43"/>
        <v>29117</v>
      </c>
      <c r="AN52" s="57">
        <f t="shared" si="42"/>
        <v>46416</v>
      </c>
      <c r="AO52" s="130">
        <f t="shared" si="12"/>
        <v>1</v>
      </c>
      <c r="AP52" s="553">
        <f t="shared" si="28"/>
        <v>44</v>
      </c>
      <c r="AQ52" s="554">
        <f t="shared" si="13"/>
        <v>45932</v>
      </c>
      <c r="AR52" s="555">
        <f t="shared" si="40"/>
        <v>0.17899999999999999</v>
      </c>
      <c r="AS52" s="546">
        <f t="shared" si="14"/>
        <v>29117</v>
      </c>
      <c r="AT52" s="546">
        <f t="shared" si="15"/>
        <v>29117</v>
      </c>
      <c r="AU52" s="546">
        <f t="shared" si="16"/>
        <v>13110.723222781095</v>
      </c>
      <c r="AV52" s="546">
        <f t="shared" si="17"/>
        <v>16006.276777218905</v>
      </c>
      <c r="AW52" s="546">
        <f t="shared" si="4"/>
        <v>0</v>
      </c>
      <c r="AX52" s="546">
        <v>0</v>
      </c>
      <c r="AY52" s="546">
        <f t="shared" si="18"/>
        <v>13110.723222781095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875132.26629821863</v>
      </c>
      <c r="BH52" s="108">
        <f t="shared" si="29"/>
        <v>41</v>
      </c>
      <c r="BI52" s="108">
        <f t="shared" si="24"/>
        <v>41</v>
      </c>
      <c r="BJ52" s="22">
        <f t="shared" si="25"/>
        <v>45932</v>
      </c>
      <c r="BK52" s="108">
        <f t="shared" si="6"/>
        <v>29910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45963</v>
      </c>
      <c r="I53" s="246">
        <f t="shared" si="30"/>
        <v>0.17899999999999999</v>
      </c>
      <c r="J53" s="242">
        <f t="shared" si="0"/>
        <v>29910</v>
      </c>
      <c r="K53" s="242">
        <f t="shared" si="21"/>
        <v>29910</v>
      </c>
      <c r="L53" s="242">
        <f t="shared" si="8"/>
        <v>13666.905860763754</v>
      </c>
      <c r="M53" s="242">
        <f t="shared" si="22"/>
        <v>16243.094139236246</v>
      </c>
      <c r="N53" s="242">
        <f t="shared" si="1"/>
        <v>0</v>
      </c>
      <c r="O53" s="242">
        <v>0</v>
      </c>
      <c r="P53" s="242">
        <f t="shared" si="23"/>
        <v>13666.905860763754</v>
      </c>
      <c r="Q53" s="242">
        <f t="shared" si="2"/>
        <v>0</v>
      </c>
      <c r="R53" s="242">
        <f t="shared" si="9"/>
        <v>0</v>
      </c>
      <c r="S53" s="242">
        <f t="shared" si="10"/>
        <v>882733.41319159279</v>
      </c>
      <c r="T53" s="467"/>
      <c r="U53" s="198">
        <f t="shared" si="27"/>
        <v>40</v>
      </c>
      <c r="V53" s="36">
        <f t="shared" si="11"/>
        <v>40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29910</v>
      </c>
      <c r="Y53" s="57">
        <f t="shared" si="39"/>
        <v>48241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IF(AND(Y9&gt;=$W$11,Y9&lt;=$W$11+5),0,IF($C$9&gt;$AF$51,ROUND(AI13*#REF!/(DATEVALUE(CONCATENATE("01/01/",YEAR(Z9)+1))-DATEVALUE(CONCATENATE("01/01/",YEAR(Z9))))*(Z9-Z8),2),0))</f>
        <v>#REF!</v>
      </c>
      <c r="AM53" s="34">
        <f t="shared" si="43"/>
        <v>29117</v>
      </c>
      <c r="AN53" s="57">
        <f t="shared" si="42"/>
        <v>46781</v>
      </c>
      <c r="AO53" s="130">
        <f t="shared" si="12"/>
        <v>1</v>
      </c>
      <c r="AP53" s="553">
        <f t="shared" si="28"/>
        <v>45</v>
      </c>
      <c r="AQ53" s="554">
        <f t="shared" si="13"/>
        <v>45963</v>
      </c>
      <c r="AR53" s="555">
        <f t="shared" si="40"/>
        <v>0.17899999999999999</v>
      </c>
      <c r="AS53" s="546">
        <f t="shared" si="14"/>
        <v>29117</v>
      </c>
      <c r="AT53" s="546">
        <f t="shared" si="15"/>
        <v>29117</v>
      </c>
      <c r="AU53" s="546">
        <f t="shared" si="16"/>
        <v>13304.408070380316</v>
      </c>
      <c r="AV53" s="546">
        <f t="shared" si="17"/>
        <v>15812.591929619684</v>
      </c>
      <c r="AW53" s="546">
        <f t="shared" si="4"/>
        <v>0</v>
      </c>
      <c r="AX53" s="546">
        <v>0</v>
      </c>
      <c r="AY53" s="546">
        <f t="shared" si="18"/>
        <v>13304.408070380316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859319.67436859896</v>
      </c>
      <c r="BH53" s="108">
        <f t="shared" si="29"/>
        <v>40</v>
      </c>
      <c r="BI53" s="108">
        <f t="shared" si="24"/>
        <v>40</v>
      </c>
      <c r="BJ53" s="22">
        <f t="shared" si="25"/>
        <v>45963</v>
      </c>
      <c r="BK53" s="108">
        <f t="shared" si="6"/>
        <v>29910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45993</v>
      </c>
      <c r="I54" s="246">
        <f t="shared" si="30"/>
        <v>0.17899999999999999</v>
      </c>
      <c r="J54" s="242">
        <f t="shared" si="0"/>
        <v>29910</v>
      </c>
      <c r="K54" s="242">
        <f t="shared" si="21"/>
        <v>29910</v>
      </c>
      <c r="L54" s="242">
        <f t="shared" si="8"/>
        <v>12987.064188599597</v>
      </c>
      <c r="M54" s="242">
        <f t="shared" si="22"/>
        <v>16922.935811400403</v>
      </c>
      <c r="N54" s="242">
        <f t="shared" si="1"/>
        <v>0</v>
      </c>
      <c r="O54" s="242">
        <v>0</v>
      </c>
      <c r="P54" s="242">
        <f t="shared" si="23"/>
        <v>12987.064188599597</v>
      </c>
      <c r="Q54" s="242">
        <f t="shared" si="2"/>
        <v>0</v>
      </c>
      <c r="R54" s="242">
        <f t="shared" si="9"/>
        <v>0</v>
      </c>
      <c r="S54" s="242">
        <f t="shared" si="10"/>
        <v>865810.47738019237</v>
      </c>
      <c r="T54" s="467"/>
      <c r="U54" s="198">
        <f t="shared" si="27"/>
        <v>39</v>
      </c>
      <c r="V54" s="36">
        <f t="shared" si="11"/>
        <v>39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29910</v>
      </c>
      <c r="Y54" s="57">
        <f t="shared" si="39"/>
        <v>48606</v>
      </c>
      <c r="Z54" s="2"/>
      <c r="AA54" s="2"/>
      <c r="AB54" s="2"/>
      <c r="AC54" s="1"/>
      <c r="AD54" s="7">
        <f>H8</f>
        <v>44591</v>
      </c>
      <c r="AE54" s="47">
        <f>(C23+AI51)*AG36/12*(1+AG36/12)^(C10)/((1+AG36/12)^(C10)-1)+C23/10000*IF(C10&lt;11,20,IF(C10&lt;20,2.5,IF(C10&lt;37,1.5,IF(C10&lt;60,0.7,0.5))))*IF(AG36&lt;0.3,AG36/0.2,AG36/0.1)</f>
        <v>29973.549413807177</v>
      </c>
      <c r="AF54" s="2"/>
      <c r="AG54" s="47">
        <f>(D23+AI51)*AE14/12*(1+AE14/12)^(C10)/((1+AE14/12)^(C10)-1)+D23/10000*IF(C10&lt;11,20,IF(C10&lt;20,2.5,IF(C10&lt;37,1.5,IF(C10&lt;60,0.7,0.5))))*IF(AE14&lt;0.3,AE14/0.2,AE14/0.1)</f>
        <v>29178.757463609272</v>
      </c>
      <c r="AH54" s="2"/>
      <c r="AI54" s="2"/>
      <c r="AJ54" s="2"/>
      <c r="AK54" s="2"/>
      <c r="AL54" s="2" t="e">
        <f>IF(AND(Y10&gt;=$W$11,Y10&lt;=$W$11+5),0,IF($C$9&gt;$AF$51,ROUND(AI14*#REF!/(DATEVALUE(CONCATENATE("01/01/",YEAR(Z10)+1))-DATEVALUE(CONCATENATE("01/01/",YEAR(Z10))))*(Z10-Z9),2),0))</f>
        <v>#REF!</v>
      </c>
      <c r="AM54" s="34">
        <f t="shared" si="43"/>
        <v>29117</v>
      </c>
      <c r="AN54" s="57">
        <f t="shared" si="42"/>
        <v>47146</v>
      </c>
      <c r="AO54" s="130">
        <f t="shared" si="12"/>
        <v>1</v>
      </c>
      <c r="AP54" s="553">
        <f t="shared" si="28"/>
        <v>46</v>
      </c>
      <c r="AQ54" s="554">
        <f t="shared" si="13"/>
        <v>45993</v>
      </c>
      <c r="AR54" s="555">
        <f t="shared" si="40"/>
        <v>0.17899999999999999</v>
      </c>
      <c r="AS54" s="546">
        <f t="shared" si="14"/>
        <v>29117</v>
      </c>
      <c r="AT54" s="546">
        <f t="shared" si="15"/>
        <v>29117</v>
      </c>
      <c r="AU54" s="546">
        <f t="shared" si="16"/>
        <v>12642.593565368154</v>
      </c>
      <c r="AV54" s="546">
        <f t="shared" si="17"/>
        <v>16474.406434631848</v>
      </c>
      <c r="AW54" s="546">
        <f t="shared" si="4"/>
        <v>0</v>
      </c>
      <c r="AX54" s="546">
        <v>0</v>
      </c>
      <c r="AY54" s="546">
        <f t="shared" si="18"/>
        <v>12642.593565368154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842845.26793396706</v>
      </c>
      <c r="BH54" s="108">
        <f t="shared" si="29"/>
        <v>39</v>
      </c>
      <c r="BI54" s="108">
        <f t="shared" si="24"/>
        <v>39</v>
      </c>
      <c r="BJ54" s="22">
        <f t="shared" si="25"/>
        <v>45993</v>
      </c>
      <c r="BK54" s="108">
        <f t="shared" si="6"/>
        <v>29910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46024</v>
      </c>
      <c r="I55" s="246">
        <f t="shared" si="30"/>
        <v>0.17899999999999999</v>
      </c>
      <c r="J55" s="242">
        <f t="shared" si="0"/>
        <v>29910</v>
      </c>
      <c r="K55" s="242">
        <f t="shared" si="21"/>
        <v>29910</v>
      </c>
      <c r="L55" s="242">
        <f t="shared" si="8"/>
        <v>13162.691339678597</v>
      </c>
      <c r="M55" s="242">
        <f t="shared" si="22"/>
        <v>16747.308660321403</v>
      </c>
      <c r="N55" s="242">
        <f t="shared" si="1"/>
        <v>0</v>
      </c>
      <c r="O55" s="242">
        <v>0</v>
      </c>
      <c r="P55" s="242">
        <f t="shared" si="23"/>
        <v>13162.691339678597</v>
      </c>
      <c r="Q55" s="242">
        <f t="shared" si="2"/>
        <v>0</v>
      </c>
      <c r="R55" s="242">
        <f t="shared" si="9"/>
        <v>0</v>
      </c>
      <c r="S55" s="242">
        <f t="shared" si="10"/>
        <v>849063.16871987097</v>
      </c>
      <c r="T55" s="467"/>
      <c r="U55" s="198">
        <f t="shared" si="27"/>
        <v>38</v>
      </c>
      <c r="V55" s="36">
        <f t="shared" si="11"/>
        <v>38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29910</v>
      </c>
      <c r="Y55" s="57">
        <f t="shared" si="39"/>
        <v>48971</v>
      </c>
      <c r="AA55" s="170" t="s">
        <v>134</v>
      </c>
      <c r="AD55" s="47">
        <f>IF(DAY(C9)&lt;4,AE54,IF(DAY(C9)&gt;28,AE56,AE55))</f>
        <v>29909.689418557176</v>
      </c>
      <c r="AE55" s="47">
        <f>(C23+AI51)*AG36/12*(1+AG36/12)^(C10)/((1+AG36/12)^(C10)-1)+C23/10000*IF(C10&lt;11,20,IF(C10&lt;34,0.7,IF(C10&lt;58,0.3,0.1)))*IF(AG36&lt;0.3,AG36/0.2,AG36/0.1)</f>
        <v>29922.461417607177</v>
      </c>
      <c r="AF55" s="13">
        <f>IF(DAY(C9)&lt;4,AG54,IF(DAY(C9)&gt;28,AG56,AG55))</f>
        <v>29116.590808359273</v>
      </c>
      <c r="AG55" s="156">
        <f>(D23+AI51)*AE14/12*(1+AE14/12)^(C10)/((1+AE14/12)^(C10)-1)+D23/10000*IF(C10&lt;11,20,IF(C10&lt;34,0.7,IF(C10&lt;58,0.3,0.1)))*IF(AE14&lt;0.3,AE14/0.2,AE14/0.1)</f>
        <v>29129.024139409274</v>
      </c>
      <c r="AH55" s="2"/>
      <c r="AI55" s="2"/>
      <c r="AJ55" s="2"/>
      <c r="AK55" s="2"/>
      <c r="AL55" s="2" t="e">
        <f>IF(AND(Y11&gt;=$W$11,Y11&lt;=$W$11+5),0,IF($C$9&gt;$AF$51,ROUND(AI15*#REF!/(DATEVALUE(CONCATENATE("01/01/",YEAR(Z11)+1))-DATEVALUE(CONCATENATE("01/01/",YEAR(Z11))))*(Z11-Z10),2),0))</f>
        <v>#REF!</v>
      </c>
      <c r="AM55" s="34">
        <f t="shared" si="43"/>
        <v>29117</v>
      </c>
      <c r="AN55" s="57">
        <f t="shared" si="42"/>
        <v>47511</v>
      </c>
      <c r="AO55" s="130">
        <f t="shared" si="12"/>
        <v>1</v>
      </c>
      <c r="AP55" s="553">
        <f t="shared" si="28"/>
        <v>47</v>
      </c>
      <c r="AQ55" s="554">
        <f t="shared" si="13"/>
        <v>46024</v>
      </c>
      <c r="AR55" s="555">
        <f t="shared" si="40"/>
        <v>0.17899999999999999</v>
      </c>
      <c r="AS55" s="546">
        <f t="shared" si="14"/>
        <v>29117</v>
      </c>
      <c r="AT55" s="546">
        <f t="shared" si="15"/>
        <v>29117</v>
      </c>
      <c r="AU55" s="546">
        <f t="shared" si="16"/>
        <v>12813.557237713927</v>
      </c>
      <c r="AV55" s="546">
        <f t="shared" si="17"/>
        <v>16303.442762286073</v>
      </c>
      <c r="AW55" s="546">
        <f t="shared" si="4"/>
        <v>0</v>
      </c>
      <c r="AX55" s="546">
        <v>0</v>
      </c>
      <c r="AY55" s="546">
        <f t="shared" si="18"/>
        <v>12813.557237713927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826541.825171681</v>
      </c>
      <c r="BH55" s="108">
        <f t="shared" si="29"/>
        <v>38</v>
      </c>
      <c r="BI55" s="108">
        <f t="shared" si="24"/>
        <v>38</v>
      </c>
      <c r="BJ55" s="22">
        <f t="shared" si="25"/>
        <v>46024</v>
      </c>
      <c r="BK55" s="108">
        <f t="shared" si="6"/>
        <v>29910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46055</v>
      </c>
      <c r="I56" s="250">
        <f t="shared" si="30"/>
        <v>0.17899999999999999</v>
      </c>
      <c r="J56" s="252">
        <f t="shared" si="0"/>
        <v>29910</v>
      </c>
      <c r="K56" s="252">
        <f t="shared" si="21"/>
        <v>29910</v>
      </c>
      <c r="L56" s="252">
        <f t="shared" si="8"/>
        <v>12908.086365004285</v>
      </c>
      <c r="M56" s="252">
        <f t="shared" si="22"/>
        <v>17001.913634995715</v>
      </c>
      <c r="N56" s="252">
        <f t="shared" si="1"/>
        <v>0</v>
      </c>
      <c r="O56" s="252">
        <v>0</v>
      </c>
      <c r="P56" s="252">
        <f t="shared" si="23"/>
        <v>12908.086365004285</v>
      </c>
      <c r="Q56" s="252">
        <f t="shared" si="2"/>
        <v>0</v>
      </c>
      <c r="R56" s="252">
        <f t="shared" si="9"/>
        <v>0</v>
      </c>
      <c r="S56" s="252">
        <f t="shared" si="10"/>
        <v>832061.25508487527</v>
      </c>
      <c r="T56" s="468"/>
      <c r="U56" s="198">
        <f t="shared" si="27"/>
        <v>37</v>
      </c>
      <c r="V56" s="36">
        <f t="shared" si="11"/>
        <v>37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29910</v>
      </c>
      <c r="Y56" s="57">
        <f t="shared" si="39"/>
        <v>49336</v>
      </c>
      <c r="AA56" s="171">
        <v>20000</v>
      </c>
      <c r="AB56" s="133" t="s">
        <v>135</v>
      </c>
      <c r="AC56" s="118">
        <f>ROUNDUP(AD56/AG47,0)*AG47</f>
        <v>25750</v>
      </c>
      <c r="AD56" s="13">
        <f>(C23+AI51)*AC57/12*(1+AC57/12)^(C10+AD57)/((1+AC57/12)^(C10+AD57)-1)+10*C23/100000*IF(C10+AD57&lt;24,4,IF(C10+AD57&lt;36,3,IF(C10+AD57&lt;48,2,IF(C10+AD57&lt;60,1.5,1))))*AC57/0.2</f>
        <v>25749.05009276608</v>
      </c>
      <c r="AE56" s="47">
        <f>(C23+AI51)*AG36/12*(1+AG36/12)^(C10)/((1+AG36/12)^(C10)-1)+C23/10000*IF(C10&lt;11,20,IF(C10&lt;34,0.7,IF(C10&lt;48,0.3,0)))*IF(AG36&lt;0.3,AG36/0.2,AG36/0.1)</f>
        <v>29909.689418557176</v>
      </c>
      <c r="AF56" s="13">
        <f>(D23+AI51)*AF57/12*(1+AF57/12)^(C10+AD57)/((1+AF57/12)^(C10+AD57)-1)+10*D23/100000*IF(C10+AD57&lt;24,4,IF(C10+AD57&lt;36,3,IF(C10+AD57&lt;48,2,IF(C10+AD57&lt;60,1.5,1))))*AF57/0.2</f>
        <v>25066.27684304391</v>
      </c>
      <c r="AG56" s="157">
        <f>(D23+AI51)*AE14/12*(1+AE14/12)^(C10)/((1+AE14/12)^(C10)-1)+D23/10000*IF(C10&lt;11,20,IF(C10&lt;34,0.7,IF(C10&lt;48,0.3,0)))*IF(AE14&lt;0.3,AE14/0.2,AE14/0.1)</f>
        <v>29116.590808359273</v>
      </c>
      <c r="AH56" s="2"/>
      <c r="AI56" s="2"/>
      <c r="AJ56" s="2"/>
      <c r="AK56" s="2"/>
      <c r="AL56" s="2" t="e">
        <f>IF(AND(Y12&gt;=$W$11,Y12&lt;=$W$11+5),0,IF($C$9&gt;$AF$51,ROUND(AI16*#REF!/(DATEVALUE(CONCATENATE("01/01/",YEAR(Z12)+1))-DATEVALUE(CONCATENATE("01/01/",YEAR(Z12))))*(Z12-Z11),2),0))</f>
        <v>#REF!</v>
      </c>
      <c r="AM56" s="34">
        <f t="shared" si="43"/>
        <v>29117</v>
      </c>
      <c r="AN56" s="57">
        <f t="shared" si="42"/>
        <v>47876</v>
      </c>
      <c r="AO56" s="130">
        <f t="shared" si="12"/>
        <v>1</v>
      </c>
      <c r="AP56" s="556">
        <f t="shared" si="28"/>
        <v>48</v>
      </c>
      <c r="AQ56" s="582">
        <f t="shared" si="13"/>
        <v>46055</v>
      </c>
      <c r="AR56" s="557">
        <f t="shared" si="40"/>
        <v>0.17899999999999999</v>
      </c>
      <c r="AS56" s="547">
        <f t="shared" si="14"/>
        <v>29117</v>
      </c>
      <c r="AT56" s="547">
        <f t="shared" si="15"/>
        <v>29117</v>
      </c>
      <c r="AU56" s="547">
        <f t="shared" si="16"/>
        <v>12565.700240760707</v>
      </c>
      <c r="AV56" s="547">
        <f t="shared" si="17"/>
        <v>16551.299759239293</v>
      </c>
      <c r="AW56" s="547">
        <f t="shared" si="4"/>
        <v>0</v>
      </c>
      <c r="AX56" s="547">
        <v>0</v>
      </c>
      <c r="AY56" s="547">
        <f t="shared" si="18"/>
        <v>12565.700240760707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809990.5254124417</v>
      </c>
      <c r="BH56" s="108">
        <f t="shared" si="29"/>
        <v>37</v>
      </c>
      <c r="BI56" s="108">
        <f t="shared" si="24"/>
        <v>37</v>
      </c>
      <c r="BJ56" s="22">
        <f t="shared" si="25"/>
        <v>46055</v>
      </c>
      <c r="BK56" s="108">
        <f t="shared" si="6"/>
        <v>29910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46083</v>
      </c>
      <c r="I57" s="246">
        <f t="shared" si="30"/>
        <v>0.17899999999999999</v>
      </c>
      <c r="J57" s="242">
        <f t="shared" si="0"/>
        <v>29910</v>
      </c>
      <c r="K57" s="242">
        <f t="shared" si="21"/>
        <v>29910</v>
      </c>
      <c r="L57" s="242">
        <f t="shared" si="8"/>
        <v>11425.454823247657</v>
      </c>
      <c r="M57" s="242">
        <f t="shared" si="22"/>
        <v>18484.545176752341</v>
      </c>
      <c r="N57" s="242">
        <f t="shared" si="1"/>
        <v>0</v>
      </c>
      <c r="O57" s="242">
        <v>0</v>
      </c>
      <c r="P57" s="242">
        <f t="shared" si="23"/>
        <v>11425.454823247657</v>
      </c>
      <c r="Q57" s="242">
        <f t="shared" si="2"/>
        <v>0</v>
      </c>
      <c r="R57" s="242">
        <f t="shared" si="9"/>
        <v>0</v>
      </c>
      <c r="S57" s="242">
        <f t="shared" si="10"/>
        <v>813576.7099081229</v>
      </c>
      <c r="T57" s="467"/>
      <c r="U57" s="198">
        <f t="shared" si="27"/>
        <v>36</v>
      </c>
      <c r="V57" s="36">
        <f t="shared" si="11"/>
        <v>36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29910</v>
      </c>
      <c r="Y57" s="57">
        <f t="shared" si="39"/>
        <v>49701</v>
      </c>
      <c r="AA57" s="171">
        <v>200000</v>
      </c>
      <c r="AB57" s="171">
        <v>200000</v>
      </c>
      <c r="AC57" s="15">
        <f>IF(C9&gt;AH48,C11,C11+0.05)</f>
        <v>0.17899999999999999</v>
      </c>
      <c r="AD57" s="2">
        <f xml:space="preserve"> IF(C9&gt;AH48,36,24)</f>
        <v>36</v>
      </c>
      <c r="AE57" s="44">
        <f>(C23+AI51)*AG36/12*(1+AG36/12)^(C10)/((1+AG36/12)^(C10)-1)</f>
        <v>29909.689418557176</v>
      </c>
      <c r="AF57" s="15">
        <f>IF(C9&gt;AH48,D13,D13+0.05)</f>
        <v>0.17899999999999999</v>
      </c>
      <c r="AG57" s="118">
        <f>(D23+AI51)*AE14/12*(1+AE14/12)^(C10)/((1+AE14/12)^(C10)-1)</f>
        <v>29116.590808359273</v>
      </c>
      <c r="AH57" s="2"/>
      <c r="AI57" s="2"/>
      <c r="AJ57" s="2"/>
      <c r="AK57" s="2"/>
      <c r="AL57" s="2" t="e">
        <f>IF(AND(Y13&gt;=$W$11,Y13&lt;=$W$11+5),0,IF($C$9&gt;$AF$51,ROUND(AI17*#REF!/(DATEVALUE(CONCATENATE("01/01/",YEAR(Z13)+1))-DATEVALUE(CONCATENATE("01/01/",YEAR(Z13))))*(Z13-Z12),2),0))</f>
        <v>#REF!</v>
      </c>
      <c r="AM57" s="34">
        <f t="shared" si="43"/>
        <v>29117</v>
      </c>
      <c r="AN57" s="57">
        <f t="shared" si="42"/>
        <v>48241</v>
      </c>
      <c r="AO57" s="130">
        <f t="shared" si="12"/>
        <v>1</v>
      </c>
      <c r="AP57" s="553">
        <f t="shared" si="28"/>
        <v>49</v>
      </c>
      <c r="AQ57" s="554">
        <f t="shared" si="13"/>
        <v>46083</v>
      </c>
      <c r="AR57" s="555">
        <f t="shared" ref="AR57:AR108" si="44">IF($D$16="Да",$AM$40,$D$13)</f>
        <v>0.17899999999999999</v>
      </c>
      <c r="AS57" s="546">
        <f t="shared" si="14"/>
        <v>29117</v>
      </c>
      <c r="AT57" s="546">
        <f t="shared" si="15"/>
        <v>29117</v>
      </c>
      <c r="AU57" s="546">
        <f t="shared" si="16"/>
        <v>11122.390447581254</v>
      </c>
      <c r="AV57" s="546">
        <f t="shared" si="17"/>
        <v>17994.609552418748</v>
      </c>
      <c r="AW57" s="546">
        <f t="shared" si="4"/>
        <v>0</v>
      </c>
      <c r="AX57" s="546">
        <v>0</v>
      </c>
      <c r="AY57" s="546">
        <f t="shared" si="18"/>
        <v>11122.390447581254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791995.915860023</v>
      </c>
      <c r="BH57" s="108">
        <f t="shared" si="29"/>
        <v>36</v>
      </c>
      <c r="BI57" s="108">
        <f t="shared" si="24"/>
        <v>36</v>
      </c>
      <c r="BJ57" s="22">
        <f t="shared" si="25"/>
        <v>46083</v>
      </c>
      <c r="BK57" s="108">
        <f t="shared" si="6"/>
        <v>29910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46114</v>
      </c>
      <c r="I58" s="246">
        <f t="shared" si="30"/>
        <v>0.17899999999999999</v>
      </c>
      <c r="J58" s="242">
        <f t="shared" si="0"/>
        <v>29910</v>
      </c>
      <c r="K58" s="242">
        <f t="shared" si="21"/>
        <v>29910</v>
      </c>
      <c r="L58" s="242">
        <f t="shared" si="8"/>
        <v>12368.594967890887</v>
      </c>
      <c r="M58" s="242">
        <f t="shared" si="22"/>
        <v>17541.405032109113</v>
      </c>
      <c r="N58" s="242">
        <f t="shared" si="1"/>
        <v>0</v>
      </c>
      <c r="O58" s="242">
        <v>0</v>
      </c>
      <c r="P58" s="242">
        <f t="shared" si="23"/>
        <v>12368.594967890887</v>
      </c>
      <c r="Q58" s="242">
        <f t="shared" si="2"/>
        <v>0</v>
      </c>
      <c r="R58" s="242">
        <f t="shared" si="9"/>
        <v>0</v>
      </c>
      <c r="S58" s="242">
        <f t="shared" si="10"/>
        <v>796035.30487601378</v>
      </c>
      <c r="T58" s="467"/>
      <c r="U58" s="198">
        <f t="shared" si="27"/>
        <v>35</v>
      </c>
      <c r="V58" s="36">
        <f t="shared" si="11"/>
        <v>35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29910</v>
      </c>
      <c r="Y58" s="57">
        <f t="shared" si="39"/>
        <v>50066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IF(AND(Y14&gt;=$W$11,Y14&lt;=$W$11+5),0,IF($C$9&gt;$AF$51,ROUND(AI18*#REF!/(DATEVALUE(CONCATENATE("01/01/",YEAR(Z14)+1))-DATEVALUE(CONCATENATE("01/01/",YEAR(Z14))))*(Z14-Z13),2),0))</f>
        <v>#REF!</v>
      </c>
      <c r="AM58" s="34">
        <f t="shared" si="43"/>
        <v>29117</v>
      </c>
      <c r="AN58" s="57">
        <f t="shared" si="42"/>
        <v>48606</v>
      </c>
      <c r="AO58" s="130">
        <f t="shared" si="12"/>
        <v>1</v>
      </c>
      <c r="AP58" s="553">
        <f t="shared" si="28"/>
        <v>50</v>
      </c>
      <c r="AQ58" s="554">
        <f t="shared" si="13"/>
        <v>46114</v>
      </c>
      <c r="AR58" s="555">
        <f t="shared" si="44"/>
        <v>0.17899999999999999</v>
      </c>
      <c r="AS58" s="546">
        <f t="shared" si="14"/>
        <v>29117</v>
      </c>
      <c r="AT58" s="546">
        <f t="shared" si="15"/>
        <v>29117</v>
      </c>
      <c r="AU58" s="546">
        <f t="shared" si="16"/>
        <v>12040.507772896624</v>
      </c>
      <c r="AV58" s="546">
        <f t="shared" si="17"/>
        <v>17076.492227103376</v>
      </c>
      <c r="AW58" s="546">
        <f t="shared" si="4"/>
        <v>0</v>
      </c>
      <c r="AX58" s="546">
        <v>0</v>
      </c>
      <c r="AY58" s="546">
        <f t="shared" si="18"/>
        <v>12040.507772896624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774919.42363291967</v>
      </c>
      <c r="BH58" s="108">
        <f t="shared" si="29"/>
        <v>35</v>
      </c>
      <c r="BI58" s="108">
        <f t="shared" si="24"/>
        <v>35</v>
      </c>
      <c r="BJ58" s="22">
        <f t="shared" si="25"/>
        <v>46114</v>
      </c>
      <c r="BK58" s="108">
        <f t="shared" si="6"/>
        <v>29910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46144</v>
      </c>
      <c r="I59" s="246">
        <f t="shared" si="30"/>
        <v>0.17899999999999999</v>
      </c>
      <c r="J59" s="242">
        <f t="shared" si="0"/>
        <v>29910</v>
      </c>
      <c r="K59" s="242">
        <f t="shared" si="21"/>
        <v>29910</v>
      </c>
      <c r="L59" s="242">
        <f t="shared" si="8"/>
        <v>11711.533115573133</v>
      </c>
      <c r="M59" s="242">
        <f t="shared" si="22"/>
        <v>18198.466884426867</v>
      </c>
      <c r="N59" s="242">
        <f t="shared" si="1"/>
        <v>0</v>
      </c>
      <c r="O59" s="242">
        <v>0</v>
      </c>
      <c r="P59" s="242">
        <f t="shared" si="23"/>
        <v>11711.533115573133</v>
      </c>
      <c r="Q59" s="242">
        <f t="shared" si="2"/>
        <v>0</v>
      </c>
      <c r="R59" s="242">
        <f t="shared" si="9"/>
        <v>0</v>
      </c>
      <c r="S59" s="242">
        <f t="shared" si="10"/>
        <v>777836.83799158689</v>
      </c>
      <c r="T59" s="467"/>
      <c r="U59" s="198">
        <f t="shared" si="27"/>
        <v>34</v>
      </c>
      <c r="V59" s="36">
        <f t="shared" si="11"/>
        <v>34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29910</v>
      </c>
      <c r="Y59" s="57">
        <f t="shared" si="39"/>
        <v>50431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IF(AND(Y15&gt;=$W$11,Y15&lt;=$W$11+5),0,IF($C$9&gt;$AF$51,ROUND(AI19*#REF!/(DATEVALUE(CONCATENATE("01/01/",YEAR(Z15)+1))-DATEVALUE(CONCATENATE("01/01/",YEAR(Z15))))*(Z15-Z14),2),0))</f>
        <v>#REF!</v>
      </c>
      <c r="AM59" s="34">
        <f t="shared" si="43"/>
        <v>29117</v>
      </c>
      <c r="AN59" s="57">
        <f t="shared" si="42"/>
        <v>48971</v>
      </c>
      <c r="AO59" s="130">
        <f t="shared" si="12"/>
        <v>1</v>
      </c>
      <c r="AP59" s="553">
        <f t="shared" si="28"/>
        <v>51</v>
      </c>
      <c r="AQ59" s="554">
        <f t="shared" si="13"/>
        <v>46144</v>
      </c>
      <c r="AR59" s="555">
        <f t="shared" si="44"/>
        <v>0.17899999999999999</v>
      </c>
      <c r="AS59" s="546">
        <f t="shared" si="14"/>
        <v>29117</v>
      </c>
      <c r="AT59" s="546">
        <f t="shared" si="15"/>
        <v>29117</v>
      </c>
      <c r="AU59" s="546">
        <f t="shared" si="16"/>
        <v>11400.869328517201</v>
      </c>
      <c r="AV59" s="546">
        <f t="shared" si="17"/>
        <v>17716.130671482799</v>
      </c>
      <c r="AW59" s="546">
        <f t="shared" si="4"/>
        <v>0</v>
      </c>
      <c r="AX59" s="546">
        <v>0</v>
      </c>
      <c r="AY59" s="546">
        <f t="shared" si="18"/>
        <v>11400.869328517201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757203.29296143691</v>
      </c>
      <c r="BH59" s="108">
        <f t="shared" si="29"/>
        <v>34</v>
      </c>
      <c r="BI59" s="108">
        <f t="shared" si="24"/>
        <v>34</v>
      </c>
      <c r="BJ59" s="22">
        <f t="shared" si="25"/>
        <v>46144</v>
      </c>
      <c r="BK59" s="108">
        <f t="shared" si="6"/>
        <v>29910</v>
      </c>
      <c r="BL59" s="2">
        <f>IF(AND(G14&gt;=$W$11,G14&lt;=$W$11+5),0,IF($C$9&gt;$AF$51,ROUND(BG13*IF(#REF!="",0,#REF!)/(DATEVALUE(CONCATENATE("01/01/",YEAR(AQ14)+1))-DATEVALUE(CONCATENATE("01/01/",YEAR(AQ14))))*(AQ14-AQ13),2),0))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46175</v>
      </c>
      <c r="I60" s="246">
        <f t="shared" si="30"/>
        <v>0.17899999999999999</v>
      </c>
      <c r="J60" s="242">
        <f t="shared" si="0"/>
        <v>29910</v>
      </c>
      <c r="K60" s="242">
        <f t="shared" si="21"/>
        <v>29910</v>
      </c>
      <c r="L60" s="242">
        <f t="shared" si="8"/>
        <v>11825.250997302235</v>
      </c>
      <c r="M60" s="242">
        <f t="shared" si="22"/>
        <v>18084.749002697765</v>
      </c>
      <c r="N60" s="242">
        <f t="shared" si="1"/>
        <v>0</v>
      </c>
      <c r="O60" s="242">
        <v>0</v>
      </c>
      <c r="P60" s="242">
        <f t="shared" si="23"/>
        <v>11825.250997302235</v>
      </c>
      <c r="Q60" s="242">
        <f t="shared" si="2"/>
        <v>0</v>
      </c>
      <c r="R60" s="242">
        <f t="shared" si="9"/>
        <v>0</v>
      </c>
      <c r="S60" s="242">
        <f t="shared" si="10"/>
        <v>759752.08898888913</v>
      </c>
      <c r="T60" s="467"/>
      <c r="U60" s="198">
        <f t="shared" si="27"/>
        <v>33</v>
      </c>
      <c r="V60" s="36">
        <f t="shared" si="11"/>
        <v>33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29910</v>
      </c>
      <c r="Y60" s="57">
        <f t="shared" si="39"/>
        <v>50796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IF(AND(Y16&gt;=$W$11,Y16&lt;=$W$11+5),0,IF($C$9&gt;$AF$51,ROUND(AI20*#REF!/(DATEVALUE(CONCATENATE("01/01/",YEAR(Z16)+1))-DATEVALUE(CONCATENATE("01/01/",YEAR(Z16))))*(Z16-Z15),2),0))</f>
        <v>#REF!</v>
      </c>
      <c r="AM60" s="34">
        <f t="shared" si="43"/>
        <v>29117</v>
      </c>
      <c r="AN60" s="57">
        <f t="shared" si="42"/>
        <v>49336</v>
      </c>
      <c r="AO60" s="130">
        <f t="shared" si="12"/>
        <v>1</v>
      </c>
      <c r="AP60" s="553">
        <f t="shared" si="28"/>
        <v>52</v>
      </c>
      <c r="AQ60" s="554">
        <f t="shared" si="13"/>
        <v>46175</v>
      </c>
      <c r="AR60" s="555">
        <f t="shared" si="44"/>
        <v>0.17899999999999999</v>
      </c>
      <c r="AS60" s="546">
        <f t="shared" si="14"/>
        <v>29117</v>
      </c>
      <c r="AT60" s="546">
        <f t="shared" si="15"/>
        <v>29117</v>
      </c>
      <c r="AU60" s="546">
        <f t="shared" si="16"/>
        <v>11511.564582583598</v>
      </c>
      <c r="AV60" s="546">
        <f t="shared" si="17"/>
        <v>17605.435417416404</v>
      </c>
      <c r="AW60" s="546">
        <f t="shared" si="4"/>
        <v>0</v>
      </c>
      <c r="AX60" s="546">
        <v>0</v>
      </c>
      <c r="AY60" s="546">
        <f t="shared" si="18"/>
        <v>11511.564582583598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739597.85754402052</v>
      </c>
      <c r="BH60" s="108">
        <f t="shared" si="29"/>
        <v>33</v>
      </c>
      <c r="BI60" s="108">
        <f t="shared" si="24"/>
        <v>33</v>
      </c>
      <c r="BJ60" s="22">
        <f t="shared" si="25"/>
        <v>46175</v>
      </c>
      <c r="BK60" s="108">
        <f t="shared" si="6"/>
        <v>29910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46205</v>
      </c>
      <c r="I61" s="246">
        <f t="shared" si="30"/>
        <v>0.17899999999999999</v>
      </c>
      <c r="J61" s="242">
        <f t="shared" si="0"/>
        <v>29910</v>
      </c>
      <c r="K61" s="242">
        <f t="shared" si="21"/>
        <v>29910</v>
      </c>
      <c r="L61" s="242">
        <f t="shared" si="8"/>
        <v>11177.722514713245</v>
      </c>
      <c r="M61" s="242">
        <f t="shared" si="22"/>
        <v>18732.277485286755</v>
      </c>
      <c r="N61" s="242">
        <f t="shared" si="1"/>
        <v>0</v>
      </c>
      <c r="O61" s="242">
        <v>0</v>
      </c>
      <c r="P61" s="242">
        <f t="shared" si="23"/>
        <v>11177.722514713245</v>
      </c>
      <c r="Q61" s="242">
        <f t="shared" si="2"/>
        <v>0</v>
      </c>
      <c r="R61" s="242">
        <f t="shared" si="9"/>
        <v>0</v>
      </c>
      <c r="S61" s="242">
        <f t="shared" si="10"/>
        <v>741019.81150360242</v>
      </c>
      <c r="T61" s="467"/>
      <c r="U61" s="198">
        <f t="shared" si="27"/>
        <v>32</v>
      </c>
      <c r="V61" s="36">
        <f t="shared" si="11"/>
        <v>32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29910</v>
      </c>
      <c r="Y61" s="57">
        <f t="shared" si="39"/>
        <v>51161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IF(AND(Y17&gt;=$W$11,Y17&lt;=$W$11+5),0,IF($C$9&gt;$AF$51,ROUND(AI21*#REF!/(DATEVALUE(CONCATENATE("01/01/",YEAR(Z17)+1))-DATEVALUE(CONCATENATE("01/01/",YEAR(Z17))))*(Z17-Z16),2),0))</f>
        <v>#REF!</v>
      </c>
      <c r="AM61" s="34">
        <f t="shared" si="43"/>
        <v>29117</v>
      </c>
      <c r="AN61" s="57">
        <f t="shared" si="42"/>
        <v>49701</v>
      </c>
      <c r="AO61" s="130">
        <f t="shared" si="12"/>
        <v>1</v>
      </c>
      <c r="AP61" s="553">
        <f t="shared" si="28"/>
        <v>53</v>
      </c>
      <c r="AQ61" s="554">
        <f t="shared" si="13"/>
        <v>46205</v>
      </c>
      <c r="AR61" s="555">
        <f t="shared" si="44"/>
        <v>0.17899999999999999</v>
      </c>
      <c r="AS61" s="546">
        <f t="shared" si="14"/>
        <v>29117</v>
      </c>
      <c r="AT61" s="546">
        <f t="shared" si="15"/>
        <v>29117</v>
      </c>
      <c r="AU61" s="546">
        <f t="shared" si="16"/>
        <v>10881.206835647643</v>
      </c>
      <c r="AV61" s="546">
        <f t="shared" si="17"/>
        <v>18235.793164352355</v>
      </c>
      <c r="AW61" s="546">
        <f t="shared" si="4"/>
        <v>0</v>
      </c>
      <c r="AX61" s="546">
        <v>0</v>
      </c>
      <c r="AY61" s="546">
        <f t="shared" si="18"/>
        <v>10881.206835647643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721362.06437966821</v>
      </c>
      <c r="BH61" s="108">
        <f t="shared" si="29"/>
        <v>32</v>
      </c>
      <c r="BI61" s="108">
        <f t="shared" si="24"/>
        <v>32</v>
      </c>
      <c r="BJ61" s="22">
        <f t="shared" si="25"/>
        <v>46205</v>
      </c>
      <c r="BK61" s="108">
        <f t="shared" si="6"/>
        <v>29910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46236</v>
      </c>
      <c r="I62" s="246">
        <f t="shared" si="30"/>
        <v>0.17899999999999999</v>
      </c>
      <c r="J62" s="242">
        <f t="shared" si="0"/>
        <v>29910</v>
      </c>
      <c r="K62" s="242">
        <f t="shared" si="21"/>
        <v>29910</v>
      </c>
      <c r="L62" s="242">
        <f t="shared" si="8"/>
        <v>11265.531326119151</v>
      </c>
      <c r="M62" s="242">
        <f t="shared" si="22"/>
        <v>18644.468673880849</v>
      </c>
      <c r="N62" s="242">
        <f t="shared" si="1"/>
        <v>0</v>
      </c>
      <c r="O62" s="242">
        <v>0</v>
      </c>
      <c r="P62" s="242">
        <f t="shared" si="23"/>
        <v>11265.531326119151</v>
      </c>
      <c r="Q62" s="242">
        <f t="shared" si="2"/>
        <v>0</v>
      </c>
      <c r="R62" s="242">
        <f t="shared" si="9"/>
        <v>0</v>
      </c>
      <c r="S62" s="242">
        <f t="shared" si="10"/>
        <v>722375.34282972163</v>
      </c>
      <c r="T62" s="467"/>
      <c r="U62" s="198">
        <f t="shared" si="27"/>
        <v>31</v>
      </c>
      <c r="V62" s="36">
        <f t="shared" si="11"/>
        <v>31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29910</v>
      </c>
      <c r="Y62" s="57">
        <f t="shared" si="39"/>
        <v>51526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IF(AND(Y18&gt;=$W$11,Y18&lt;=$W$11+5),0,IF($C$9&gt;$AF$51,ROUND(AI22*#REF!/(DATEVALUE(CONCATENATE("01/01/",YEAR(Z18)+1))-DATEVALUE(CONCATENATE("01/01/",YEAR(Z18))))*(Z18-Z17),2),0))</f>
        <v>#REF!</v>
      </c>
      <c r="AM62" s="34">
        <f t="shared" si="43"/>
        <v>29117</v>
      </c>
      <c r="AN62" s="57">
        <f t="shared" si="42"/>
        <v>50066</v>
      </c>
      <c r="AO62" s="130">
        <f t="shared" si="12"/>
        <v>1</v>
      </c>
      <c r="AP62" s="553">
        <f t="shared" si="28"/>
        <v>54</v>
      </c>
      <c r="AQ62" s="554">
        <f t="shared" si="13"/>
        <v>46236</v>
      </c>
      <c r="AR62" s="555">
        <f t="shared" si="44"/>
        <v>0.17899999999999999</v>
      </c>
      <c r="AS62" s="546">
        <f t="shared" si="14"/>
        <v>29117</v>
      </c>
      <c r="AT62" s="546">
        <f t="shared" si="15"/>
        <v>29117</v>
      </c>
      <c r="AU62" s="546">
        <f t="shared" si="16"/>
        <v>10966.679712993915</v>
      </c>
      <c r="AV62" s="546">
        <f t="shared" si="17"/>
        <v>18150.320287006085</v>
      </c>
      <c r="AW62" s="546">
        <f t="shared" si="4"/>
        <v>0</v>
      </c>
      <c r="AX62" s="546">
        <v>0</v>
      </c>
      <c r="AY62" s="546">
        <f t="shared" si="18"/>
        <v>10966.679712993915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703211.74409266212</v>
      </c>
      <c r="BH62" s="108">
        <f t="shared" si="29"/>
        <v>31</v>
      </c>
      <c r="BI62" s="108">
        <f t="shared" si="24"/>
        <v>31</v>
      </c>
      <c r="BJ62" s="22">
        <f t="shared" si="25"/>
        <v>46236</v>
      </c>
      <c r="BK62" s="108">
        <f t="shared" si="6"/>
        <v>29910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46267</v>
      </c>
      <c r="I63" s="246">
        <f t="shared" si="30"/>
        <v>0.17899999999999999</v>
      </c>
      <c r="J63" s="242">
        <f t="shared" si="0"/>
        <v>29910</v>
      </c>
      <c r="K63" s="242">
        <f t="shared" si="21"/>
        <v>29910</v>
      </c>
      <c r="L63" s="242">
        <f t="shared" si="8"/>
        <v>10982.084321540069</v>
      </c>
      <c r="M63" s="242">
        <f t="shared" si="22"/>
        <v>18927.915678459933</v>
      </c>
      <c r="N63" s="242">
        <f t="shared" si="1"/>
        <v>0</v>
      </c>
      <c r="O63" s="242">
        <v>0</v>
      </c>
      <c r="P63" s="242">
        <f t="shared" si="23"/>
        <v>10982.084321540069</v>
      </c>
      <c r="Q63" s="242">
        <f t="shared" si="2"/>
        <v>0</v>
      </c>
      <c r="R63" s="242">
        <f t="shared" si="9"/>
        <v>0</v>
      </c>
      <c r="S63" s="242">
        <f t="shared" si="10"/>
        <v>703447.42715126171</v>
      </c>
      <c r="T63" s="467"/>
      <c r="U63" s="198">
        <f t="shared" si="27"/>
        <v>30</v>
      </c>
      <c r="V63" s="36">
        <f t="shared" si="11"/>
        <v>30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29910</v>
      </c>
      <c r="Y63" s="57">
        <f t="shared" si="39"/>
        <v>51891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IF(AND(Y19&gt;=$W$11,Y19&lt;=$W$11+5),0,IF($C$9&gt;$AF$51,ROUND(AI23*#REF!/(DATEVALUE(CONCATENATE("01/01/",YEAR(Z19)+1))-DATEVALUE(CONCATENATE("01/01/",YEAR(Z19))))*(Z19-Z18),2),0))</f>
        <v>#REF!</v>
      </c>
      <c r="AM63" s="34">
        <f t="shared" si="43"/>
        <v>29117</v>
      </c>
      <c r="AN63" s="57">
        <f t="shared" si="42"/>
        <v>50431</v>
      </c>
      <c r="AO63" s="130">
        <f t="shared" si="12"/>
        <v>1</v>
      </c>
      <c r="AP63" s="553">
        <f t="shared" si="28"/>
        <v>55</v>
      </c>
      <c r="AQ63" s="554">
        <f t="shared" si="13"/>
        <v>46267</v>
      </c>
      <c r="AR63" s="555">
        <f t="shared" si="44"/>
        <v>0.17899999999999999</v>
      </c>
      <c r="AS63" s="546">
        <f t="shared" si="14"/>
        <v>29117</v>
      </c>
      <c r="AT63" s="546">
        <f t="shared" si="15"/>
        <v>29117</v>
      </c>
      <c r="AU63" s="546">
        <f t="shared" si="16"/>
        <v>10690.745117726527</v>
      </c>
      <c r="AV63" s="546">
        <f t="shared" si="17"/>
        <v>18426.254882273475</v>
      </c>
      <c r="AW63" s="546">
        <f t="shared" si="4"/>
        <v>0</v>
      </c>
      <c r="AX63" s="546">
        <v>0</v>
      </c>
      <c r="AY63" s="546">
        <f t="shared" si="18"/>
        <v>10690.745117726527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684785.48921038862</v>
      </c>
      <c r="BH63" s="108">
        <f t="shared" si="29"/>
        <v>30</v>
      </c>
      <c r="BI63" s="108">
        <f t="shared" si="24"/>
        <v>30</v>
      </c>
      <c r="BJ63" s="22">
        <f t="shared" si="25"/>
        <v>46267</v>
      </c>
      <c r="BK63" s="108">
        <f t="shared" si="6"/>
        <v>29910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46297</v>
      </c>
      <c r="I64" s="246">
        <f t="shared" si="30"/>
        <v>0.17899999999999999</v>
      </c>
      <c r="J64" s="242">
        <f t="shared" si="0"/>
        <v>29910</v>
      </c>
      <c r="K64" s="242">
        <f t="shared" si="21"/>
        <v>29910</v>
      </c>
      <c r="L64" s="242">
        <f t="shared" si="8"/>
        <v>10349.34981863637</v>
      </c>
      <c r="M64" s="242">
        <f t="shared" si="22"/>
        <v>19560.650181363628</v>
      </c>
      <c r="N64" s="242">
        <f t="shared" si="1"/>
        <v>0</v>
      </c>
      <c r="O64" s="242">
        <v>0</v>
      </c>
      <c r="P64" s="242">
        <f t="shared" si="23"/>
        <v>10349.34981863637</v>
      </c>
      <c r="Q64" s="242">
        <f t="shared" si="2"/>
        <v>0</v>
      </c>
      <c r="R64" s="242">
        <f t="shared" si="9"/>
        <v>0</v>
      </c>
      <c r="S64" s="242">
        <f t="shared" si="10"/>
        <v>683886.77696989803</v>
      </c>
      <c r="T64" s="467"/>
      <c r="U64" s="198">
        <f t="shared" si="27"/>
        <v>29</v>
      </c>
      <c r="V64" s="36">
        <f t="shared" si="11"/>
        <v>29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29910</v>
      </c>
      <c r="Y64" s="57">
        <f t="shared" si="39"/>
        <v>52256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IF(AND(Y20&gt;=$W$11,Y20&lt;=$W$11+5),0,IF($C$9&gt;$AF$51,ROUND(AI24*#REF!/(DATEVALUE(CONCATENATE("01/01/",YEAR(Z20)+1))-DATEVALUE(CONCATENATE("01/01/",YEAR(Z20))))*(Z20-Z19),2),0))</f>
        <v>#REF!</v>
      </c>
      <c r="AM64" s="34">
        <f t="shared" si="43"/>
        <v>29117</v>
      </c>
      <c r="AN64" s="57">
        <f t="shared" si="42"/>
        <v>50796</v>
      </c>
      <c r="AO64" s="130">
        <f t="shared" si="12"/>
        <v>1</v>
      </c>
      <c r="AP64" s="553">
        <f t="shared" si="28"/>
        <v>56</v>
      </c>
      <c r="AQ64" s="554">
        <f t="shared" si="13"/>
        <v>46297</v>
      </c>
      <c r="AR64" s="555">
        <f t="shared" si="44"/>
        <v>0.17899999999999999</v>
      </c>
      <c r="AS64" s="546">
        <f t="shared" si="14"/>
        <v>29117</v>
      </c>
      <c r="AT64" s="546">
        <f t="shared" si="15"/>
        <v>29117</v>
      </c>
      <c r="AU64" s="546">
        <f t="shared" si="16"/>
        <v>10074.789252218594</v>
      </c>
      <c r="AV64" s="546">
        <f t="shared" si="17"/>
        <v>19042.210747781406</v>
      </c>
      <c r="AW64" s="546">
        <f t="shared" si="4"/>
        <v>0</v>
      </c>
      <c r="AX64" s="546">
        <v>0</v>
      </c>
      <c r="AY64" s="546">
        <f t="shared" si="18"/>
        <v>10074.789252218594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665743.27846260718</v>
      </c>
      <c r="BH64" s="108">
        <f t="shared" si="29"/>
        <v>29</v>
      </c>
      <c r="BI64" s="108">
        <f t="shared" si="24"/>
        <v>29</v>
      </c>
      <c r="BJ64" s="22">
        <f t="shared" si="25"/>
        <v>46297</v>
      </c>
      <c r="BK64" s="108">
        <f t="shared" si="6"/>
        <v>29910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46328</v>
      </c>
      <c r="I65" s="246">
        <f t="shared" si="30"/>
        <v>0.17899999999999999</v>
      </c>
      <c r="J65" s="242">
        <f t="shared" si="0"/>
        <v>29910</v>
      </c>
      <c r="K65" s="242">
        <f t="shared" si="21"/>
        <v>29910</v>
      </c>
      <c r="L65" s="242">
        <f t="shared" si="8"/>
        <v>10396.952672345107</v>
      </c>
      <c r="M65" s="242">
        <f t="shared" si="22"/>
        <v>19513.047327654895</v>
      </c>
      <c r="N65" s="242">
        <f t="shared" si="1"/>
        <v>0</v>
      </c>
      <c r="O65" s="242">
        <v>0</v>
      </c>
      <c r="P65" s="242">
        <f t="shared" si="23"/>
        <v>10396.952672345107</v>
      </c>
      <c r="Q65" s="242">
        <f t="shared" si="2"/>
        <v>0</v>
      </c>
      <c r="R65" s="242">
        <f t="shared" si="9"/>
        <v>0</v>
      </c>
      <c r="S65" s="242">
        <f t="shared" si="10"/>
        <v>664373.72964224312</v>
      </c>
      <c r="T65" s="467"/>
      <c r="U65" s="198">
        <f t="shared" si="27"/>
        <v>28</v>
      </c>
      <c r="V65" s="36">
        <f t="shared" si="11"/>
        <v>28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29910</v>
      </c>
      <c r="Y65" s="57">
        <f t="shared" si="39"/>
        <v>52621</v>
      </c>
      <c r="AB65" s="2"/>
      <c r="AC65" s="66">
        <f>IF(AC79&gt;$AA$59,AC64,IF(AC79&gt;$AA$58,AC63,IF(AC79&gt;$AA$57,AC62,AC61)))</f>
        <v>2E-3</v>
      </c>
      <c r="AD65" s="66">
        <f>IF(AD79&gt;$AA$59,AD64,IF(AD79&gt;$AA$58,AD63,IF(AD79&gt;$AA$57,AD62,AD61)))</f>
        <v>2E-3</v>
      </c>
      <c r="AE65" s="66">
        <f>IF(AE79&gt;$AA$59,AE64,IF(AE79&gt;$AA$58,AE63,IF(AE79&gt;$AA$57,AE62,AE61)))</f>
        <v>0</v>
      </c>
      <c r="AF65" s="66">
        <f>IF(AF79&gt;1000000,AF64,IF(AF79&gt;500000,AF63,IF(AF79&gt;200000,AF62,AF61)))</f>
        <v>2E-3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2E-3</v>
      </c>
      <c r="AJ65" s="15" t="s">
        <v>126</v>
      </c>
      <c r="AL65" s="2" t="e">
        <f>IF(AND(Y21&gt;=$W$11,Y21&lt;=$W$11+5),0,IF($C$9&gt;$AF$51,ROUND(AI25*#REF!/(DATEVALUE(CONCATENATE("01/01/",YEAR(Z21)+1))-DATEVALUE(CONCATENATE("01/01/",YEAR(Z21))))*(Z21-Z20),2),0))</f>
        <v>#REF!</v>
      </c>
      <c r="AM65" s="34">
        <f t="shared" si="43"/>
        <v>29117</v>
      </c>
      <c r="AN65" s="57">
        <f t="shared" si="42"/>
        <v>51161</v>
      </c>
      <c r="AO65" s="130">
        <f t="shared" si="12"/>
        <v>1</v>
      </c>
      <c r="AP65" s="553">
        <f t="shared" si="28"/>
        <v>57</v>
      </c>
      <c r="AQ65" s="554">
        <f t="shared" si="13"/>
        <v>46328</v>
      </c>
      <c r="AR65" s="555">
        <f t="shared" si="44"/>
        <v>0.17899999999999999</v>
      </c>
      <c r="AS65" s="546">
        <f t="shared" si="14"/>
        <v>29117</v>
      </c>
      <c r="AT65" s="546">
        <f t="shared" si="15"/>
        <v>29117</v>
      </c>
      <c r="AU65" s="546">
        <f t="shared" si="16"/>
        <v>10121.121786819198</v>
      </c>
      <c r="AV65" s="546">
        <f t="shared" si="17"/>
        <v>18995.878213180804</v>
      </c>
      <c r="AW65" s="546">
        <f t="shared" si="4"/>
        <v>0</v>
      </c>
      <c r="AX65" s="546">
        <v>0</v>
      </c>
      <c r="AY65" s="546">
        <f t="shared" si="18"/>
        <v>10121.121786819198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646747.40024942637</v>
      </c>
      <c r="BH65" s="108">
        <f t="shared" si="29"/>
        <v>28</v>
      </c>
      <c r="BI65" s="108">
        <f t="shared" si="24"/>
        <v>28</v>
      </c>
      <c r="BJ65" s="22">
        <f t="shared" si="25"/>
        <v>46328</v>
      </c>
      <c r="BK65" s="108">
        <f t="shared" si="6"/>
        <v>29910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46358</v>
      </c>
      <c r="I66" s="246">
        <f t="shared" si="30"/>
        <v>0.17899999999999999</v>
      </c>
      <c r="J66" s="242">
        <f t="shared" si="0"/>
        <v>29910</v>
      </c>
      <c r="K66" s="242">
        <f t="shared" si="21"/>
        <v>29910</v>
      </c>
      <c r="L66" s="242">
        <f t="shared" si="8"/>
        <v>9774.484734736563</v>
      </c>
      <c r="M66" s="242">
        <f t="shared" si="22"/>
        <v>20135.515265263435</v>
      </c>
      <c r="N66" s="242">
        <f t="shared" si="1"/>
        <v>0</v>
      </c>
      <c r="O66" s="242">
        <v>0</v>
      </c>
      <c r="P66" s="242">
        <f t="shared" si="23"/>
        <v>9774.484734736563</v>
      </c>
      <c r="Q66" s="242">
        <f t="shared" si="2"/>
        <v>0</v>
      </c>
      <c r="R66" s="242">
        <f t="shared" si="9"/>
        <v>0</v>
      </c>
      <c r="S66" s="242">
        <f t="shared" si="10"/>
        <v>644238.21437697974</v>
      </c>
      <c r="T66" s="467"/>
      <c r="U66" s="198">
        <f t="shared" si="27"/>
        <v>27</v>
      </c>
      <c r="V66" s="36">
        <f t="shared" si="11"/>
        <v>27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29910</v>
      </c>
      <c r="Y66" s="57">
        <f t="shared" si="39"/>
        <v>52986</v>
      </c>
      <c r="AA66" s="133" t="s">
        <v>96</v>
      </c>
      <c r="AB66" s="15"/>
      <c r="AC66" s="143">
        <f>AC65*AC79*IF($C$10&gt;60,60,$C$10)</f>
        <v>132000</v>
      </c>
      <c r="AD66" s="143">
        <f>AD65*AD79*IF($C$10&gt;60,60,$C$10)</f>
        <v>171600</v>
      </c>
      <c r="AE66" s="143">
        <f>AE65*AE79*IF($C$10&gt;60,60,$C$10)</f>
        <v>0</v>
      </c>
      <c r="AF66" s="143">
        <f>AF65*AF79*IF($C$10&gt;60,60,$C$10)</f>
        <v>132000</v>
      </c>
      <c r="AG66" s="143">
        <f t="shared" ref="AG66:AH66" si="46">AG65*AG79*$C$10</f>
        <v>0</v>
      </c>
      <c r="AH66" s="143">
        <f t="shared" si="46"/>
        <v>92400</v>
      </c>
      <c r="AI66" s="143">
        <f>AI65*AI79*$C$10</f>
        <v>184800</v>
      </c>
      <c r="AJ66" s="143">
        <f>AI66+AH66</f>
        <v>277200</v>
      </c>
      <c r="AL66" s="2" t="e">
        <f>IF(AND(Y22&gt;=$W$11,Y22&lt;=$W$11+5),0,IF($C$9&gt;$AF$51,ROUND(AI26*#REF!/(DATEVALUE(CONCATENATE("01/01/",YEAR(Z22)+1))-DATEVALUE(CONCATENATE("01/01/",YEAR(Z22))))*(Z22-Z21),2),0))</f>
        <v>#REF!</v>
      </c>
      <c r="AM66" s="34">
        <f t="shared" si="43"/>
        <v>29117</v>
      </c>
      <c r="AN66" s="57">
        <f t="shared" si="42"/>
        <v>51526</v>
      </c>
      <c r="AO66" s="130">
        <f t="shared" si="12"/>
        <v>1</v>
      </c>
      <c r="AP66" s="553">
        <f t="shared" si="28"/>
        <v>58</v>
      </c>
      <c r="AQ66" s="554">
        <f t="shared" si="13"/>
        <v>46358</v>
      </c>
      <c r="AR66" s="555">
        <f t="shared" si="44"/>
        <v>0.17899999999999999</v>
      </c>
      <c r="AS66" s="546">
        <f t="shared" si="14"/>
        <v>29117</v>
      </c>
      <c r="AT66" s="546">
        <f t="shared" si="15"/>
        <v>29117</v>
      </c>
      <c r="AU66" s="546">
        <f t="shared" si="16"/>
        <v>9515.1603817518335</v>
      </c>
      <c r="AV66" s="546">
        <f t="shared" si="17"/>
        <v>19601.839618248167</v>
      </c>
      <c r="AW66" s="546">
        <f t="shared" si="4"/>
        <v>0</v>
      </c>
      <c r="AX66" s="546">
        <v>0</v>
      </c>
      <c r="AY66" s="546">
        <f t="shared" si="18"/>
        <v>9515.1603817518335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627145.5606311782</v>
      </c>
      <c r="BH66" s="108">
        <f t="shared" si="29"/>
        <v>27</v>
      </c>
      <c r="BI66" s="108">
        <f t="shared" si="24"/>
        <v>27</v>
      </c>
      <c r="BJ66" s="22">
        <f t="shared" si="25"/>
        <v>46358</v>
      </c>
      <c r="BK66" s="108">
        <f t="shared" si="6"/>
        <v>29910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46389</v>
      </c>
      <c r="I67" s="246">
        <f t="shared" si="30"/>
        <v>0.17899999999999999</v>
      </c>
      <c r="J67" s="242">
        <f t="shared" si="0"/>
        <v>29910</v>
      </c>
      <c r="K67" s="242">
        <f t="shared" si="21"/>
        <v>29910</v>
      </c>
      <c r="L67" s="242">
        <f t="shared" si="8"/>
        <v>9794.1858947338642</v>
      </c>
      <c r="M67" s="242">
        <f t="shared" si="22"/>
        <v>20115.814105266138</v>
      </c>
      <c r="N67" s="242">
        <f t="shared" si="1"/>
        <v>0</v>
      </c>
      <c r="O67" s="242">
        <v>0</v>
      </c>
      <c r="P67" s="242">
        <f t="shared" si="23"/>
        <v>9794.1858947338642</v>
      </c>
      <c r="Q67" s="242">
        <f t="shared" si="2"/>
        <v>0</v>
      </c>
      <c r="R67" s="242">
        <f t="shared" si="9"/>
        <v>0</v>
      </c>
      <c r="S67" s="242">
        <f t="shared" si="10"/>
        <v>624122.40027171362</v>
      </c>
      <c r="T67" s="467"/>
      <c r="U67" s="198">
        <f t="shared" si="27"/>
        <v>26</v>
      </c>
      <c r="V67" s="36">
        <f t="shared" si="11"/>
        <v>26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29910</v>
      </c>
      <c r="Y67" s="57">
        <f t="shared" si="39"/>
        <v>53351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29117</v>
      </c>
      <c r="AN67" s="57">
        <f t="shared" si="42"/>
        <v>51891</v>
      </c>
      <c r="AO67" s="130">
        <f t="shared" si="12"/>
        <v>1</v>
      </c>
      <c r="AP67" s="553">
        <f t="shared" si="28"/>
        <v>59</v>
      </c>
      <c r="AQ67" s="554">
        <f t="shared" si="13"/>
        <v>46389</v>
      </c>
      <c r="AR67" s="555">
        <f t="shared" si="44"/>
        <v>0.17899999999999999</v>
      </c>
      <c r="AS67" s="546">
        <f t="shared" si="14"/>
        <v>29117</v>
      </c>
      <c r="AT67" s="546">
        <f t="shared" si="15"/>
        <v>29117</v>
      </c>
      <c r="AU67" s="546">
        <f t="shared" si="16"/>
        <v>9534.3307286093368</v>
      </c>
      <c r="AV67" s="546">
        <f t="shared" si="17"/>
        <v>19582.669271390663</v>
      </c>
      <c r="AW67" s="546">
        <f t="shared" si="4"/>
        <v>0</v>
      </c>
      <c r="AX67" s="546">
        <v>0</v>
      </c>
      <c r="AY67" s="546">
        <f t="shared" si="18"/>
        <v>9534.3307286093368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607562.89135978755</v>
      </c>
      <c r="BH67" s="108">
        <f t="shared" si="29"/>
        <v>26</v>
      </c>
      <c r="BI67" s="108">
        <f t="shared" si="24"/>
        <v>26</v>
      </c>
      <c r="BJ67" s="22">
        <f t="shared" si="25"/>
        <v>46389</v>
      </c>
      <c r="BK67" s="108">
        <f t="shared" si="6"/>
        <v>29910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46420</v>
      </c>
      <c r="I68" s="250">
        <f t="shared" si="30"/>
        <v>0.17899999999999999</v>
      </c>
      <c r="J68" s="242">
        <f t="shared" si="0"/>
        <v>29910</v>
      </c>
      <c r="K68" s="252">
        <f t="shared" si="21"/>
        <v>29910</v>
      </c>
      <c r="L68" s="252">
        <f t="shared" si="8"/>
        <v>9488.3704085143527</v>
      </c>
      <c r="M68" s="252">
        <f t="shared" si="22"/>
        <v>20421.629591485646</v>
      </c>
      <c r="N68" s="252">
        <f t="shared" si="1"/>
        <v>0</v>
      </c>
      <c r="O68" s="252">
        <v>0</v>
      </c>
      <c r="P68" s="252">
        <f t="shared" si="23"/>
        <v>9488.3704085143527</v>
      </c>
      <c r="Q68" s="252">
        <f t="shared" si="2"/>
        <v>0</v>
      </c>
      <c r="R68" s="252">
        <f t="shared" si="9"/>
        <v>0</v>
      </c>
      <c r="S68" s="252">
        <f t="shared" si="10"/>
        <v>603700.77068022802</v>
      </c>
      <c r="T68" s="252"/>
      <c r="U68" s="198">
        <f t="shared" si="27"/>
        <v>25</v>
      </c>
      <c r="V68" s="36">
        <f t="shared" si="11"/>
        <v>25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29910</v>
      </c>
      <c r="Y68" s="57">
        <f t="shared" si="39"/>
        <v>53716</v>
      </c>
      <c r="AA68" s="170">
        <v>300001</v>
      </c>
      <c r="AB68" s="135">
        <v>160000</v>
      </c>
      <c r="AL68" s="2" t="e">
        <f>IF(AND(Y24&gt;=$W$11,Y24&lt;=$W$11+5),0,IF($C$9&gt;$AF$51,ROUND(AI28*#REF!/(DATEVALUE(CONCATENATE("01/01/",YEAR(Z24)+1))-DATEVALUE(CONCATENATE("01/01/",YEAR(Z24))))*(Z24-Z23),2),0))</f>
        <v>#REF!</v>
      </c>
      <c r="AM68" s="34">
        <f t="shared" si="43"/>
        <v>29117</v>
      </c>
      <c r="AN68" s="57">
        <f t="shared" si="42"/>
        <v>52256</v>
      </c>
      <c r="AO68" s="130">
        <f t="shared" si="12"/>
        <v>1</v>
      </c>
      <c r="AP68" s="556">
        <f t="shared" si="28"/>
        <v>60</v>
      </c>
      <c r="AQ68" s="582">
        <f t="shared" si="13"/>
        <v>46420</v>
      </c>
      <c r="AR68" s="557">
        <f t="shared" si="44"/>
        <v>0.17899999999999999</v>
      </c>
      <c r="AS68" s="547">
        <f t="shared" si="14"/>
        <v>29117</v>
      </c>
      <c r="AT68" s="547">
        <f t="shared" si="15"/>
        <v>29117</v>
      </c>
      <c r="AU68" s="547">
        <f t="shared" si="16"/>
        <v>9236.6205045355109</v>
      </c>
      <c r="AV68" s="547">
        <f t="shared" si="17"/>
        <v>19880.379495464491</v>
      </c>
      <c r="AW68" s="547">
        <f t="shared" si="4"/>
        <v>0</v>
      </c>
      <c r="AX68" s="547">
        <v>0</v>
      </c>
      <c r="AY68" s="547">
        <f t="shared" si="18"/>
        <v>9236.6205045355109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587682.51186432305</v>
      </c>
      <c r="BH68" s="108">
        <f t="shared" si="29"/>
        <v>25</v>
      </c>
      <c r="BI68" s="108">
        <f t="shared" si="24"/>
        <v>25</v>
      </c>
      <c r="BJ68" s="22">
        <f t="shared" si="25"/>
        <v>46420</v>
      </c>
      <c r="BK68" s="108">
        <f t="shared" si="6"/>
        <v>29910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46448</v>
      </c>
      <c r="I69" s="246">
        <f t="shared" si="30"/>
        <v>0.17899999999999999</v>
      </c>
      <c r="J69" s="242">
        <f t="shared" si="0"/>
        <v>29910</v>
      </c>
      <c r="K69" s="242">
        <f t="shared" si="21"/>
        <v>29910</v>
      </c>
      <c r="L69" s="242">
        <f t="shared" si="8"/>
        <v>8289.7212675323372</v>
      </c>
      <c r="M69" s="242">
        <f t="shared" si="22"/>
        <v>21620.278732467661</v>
      </c>
      <c r="N69" s="242">
        <f t="shared" si="1"/>
        <v>0</v>
      </c>
      <c r="O69" s="242">
        <v>0</v>
      </c>
      <c r="P69" s="242">
        <f t="shared" si="23"/>
        <v>8289.7212675323372</v>
      </c>
      <c r="Q69" s="242">
        <f t="shared" si="2"/>
        <v>0</v>
      </c>
      <c r="R69" s="242">
        <f t="shared" si="9"/>
        <v>0</v>
      </c>
      <c r="S69" s="242">
        <f t="shared" si="10"/>
        <v>582080.49194776034</v>
      </c>
      <c r="T69" s="467"/>
      <c r="U69" s="36">
        <f t="shared" si="27"/>
        <v>24</v>
      </c>
      <c r="V69" s="36">
        <f t="shared" si="11"/>
        <v>24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29910</v>
      </c>
      <c r="Y69" s="57">
        <f t="shared" si="39"/>
        <v>54081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29117</v>
      </c>
      <c r="AN69" s="57">
        <f t="shared" si="42"/>
        <v>52621</v>
      </c>
      <c r="AO69" s="130">
        <f t="shared" si="12"/>
        <v>1</v>
      </c>
      <c r="AP69" s="553">
        <f t="shared" si="28"/>
        <v>61</v>
      </c>
      <c r="AQ69" s="554">
        <f t="shared" si="13"/>
        <v>46448</v>
      </c>
      <c r="AR69" s="555">
        <f t="shared" si="44"/>
        <v>0.17899999999999999</v>
      </c>
      <c r="AS69" s="546">
        <f t="shared" si="14"/>
        <v>29117</v>
      </c>
      <c r="AT69" s="546">
        <f t="shared" si="15"/>
        <v>29117</v>
      </c>
      <c r="AU69" s="546">
        <f t="shared" si="16"/>
        <v>8069.7664368876358</v>
      </c>
      <c r="AV69" s="546">
        <f t="shared" si="17"/>
        <v>21047.233563112364</v>
      </c>
      <c r="AW69" s="546">
        <f t="shared" si="4"/>
        <v>0</v>
      </c>
      <c r="AX69" s="546">
        <v>0</v>
      </c>
      <c r="AY69" s="546">
        <f t="shared" si="18"/>
        <v>8069.7664368876358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566635.27830121072</v>
      </c>
      <c r="BH69" s="108">
        <f t="shared" si="29"/>
        <v>24</v>
      </c>
      <c r="BI69" s="108">
        <f t="shared" si="24"/>
        <v>24</v>
      </c>
      <c r="BJ69" s="22">
        <f t="shared" si="25"/>
        <v>46448</v>
      </c>
      <c r="BK69" s="108">
        <f t="shared" si="6"/>
        <v>29910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46479</v>
      </c>
      <c r="I70" s="246">
        <f t="shared" si="30"/>
        <v>0.17899999999999999</v>
      </c>
      <c r="J70" s="242">
        <f t="shared" si="0"/>
        <v>29910</v>
      </c>
      <c r="K70" s="242">
        <f t="shared" si="21"/>
        <v>29910</v>
      </c>
      <c r="L70" s="242">
        <f t="shared" si="8"/>
        <v>8849.2182186797872</v>
      </c>
      <c r="M70" s="242">
        <f t="shared" si="22"/>
        <v>21060.781781320213</v>
      </c>
      <c r="N70" s="242">
        <f t="shared" si="1"/>
        <v>0</v>
      </c>
      <c r="O70" s="242">
        <v>0</v>
      </c>
      <c r="P70" s="242">
        <f t="shared" si="23"/>
        <v>8849.2182186797872</v>
      </c>
      <c r="Q70" s="242">
        <f t="shared" si="2"/>
        <v>0</v>
      </c>
      <c r="R70" s="242">
        <f t="shared" si="9"/>
        <v>0</v>
      </c>
      <c r="S70" s="242">
        <f t="shared" si="10"/>
        <v>561019.71016644011</v>
      </c>
      <c r="T70" s="467"/>
      <c r="U70" s="36">
        <f t="shared" si="27"/>
        <v>23</v>
      </c>
      <c r="V70" s="36">
        <f t="shared" si="11"/>
        <v>23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29910</v>
      </c>
      <c r="Y70" s="57">
        <f t="shared" si="39"/>
        <v>54446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IF(AND(Y26&gt;=$W$11,Y26&lt;=$W$11+5),0,IF($C$9&gt;$AF$51,ROUND(AI30*#REF!/(DATEVALUE(CONCATENATE("01/01/",YEAR(Z26)+1))-DATEVALUE(CONCATENATE("01/01/",YEAR(Z26))))*(Z26-Z25),2),0))</f>
        <v>#REF!</v>
      </c>
      <c r="AM70" s="34">
        <f t="shared" si="43"/>
        <v>29117</v>
      </c>
      <c r="AN70" s="57">
        <f t="shared" si="42"/>
        <v>52986</v>
      </c>
      <c r="AO70" s="130">
        <f t="shared" si="12"/>
        <v>1</v>
      </c>
      <c r="AP70" s="553">
        <f t="shared" si="28"/>
        <v>62</v>
      </c>
      <c r="AQ70" s="554">
        <f t="shared" si="13"/>
        <v>46479</v>
      </c>
      <c r="AR70" s="555">
        <f t="shared" si="44"/>
        <v>0.17899999999999999</v>
      </c>
      <c r="AS70" s="546">
        <f t="shared" si="14"/>
        <v>29117</v>
      </c>
      <c r="AT70" s="546">
        <f t="shared" si="15"/>
        <v>29117</v>
      </c>
      <c r="AU70" s="546">
        <f t="shared" si="16"/>
        <v>8614.4086555984068</v>
      </c>
      <c r="AV70" s="546">
        <f t="shared" si="17"/>
        <v>20502.591344401593</v>
      </c>
      <c r="AW70" s="546">
        <f t="shared" si="4"/>
        <v>0</v>
      </c>
      <c r="AX70" s="546">
        <v>0</v>
      </c>
      <c r="AY70" s="546">
        <f t="shared" si="18"/>
        <v>8614.4086555984068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546132.68695680914</v>
      </c>
      <c r="BH70" s="108">
        <f t="shared" si="29"/>
        <v>23</v>
      </c>
      <c r="BI70" s="108">
        <f t="shared" si="24"/>
        <v>23</v>
      </c>
      <c r="BJ70" s="22">
        <f t="shared" si="25"/>
        <v>46479</v>
      </c>
      <c r="BK70" s="108">
        <f t="shared" si="6"/>
        <v>29910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46509</v>
      </c>
      <c r="I71" s="246">
        <f t="shared" si="30"/>
        <v>0.17899999999999999</v>
      </c>
      <c r="J71" s="242">
        <f t="shared" si="0"/>
        <v>29910</v>
      </c>
      <c r="K71" s="242">
        <f t="shared" si="21"/>
        <v>29910</v>
      </c>
      <c r="L71" s="242">
        <f t="shared" si="8"/>
        <v>8253.9064208048858</v>
      </c>
      <c r="M71" s="242">
        <f t="shared" si="22"/>
        <v>21656.093579195112</v>
      </c>
      <c r="N71" s="242">
        <f t="shared" si="1"/>
        <v>0</v>
      </c>
      <c r="O71" s="242">
        <v>0</v>
      </c>
      <c r="P71" s="242">
        <f t="shared" si="23"/>
        <v>8253.9064208048858</v>
      </c>
      <c r="Q71" s="242">
        <f t="shared" si="2"/>
        <v>0</v>
      </c>
      <c r="R71" s="242">
        <f t="shared" si="9"/>
        <v>0</v>
      </c>
      <c r="S71" s="242">
        <f t="shared" si="10"/>
        <v>539363.61658724502</v>
      </c>
      <c r="T71" s="467"/>
      <c r="U71" s="36">
        <f t="shared" si="27"/>
        <v>22</v>
      </c>
      <c r="V71" s="36">
        <f t="shared" si="11"/>
        <v>22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29910</v>
      </c>
      <c r="Y71" s="57">
        <f t="shared" si="39"/>
        <v>54811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IF(AND(Y27&gt;=$W$11,Y27&lt;=$W$11+5),0,IF($C$9&gt;$AF$51,ROUND(AI31*#REF!/(DATEVALUE(CONCATENATE("01/01/",YEAR(Z27)+1))-DATEVALUE(CONCATENATE("01/01/",YEAR(Z27))))*(Z27-Z26),2),0))</f>
        <v>#REF!</v>
      </c>
      <c r="AM71" s="34">
        <f t="shared" si="43"/>
        <v>29117</v>
      </c>
      <c r="AN71" s="57">
        <f t="shared" si="42"/>
        <v>53351</v>
      </c>
      <c r="AO71" s="130">
        <f t="shared" si="12"/>
        <v>1</v>
      </c>
      <c r="AP71" s="553">
        <f t="shared" si="28"/>
        <v>63</v>
      </c>
      <c r="AQ71" s="554">
        <f t="shared" si="13"/>
        <v>46509</v>
      </c>
      <c r="AR71" s="555">
        <f t="shared" si="44"/>
        <v>0.17899999999999999</v>
      </c>
      <c r="AS71" s="546">
        <f t="shared" si="14"/>
        <v>29117</v>
      </c>
      <c r="AT71" s="546">
        <f t="shared" si="15"/>
        <v>29117</v>
      </c>
      <c r="AU71" s="546">
        <f t="shared" si="16"/>
        <v>8034.8836409810001</v>
      </c>
      <c r="AV71" s="546">
        <f t="shared" si="17"/>
        <v>21082.116359019001</v>
      </c>
      <c r="AW71" s="546">
        <f t="shared" si="4"/>
        <v>0</v>
      </c>
      <c r="AX71" s="546">
        <v>0</v>
      </c>
      <c r="AY71" s="546">
        <f t="shared" si="18"/>
        <v>8034.8836409810001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525050.57059779018</v>
      </c>
      <c r="BH71" s="108">
        <f t="shared" si="29"/>
        <v>22</v>
      </c>
      <c r="BI71" s="108">
        <f t="shared" si="24"/>
        <v>22</v>
      </c>
      <c r="BJ71" s="22">
        <f t="shared" si="25"/>
        <v>46509</v>
      </c>
      <c r="BK71" s="108">
        <f t="shared" si="6"/>
        <v>29910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46540</v>
      </c>
      <c r="I72" s="246">
        <f t="shared" si="30"/>
        <v>0.17899999999999999</v>
      </c>
      <c r="J72" s="242">
        <f t="shared" si="0"/>
        <v>29910</v>
      </c>
      <c r="K72" s="242">
        <f t="shared" si="21"/>
        <v>29910</v>
      </c>
      <c r="L72" s="242">
        <f t="shared" si="8"/>
        <v>8199.8046806647199</v>
      </c>
      <c r="M72" s="242">
        <f t="shared" si="22"/>
        <v>21710.195319335282</v>
      </c>
      <c r="N72" s="242">
        <f t="shared" si="1"/>
        <v>0</v>
      </c>
      <c r="O72" s="242">
        <v>0</v>
      </c>
      <c r="P72" s="242">
        <f t="shared" si="23"/>
        <v>8199.8046806647199</v>
      </c>
      <c r="Q72" s="242">
        <f t="shared" si="2"/>
        <v>0</v>
      </c>
      <c r="R72" s="242">
        <f t="shared" si="9"/>
        <v>0</v>
      </c>
      <c r="S72" s="242">
        <f t="shared" si="10"/>
        <v>517653.42126790975</v>
      </c>
      <c r="T72" s="467"/>
      <c r="U72" s="36">
        <f t="shared" si="27"/>
        <v>21</v>
      </c>
      <c r="V72" s="36">
        <f t="shared" si="11"/>
        <v>21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29910</v>
      </c>
      <c r="Y72" s="57">
        <f t="shared" si="39"/>
        <v>55176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29117</v>
      </c>
      <c r="AN72" s="57">
        <f t="shared" si="42"/>
        <v>53716</v>
      </c>
      <c r="AO72" s="130">
        <f t="shared" si="12"/>
        <v>1</v>
      </c>
      <c r="AP72" s="553">
        <f t="shared" si="28"/>
        <v>64</v>
      </c>
      <c r="AQ72" s="554">
        <f t="shared" si="13"/>
        <v>46540</v>
      </c>
      <c r="AR72" s="555">
        <f t="shared" si="44"/>
        <v>0.17899999999999999</v>
      </c>
      <c r="AS72" s="546">
        <f t="shared" si="14"/>
        <v>29117</v>
      </c>
      <c r="AT72" s="546">
        <f t="shared" si="15"/>
        <v>29117</v>
      </c>
      <c r="AU72" s="546">
        <f t="shared" si="16"/>
        <v>7982.2071678003776</v>
      </c>
      <c r="AV72" s="546">
        <f t="shared" si="17"/>
        <v>21134.792832199622</v>
      </c>
      <c r="AW72" s="546">
        <f t="shared" si="4"/>
        <v>0</v>
      </c>
      <c r="AX72" s="546">
        <v>0</v>
      </c>
      <c r="AY72" s="546">
        <f t="shared" si="18"/>
        <v>7982.2071678003776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503915.77776559058</v>
      </c>
      <c r="BH72" s="108">
        <f t="shared" si="29"/>
        <v>21</v>
      </c>
      <c r="BI72" s="108">
        <f t="shared" si="24"/>
        <v>21</v>
      </c>
      <c r="BJ72" s="22">
        <f t="shared" si="25"/>
        <v>46540</v>
      </c>
      <c r="BK72" s="108">
        <f t="shared" si="6"/>
        <v>29910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46570</v>
      </c>
      <c r="I73" s="246">
        <f t="shared" si="30"/>
        <v>0.17899999999999999</v>
      </c>
      <c r="J73" s="242">
        <f t="shared" si="0"/>
        <v>29910</v>
      </c>
      <c r="K73" s="242">
        <f t="shared" si="21"/>
        <v>29910</v>
      </c>
      <c r="L73" s="242">
        <f t="shared" si="8"/>
        <v>7615.8873211196578</v>
      </c>
      <c r="M73" s="242">
        <f t="shared" si="22"/>
        <v>22294.112678880341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7615.8873211196578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495359.30858902942</v>
      </c>
      <c r="T73" s="467"/>
      <c r="U73" s="36">
        <f t="shared" si="27"/>
        <v>20</v>
      </c>
      <c r="V73" s="36">
        <f t="shared" si="11"/>
        <v>20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29910</v>
      </c>
      <c r="Y73" s="57">
        <f t="shared" si="39"/>
        <v>55541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IF(AND(Y29&gt;=$W$11,Y29&lt;=$W$11+5),0,IF($C$9&gt;$AF$51,ROUND(AI33*#REF!/(DATEVALUE(CONCATENATE("01/01/",YEAR(Z29)+1))-DATEVALUE(CONCATENATE("01/01/",YEAR(Z29))))*(Z29-Z28),2),0))</f>
        <v>#REF!</v>
      </c>
      <c r="AM73" s="34">
        <f t="shared" si="43"/>
        <v>29117</v>
      </c>
      <c r="AN73" s="57">
        <f t="shared" si="42"/>
        <v>54081</v>
      </c>
      <c r="AO73" s="130">
        <f t="shared" si="12"/>
        <v>1</v>
      </c>
      <c r="AP73" s="553">
        <f t="shared" si="28"/>
        <v>65</v>
      </c>
      <c r="AQ73" s="554">
        <f t="shared" si="13"/>
        <v>46570</v>
      </c>
      <c r="AR73" s="555">
        <f t="shared" si="44"/>
        <v>0.17899999999999999</v>
      </c>
      <c r="AS73" s="546">
        <f t="shared" si="14"/>
        <v>29117</v>
      </c>
      <c r="AT73" s="546">
        <f t="shared" si="15"/>
        <v>29117</v>
      </c>
      <c r="AU73" s="546">
        <f t="shared" si="16"/>
        <v>7413.7745934280038</v>
      </c>
      <c r="AV73" s="546">
        <f t="shared" si="17"/>
        <v>21703.225406571997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7413.7745934280038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482212.55235901859</v>
      </c>
      <c r="BH73" s="108">
        <f t="shared" si="29"/>
        <v>20</v>
      </c>
      <c r="BI73" s="108">
        <f t="shared" si="24"/>
        <v>20</v>
      </c>
      <c r="BJ73" s="22">
        <f t="shared" si="25"/>
        <v>46570</v>
      </c>
      <c r="BK73" s="108">
        <f t="shared" ref="BK73:BK114" si="50">K73</f>
        <v>29910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46601</v>
      </c>
      <c r="I74" s="246">
        <f t="shared" si="30"/>
        <v>0.17899999999999999</v>
      </c>
      <c r="J74" s="242">
        <f t="shared" ref="J74:J108" si="52">K74+Q74</f>
        <v>29910</v>
      </c>
      <c r="K74" s="242">
        <f t="shared" si="21"/>
        <v>29910</v>
      </c>
      <c r="L74" s="242">
        <f t="shared" ref="L74:L92" si="53">S73*($C$11/365*(H74-H73))</f>
        <v>7530.8186393439019</v>
      </c>
      <c r="M74" s="242">
        <f t="shared" si="22"/>
        <v>22379.181360656097</v>
      </c>
      <c r="N74" s="242">
        <f t="shared" si="47"/>
        <v>0</v>
      </c>
      <c r="O74" s="242">
        <v>0</v>
      </c>
      <c r="P74" s="242">
        <f t="shared" si="23"/>
        <v>7530.8186393439019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472980.12722837331</v>
      </c>
      <c r="T74" s="467"/>
      <c r="U74" s="36">
        <f t="shared" si="27"/>
        <v>19</v>
      </c>
      <c r="V74" s="36">
        <f t="shared" ref="V74:V107" si="56">U74</f>
        <v>19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29910</v>
      </c>
      <c r="Y74" s="57">
        <f t="shared" si="39"/>
        <v>55906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IF(AND(Y30&gt;=$W$11,Y30&lt;=$W$11+5),0,IF($C$9&gt;$AF$51,ROUND(AI34*#REF!/(DATEVALUE(CONCATENATE("01/01/",YEAR(Z30)+1))-DATEVALUE(CONCATENATE("01/01/",YEAR(Z30))))*(Z30-Z29),2),0))</f>
        <v>#REF!</v>
      </c>
      <c r="AM74" s="34">
        <f t="shared" si="43"/>
        <v>29117</v>
      </c>
      <c r="AN74" s="57">
        <f t="shared" si="42"/>
        <v>54446</v>
      </c>
      <c r="AO74" s="130">
        <f t="shared" ref="AO74:AO108" si="57">IF(OR(AT74="",AT74=0),0,1)</f>
        <v>1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46601</v>
      </c>
      <c r="AR74" s="555">
        <f t="shared" si="44"/>
        <v>0.17899999999999999</v>
      </c>
      <c r="AS74" s="546">
        <f t="shared" ref="AS74:AS108" si="59">AT74+AZ74</f>
        <v>29117</v>
      </c>
      <c r="AT74" s="546">
        <f t="shared" ref="AT74:AT92" si="60">IF(AP74&gt;$C$10,0,ROUNDUP($BG$8*$C$11/12/((1-(1+$C$11/12)^(0-$C$10))),0))</f>
        <v>29117</v>
      </c>
      <c r="AU74" s="546">
        <f t="shared" ref="AU74:AU92" si="61">BG73*($C$11/365*(AQ74-AQ73))</f>
        <v>7330.9519261375181</v>
      </c>
      <c r="AV74" s="546">
        <f t="shared" ref="AV74:AV108" si="62">IF(BI74=0,0,IF(BI74=1,BG73,IF(BG73+AW74+AU74&gt;AT73,AT74-AU74-AW74,BG73)))</f>
        <v>21786.048073862483</v>
      </c>
      <c r="AW74" s="546">
        <f t="shared" si="49"/>
        <v>0</v>
      </c>
      <c r="AX74" s="546">
        <v>0</v>
      </c>
      <c r="AY74" s="546">
        <f t="shared" si="18"/>
        <v>7330.9519261375181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460426.50428515609</v>
      </c>
      <c r="BH74" s="108">
        <f t="shared" si="29"/>
        <v>19</v>
      </c>
      <c r="BI74" s="108">
        <f t="shared" si="24"/>
        <v>19</v>
      </c>
      <c r="BJ74" s="22">
        <f t="shared" si="25"/>
        <v>46601</v>
      </c>
      <c r="BK74" s="108">
        <f t="shared" si="50"/>
        <v>29910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46632</v>
      </c>
      <c r="I75" s="246">
        <f t="shared" si="30"/>
        <v>0.17899999999999999</v>
      </c>
      <c r="J75" s="242">
        <f t="shared" si="52"/>
        <v>29910</v>
      </c>
      <c r="K75" s="242">
        <f t="shared" ref="K75:K92" si="64">IF(G75&gt;$C$10,0,IF(T74=0,K74,ROUNDUP(S74*$C$11/12/((1-(1+$C$11/12)^(0-($C$10-G75)))),0)))</f>
        <v>29910</v>
      </c>
      <c r="L75" s="242">
        <f t="shared" si="53"/>
        <v>7190.5937698362841</v>
      </c>
      <c r="M75" s="242">
        <f t="shared" ref="M75:M92" si="65">IF(S74=0,0,IF(S74+L75&gt;K74,K75-L75,S74))</f>
        <v>22719.406230163717</v>
      </c>
      <c r="N75" s="242">
        <f t="shared" si="47"/>
        <v>0</v>
      </c>
      <c r="O75" s="242">
        <v>0</v>
      </c>
      <c r="P75" s="242">
        <f t="shared" si="23"/>
        <v>7190.5937698362841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450260.72099820961</v>
      </c>
      <c r="T75" s="467"/>
      <c r="U75" s="36">
        <f t="shared" si="27"/>
        <v>18</v>
      </c>
      <c r="V75" s="36">
        <f t="shared" si="56"/>
        <v>18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29910</v>
      </c>
      <c r="Y75" s="57">
        <f t="shared" si="39"/>
        <v>56271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IF(AND(Y31&gt;=$W$11,Y31&lt;=$W$11+5),0,IF($C$9&gt;$AF$51,ROUND(AI35*#REF!/(DATEVALUE(CONCATENATE("01/01/",YEAR(Z31)+1))-DATEVALUE(CONCATENATE("01/01/",YEAR(Z31))))*(Z31-Z30),2),0))</f>
        <v>#REF!</v>
      </c>
      <c r="AM75" s="34">
        <f t="shared" si="43"/>
        <v>29117</v>
      </c>
      <c r="AN75" s="57">
        <f t="shared" si="42"/>
        <v>54811</v>
      </c>
      <c r="AO75" s="130">
        <f t="shared" si="57"/>
        <v>1</v>
      </c>
      <c r="AP75" s="553">
        <f t="shared" si="28"/>
        <v>67</v>
      </c>
      <c r="AQ75" s="554">
        <f t="shared" si="58"/>
        <v>46632</v>
      </c>
      <c r="AR75" s="555">
        <f t="shared" si="44"/>
        <v>0.17899999999999999</v>
      </c>
      <c r="AS75" s="559">
        <f t="shared" si="59"/>
        <v>29117</v>
      </c>
      <c r="AT75" s="546">
        <f t="shared" si="60"/>
        <v>29117</v>
      </c>
      <c r="AU75" s="546">
        <f t="shared" si="61"/>
        <v>6999.7443076118661</v>
      </c>
      <c r="AV75" s="546">
        <f t="shared" si="62"/>
        <v>22117.255692388135</v>
      </c>
      <c r="AW75" s="559">
        <f t="shared" si="49"/>
        <v>0</v>
      </c>
      <c r="AX75" s="559">
        <v>0</v>
      </c>
      <c r="AY75" s="559">
        <f t="shared" si="18"/>
        <v>6999.7443076118661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438309.24859276798</v>
      </c>
      <c r="BH75" s="108">
        <f t="shared" si="29"/>
        <v>18</v>
      </c>
      <c r="BI75" s="108">
        <f t="shared" ref="BI75:BI114" si="67">BH75</f>
        <v>18</v>
      </c>
      <c r="BJ75" s="22">
        <f t="shared" ref="BJ75:BJ114" si="68">H75</f>
        <v>46632</v>
      </c>
      <c r="BK75" s="108">
        <f t="shared" si="50"/>
        <v>29910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46662</v>
      </c>
      <c r="I76" s="246">
        <f t="shared" si="30"/>
        <v>0.17899999999999999</v>
      </c>
      <c r="J76" s="242">
        <f t="shared" si="52"/>
        <v>29910</v>
      </c>
      <c r="K76" s="242">
        <f t="shared" si="64"/>
        <v>29910</v>
      </c>
      <c r="L76" s="242">
        <f t="shared" si="53"/>
        <v>6624.3837582476317</v>
      </c>
      <c r="M76" s="242">
        <f t="shared" si="65"/>
        <v>23285.616241752366</v>
      </c>
      <c r="N76" s="242">
        <f t="shared" si="47"/>
        <v>0</v>
      </c>
      <c r="O76" s="242">
        <v>0</v>
      </c>
      <c r="P76" s="242">
        <f t="shared" si="23"/>
        <v>6624.3837582476317</v>
      </c>
      <c r="Q76" s="242">
        <f t="shared" si="48"/>
        <v>0</v>
      </c>
      <c r="R76" s="242">
        <f t="shared" si="54"/>
        <v>0</v>
      </c>
      <c r="S76" s="242">
        <f t="shared" si="66"/>
        <v>426975.10475645727</v>
      </c>
      <c r="T76" s="467"/>
      <c r="U76" s="36">
        <f t="shared" ref="U76:U108" si="70">IF((U75-1)&lt;0,0,U75-1)</f>
        <v>17</v>
      </c>
      <c r="V76" s="36">
        <f t="shared" si="56"/>
        <v>17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29910</v>
      </c>
      <c r="Y76" s="57">
        <f t="shared" si="39"/>
        <v>56636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IF(AND(Y32&gt;=$W$11,Y32&lt;=$W$11+5),0,IF($C$9&gt;$AF$51,ROUND(AI36*#REF!/(DATEVALUE(CONCATENATE("01/01/",YEAR(Z32)+1))-DATEVALUE(CONCATENATE("01/01/",YEAR(Z32))))*(Z32-Z31),2),0))</f>
        <v>#N/A</v>
      </c>
      <c r="AM76" s="34">
        <f t="shared" si="43"/>
        <v>29117</v>
      </c>
      <c r="AN76" s="57">
        <f t="shared" si="42"/>
        <v>55176</v>
      </c>
      <c r="AO76" s="130">
        <f t="shared" si="57"/>
        <v>1</v>
      </c>
      <c r="AP76" s="553">
        <f t="shared" ref="AP76:AP108" si="71">AP75+1</f>
        <v>68</v>
      </c>
      <c r="AQ76" s="554">
        <f t="shared" si="58"/>
        <v>46662</v>
      </c>
      <c r="AR76" s="555">
        <f t="shared" si="44"/>
        <v>0.17899999999999999</v>
      </c>
      <c r="AS76" s="559">
        <f t="shared" si="59"/>
        <v>29117</v>
      </c>
      <c r="AT76" s="546">
        <f t="shared" si="60"/>
        <v>29117</v>
      </c>
      <c r="AU76" s="546">
        <f t="shared" si="61"/>
        <v>6448.5497669675724</v>
      </c>
      <c r="AV76" s="546">
        <f t="shared" si="62"/>
        <v>22668.450233032429</v>
      </c>
      <c r="AW76" s="559">
        <f t="shared" si="49"/>
        <v>0</v>
      </c>
      <c r="AX76" s="559">
        <v>0</v>
      </c>
      <c r="AY76" s="559">
        <f t="shared" si="18"/>
        <v>6448.5497669675724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415640.79835973558</v>
      </c>
      <c r="BH76" s="108">
        <f t="shared" ref="BH76:BH114" si="72">IF((BH75-1)&lt;0,0,BH75-1)</f>
        <v>17</v>
      </c>
      <c r="BI76" s="108">
        <f t="shared" si="67"/>
        <v>17</v>
      </c>
      <c r="BJ76" s="22">
        <f t="shared" si="68"/>
        <v>46662</v>
      </c>
      <c r="BK76" s="108">
        <f t="shared" si="50"/>
        <v>29910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46693</v>
      </c>
      <c r="I77" s="246">
        <f t="shared" si="30"/>
        <v>0.17899999999999999</v>
      </c>
      <c r="J77" s="242">
        <f t="shared" si="52"/>
        <v>29910</v>
      </c>
      <c r="K77" s="242">
        <f t="shared" si="64"/>
        <v>29910</v>
      </c>
      <c r="L77" s="242">
        <f t="shared" si="53"/>
        <v>6491.1913871057022</v>
      </c>
      <c r="M77" s="242">
        <f t="shared" si="65"/>
        <v>23418.808612894296</v>
      </c>
      <c r="N77" s="242">
        <f t="shared" si="47"/>
        <v>0</v>
      </c>
      <c r="O77" s="242">
        <v>0</v>
      </c>
      <c r="P77" s="242">
        <f t="shared" si="23"/>
        <v>6491.1913871057022</v>
      </c>
      <c r="Q77" s="242">
        <f t="shared" si="48"/>
        <v>0</v>
      </c>
      <c r="R77" s="242">
        <f t="shared" si="54"/>
        <v>0</v>
      </c>
      <c r="S77" s="242">
        <f t="shared" si="66"/>
        <v>403556.296143563</v>
      </c>
      <c r="T77" s="467"/>
      <c r="U77" s="36">
        <f t="shared" si="70"/>
        <v>16</v>
      </c>
      <c r="V77" s="36">
        <f t="shared" si="56"/>
        <v>16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29910</v>
      </c>
      <c r="Y77" s="57">
        <f t="shared" si="39"/>
        <v>57001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1.3</v>
      </c>
      <c r="AF77" s="16">
        <f>IF($C$7&gt;=$AA$71,AF76,IF($C$7&gt;=$AA$70,AF75,IF($C$7&gt;=$AA$69,AF74,IF($C$7&gt;=$AA$68,AF73,AF72))))</f>
        <v>1</v>
      </c>
      <c r="AG77" s="16">
        <f t="shared" si="73"/>
        <v>0</v>
      </c>
      <c r="AH77" s="16">
        <f t="shared" si="73"/>
        <v>1</v>
      </c>
      <c r="AI77" s="16">
        <f t="shared" si="73"/>
        <v>1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29117</v>
      </c>
      <c r="AN77" s="57">
        <f t="shared" si="42"/>
        <v>55541</v>
      </c>
      <c r="AO77" s="130">
        <f t="shared" si="57"/>
        <v>1</v>
      </c>
      <c r="AP77" s="553">
        <f t="shared" si="71"/>
        <v>69</v>
      </c>
      <c r="AQ77" s="554">
        <f t="shared" si="58"/>
        <v>46693</v>
      </c>
      <c r="AR77" s="555">
        <f t="shared" si="44"/>
        <v>0.17899999999999999</v>
      </c>
      <c r="AS77" s="559">
        <f t="shared" si="59"/>
        <v>29117</v>
      </c>
      <c r="AT77" s="546">
        <f t="shared" si="60"/>
        <v>29117</v>
      </c>
      <c r="AU77" s="546">
        <f t="shared" si="61"/>
        <v>6318.8788769812954</v>
      </c>
      <c r="AV77" s="546">
        <f t="shared" si="62"/>
        <v>22798.121123018704</v>
      </c>
      <c r="AW77" s="559">
        <f t="shared" si="49"/>
        <v>0</v>
      </c>
      <c r="AX77" s="559">
        <v>0</v>
      </c>
      <c r="AY77" s="559">
        <f t="shared" si="18"/>
        <v>6318.8788769812954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392842.67723671685</v>
      </c>
      <c r="BH77" s="108">
        <f t="shared" si="72"/>
        <v>16</v>
      </c>
      <c r="BI77" s="108">
        <f t="shared" si="67"/>
        <v>16</v>
      </c>
      <c r="BJ77" s="22">
        <f t="shared" si="68"/>
        <v>46693</v>
      </c>
      <c r="BK77" s="108">
        <f t="shared" si="50"/>
        <v>29910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46723</v>
      </c>
      <c r="I78" s="246">
        <f t="shared" si="30"/>
        <v>0.17899999999999999</v>
      </c>
      <c r="J78" s="242">
        <f t="shared" si="52"/>
        <v>29910</v>
      </c>
      <c r="K78" s="242">
        <f t="shared" si="64"/>
        <v>29910</v>
      </c>
      <c r="L78" s="242">
        <f t="shared" si="53"/>
        <v>5937.2529049066661</v>
      </c>
      <c r="M78" s="242">
        <f t="shared" si="65"/>
        <v>23972.747095093335</v>
      </c>
      <c r="N78" s="242">
        <f t="shared" si="47"/>
        <v>0</v>
      </c>
      <c r="O78" s="242">
        <v>0</v>
      </c>
      <c r="P78" s="242">
        <f t="shared" si="23"/>
        <v>5937.2529049066661</v>
      </c>
      <c r="Q78" s="242">
        <f t="shared" si="48"/>
        <v>0</v>
      </c>
      <c r="R78" s="242">
        <f t="shared" si="54"/>
        <v>0</v>
      </c>
      <c r="S78" s="242">
        <f t="shared" si="66"/>
        <v>379583.54904846963</v>
      </c>
      <c r="T78" s="467"/>
      <c r="U78" s="36">
        <f t="shared" si="70"/>
        <v>15</v>
      </c>
      <c r="V78" s="36">
        <f t="shared" si="56"/>
        <v>15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29910</v>
      </c>
      <c r="Y78" s="57">
        <f t="shared" si="39"/>
        <v>57366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29117</v>
      </c>
      <c r="AN78" s="57">
        <f t="shared" si="42"/>
        <v>55906</v>
      </c>
      <c r="AO78" s="130">
        <f t="shared" si="57"/>
        <v>1</v>
      </c>
      <c r="AP78" s="553">
        <f t="shared" si="71"/>
        <v>70</v>
      </c>
      <c r="AQ78" s="554">
        <f t="shared" si="58"/>
        <v>46723</v>
      </c>
      <c r="AR78" s="555">
        <f t="shared" si="44"/>
        <v>0.17899999999999999</v>
      </c>
      <c r="AS78" s="559">
        <f t="shared" si="59"/>
        <v>29117</v>
      </c>
      <c r="AT78" s="546">
        <f t="shared" si="60"/>
        <v>29117</v>
      </c>
      <c r="AU78" s="546">
        <f t="shared" si="61"/>
        <v>5779.6306212634781</v>
      </c>
      <c r="AV78" s="546">
        <f t="shared" si="62"/>
        <v>23337.369378736523</v>
      </c>
      <c r="AW78" s="559">
        <f t="shared" si="49"/>
        <v>0</v>
      </c>
      <c r="AX78" s="559">
        <v>0</v>
      </c>
      <c r="AY78" s="559">
        <f t="shared" si="18"/>
        <v>5779.6306212634781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369505.30785798031</v>
      </c>
      <c r="BH78" s="108">
        <f t="shared" si="72"/>
        <v>15</v>
      </c>
      <c r="BI78" s="108">
        <f t="shared" si="67"/>
        <v>15</v>
      </c>
      <c r="BJ78" s="22">
        <f t="shared" si="68"/>
        <v>46723</v>
      </c>
      <c r="BK78" s="108">
        <f t="shared" si="50"/>
        <v>29910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46754</v>
      </c>
      <c r="I79" s="246">
        <f t="shared" ref="I79:I108" si="74">IF(AND($W$11=1,G79&gt;=$W$11,G79&lt;=$W$11+5),0%,$C$11)</f>
        <v>0.17899999999999999</v>
      </c>
      <c r="J79" s="242">
        <f t="shared" si="52"/>
        <v>29910</v>
      </c>
      <c r="K79" s="242">
        <f t="shared" si="64"/>
        <v>29910</v>
      </c>
      <c r="L79" s="242">
        <f t="shared" si="53"/>
        <v>5770.7099004656384</v>
      </c>
      <c r="M79" s="242">
        <f t="shared" si="65"/>
        <v>24139.290099534363</v>
      </c>
      <c r="N79" s="242">
        <f t="shared" si="47"/>
        <v>0</v>
      </c>
      <c r="O79" s="242">
        <v>0</v>
      </c>
      <c r="P79" s="242">
        <f t="shared" si="23"/>
        <v>5770.7099004656384</v>
      </c>
      <c r="Q79" s="242">
        <f t="shared" si="48"/>
        <v>0</v>
      </c>
      <c r="R79" s="242">
        <f t="shared" si="54"/>
        <v>0</v>
      </c>
      <c r="S79" s="242">
        <f t="shared" si="66"/>
        <v>355444.25894893525</v>
      </c>
      <c r="T79" s="467"/>
      <c r="U79" s="36">
        <f t="shared" si="70"/>
        <v>14</v>
      </c>
      <c r="V79" s="36">
        <f t="shared" si="56"/>
        <v>14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29910</v>
      </c>
      <c r="Y79" s="57">
        <f t="shared" si="39"/>
        <v>57731</v>
      </c>
      <c r="AC79" s="143">
        <f>MIN($C$7*IF($C$7&gt;$AB$71,AC76,IF($C$7&gt;$AB$70,AC75,IF($C$7&gt;$AB$69,AC74,IF($C$7&gt;$AB$68,AC73,AC72)))),5000000)</f>
        <v>1100000</v>
      </c>
      <c r="AD79" s="143">
        <f>MIN($C$7*IF($C$7&gt;$AB$72,AD77,IF($C$7&gt;$AB$77,AD76,IF($C$7&gt;$AB$70,AD75,IF($C$7&gt;$AB$69,AD74,IF($C$7&gt;$AB$68,AD73,AD72))))),5000000)</f>
        <v>1430000</v>
      </c>
      <c r="AE79" s="143">
        <f>MIN(3000000,$C$7*IF($C$7&gt;=$AA$71,AE76,IF($C$7&gt;=$AA$70,AE75,IF($C$7&gt;=$AA$69,AE74,IF($C$7&gt;=$AA$68,AE73,AE72)))))</f>
        <v>1430000</v>
      </c>
      <c r="AF79" s="143">
        <f>MIN(5000000,$C$7*IF($C$7&gt;500000,AF76,IF($C$7&gt;200000,AF75,AF72)))</f>
        <v>1100000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1100000</v>
      </c>
      <c r="AI79" s="143">
        <f>$C$7*IF($C$7&gt;=$AA$71,AI76,IF($C$7&gt;=$AA$70,AI75,IF($C$7&gt;=$AA$69,AI74,IF($C$7&gt;=$AA$68,AI73,AI72))))</f>
        <v>1100000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29117</v>
      </c>
      <c r="AN79" s="57">
        <f t="shared" si="42"/>
        <v>56271</v>
      </c>
      <c r="AO79" s="130">
        <f t="shared" si="57"/>
        <v>1</v>
      </c>
      <c r="AP79" s="553">
        <f t="shared" si="71"/>
        <v>71</v>
      </c>
      <c r="AQ79" s="554">
        <f t="shared" si="58"/>
        <v>46754</v>
      </c>
      <c r="AR79" s="555">
        <f t="shared" si="44"/>
        <v>0.17899999999999999</v>
      </c>
      <c r="AS79" s="559">
        <f t="shared" si="59"/>
        <v>29117</v>
      </c>
      <c r="AT79" s="546">
        <f t="shared" si="60"/>
        <v>29117</v>
      </c>
      <c r="AU79" s="546">
        <f t="shared" si="61"/>
        <v>5617.493022750501</v>
      </c>
      <c r="AV79" s="546">
        <f t="shared" si="62"/>
        <v>23499.506977249497</v>
      </c>
      <c r="AW79" s="559">
        <f t="shared" si="49"/>
        <v>0</v>
      </c>
      <c r="AX79" s="559">
        <v>0</v>
      </c>
      <c r="AY79" s="559">
        <f t="shared" si="18"/>
        <v>5617.493022750501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346005.80088073079</v>
      </c>
      <c r="BH79" s="108">
        <f t="shared" si="72"/>
        <v>14</v>
      </c>
      <c r="BI79" s="108">
        <f t="shared" si="67"/>
        <v>14</v>
      </c>
      <c r="BJ79" s="22">
        <f t="shared" si="68"/>
        <v>46754</v>
      </c>
      <c r="BK79" s="108">
        <f t="shared" si="50"/>
        <v>29910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46785</v>
      </c>
      <c r="I80" s="250">
        <f t="shared" si="74"/>
        <v>0.17899999999999999</v>
      </c>
      <c r="J80" s="242">
        <f t="shared" si="52"/>
        <v>29910</v>
      </c>
      <c r="K80" s="252">
        <f t="shared" si="64"/>
        <v>29910</v>
      </c>
      <c r="L80" s="252">
        <f t="shared" si="53"/>
        <v>5403.7265559113475</v>
      </c>
      <c r="M80" s="252">
        <f t="shared" si="65"/>
        <v>24506.273444088652</v>
      </c>
      <c r="N80" s="252">
        <f t="shared" si="47"/>
        <v>0</v>
      </c>
      <c r="O80" s="252">
        <v>0</v>
      </c>
      <c r="P80" s="252">
        <f t="shared" si="23"/>
        <v>5403.7265559113475</v>
      </c>
      <c r="Q80" s="252">
        <f t="shared" si="48"/>
        <v>0</v>
      </c>
      <c r="R80" s="252">
        <f t="shared" si="54"/>
        <v>0</v>
      </c>
      <c r="S80" s="252">
        <f t="shared" si="66"/>
        <v>330937.98550484661</v>
      </c>
      <c r="T80" s="252"/>
      <c r="U80" s="36">
        <f t="shared" si="70"/>
        <v>13</v>
      </c>
      <c r="V80" s="36">
        <f t="shared" si="56"/>
        <v>13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29910</v>
      </c>
      <c r="Y80" s="57">
        <f t="shared" si="39"/>
        <v>58096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29117</v>
      </c>
      <c r="AN80" s="57">
        <f t="shared" si="42"/>
        <v>56636</v>
      </c>
      <c r="AO80" s="130">
        <f t="shared" si="57"/>
        <v>1</v>
      </c>
      <c r="AP80" s="556">
        <f t="shared" si="71"/>
        <v>72</v>
      </c>
      <c r="AQ80" s="582">
        <f t="shared" si="58"/>
        <v>46785</v>
      </c>
      <c r="AR80" s="557">
        <f t="shared" si="44"/>
        <v>0.17899999999999999</v>
      </c>
      <c r="AS80" s="560">
        <f t="shared" si="59"/>
        <v>29117</v>
      </c>
      <c r="AT80" s="547">
        <f t="shared" si="60"/>
        <v>29117</v>
      </c>
      <c r="AU80" s="547">
        <f t="shared" si="61"/>
        <v>5260.2361344854116</v>
      </c>
      <c r="AV80" s="547">
        <f t="shared" si="62"/>
        <v>23856.763865514589</v>
      </c>
      <c r="AW80" s="560">
        <f t="shared" si="49"/>
        <v>0</v>
      </c>
      <c r="AX80" s="560">
        <v>0</v>
      </c>
      <c r="AY80" s="560">
        <f t="shared" si="18"/>
        <v>5260.2361344854116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322149.03701521619</v>
      </c>
      <c r="BH80" s="108">
        <f t="shared" si="72"/>
        <v>13</v>
      </c>
      <c r="BI80" s="108">
        <f t="shared" si="67"/>
        <v>13</v>
      </c>
      <c r="BJ80" s="22">
        <f t="shared" si="68"/>
        <v>46785</v>
      </c>
      <c r="BK80" s="108">
        <f t="shared" si="50"/>
        <v>29910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46814</v>
      </c>
      <c r="I81" s="246">
        <f t="shared" si="74"/>
        <v>0.17899999999999999</v>
      </c>
      <c r="J81" s="242">
        <f t="shared" si="52"/>
        <v>29910</v>
      </c>
      <c r="K81" s="242">
        <f t="shared" si="64"/>
        <v>29910</v>
      </c>
      <c r="L81" s="242">
        <f t="shared" si="53"/>
        <v>4706.5728294675582</v>
      </c>
      <c r="M81" s="242">
        <f t="shared" si="65"/>
        <v>25203.427170532443</v>
      </c>
      <c r="N81" s="242">
        <f t="shared" si="47"/>
        <v>0</v>
      </c>
      <c r="O81" s="242">
        <v>0</v>
      </c>
      <c r="P81" s="242">
        <f t="shared" si="23"/>
        <v>4706.5728294675582</v>
      </c>
      <c r="Q81" s="242">
        <f t="shared" si="48"/>
        <v>0</v>
      </c>
      <c r="R81" s="242">
        <f t="shared" si="54"/>
        <v>0</v>
      </c>
      <c r="S81" s="242">
        <f t="shared" si="66"/>
        <v>305734.55833431415</v>
      </c>
      <c r="T81" s="467"/>
      <c r="U81" s="36">
        <f t="shared" si="70"/>
        <v>12</v>
      </c>
      <c r="V81" s="36">
        <f t="shared" si="56"/>
        <v>12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29910</v>
      </c>
      <c r="Y81" s="57">
        <f t="shared" si="39"/>
        <v>58461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29117</v>
      </c>
      <c r="AN81" s="57">
        <f t="shared" si="42"/>
        <v>57001</v>
      </c>
      <c r="AO81" s="130">
        <f t="shared" si="57"/>
        <v>1</v>
      </c>
      <c r="AP81" s="553">
        <f t="shared" si="71"/>
        <v>73</v>
      </c>
      <c r="AQ81" s="554">
        <f t="shared" si="58"/>
        <v>46814</v>
      </c>
      <c r="AR81" s="555">
        <f t="shared" si="44"/>
        <v>0.17899999999999999</v>
      </c>
      <c r="AS81" s="559">
        <f t="shared" si="59"/>
        <v>29117</v>
      </c>
      <c r="AT81" s="546">
        <f t="shared" si="60"/>
        <v>29117</v>
      </c>
      <c r="AU81" s="546">
        <f t="shared" si="61"/>
        <v>4581.5771264273626</v>
      </c>
      <c r="AV81" s="546">
        <f t="shared" si="62"/>
        <v>24535.422873572636</v>
      </c>
      <c r="AW81" s="559">
        <f t="shared" si="49"/>
        <v>0</v>
      </c>
      <c r="AX81" s="559">
        <v>0</v>
      </c>
      <c r="AY81" s="559">
        <f t="shared" si="18"/>
        <v>4581.5771264273626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297613.61414164357</v>
      </c>
      <c r="BH81" s="108">
        <f t="shared" si="72"/>
        <v>12</v>
      </c>
      <c r="BI81" s="108">
        <f t="shared" si="67"/>
        <v>12</v>
      </c>
      <c r="BJ81" s="22">
        <f t="shared" si="68"/>
        <v>46814</v>
      </c>
      <c r="BK81" s="108">
        <f t="shared" si="50"/>
        <v>29910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46845</v>
      </c>
      <c r="I82" s="246">
        <f t="shared" si="74"/>
        <v>0.17899999999999999</v>
      </c>
      <c r="J82" s="242">
        <f t="shared" si="52"/>
        <v>29910</v>
      </c>
      <c r="K82" s="242">
        <f t="shared" si="64"/>
        <v>29910</v>
      </c>
      <c r="L82" s="242">
        <f t="shared" si="53"/>
        <v>4648.0029156085184</v>
      </c>
      <c r="M82" s="242">
        <f t="shared" si="65"/>
        <v>25261.997084391482</v>
      </c>
      <c r="N82" s="242">
        <f t="shared" si="47"/>
        <v>0</v>
      </c>
      <c r="O82" s="242">
        <v>0</v>
      </c>
      <c r="P82" s="242">
        <f t="shared" si="23"/>
        <v>4648.0029156085184</v>
      </c>
      <c r="Q82" s="242">
        <f t="shared" si="48"/>
        <v>0</v>
      </c>
      <c r="R82" s="242">
        <f t="shared" si="54"/>
        <v>0</v>
      </c>
      <c r="S82" s="242">
        <f t="shared" si="66"/>
        <v>280472.56124992267</v>
      </c>
      <c r="T82" s="467"/>
      <c r="U82" s="36">
        <f t="shared" si="70"/>
        <v>11</v>
      </c>
      <c r="V82" s="36">
        <f t="shared" si="56"/>
        <v>11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29910</v>
      </c>
      <c r="Y82" s="57">
        <f t="shared" si="39"/>
        <v>58826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29117</v>
      </c>
      <c r="AN82" s="57">
        <f t="shared" si="42"/>
        <v>57366</v>
      </c>
      <c r="AO82" s="130">
        <f t="shared" si="57"/>
        <v>1</v>
      </c>
      <c r="AP82" s="553">
        <f t="shared" si="71"/>
        <v>74</v>
      </c>
      <c r="AQ82" s="554">
        <f t="shared" si="58"/>
        <v>46845</v>
      </c>
      <c r="AR82" s="555">
        <f t="shared" si="44"/>
        <v>0.17899999999999999</v>
      </c>
      <c r="AS82" s="559">
        <f t="shared" si="59"/>
        <v>29117</v>
      </c>
      <c r="AT82" s="546">
        <f t="shared" si="60"/>
        <v>29117</v>
      </c>
      <c r="AU82" s="546">
        <f t="shared" si="61"/>
        <v>4524.5423147177544</v>
      </c>
      <c r="AV82" s="546">
        <f t="shared" si="62"/>
        <v>24592.457685282247</v>
      </c>
      <c r="AW82" s="559">
        <f t="shared" si="49"/>
        <v>0</v>
      </c>
      <c r="AX82" s="559">
        <v>0</v>
      </c>
      <c r="AY82" s="559">
        <f t="shared" si="18"/>
        <v>4524.5423147177544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273021.15645636135</v>
      </c>
      <c r="BH82" s="108">
        <f t="shared" si="72"/>
        <v>11</v>
      </c>
      <c r="BI82" s="108">
        <f t="shared" si="67"/>
        <v>11</v>
      </c>
      <c r="BJ82" s="22">
        <f t="shared" si="68"/>
        <v>46845</v>
      </c>
      <c r="BK82" s="108">
        <f t="shared" si="50"/>
        <v>29910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46875</v>
      </c>
      <c r="I83" s="246">
        <f t="shared" si="74"/>
        <v>0.17899999999999999</v>
      </c>
      <c r="J83" s="242">
        <f t="shared" si="52"/>
        <v>29910</v>
      </c>
      <c r="K83" s="242">
        <f t="shared" si="64"/>
        <v>29910</v>
      </c>
      <c r="L83" s="242">
        <f t="shared" si="53"/>
        <v>4126.4045312659855</v>
      </c>
      <c r="M83" s="242">
        <f t="shared" si="65"/>
        <v>25783.595468734013</v>
      </c>
      <c r="N83" s="242">
        <f t="shared" si="47"/>
        <v>0</v>
      </c>
      <c r="O83" s="242">
        <v>0</v>
      </c>
      <c r="P83" s="242">
        <f t="shared" si="23"/>
        <v>4126.4045312659855</v>
      </c>
      <c r="Q83" s="242">
        <f t="shared" si="48"/>
        <v>0</v>
      </c>
      <c r="R83" s="242">
        <f t="shared" si="54"/>
        <v>0</v>
      </c>
      <c r="S83" s="242">
        <f t="shared" si="66"/>
        <v>254688.96578118866</v>
      </c>
      <c r="T83" s="467"/>
      <c r="U83" s="36">
        <f t="shared" si="70"/>
        <v>10</v>
      </c>
      <c r="V83" s="36">
        <f t="shared" si="56"/>
        <v>10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29910</v>
      </c>
      <c r="Y83" s="57">
        <f t="shared" si="39"/>
        <v>59191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29117</v>
      </c>
      <c r="AN83" s="57">
        <f t="shared" si="42"/>
        <v>57731</v>
      </c>
      <c r="AO83" s="130">
        <f t="shared" si="57"/>
        <v>1</v>
      </c>
      <c r="AP83" s="553">
        <f t="shared" si="71"/>
        <v>75</v>
      </c>
      <c r="AQ83" s="554">
        <f t="shared" si="58"/>
        <v>46875</v>
      </c>
      <c r="AR83" s="555">
        <f t="shared" si="44"/>
        <v>0.17899999999999999</v>
      </c>
      <c r="AS83" s="559">
        <f t="shared" si="59"/>
        <v>29117</v>
      </c>
      <c r="AT83" s="546">
        <f t="shared" si="60"/>
        <v>29117</v>
      </c>
      <c r="AU83" s="546">
        <f t="shared" si="61"/>
        <v>4016.7770141661927</v>
      </c>
      <c r="AV83" s="546">
        <f t="shared" si="62"/>
        <v>25100.222985833807</v>
      </c>
      <c r="AW83" s="559">
        <f t="shared" si="49"/>
        <v>0</v>
      </c>
      <c r="AX83" s="559">
        <v>0</v>
      </c>
      <c r="AY83" s="559">
        <f t="shared" si="18"/>
        <v>4016.7770141661927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247920.93347052755</v>
      </c>
      <c r="BH83" s="108">
        <f t="shared" si="72"/>
        <v>10</v>
      </c>
      <c r="BI83" s="108">
        <f t="shared" si="67"/>
        <v>10</v>
      </c>
      <c r="BJ83" s="22">
        <f t="shared" si="68"/>
        <v>46875</v>
      </c>
      <c r="BK83" s="108">
        <f t="shared" si="50"/>
        <v>29910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46906</v>
      </c>
      <c r="I84" s="246">
        <f t="shared" si="74"/>
        <v>0.17899999999999999</v>
      </c>
      <c r="J84" s="242">
        <f t="shared" si="52"/>
        <v>29910</v>
      </c>
      <c r="K84" s="242">
        <f t="shared" si="64"/>
        <v>29910</v>
      </c>
      <c r="L84" s="242">
        <f t="shared" si="53"/>
        <v>3871.9700578625093</v>
      </c>
      <c r="M84" s="242">
        <f t="shared" si="65"/>
        <v>26038.029942137491</v>
      </c>
      <c r="N84" s="242">
        <f t="shared" si="47"/>
        <v>0</v>
      </c>
      <c r="O84" s="242">
        <v>0</v>
      </c>
      <c r="P84" s="242">
        <f t="shared" si="23"/>
        <v>3871.9700578625093</v>
      </c>
      <c r="Q84" s="242">
        <f t="shared" si="48"/>
        <v>0</v>
      </c>
      <c r="R84" s="242">
        <f t="shared" si="54"/>
        <v>0</v>
      </c>
      <c r="S84" s="242">
        <f t="shared" si="66"/>
        <v>228650.93583905118</v>
      </c>
      <c r="T84" s="467"/>
      <c r="U84" s="36">
        <f t="shared" si="70"/>
        <v>9</v>
      </c>
      <c r="V84" s="36">
        <f t="shared" si="56"/>
        <v>9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29910</v>
      </c>
      <c r="Y84" s="57">
        <f t="shared" si="39"/>
        <v>59556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29117</v>
      </c>
      <c r="AN84" s="57">
        <f t="shared" si="42"/>
        <v>58096</v>
      </c>
      <c r="AO84" s="130">
        <f t="shared" si="57"/>
        <v>1</v>
      </c>
      <c r="AP84" s="553">
        <f t="shared" si="71"/>
        <v>76</v>
      </c>
      <c r="AQ84" s="554">
        <f t="shared" si="58"/>
        <v>46906</v>
      </c>
      <c r="AR84" s="555">
        <f t="shared" si="44"/>
        <v>0.17899999999999999</v>
      </c>
      <c r="AS84" s="559">
        <f t="shared" si="59"/>
        <v>29117</v>
      </c>
      <c r="AT84" s="546">
        <f t="shared" si="60"/>
        <v>29117</v>
      </c>
      <c r="AU84" s="546">
        <f t="shared" si="61"/>
        <v>3769.077424186185</v>
      </c>
      <c r="AV84" s="546">
        <f t="shared" si="62"/>
        <v>25347.922575813816</v>
      </c>
      <c r="AW84" s="559">
        <f t="shared" si="49"/>
        <v>0</v>
      </c>
      <c r="AX84" s="559">
        <v>0</v>
      </c>
      <c r="AY84" s="559">
        <f t="shared" si="18"/>
        <v>3769.077424186185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222573.01089471375</v>
      </c>
      <c r="BH84" s="108">
        <f t="shared" si="72"/>
        <v>9</v>
      </c>
      <c r="BI84" s="108">
        <f t="shared" si="67"/>
        <v>9</v>
      </c>
      <c r="BJ84" s="22">
        <f t="shared" si="68"/>
        <v>46906</v>
      </c>
      <c r="BK84" s="108">
        <f t="shared" si="50"/>
        <v>29910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46936</v>
      </c>
      <c r="I85" s="246">
        <f t="shared" si="74"/>
        <v>0.17899999999999999</v>
      </c>
      <c r="J85" s="242">
        <f t="shared" si="52"/>
        <v>29910</v>
      </c>
      <c r="K85" s="242">
        <f t="shared" si="64"/>
        <v>29910</v>
      </c>
      <c r="L85" s="242">
        <f t="shared" si="53"/>
        <v>3363.9877409745336</v>
      </c>
      <c r="M85" s="242">
        <f t="shared" si="65"/>
        <v>26546.012259025465</v>
      </c>
      <c r="N85" s="242">
        <f t="shared" si="47"/>
        <v>0</v>
      </c>
      <c r="O85" s="242">
        <v>0</v>
      </c>
      <c r="P85" s="242">
        <f t="shared" si="23"/>
        <v>3363.9877409745336</v>
      </c>
      <c r="Q85" s="242">
        <f t="shared" si="48"/>
        <v>0</v>
      </c>
      <c r="R85" s="242">
        <f t="shared" si="54"/>
        <v>0</v>
      </c>
      <c r="S85" s="242">
        <f t="shared" si="66"/>
        <v>202104.9235800257</v>
      </c>
      <c r="T85" s="467"/>
      <c r="U85" s="36">
        <f t="shared" si="70"/>
        <v>8</v>
      </c>
      <c r="V85" s="36">
        <f t="shared" si="56"/>
        <v>8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29910</v>
      </c>
      <c r="Y85" s="57">
        <f t="shared" si="39"/>
        <v>59921</v>
      </c>
      <c r="AC85" s="803" t="s">
        <v>104</v>
      </c>
      <c r="AD85" s="803"/>
      <c r="AE85" s="803"/>
      <c r="AF85" s="803"/>
      <c r="AG85" s="803"/>
      <c r="AH85" s="803"/>
      <c r="AI85" s="803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29117</v>
      </c>
      <c r="AN85" s="57">
        <f t="shared" si="42"/>
        <v>58461</v>
      </c>
      <c r="AO85" s="130">
        <f t="shared" si="57"/>
        <v>1</v>
      </c>
      <c r="AP85" s="553">
        <f t="shared" si="71"/>
        <v>77</v>
      </c>
      <c r="AQ85" s="554">
        <f t="shared" si="58"/>
        <v>46936</v>
      </c>
      <c r="AR85" s="555">
        <f t="shared" si="44"/>
        <v>0.17899999999999999</v>
      </c>
      <c r="AS85" s="559">
        <f t="shared" si="59"/>
        <v>29117</v>
      </c>
      <c r="AT85" s="546">
        <f t="shared" si="60"/>
        <v>29117</v>
      </c>
      <c r="AU85" s="546">
        <f t="shared" si="61"/>
        <v>3274.5673109715417</v>
      </c>
      <c r="AV85" s="546">
        <f t="shared" si="62"/>
        <v>25842.432689028457</v>
      </c>
      <c r="AW85" s="559">
        <f t="shared" si="49"/>
        <v>0</v>
      </c>
      <c r="AX85" s="559">
        <v>0</v>
      </c>
      <c r="AY85" s="559">
        <f t="shared" si="18"/>
        <v>3274.5673109715417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196730.57820568531</v>
      </c>
      <c r="BH85" s="108">
        <f t="shared" si="72"/>
        <v>8</v>
      </c>
      <c r="BI85" s="108">
        <f t="shared" si="67"/>
        <v>8</v>
      </c>
      <c r="BJ85" s="22">
        <f t="shared" si="68"/>
        <v>46936</v>
      </c>
      <c r="BK85" s="108">
        <f t="shared" si="50"/>
        <v>29910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46967</v>
      </c>
      <c r="I86" s="246">
        <f t="shared" si="74"/>
        <v>0.17899999999999999</v>
      </c>
      <c r="J86" s="242">
        <f t="shared" si="52"/>
        <v>29910</v>
      </c>
      <c r="K86" s="242">
        <f t="shared" si="64"/>
        <v>29910</v>
      </c>
      <c r="L86" s="242">
        <f t="shared" si="53"/>
        <v>3072.5485505357883</v>
      </c>
      <c r="M86" s="242">
        <f t="shared" si="65"/>
        <v>26837.451449464214</v>
      </c>
      <c r="N86" s="242">
        <f t="shared" si="47"/>
        <v>0</v>
      </c>
      <c r="O86" s="242">
        <v>0</v>
      </c>
      <c r="P86" s="242">
        <f t="shared" ref="P86:P108" si="77">L86+Q86</f>
        <v>3072.5485505357883</v>
      </c>
      <c r="Q86" s="242">
        <f t="shared" si="48"/>
        <v>0</v>
      </c>
      <c r="R86" s="242">
        <f t="shared" si="54"/>
        <v>0</v>
      </c>
      <c r="S86" s="242">
        <f t="shared" si="66"/>
        <v>175267.47213056148</v>
      </c>
      <c r="T86" s="467"/>
      <c r="U86" s="36">
        <f t="shared" si="70"/>
        <v>7</v>
      </c>
      <c r="V86" s="36">
        <f t="shared" si="56"/>
        <v>7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29910</v>
      </c>
      <c r="Y86" s="57">
        <f t="shared" si="39"/>
        <v>60286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29117</v>
      </c>
      <c r="AN86" s="57">
        <f t="shared" si="42"/>
        <v>58826</v>
      </c>
      <c r="AO86" s="130">
        <f t="shared" si="57"/>
        <v>1</v>
      </c>
      <c r="AP86" s="553">
        <f t="shared" si="71"/>
        <v>78</v>
      </c>
      <c r="AQ86" s="554">
        <f t="shared" si="58"/>
        <v>46967</v>
      </c>
      <c r="AR86" s="555">
        <f t="shared" si="44"/>
        <v>0.17899999999999999</v>
      </c>
      <c r="AS86" s="559">
        <f t="shared" si="59"/>
        <v>29117</v>
      </c>
      <c r="AT86" s="546">
        <f t="shared" si="60"/>
        <v>29117</v>
      </c>
      <c r="AU86" s="546">
        <f t="shared" si="61"/>
        <v>2990.8437766119118</v>
      </c>
      <c r="AV86" s="546">
        <f t="shared" si="62"/>
        <v>26126.156223388087</v>
      </c>
      <c r="AW86" s="559">
        <f t="shared" si="49"/>
        <v>0</v>
      </c>
      <c r="AX86" s="559">
        <v>0</v>
      </c>
      <c r="AY86" s="559">
        <f t="shared" ref="AY86:AY108" si="78">AU86+AZ86</f>
        <v>2990.8437766119118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170604.42198229721</v>
      </c>
      <c r="BH86" s="108">
        <f t="shared" si="72"/>
        <v>7</v>
      </c>
      <c r="BI86" s="108">
        <f t="shared" si="67"/>
        <v>7</v>
      </c>
      <c r="BJ86" s="22">
        <f t="shared" si="68"/>
        <v>46967</v>
      </c>
      <c r="BK86" s="108">
        <f t="shared" si="50"/>
        <v>29910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46998</v>
      </c>
      <c r="I87" s="246">
        <f t="shared" si="74"/>
        <v>0.17899999999999999</v>
      </c>
      <c r="J87" s="242">
        <f t="shared" si="52"/>
        <v>29910</v>
      </c>
      <c r="K87" s="242">
        <f t="shared" si="64"/>
        <v>29910</v>
      </c>
      <c r="L87" s="242">
        <f t="shared" si="53"/>
        <v>2664.5457612396867</v>
      </c>
      <c r="M87" s="242">
        <f t="shared" si="65"/>
        <v>27245.454238760314</v>
      </c>
      <c r="N87" s="242">
        <f t="shared" si="47"/>
        <v>0</v>
      </c>
      <c r="O87" s="242">
        <v>0</v>
      </c>
      <c r="P87" s="242">
        <f t="shared" si="77"/>
        <v>2664.5457612396867</v>
      </c>
      <c r="Q87" s="242">
        <f t="shared" si="48"/>
        <v>0</v>
      </c>
      <c r="R87" s="242">
        <f t="shared" si="54"/>
        <v>0</v>
      </c>
      <c r="S87" s="242">
        <f t="shared" si="66"/>
        <v>148022.01789180117</v>
      </c>
      <c r="T87" s="467"/>
      <c r="U87" s="36">
        <f t="shared" si="70"/>
        <v>6</v>
      </c>
      <c r="V87" s="36">
        <f t="shared" si="56"/>
        <v>6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29910</v>
      </c>
      <c r="Y87" s="57">
        <f t="shared" si="39"/>
        <v>60651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29117</v>
      </c>
      <c r="AN87" s="57">
        <f t="shared" si="42"/>
        <v>59191</v>
      </c>
      <c r="AO87" s="130">
        <f t="shared" si="57"/>
        <v>1</v>
      </c>
      <c r="AP87" s="553">
        <f t="shared" si="71"/>
        <v>79</v>
      </c>
      <c r="AQ87" s="554">
        <f t="shared" si="58"/>
        <v>46998</v>
      </c>
      <c r="AR87" s="555">
        <f t="shared" si="44"/>
        <v>0.17899999999999999</v>
      </c>
      <c r="AS87" s="559">
        <f t="shared" si="59"/>
        <v>29117</v>
      </c>
      <c r="AT87" s="546">
        <f t="shared" si="60"/>
        <v>29117</v>
      </c>
      <c r="AU87" s="546">
        <f t="shared" si="61"/>
        <v>2593.6546235062115</v>
      </c>
      <c r="AV87" s="546">
        <f t="shared" si="62"/>
        <v>26523.345376493788</v>
      </c>
      <c r="AW87" s="559">
        <f t="shared" si="49"/>
        <v>0</v>
      </c>
      <c r="AX87" s="559">
        <v>0</v>
      </c>
      <c r="AY87" s="559">
        <f t="shared" si="78"/>
        <v>2593.6546235062115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144081.07660580342</v>
      </c>
      <c r="BH87" s="108">
        <f t="shared" si="72"/>
        <v>6</v>
      </c>
      <c r="BI87" s="108">
        <f t="shared" si="67"/>
        <v>6</v>
      </c>
      <c r="BJ87" s="22">
        <f t="shared" si="68"/>
        <v>46998</v>
      </c>
      <c r="BK87" s="108">
        <f t="shared" si="50"/>
        <v>29910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47028</v>
      </c>
      <c r="I88" s="246">
        <f t="shared" si="74"/>
        <v>0.17899999999999999</v>
      </c>
      <c r="J88" s="242">
        <f t="shared" si="52"/>
        <v>29910</v>
      </c>
      <c r="K88" s="242">
        <f t="shared" si="64"/>
        <v>29910</v>
      </c>
      <c r="L88" s="242">
        <f t="shared" si="53"/>
        <v>2177.7485919971841</v>
      </c>
      <c r="M88" s="242">
        <f t="shared" si="65"/>
        <v>27732.251408002816</v>
      </c>
      <c r="N88" s="242">
        <f t="shared" si="47"/>
        <v>0</v>
      </c>
      <c r="O88" s="242">
        <v>0</v>
      </c>
      <c r="P88" s="242">
        <f t="shared" si="77"/>
        <v>2177.7485919971841</v>
      </c>
      <c r="Q88" s="242">
        <f t="shared" si="48"/>
        <v>0</v>
      </c>
      <c r="R88" s="242">
        <f t="shared" si="54"/>
        <v>0</v>
      </c>
      <c r="S88" s="242">
        <f t="shared" si="66"/>
        <v>120289.76648379835</v>
      </c>
      <c r="T88" s="467"/>
      <c r="U88" s="36">
        <f t="shared" si="70"/>
        <v>5</v>
      </c>
      <c r="V88" s="36">
        <f t="shared" si="56"/>
        <v>5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29910</v>
      </c>
      <c r="Y88" s="57">
        <f t="shared" si="39"/>
        <v>61016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29117</v>
      </c>
      <c r="AN88" s="57">
        <f t="shared" si="42"/>
        <v>59556</v>
      </c>
      <c r="AO88" s="130">
        <f t="shared" si="57"/>
        <v>1</v>
      </c>
      <c r="AP88" s="553">
        <f t="shared" si="71"/>
        <v>80</v>
      </c>
      <c r="AQ88" s="554">
        <f t="shared" si="58"/>
        <v>47028</v>
      </c>
      <c r="AR88" s="555">
        <f t="shared" si="44"/>
        <v>0.17899999999999999</v>
      </c>
      <c r="AS88" s="559">
        <f t="shared" si="59"/>
        <v>29117</v>
      </c>
      <c r="AT88" s="546">
        <f t="shared" si="60"/>
        <v>29117</v>
      </c>
      <c r="AU88" s="546">
        <f t="shared" si="61"/>
        <v>2119.7681681456556</v>
      </c>
      <c r="AV88" s="546">
        <f t="shared" si="62"/>
        <v>26997.231831854344</v>
      </c>
      <c r="AW88" s="559">
        <f t="shared" si="49"/>
        <v>0</v>
      </c>
      <c r="AX88" s="559">
        <v>0</v>
      </c>
      <c r="AY88" s="559">
        <f t="shared" si="78"/>
        <v>2119.7681681456556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117083.84477394908</v>
      </c>
      <c r="BH88" s="108">
        <f t="shared" si="72"/>
        <v>5</v>
      </c>
      <c r="BI88" s="108">
        <f t="shared" si="67"/>
        <v>5</v>
      </c>
      <c r="BJ88" s="22">
        <f t="shared" si="68"/>
        <v>47028</v>
      </c>
      <c r="BK88" s="108">
        <f t="shared" si="50"/>
        <v>29910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47059</v>
      </c>
      <c r="I89" s="246">
        <f t="shared" si="74"/>
        <v>0.17899999999999999</v>
      </c>
      <c r="J89" s="242">
        <f t="shared" si="52"/>
        <v>29910</v>
      </c>
      <c r="K89" s="242">
        <f t="shared" si="64"/>
        <v>29910</v>
      </c>
      <c r="L89" s="242">
        <f t="shared" si="53"/>
        <v>1828.7340115578002</v>
      </c>
      <c r="M89" s="242">
        <f t="shared" si="65"/>
        <v>28081.265988442199</v>
      </c>
      <c r="N89" s="242">
        <f t="shared" si="47"/>
        <v>0</v>
      </c>
      <c r="O89" s="242">
        <v>0</v>
      </c>
      <c r="P89" s="242">
        <f t="shared" si="77"/>
        <v>1828.7340115578002</v>
      </c>
      <c r="Q89" s="242">
        <f t="shared" si="48"/>
        <v>0</v>
      </c>
      <c r="R89" s="242">
        <f t="shared" si="54"/>
        <v>0</v>
      </c>
      <c r="S89" s="242">
        <f t="shared" si="66"/>
        <v>92208.500495356144</v>
      </c>
      <c r="T89" s="467"/>
      <c r="U89" s="36">
        <f t="shared" si="70"/>
        <v>4</v>
      </c>
      <c r="V89" s="36">
        <f t="shared" si="56"/>
        <v>4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29910</v>
      </c>
      <c r="Y89" s="57">
        <f t="shared" si="39"/>
        <v>61381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29117</v>
      </c>
      <c r="AN89" s="57">
        <f t="shared" si="42"/>
        <v>59921</v>
      </c>
      <c r="AO89" s="130">
        <f t="shared" si="57"/>
        <v>1</v>
      </c>
      <c r="AP89" s="553">
        <f t="shared" si="71"/>
        <v>81</v>
      </c>
      <c r="AQ89" s="554">
        <f t="shared" si="58"/>
        <v>47059</v>
      </c>
      <c r="AR89" s="555">
        <f t="shared" si="44"/>
        <v>0.17899999999999999</v>
      </c>
      <c r="AS89" s="559">
        <f t="shared" si="59"/>
        <v>29117</v>
      </c>
      <c r="AT89" s="546">
        <f t="shared" si="60"/>
        <v>29117</v>
      </c>
      <c r="AU89" s="546">
        <f t="shared" si="61"/>
        <v>1779.9952182209411</v>
      </c>
      <c r="AV89" s="546">
        <f t="shared" si="62"/>
        <v>27337.004781779058</v>
      </c>
      <c r="AW89" s="559">
        <f t="shared" si="49"/>
        <v>0</v>
      </c>
      <c r="AX89" s="559">
        <v>0</v>
      </c>
      <c r="AY89" s="559">
        <f t="shared" si="78"/>
        <v>1779.9952182209411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89746.839992170018</v>
      </c>
      <c r="BH89" s="108">
        <f t="shared" si="72"/>
        <v>4</v>
      </c>
      <c r="BI89" s="108">
        <f t="shared" si="67"/>
        <v>4</v>
      </c>
      <c r="BJ89" s="22">
        <f t="shared" si="68"/>
        <v>47059</v>
      </c>
      <c r="BK89" s="108">
        <f t="shared" si="50"/>
        <v>29910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47089</v>
      </c>
      <c r="I90" s="246">
        <f t="shared" si="74"/>
        <v>0.17899999999999999</v>
      </c>
      <c r="J90" s="242">
        <f t="shared" si="52"/>
        <v>29910</v>
      </c>
      <c r="K90" s="242">
        <f t="shared" si="64"/>
        <v>29910</v>
      </c>
      <c r="L90" s="242">
        <f t="shared" si="53"/>
        <v>1356.60177441113</v>
      </c>
      <c r="M90" s="242">
        <f t="shared" si="65"/>
        <v>28553.39822558887</v>
      </c>
      <c r="N90" s="242">
        <f t="shared" si="47"/>
        <v>0</v>
      </c>
      <c r="O90" s="242">
        <v>0</v>
      </c>
      <c r="P90" s="242">
        <f t="shared" si="77"/>
        <v>1356.60177441113</v>
      </c>
      <c r="Q90" s="242">
        <f t="shared" si="48"/>
        <v>0</v>
      </c>
      <c r="R90" s="242">
        <f t="shared" si="54"/>
        <v>0</v>
      </c>
      <c r="S90" s="242">
        <f t="shared" si="66"/>
        <v>63655.102269767274</v>
      </c>
      <c r="T90" s="467"/>
      <c r="U90" s="36">
        <f t="shared" si="70"/>
        <v>3</v>
      </c>
      <c r="V90" s="36">
        <f t="shared" si="56"/>
        <v>3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29910</v>
      </c>
      <c r="Y90" s="57">
        <f t="shared" si="39"/>
        <v>61746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29117</v>
      </c>
      <c r="AN90" s="57">
        <f t="shared" si="42"/>
        <v>60286</v>
      </c>
      <c r="AO90" s="130">
        <f t="shared" si="57"/>
        <v>1</v>
      </c>
      <c r="AP90" s="553">
        <f t="shared" si="71"/>
        <v>82</v>
      </c>
      <c r="AQ90" s="554">
        <f t="shared" si="58"/>
        <v>47089</v>
      </c>
      <c r="AR90" s="555">
        <f t="shared" si="44"/>
        <v>0.17899999999999999</v>
      </c>
      <c r="AS90" s="559">
        <f t="shared" si="59"/>
        <v>29117</v>
      </c>
      <c r="AT90" s="546">
        <f t="shared" si="60"/>
        <v>29117</v>
      </c>
      <c r="AU90" s="546">
        <f t="shared" si="61"/>
        <v>1320.3850157752136</v>
      </c>
      <c r="AV90" s="546">
        <f t="shared" si="62"/>
        <v>27796.614984224787</v>
      </c>
      <c r="AW90" s="559">
        <f t="shared" si="49"/>
        <v>0</v>
      </c>
      <c r="AX90" s="559">
        <v>0</v>
      </c>
      <c r="AY90" s="559">
        <f t="shared" si="78"/>
        <v>1320.3850157752136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61950.225007945235</v>
      </c>
      <c r="BH90" s="108">
        <f t="shared" si="72"/>
        <v>3</v>
      </c>
      <c r="BI90" s="108">
        <f t="shared" si="67"/>
        <v>3</v>
      </c>
      <c r="BJ90" s="22">
        <f t="shared" si="68"/>
        <v>47089</v>
      </c>
      <c r="BK90" s="108">
        <f t="shared" si="50"/>
        <v>29910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47120</v>
      </c>
      <c r="I91" s="246">
        <f t="shared" si="74"/>
        <v>0.17899999999999999</v>
      </c>
      <c r="J91" s="242">
        <f t="shared" si="52"/>
        <v>29910</v>
      </c>
      <c r="K91" s="242">
        <f t="shared" si="64"/>
        <v>29910</v>
      </c>
      <c r="L91" s="242">
        <f t="shared" si="53"/>
        <v>967.73195204092769</v>
      </c>
      <c r="M91" s="242">
        <f t="shared" si="65"/>
        <v>28942.268047959071</v>
      </c>
      <c r="N91" s="242">
        <f t="shared" si="47"/>
        <v>0</v>
      </c>
      <c r="O91" s="242">
        <v>0</v>
      </c>
      <c r="P91" s="242">
        <f t="shared" si="77"/>
        <v>967.73195204092769</v>
      </c>
      <c r="Q91" s="242">
        <f t="shared" si="48"/>
        <v>0</v>
      </c>
      <c r="R91" s="242">
        <f t="shared" si="54"/>
        <v>0</v>
      </c>
      <c r="S91" s="242">
        <f t="shared" si="66"/>
        <v>34712.834221808203</v>
      </c>
      <c r="T91" s="467"/>
      <c r="U91" s="36">
        <f t="shared" si="70"/>
        <v>2</v>
      </c>
      <c r="V91" s="36">
        <f t="shared" si="56"/>
        <v>2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29910</v>
      </c>
      <c r="Y91" s="57">
        <f t="shared" si="39"/>
        <v>62111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29117</v>
      </c>
      <c r="AN91" s="57">
        <f t="shared" si="42"/>
        <v>60651</v>
      </c>
      <c r="AO91" s="130">
        <f t="shared" si="57"/>
        <v>1</v>
      </c>
      <c r="AP91" s="553">
        <f t="shared" si="71"/>
        <v>83</v>
      </c>
      <c r="AQ91" s="554">
        <f t="shared" si="58"/>
        <v>47120</v>
      </c>
      <c r="AR91" s="555">
        <f t="shared" si="44"/>
        <v>0.17899999999999999</v>
      </c>
      <c r="AS91" s="559">
        <f t="shared" si="59"/>
        <v>29117</v>
      </c>
      <c r="AT91" s="546">
        <f t="shared" si="60"/>
        <v>29117</v>
      </c>
      <c r="AU91" s="546">
        <f t="shared" si="61"/>
        <v>941.813146764625</v>
      </c>
      <c r="AV91" s="546">
        <f t="shared" si="62"/>
        <v>28175.186853235376</v>
      </c>
      <c r="AW91" s="559">
        <f t="shared" si="49"/>
        <v>0</v>
      </c>
      <c r="AX91" s="559">
        <v>0</v>
      </c>
      <c r="AY91" s="559">
        <f t="shared" si="78"/>
        <v>941.813146764625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33775.038154709859</v>
      </c>
      <c r="BH91" s="108">
        <f t="shared" si="72"/>
        <v>2</v>
      </c>
      <c r="BI91" s="108">
        <f t="shared" si="67"/>
        <v>2</v>
      </c>
      <c r="BJ91" s="22">
        <f t="shared" si="68"/>
        <v>47120</v>
      </c>
      <c r="BK91" s="108">
        <f t="shared" si="50"/>
        <v>29910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47151</v>
      </c>
      <c r="I92" s="246">
        <f t="shared" si="74"/>
        <v>0.17899999999999999</v>
      </c>
      <c r="J92" s="242">
        <f t="shared" si="52"/>
        <v>29910</v>
      </c>
      <c r="K92" s="242">
        <f t="shared" si="64"/>
        <v>29910</v>
      </c>
      <c r="L92" s="242">
        <f t="shared" si="53"/>
        <v>527.7301838268869</v>
      </c>
      <c r="M92" s="242">
        <f t="shared" si="65"/>
        <v>29382.269816173113</v>
      </c>
      <c r="N92" s="242">
        <f t="shared" si="47"/>
        <v>0</v>
      </c>
      <c r="O92" s="242">
        <v>0</v>
      </c>
      <c r="P92" s="242">
        <f t="shared" si="77"/>
        <v>527.7301838268869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1</v>
      </c>
      <c r="V92" s="36">
        <f t="shared" si="56"/>
        <v>1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29910</v>
      </c>
      <c r="Y92" s="57">
        <f t="shared" si="39"/>
        <v>62476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29117</v>
      </c>
      <c r="AN92" s="57">
        <f t="shared" si="42"/>
        <v>61016</v>
      </c>
      <c r="AO92" s="130">
        <f t="shared" si="57"/>
        <v>1</v>
      </c>
      <c r="AP92" s="553">
        <f t="shared" si="71"/>
        <v>84</v>
      </c>
      <c r="AQ92" s="554">
        <f t="shared" si="58"/>
        <v>47151</v>
      </c>
      <c r="AR92" s="555">
        <f t="shared" si="44"/>
        <v>0.17899999999999999</v>
      </c>
      <c r="AS92" s="559">
        <f t="shared" si="59"/>
        <v>29117</v>
      </c>
      <c r="AT92" s="546">
        <f t="shared" si="60"/>
        <v>29117</v>
      </c>
      <c r="AU92" s="546">
        <f t="shared" si="61"/>
        <v>513.47311430269872</v>
      </c>
      <c r="AV92" s="546">
        <f t="shared" si="62"/>
        <v>33775.038154709859</v>
      </c>
      <c r="AW92" s="559">
        <f t="shared" si="49"/>
        <v>0</v>
      </c>
      <c r="AX92" s="559">
        <v>0</v>
      </c>
      <c r="AY92" s="559">
        <f t="shared" si="78"/>
        <v>513.47311430269872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1</v>
      </c>
      <c r="BI92" s="108">
        <f t="shared" si="67"/>
        <v>1</v>
      </c>
      <c r="BJ92" s="22">
        <f t="shared" si="68"/>
        <v>47151</v>
      </c>
      <c r="BK92" s="108">
        <f t="shared" si="50"/>
        <v>29910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47176</v>
      </c>
      <c r="I93" s="176">
        <f t="shared" si="74"/>
        <v>0.17899999999999999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29910</v>
      </c>
      <c r="Y93" s="57">
        <f t="shared" si="39"/>
        <v>62841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29117</v>
      </c>
      <c r="AN93" s="57">
        <f t="shared" si="42"/>
        <v>61381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47176</v>
      </c>
      <c r="AR93" s="177">
        <f t="shared" si="44"/>
        <v>0.17899999999999999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47176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47204</v>
      </c>
      <c r="I94" s="176">
        <f t="shared" si="74"/>
        <v>0.17899999999999999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29910</v>
      </c>
      <c r="Y94" s="57">
        <f t="shared" si="39"/>
        <v>63206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29117</v>
      </c>
      <c r="AN94" s="57">
        <f t="shared" si="42"/>
        <v>61746</v>
      </c>
      <c r="AO94" s="130">
        <f t="shared" si="57"/>
        <v>0</v>
      </c>
      <c r="AP94" s="109">
        <f t="shared" si="71"/>
        <v>86</v>
      </c>
      <c r="AQ94" s="110">
        <f t="shared" si="83"/>
        <v>47204</v>
      </c>
      <c r="AR94" s="177">
        <f t="shared" si="44"/>
        <v>0.17899999999999999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47204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47235</v>
      </c>
      <c r="I95" s="176">
        <f t="shared" si="74"/>
        <v>0.17899999999999999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29910</v>
      </c>
      <c r="Y95" s="57">
        <f t="shared" si="39"/>
        <v>63571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29117</v>
      </c>
      <c r="AN95" s="57">
        <f t="shared" si="42"/>
        <v>62111</v>
      </c>
      <c r="AO95" s="130">
        <f t="shared" si="57"/>
        <v>0</v>
      </c>
      <c r="AP95" s="109">
        <f t="shared" si="71"/>
        <v>87</v>
      </c>
      <c r="AQ95" s="110">
        <f t="shared" si="83"/>
        <v>47235</v>
      </c>
      <c r="AR95" s="177">
        <f t="shared" si="44"/>
        <v>0.17899999999999999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47235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47265</v>
      </c>
      <c r="I96" s="176">
        <f t="shared" si="74"/>
        <v>0.17899999999999999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29910</v>
      </c>
      <c r="Y96" s="57">
        <f t="shared" si="39"/>
        <v>63936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29117</v>
      </c>
      <c r="AN96" s="57">
        <f t="shared" si="42"/>
        <v>62476</v>
      </c>
      <c r="AO96" s="130">
        <f t="shared" si="57"/>
        <v>0</v>
      </c>
      <c r="AP96" s="109">
        <f t="shared" si="71"/>
        <v>88</v>
      </c>
      <c r="AQ96" s="110">
        <f t="shared" si="83"/>
        <v>47265</v>
      </c>
      <c r="AR96" s="177">
        <f t="shared" si="44"/>
        <v>0.17899999999999999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47265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47296</v>
      </c>
      <c r="I97" s="176">
        <f t="shared" si="74"/>
        <v>0.17899999999999999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29910</v>
      </c>
      <c r="Y97" s="57">
        <f t="shared" si="39"/>
        <v>64301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29117</v>
      </c>
      <c r="AN97" s="57">
        <f t="shared" si="42"/>
        <v>62841</v>
      </c>
      <c r="AO97" s="130">
        <f t="shared" si="57"/>
        <v>0</v>
      </c>
      <c r="AP97" s="109">
        <f t="shared" si="71"/>
        <v>89</v>
      </c>
      <c r="AQ97" s="110">
        <f t="shared" si="83"/>
        <v>47296</v>
      </c>
      <c r="AR97" s="177">
        <f t="shared" si="44"/>
        <v>0.17899999999999999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47296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47326</v>
      </c>
      <c r="I98" s="176">
        <f t="shared" si="74"/>
        <v>0.17899999999999999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29910</v>
      </c>
      <c r="Y98" s="57">
        <f t="shared" si="39"/>
        <v>64666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29117</v>
      </c>
      <c r="AN98" s="57">
        <f t="shared" si="42"/>
        <v>63206</v>
      </c>
      <c r="AO98" s="130">
        <f t="shared" si="57"/>
        <v>0</v>
      </c>
      <c r="AP98" s="109">
        <f t="shared" si="71"/>
        <v>90</v>
      </c>
      <c r="AQ98" s="110">
        <f t="shared" si="83"/>
        <v>47326</v>
      </c>
      <c r="AR98" s="177">
        <f t="shared" si="44"/>
        <v>0.17899999999999999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47326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47357</v>
      </c>
      <c r="I99" s="176">
        <f t="shared" si="74"/>
        <v>0.17899999999999999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29910</v>
      </c>
      <c r="Y99" s="57">
        <f t="shared" si="39"/>
        <v>65031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29117</v>
      </c>
      <c r="AN99" s="57">
        <f t="shared" si="42"/>
        <v>63571</v>
      </c>
      <c r="AO99" s="130">
        <f t="shared" si="57"/>
        <v>0</v>
      </c>
      <c r="AP99" s="109">
        <f t="shared" si="71"/>
        <v>91</v>
      </c>
      <c r="AQ99" s="110">
        <f t="shared" si="83"/>
        <v>47357</v>
      </c>
      <c r="AR99" s="177">
        <f t="shared" si="44"/>
        <v>0.17899999999999999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47357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47388</v>
      </c>
      <c r="I100" s="176">
        <f t="shared" si="74"/>
        <v>0.17899999999999999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29910</v>
      </c>
      <c r="Y100" s="57">
        <f t="shared" si="39"/>
        <v>65396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29117</v>
      </c>
      <c r="AN100" s="57">
        <f t="shared" si="42"/>
        <v>63936</v>
      </c>
      <c r="AO100" s="130">
        <f t="shared" si="57"/>
        <v>0</v>
      </c>
      <c r="AP100" s="109">
        <f t="shared" si="71"/>
        <v>92</v>
      </c>
      <c r="AQ100" s="110">
        <f t="shared" si="83"/>
        <v>47388</v>
      </c>
      <c r="AR100" s="177">
        <f t="shared" si="44"/>
        <v>0.17899999999999999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47388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47418</v>
      </c>
      <c r="I101" s="176">
        <f t="shared" si="74"/>
        <v>0.17899999999999999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29910</v>
      </c>
      <c r="Y101" s="57">
        <f t="shared" si="39"/>
        <v>65761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29117</v>
      </c>
      <c r="AN101" s="57">
        <f t="shared" si="42"/>
        <v>64301</v>
      </c>
      <c r="AO101" s="130">
        <f t="shared" si="57"/>
        <v>0</v>
      </c>
      <c r="AP101" s="109">
        <f t="shared" si="71"/>
        <v>93</v>
      </c>
      <c r="AQ101" s="110">
        <f t="shared" si="83"/>
        <v>47418</v>
      </c>
      <c r="AR101" s="177">
        <f t="shared" si="44"/>
        <v>0.17899999999999999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47418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47449</v>
      </c>
      <c r="I102" s="176">
        <f t="shared" si="74"/>
        <v>0.17899999999999999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29910</v>
      </c>
      <c r="Y102" s="57">
        <f t="shared" si="39"/>
        <v>66126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29117</v>
      </c>
      <c r="AN102" s="57">
        <f t="shared" si="42"/>
        <v>64666</v>
      </c>
      <c r="AO102" s="130">
        <f t="shared" si="57"/>
        <v>0</v>
      </c>
      <c r="AP102" s="109">
        <f t="shared" si="71"/>
        <v>94</v>
      </c>
      <c r="AQ102" s="110">
        <f t="shared" si="83"/>
        <v>47449</v>
      </c>
      <c r="AR102" s="177">
        <f t="shared" si="44"/>
        <v>0.17899999999999999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47449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47479</v>
      </c>
      <c r="I103" s="176">
        <f t="shared" si="74"/>
        <v>0.17899999999999999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29910</v>
      </c>
      <c r="Y103" s="57">
        <f t="shared" si="39"/>
        <v>66491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29117</v>
      </c>
      <c r="AN103" s="57">
        <f t="shared" si="42"/>
        <v>65031</v>
      </c>
      <c r="AO103" s="130">
        <f t="shared" si="57"/>
        <v>0</v>
      </c>
      <c r="AP103" s="109">
        <f t="shared" si="71"/>
        <v>95</v>
      </c>
      <c r="AQ103" s="110">
        <f t="shared" si="83"/>
        <v>47479</v>
      </c>
      <c r="AR103" s="177">
        <f t="shared" si="44"/>
        <v>0.17899999999999999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47479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47510</v>
      </c>
      <c r="I104" s="176">
        <f t="shared" si="74"/>
        <v>0.17899999999999999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29910</v>
      </c>
      <c r="Y104" s="57">
        <f t="shared" si="39"/>
        <v>66856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29117</v>
      </c>
      <c r="AN104" s="57">
        <f t="shared" si="42"/>
        <v>65396</v>
      </c>
      <c r="AO104" s="130">
        <f t="shared" si="57"/>
        <v>0</v>
      </c>
      <c r="AP104" s="109">
        <f t="shared" si="71"/>
        <v>96</v>
      </c>
      <c r="AQ104" s="110">
        <f t="shared" si="83"/>
        <v>47510</v>
      </c>
      <c r="AR104" s="177">
        <f t="shared" si="44"/>
        <v>0.17899999999999999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47510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47541</v>
      </c>
      <c r="I105" s="176">
        <f t="shared" si="74"/>
        <v>0.17899999999999999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29910</v>
      </c>
      <c r="Y105" s="57">
        <f t="shared" si="39"/>
        <v>67221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29117</v>
      </c>
      <c r="AN105" s="57">
        <f t="shared" si="42"/>
        <v>65761</v>
      </c>
      <c r="AO105" s="130">
        <f t="shared" si="57"/>
        <v>0</v>
      </c>
      <c r="AP105" s="109">
        <f t="shared" si="71"/>
        <v>97</v>
      </c>
      <c r="AQ105" s="110">
        <f t="shared" si="83"/>
        <v>47541</v>
      </c>
      <c r="AR105" s="177">
        <f t="shared" si="44"/>
        <v>0.17899999999999999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47541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47569</v>
      </c>
      <c r="I106" s="176">
        <f t="shared" si="74"/>
        <v>0.17899999999999999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29910</v>
      </c>
      <c r="Y106" s="57">
        <f t="shared" si="39"/>
        <v>67586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29117</v>
      </c>
      <c r="AN106" s="57">
        <f t="shared" si="42"/>
        <v>66126</v>
      </c>
      <c r="AO106" s="130">
        <f t="shared" si="57"/>
        <v>0</v>
      </c>
      <c r="AP106" s="109">
        <f t="shared" si="71"/>
        <v>98</v>
      </c>
      <c r="AQ106" s="110">
        <f t="shared" si="83"/>
        <v>47569</v>
      </c>
      <c r="AR106" s="177">
        <f t="shared" si="44"/>
        <v>0.17899999999999999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47569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47600</v>
      </c>
      <c r="I107" s="176">
        <f t="shared" si="74"/>
        <v>0.17899999999999999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29910</v>
      </c>
      <c r="Y107" s="57">
        <f t="shared" si="39"/>
        <v>67951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29117</v>
      </c>
      <c r="AN107" s="57">
        <f t="shared" si="42"/>
        <v>66491</v>
      </c>
      <c r="AO107" s="130">
        <f t="shared" si="57"/>
        <v>0</v>
      </c>
      <c r="AP107" s="109">
        <f t="shared" si="71"/>
        <v>99</v>
      </c>
      <c r="AQ107" s="110">
        <f t="shared" si="83"/>
        <v>47600</v>
      </c>
      <c r="AR107" s="177">
        <f t="shared" si="44"/>
        <v>0.17899999999999999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47600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47630</v>
      </c>
      <c r="I108" s="176">
        <f t="shared" si="74"/>
        <v>0.17899999999999999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29910</v>
      </c>
      <c r="Y108" s="57">
        <f t="shared" si="39"/>
        <v>68316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29117</v>
      </c>
      <c r="AN108" s="57">
        <f t="shared" si="42"/>
        <v>66856</v>
      </c>
      <c r="AO108" s="130">
        <f t="shared" si="57"/>
        <v>0</v>
      </c>
      <c r="AP108" s="109">
        <f t="shared" si="71"/>
        <v>100</v>
      </c>
      <c r="AQ108" s="110">
        <f t="shared" si="83"/>
        <v>47630</v>
      </c>
      <c r="AR108" s="177">
        <f t="shared" si="44"/>
        <v>0.17899999999999999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47630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2512440</v>
      </c>
      <c r="K109" s="30">
        <f>(SUM(K9:K108)-IF(CODE(C12)=209,AI51,0))</f>
        <v>2512440</v>
      </c>
      <c r="L109" s="30">
        <f t="shared" ref="L109:R109" si="86">SUM(L9:L108)</f>
        <v>1090731.5644056359</v>
      </c>
      <c r="M109" s="30">
        <f t="shared" si="86"/>
        <v>1421708.4355943638</v>
      </c>
      <c r="N109" s="31">
        <f t="shared" si="86"/>
        <v>0</v>
      </c>
      <c r="O109" s="31">
        <f t="shared" si="86"/>
        <v>0</v>
      </c>
      <c r="P109" s="31">
        <f t="shared" si="86"/>
        <v>1090731.5644056359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29910</v>
      </c>
      <c r="Y109" s="57">
        <f t="shared" ref="Y109:Y143" si="87">Y108+365</f>
        <v>68681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6499</v>
      </c>
      <c r="AF109" s="16">
        <f t="shared" ref="AF109:AI109" si="88">IF($C$7&lt;=$AE$89,AE89,IF($C$7&lt;=$AD$90,AF90,IF($C$7&lt;=$AD$91,AF91,AF92)))</f>
        <v>8499</v>
      </c>
      <c r="AG109" s="16">
        <f t="shared" si="88"/>
        <v>9999</v>
      </c>
      <c r="AH109" s="16">
        <f t="shared" si="88"/>
        <v>10999</v>
      </c>
      <c r="AI109" s="16">
        <f t="shared" si="88"/>
        <v>11999</v>
      </c>
      <c r="AJ109" s="16">
        <f>IF($C$10&lt;=AE88,AE109,IF($C$10&lt;=AF88,AF109,IF($C$10&lt;=AG88,AG109,IF($C$10&lt;=AH88,AH109,AI109))))</f>
        <v>11999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29117</v>
      </c>
      <c r="AN109" s="57">
        <f t="shared" si="42"/>
        <v>67221</v>
      </c>
      <c r="AO109" s="130"/>
      <c r="AP109" s="28"/>
      <c r="AQ109" s="29" t="s">
        <v>7</v>
      </c>
      <c r="AR109" s="29"/>
      <c r="AS109" s="30">
        <f>SUM(AS9:AS108)</f>
        <v>2445828</v>
      </c>
      <c r="AT109" s="30">
        <f>(SUM(AT9:AT108)-IF(CODE(C12)=209,BX57,0))</f>
        <v>2445828</v>
      </c>
      <c r="AU109" s="30">
        <f>SUM(AU9:AU108)</f>
        <v>1061800.5112690115</v>
      </c>
      <c r="AV109" s="30">
        <f>SUM(AV9:AV108)</f>
        <v>1389199.0000000012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2512440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29910</v>
      </c>
      <c r="Y110" s="57">
        <f t="shared" si="87"/>
        <v>69046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29117</v>
      </c>
      <c r="AN110" s="57">
        <f t="shared" si="42"/>
        <v>67586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29910</v>
      </c>
      <c r="Y111" s="57">
        <f t="shared" si="87"/>
        <v>69411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29117</v>
      </c>
      <c r="AN111" s="57">
        <f t="shared" si="42"/>
        <v>67951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29910</v>
      </c>
      <c r="Y112" s="57">
        <f t="shared" si="87"/>
        <v>69776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29117</v>
      </c>
      <c r="AN112" s="57">
        <f t="shared" si="42"/>
        <v>68316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29910</v>
      </c>
      <c r="Y113" s="57">
        <f t="shared" si="87"/>
        <v>70141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29117</v>
      </c>
      <c r="AN113" s="57">
        <f t="shared" ref="AN113:AN147" si="90">AN112+365</f>
        <v>68681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29910</v>
      </c>
      <c r="Y114" s="57">
        <f>Y83+365</f>
        <v>59556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29117</v>
      </c>
      <c r="AN114" s="57">
        <f t="shared" si="90"/>
        <v>69046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29910</v>
      </c>
      <c r="Y115" s="57">
        <f t="shared" si="87"/>
        <v>59921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29117</v>
      </c>
      <c r="AN115" s="57">
        <f t="shared" si="90"/>
        <v>69411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29910</v>
      </c>
      <c r="Y116" s="57">
        <f t="shared" si="87"/>
        <v>60286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29117</v>
      </c>
      <c r="AN116" s="57">
        <f t="shared" si="90"/>
        <v>69776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29910</v>
      </c>
      <c r="Y117" s="57">
        <f t="shared" si="87"/>
        <v>60651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29117</v>
      </c>
      <c r="AN117" s="57">
        <f t="shared" si="90"/>
        <v>70141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29910</v>
      </c>
      <c r="Y118" s="57">
        <f t="shared" si="87"/>
        <v>61016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29117</v>
      </c>
      <c r="AN118" s="57">
        <f>AN87+365</f>
        <v>59556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29910</v>
      </c>
      <c r="Y119" s="57">
        <f t="shared" si="87"/>
        <v>61381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29117</v>
      </c>
      <c r="AN119" s="57">
        <f t="shared" si="90"/>
        <v>59921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29910</v>
      </c>
      <c r="Y120" s="57">
        <f t="shared" si="87"/>
        <v>61746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29117</v>
      </c>
      <c r="AN120" s="57">
        <f t="shared" si="90"/>
        <v>60286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29910</v>
      </c>
      <c r="Y121" s="57">
        <f t="shared" si="87"/>
        <v>62111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29117</v>
      </c>
      <c r="AN121" s="57">
        <f t="shared" si="90"/>
        <v>60651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29910</v>
      </c>
      <c r="Y122" s="57">
        <f t="shared" si="87"/>
        <v>62476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29117</v>
      </c>
      <c r="AN122" s="57">
        <f t="shared" si="90"/>
        <v>61016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29910</v>
      </c>
      <c r="Y123" s="57">
        <f t="shared" si="87"/>
        <v>62841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29117</v>
      </c>
      <c r="AN123" s="57">
        <f t="shared" si="90"/>
        <v>61381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29910</v>
      </c>
      <c r="Y124" s="57">
        <f t="shared" si="87"/>
        <v>63206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29117</v>
      </c>
      <c r="AN124" s="57">
        <f t="shared" si="90"/>
        <v>61746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29910</v>
      </c>
      <c r="Y125" s="57">
        <f t="shared" si="87"/>
        <v>63571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IF(AND(Y82&gt;=$W$11,Y82&lt;=$W$11+5),0,IF($C$9&gt;$AF$51,ROUND(#REF!*#REF!/(DATEVALUE(CONCATENATE("01/01/",YEAR(Z82)+1))-DATEVALUE(CONCATENATE("01/01/",YEAR(Z82))))*(Z82-Z81),2),0))</f>
        <v>#REF!</v>
      </c>
      <c r="AM125" s="34">
        <f t="shared" si="91"/>
        <v>29117</v>
      </c>
      <c r="AN125" s="57">
        <f t="shared" si="90"/>
        <v>62111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29910</v>
      </c>
      <c r="Y126" s="57">
        <f t="shared" si="87"/>
        <v>63936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IF(AND(Y83&gt;=$W$11,Y83&lt;=$W$11+5),0,IF($C$9&gt;$AF$51,ROUND(#REF!*#REF!/(DATEVALUE(CONCATENATE("01/01/",YEAR(Z83)+1))-DATEVALUE(CONCATENATE("01/01/",YEAR(Z83))))*(Z83-Z82),2),0))</f>
        <v>#REF!</v>
      </c>
      <c r="AM126" s="34">
        <f t="shared" si="91"/>
        <v>29117</v>
      </c>
      <c r="AN126" s="57">
        <f t="shared" si="90"/>
        <v>62476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29910</v>
      </c>
      <c r="Y127" s="57">
        <f t="shared" si="87"/>
        <v>64301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IF(AND(Y84&gt;=$W$11,Y84&lt;=$W$11+5),0,IF($C$9&gt;$AF$51,ROUND(#REF!*#REF!/(DATEVALUE(CONCATENATE("01/01/",YEAR(Z84)+1))-DATEVALUE(CONCATENATE("01/01/",YEAR(Z84))))*(Z84-Z83),2),0))</f>
        <v>#REF!</v>
      </c>
      <c r="AM127" s="34">
        <f t="shared" si="91"/>
        <v>29117</v>
      </c>
      <c r="AN127" s="57">
        <f t="shared" si="90"/>
        <v>62841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64666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IF(AND(Y85&gt;=$W$11,Y85&lt;=$W$11+5),0,IF($C$9&gt;$AF$51,ROUND(#REF!*#REF!/(DATEVALUE(CONCATENATE("01/01/",YEAR(Z85)+1))-DATEVALUE(CONCATENATE("01/01/",YEAR(Z85))))*(Z85-Z84),2),0))</f>
        <v>#REF!</v>
      </c>
      <c r="AM128" s="34">
        <f t="shared" si="91"/>
        <v>29117</v>
      </c>
      <c r="AN128" s="57">
        <f t="shared" si="90"/>
        <v>63206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65031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IF(AND(Y86&gt;=$W$11,Y86&lt;=$W$11+5),0,IF($C$9&gt;$AF$51,ROUND(#REF!*#REF!/(DATEVALUE(CONCATENATE("01/01/",YEAR(Z86)+1))-DATEVALUE(CONCATENATE("01/01/",YEAR(Z86))))*(Z86-Z85),2),0))</f>
        <v>#REF!</v>
      </c>
      <c r="AM129" s="34">
        <f t="shared" si="91"/>
        <v>29117</v>
      </c>
      <c r="AN129" s="57">
        <f t="shared" si="90"/>
        <v>63571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65396</v>
      </c>
      <c r="AL130" s="2" t="e">
        <f>IF(AND(Y87&gt;=$W$11,Y87&lt;=$W$11+5),0,IF($C$9&gt;$AF$51,ROUND(#REF!*#REF!/(DATEVALUE(CONCATENATE("01/01/",YEAR(Z87)+1))-DATEVALUE(CONCATENATE("01/01/",YEAR(Z87))))*(Z87-Z86),2),0))</f>
        <v>#REF!</v>
      </c>
      <c r="AM130" s="34">
        <f t="shared" si="91"/>
        <v>29117</v>
      </c>
      <c r="AN130" s="57">
        <f t="shared" si="90"/>
        <v>63936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65761</v>
      </c>
      <c r="AL131" s="2" t="e">
        <f>IF(AND(Y88&gt;=$W$11,Y88&lt;=$W$11+5),0,IF($C$9&gt;$AF$51,ROUND(#REF!*#REF!/(DATEVALUE(CONCATENATE("01/01/",YEAR(Z88)+1))-DATEVALUE(CONCATENATE("01/01/",YEAR(Z88))))*(Z88-Z87),2),0))</f>
        <v>#REF!</v>
      </c>
      <c r="AM131" s="34">
        <f t="shared" si="91"/>
        <v>29117</v>
      </c>
      <c r="AN131" s="57">
        <f t="shared" si="90"/>
        <v>64301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66126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64666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66491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65031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66856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65396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67221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65761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67586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66126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67951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66491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68316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66856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68681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67221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69046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67586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69411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67951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69776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68316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70141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68681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2512440</v>
      </c>
      <c r="Y144" s="154">
        <f>XIRR(X42:X143,Y42:Y143)*12</f>
        <v>0.19855653047561647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69046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69411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69776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70141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2445828</v>
      </c>
      <c r="AN148" s="154">
        <f>XIRR(AM46:AM147,AN46:AN147)*12</f>
        <v>0.19855796098709108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BN33:BN35"/>
    <mergeCell ref="A35:B35"/>
    <mergeCell ref="A36:B36"/>
    <mergeCell ref="AC85:AI85"/>
    <mergeCell ref="A26:B26"/>
    <mergeCell ref="A27:B27"/>
    <mergeCell ref="A28:B28"/>
    <mergeCell ref="A29:B29"/>
    <mergeCell ref="A30:B30"/>
    <mergeCell ref="A31:B31"/>
    <mergeCell ref="A32:E32"/>
    <mergeCell ref="A33:A34"/>
    <mergeCell ref="A25:B25"/>
    <mergeCell ref="A12:B12"/>
    <mergeCell ref="A13:B13"/>
    <mergeCell ref="BN13:BN14"/>
    <mergeCell ref="BO13:BO14"/>
    <mergeCell ref="A14:A15"/>
    <mergeCell ref="A16:A18"/>
    <mergeCell ref="A20:E20"/>
    <mergeCell ref="A21:E21"/>
    <mergeCell ref="A22:C22"/>
    <mergeCell ref="A23:B23"/>
    <mergeCell ref="A24:B24"/>
    <mergeCell ref="BO10:BO11"/>
    <mergeCell ref="A11:B11"/>
    <mergeCell ref="AR6:AR7"/>
    <mergeCell ref="AT6:AT7"/>
    <mergeCell ref="AU6:AU7"/>
    <mergeCell ref="AV6:AV7"/>
    <mergeCell ref="BG6:BG7"/>
    <mergeCell ref="BN6:BT6"/>
    <mergeCell ref="BN7:BN8"/>
    <mergeCell ref="A9:B9"/>
    <mergeCell ref="C9:D9"/>
    <mergeCell ref="A10:B10"/>
    <mergeCell ref="C10:D10"/>
    <mergeCell ref="BN10:BN11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P3:BH4"/>
    <mergeCell ref="BN3:BT3"/>
    <mergeCell ref="A5:E5"/>
    <mergeCell ref="K6:K7"/>
    <mergeCell ref="A7:B7"/>
    <mergeCell ref="C7:D7"/>
    <mergeCell ref="BO7:BO8"/>
    <mergeCell ref="BR7:BR8"/>
    <mergeCell ref="BS7:BS8"/>
    <mergeCell ref="AP6:AP7"/>
    <mergeCell ref="AQ6:AQ7"/>
    <mergeCell ref="BT7:BT8"/>
    <mergeCell ref="A8:B8"/>
  </mergeCells>
  <conditionalFormatting sqref="D17">
    <cfRule type="cellIs" dxfId="10" priority="1" operator="notEqual">
      <formula>""</formula>
    </cfRule>
  </conditionalFormatting>
  <dataValidations count="7">
    <dataValidation type="list" allowBlank="1" showInputMessage="1" showErrorMessage="1" sqref="C11">
      <formula1>$AB$6</formula1>
    </dataValidation>
    <dataValidation type="list" allowBlank="1" showInputMessage="1" showErrorMessage="1" sqref="C16">
      <formula1>$AC$30:$AD$30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8">
      <formula1>$AF$59:$AG$59</formula1>
    </dataValidation>
    <dataValidation type="custom" allowBlank="1" showInputMessage="1" showErrorMessage="1" error="Сумма кредита должна быть больше 1 млн" sqref="C7:D7">
      <formula1>C7&gt;1000000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T10" sqref="T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9.855468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5703125" style="2" customWidth="1"/>
    <col min="20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5.85546875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74" width="8.7109375" style="2" customWidth="1"/>
    <col min="75" max="75" width="22.42578125" style="2" customWidth="1"/>
    <col min="76" max="76" width="25.5703125" style="2" customWidth="1"/>
    <col min="77" max="77" width="40.5703125" style="2" customWidth="1"/>
    <col min="78" max="78" width="15" style="2" customWidth="1"/>
    <col min="79" max="79" width="8.7109375" style="2" customWidth="1"/>
    <col min="80" max="80" width="24" style="2" customWidth="1"/>
    <col min="81" max="81" width="45.28515625" style="2" customWidth="1"/>
    <col min="82" max="82" width="14" style="2" customWidth="1"/>
    <col min="83" max="83" width="24" style="2" customWidth="1"/>
    <col min="84" max="84" width="45.42578125" style="2" customWidth="1"/>
    <col min="85" max="16384" width="8.7109375" style="2"/>
  </cols>
  <sheetData>
    <row r="1" spans="1:78" ht="12.75" customHeight="1" x14ac:dyDescent="0.3">
      <c r="A1" s="866" t="s">
        <v>359</v>
      </c>
      <c r="B1" s="867"/>
      <c r="C1" s="867"/>
      <c r="D1" s="867"/>
      <c r="E1" s="868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8" ht="34.9" customHeight="1" x14ac:dyDescent="0.3">
      <c r="A2" s="869"/>
      <c r="B2" s="870"/>
      <c r="C2" s="870"/>
      <c r="D2" s="870"/>
      <c r="E2" s="87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8" ht="25.9" customHeight="1" x14ac:dyDescent="0.25">
      <c r="A3" s="770" t="s">
        <v>196</v>
      </c>
      <c r="B3" s="771"/>
      <c r="C3" s="771"/>
      <c r="D3" s="771"/>
      <c r="E3" s="772"/>
      <c r="F3" s="675"/>
      <c r="G3" s="865" t="str">
        <f>CONCATENATE("ГРАФИК ПЛАТЕЖЕЙ - ТАРИФ ПРАКТИЧНЫЙ",IF(C8="нет",""," + ДИСКОНТЫ ЗА ФЗ"))</f>
        <v>ГРАФИК ПЛАТЕЖЕЙ - ТАРИФ ПРАКТИЧНЫЙ + ДИСКОНТЫ ЗА ФЗ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">
        <v>363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8" ht="13.5" hidden="1" customHeight="1" x14ac:dyDescent="0.2">
      <c r="A4" s="187"/>
      <c r="B4" s="185"/>
      <c r="C4" s="521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8" ht="13.5" hidden="1" customHeight="1" x14ac:dyDescent="0.2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>
        <v>0.13900000000000001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668"/>
      <c r="BK5" s="102"/>
      <c r="BL5" s="57"/>
    </row>
    <row r="6" spans="1:78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776" t="s">
        <v>189</v>
      </c>
      <c r="K6" s="776" t="s">
        <v>194</v>
      </c>
      <c r="L6" s="776" t="s">
        <v>191</v>
      </c>
      <c r="M6" s="776" t="s">
        <v>192</v>
      </c>
      <c r="N6" s="238"/>
      <c r="O6" s="238"/>
      <c r="P6" s="238"/>
      <c r="Q6" s="776" t="s">
        <v>195</v>
      </c>
      <c r="R6" s="238"/>
      <c r="S6" s="776" t="s">
        <v>193</v>
      </c>
      <c r="T6" s="776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22" t="s">
        <v>148</v>
      </c>
      <c r="AQ6" s="822" t="s">
        <v>187</v>
      </c>
      <c r="AR6" s="822" t="s">
        <v>188</v>
      </c>
      <c r="AS6" s="543"/>
      <c r="AT6" s="822" t="s">
        <v>194</v>
      </c>
      <c r="AU6" s="822" t="s">
        <v>191</v>
      </c>
      <c r="AV6" s="822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22" t="s">
        <v>193</v>
      </c>
      <c r="BH6" s="103"/>
      <c r="BI6" s="102"/>
      <c r="BJ6" s="668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8" ht="28.9" customHeight="1" x14ac:dyDescent="0.5">
      <c r="A7" s="766" t="s">
        <v>200</v>
      </c>
      <c r="B7" s="766"/>
      <c r="C7" s="767">
        <v>1000000</v>
      </c>
      <c r="D7" s="767"/>
      <c r="E7" s="510"/>
      <c r="F7" s="231"/>
      <c r="G7" s="776"/>
      <c r="H7" s="776"/>
      <c r="I7" s="776"/>
      <c r="J7" s="776"/>
      <c r="K7" s="776"/>
      <c r="L7" s="776"/>
      <c r="M7" s="776"/>
      <c r="N7" s="237" t="s">
        <v>36</v>
      </c>
      <c r="O7" s="237" t="s">
        <v>39</v>
      </c>
      <c r="P7" s="237" t="s">
        <v>38</v>
      </c>
      <c r="Q7" s="776"/>
      <c r="R7" s="669" t="s">
        <v>40</v>
      </c>
      <c r="S7" s="776"/>
      <c r="T7" s="776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22"/>
      <c r="AQ7" s="822"/>
      <c r="AR7" s="822"/>
      <c r="AS7" s="672" t="s">
        <v>156</v>
      </c>
      <c r="AT7" s="822"/>
      <c r="AU7" s="822"/>
      <c r="AV7" s="822"/>
      <c r="AW7" s="676" t="s">
        <v>36</v>
      </c>
      <c r="AX7" s="676" t="s">
        <v>39</v>
      </c>
      <c r="AY7" s="676" t="s">
        <v>38</v>
      </c>
      <c r="AZ7" s="676" t="s">
        <v>158</v>
      </c>
      <c r="BA7" s="676" t="s">
        <v>40</v>
      </c>
      <c r="BB7" s="676"/>
      <c r="BC7" s="676"/>
      <c r="BD7" s="676"/>
      <c r="BE7" s="676"/>
      <c r="BF7" s="676"/>
      <c r="BG7" s="822"/>
      <c r="BH7" s="163" t="s">
        <v>32</v>
      </c>
      <c r="BI7" s="104" t="s">
        <v>31</v>
      </c>
      <c r="BJ7" s="153">
        <f>BJ8</f>
        <v>44839</v>
      </c>
      <c r="BK7" s="108">
        <f>K8</f>
        <v>-1198465.9635666348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8" ht="18" customHeight="1" thickBot="1" x14ac:dyDescent="0.55000000000000004">
      <c r="A8" s="766" t="s">
        <v>276</v>
      </c>
      <c r="B8" s="766"/>
      <c r="C8" s="502" t="s">
        <v>380</v>
      </c>
      <c r="D8" s="215" t="s">
        <v>29</v>
      </c>
      <c r="E8" s="510"/>
      <c r="F8" s="231"/>
      <c r="G8" s="253"/>
      <c r="H8" s="240">
        <f>C9</f>
        <v>44839</v>
      </c>
      <c r="I8" s="240"/>
      <c r="J8" s="240"/>
      <c r="K8" s="241">
        <f>-C18</f>
        <v>-1198465.9635666348</v>
      </c>
      <c r="L8" s="242"/>
      <c r="M8" s="243"/>
      <c r="N8" s="243"/>
      <c r="O8" s="243"/>
      <c r="P8" s="243"/>
      <c r="Q8" s="243"/>
      <c r="R8" s="243"/>
      <c r="S8" s="239">
        <f>C18</f>
        <v>1198465.9635666348</v>
      </c>
      <c r="T8" s="466"/>
      <c r="U8" s="197"/>
      <c r="V8" s="36"/>
      <c r="W8" s="15"/>
      <c r="X8" s="15"/>
      <c r="Y8" s="15"/>
      <c r="Z8" s="15"/>
      <c r="AA8" s="15"/>
      <c r="AB8" s="15">
        <v>0.22900000000000001</v>
      </c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44839</v>
      </c>
      <c r="AR8" s="549"/>
      <c r="AS8" s="549"/>
      <c r="AT8" s="550">
        <f>-D18</f>
        <v>-1000000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D18</f>
        <v>1000000</v>
      </c>
      <c r="BH8" s="106"/>
      <c r="BI8" s="108"/>
      <c r="BJ8" s="22">
        <f>H8</f>
        <v>44839</v>
      </c>
      <c r="BK8" s="104">
        <f>$C$20</f>
        <v>198465.96356663469</v>
      </c>
      <c r="BN8" s="785"/>
      <c r="BO8" s="778"/>
      <c r="BP8" s="671" t="s">
        <v>87</v>
      </c>
      <c r="BQ8" s="126" t="s">
        <v>88</v>
      </c>
      <c r="BR8" s="799"/>
      <c r="BS8" s="801"/>
      <c r="BT8" s="797"/>
    </row>
    <row r="9" spans="1:78" ht="16.899999999999999" customHeight="1" thickBot="1" x14ac:dyDescent="0.25">
      <c r="A9" s="766" t="s">
        <v>199</v>
      </c>
      <c r="B9" s="766"/>
      <c r="C9" s="788">
        <v>44839</v>
      </c>
      <c r="D9" s="788"/>
      <c r="E9" s="510"/>
      <c r="F9" s="231"/>
      <c r="G9" s="244">
        <f>1</f>
        <v>1</v>
      </c>
      <c r="H9" s="245">
        <f>IF((OR(DAY($AD$54)=29,DAY($AD$54)=30,DAY($AD$54)=31)),(EDATE($C$9-28,G9+1)),EDATE($C$9,G9))</f>
        <v>44870</v>
      </c>
      <c r="I9" s="246">
        <f>IF($C$8="нет",$C$11,$C$13)</f>
        <v>4.9000000000000002E-2</v>
      </c>
      <c r="J9" s="242" t="e">
        <f>K9+Q9</f>
        <v>#REF!</v>
      </c>
      <c r="K9" s="242">
        <f>IF(G9&gt;$C$10,0,ROUNDUP($S$8*$C$13/12/((1-(1+$C$13/12)^(0-$C$10))),0))</f>
        <v>22562</v>
      </c>
      <c r="L9" s="242">
        <f>S8*($C$13/365*(H9-H8))</f>
        <v>4987.5884894732008</v>
      </c>
      <c r="M9" s="242">
        <f>K9-L9</f>
        <v>17574.411510526799</v>
      </c>
      <c r="N9" s="242" t="e">
        <f t="shared" ref="N9:N72" si="1">IF(P9-Q9&gt;$C$19,$C$19-L9,IF(V9=0,0,R9)+$AI$51)</f>
        <v>#REF!</v>
      </c>
      <c r="O9" s="242">
        <v>0</v>
      </c>
      <c r="P9" s="242" t="e">
        <f>L9+Q9</f>
        <v>#REF!</v>
      </c>
      <c r="Q9" s="242" t="e">
        <f>IF(OR($C$8="Нет",#REF!="Нет"),0,IF(#REF!="Серебряный",3600,IF(#REF!="Золотой",5000,IF(#REF!="Платиновый",7000,""))))</f>
        <v>#REF!</v>
      </c>
      <c r="R9" s="242">
        <f>IF(V9=0,0,0)</f>
        <v>0</v>
      </c>
      <c r="S9" s="242">
        <f>S8-M9-T9</f>
        <v>1180891.5520561079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>
        <v>0.27900000000000003</v>
      </c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44870</v>
      </c>
      <c r="AR9" s="555">
        <f t="shared" ref="AR9:AR72" si="2">$D$13</f>
        <v>0.13900000000000001</v>
      </c>
      <c r="AS9" s="546" t="e">
        <f>AT9+AZ9</f>
        <v>#REF!</v>
      </c>
      <c r="AT9" s="546">
        <f>IF(AP9&gt;$C$10,0,ROUNDUP($BG$8*$C$11/12/((1-(1+$C$11/12)^(0-$C$10))),0))</f>
        <v>23217</v>
      </c>
      <c r="AU9" s="546">
        <f>BG8*($C$11/365*(AQ9-AQ8))</f>
        <v>11805.479452054795</v>
      </c>
      <c r="AV9" s="546">
        <f>IF(BI9=0,0,IF(BI9=1,BG8,IF(BG8+AW9+AU9&gt;AT8,AT9-AU9-AW9,BG8)))</f>
        <v>11411.520547945205</v>
      </c>
      <c r="AW9" s="546"/>
      <c r="AX9" s="546"/>
      <c r="AY9" s="546" t="e">
        <f>AU9+AZ9</f>
        <v>#REF!</v>
      </c>
      <c r="AZ9" s="546" t="e">
        <f>IF(#REF!="Нет",0,IF(#REF!="Серебряный",1800,IF(#REF!="Золотой",2500,IF(#REF!="Платиновый",3500,""))))</f>
        <v>#REF!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988588.47945205483</v>
      </c>
      <c r="BH9" s="108">
        <f>C10</f>
        <v>60</v>
      </c>
      <c r="BI9" s="108">
        <f>BH9</f>
        <v>60</v>
      </c>
      <c r="BJ9" s="22">
        <f>H9</f>
        <v>44870</v>
      </c>
      <c r="BK9" s="108">
        <f t="shared" ref="BK9:BK72" si="3">K9</f>
        <v>22562</v>
      </c>
    </row>
    <row r="10" spans="1:78" ht="18" customHeight="1" x14ac:dyDescent="0.2">
      <c r="A10" s="763" t="s">
        <v>198</v>
      </c>
      <c r="B10" s="763"/>
      <c r="C10" s="787">
        <v>60</v>
      </c>
      <c r="D10" s="787"/>
      <c r="E10" s="510"/>
      <c r="F10" s="231"/>
      <c r="G10" s="244">
        <f>G9+1</f>
        <v>2</v>
      </c>
      <c r="H10" s="245">
        <f t="shared" ref="H10:H73" si="4">IF((OR(DAY($AD$54)=29,DAY($AD$54)=30,DAY($AD$54)=31)),(EDATE($C$9-28,G10+1)),EDATE($C$9,G10))</f>
        <v>44900</v>
      </c>
      <c r="I10" s="246">
        <f t="shared" ref="I10:I73" si="5">IF($C$8="нет",$C$11,$C$13)</f>
        <v>4.9000000000000002E-2</v>
      </c>
      <c r="J10" s="242" t="e">
        <f t="shared" ref="J10:J73" si="6">K10+Q10</f>
        <v>#REF!</v>
      </c>
      <c r="K10" s="242">
        <f>IF(G10&gt;$C$10,0,IF(T9=0,K9,ROUNDUP(S9*$C$13/12/((1-(1+$C$13/12)^(0-($C$10-G10)))),0)))</f>
        <v>22562</v>
      </c>
      <c r="L10" s="242">
        <f t="shared" ref="L10:L73" si="7">S9*($C$13/365*(H10-H9))</f>
        <v>4755.9194014314489</v>
      </c>
      <c r="M10" s="242">
        <f>IF(S9=0,0,IF(S9+L10&gt;K9,K10-L10,S9))</f>
        <v>17806.080598568551</v>
      </c>
      <c r="N10" s="242" t="e">
        <f t="shared" si="1"/>
        <v>#REF!</v>
      </c>
      <c r="O10" s="242">
        <v>0</v>
      </c>
      <c r="P10" s="242" t="e">
        <f>L10+Q10</f>
        <v>#REF!</v>
      </c>
      <c r="Q10" s="242" t="e">
        <f>IF(OR($C$8="Нет",#REF!="Нет"),0,IF(#REF!="Серебряный",3600,IF(#REF!="Золотой",5000,IF(#REF!="Платиновый",7000,""))))</f>
        <v>#REF!</v>
      </c>
      <c r="R10" s="242">
        <f t="shared" ref="R10:R73" si="8">IF(V10=0,0,0)</f>
        <v>0</v>
      </c>
      <c r="S10" s="242">
        <f t="shared" ref="S10:S73" si="9">S9-M10-T10</f>
        <v>1163085.4714575394</v>
      </c>
      <c r="T10" s="467"/>
      <c r="U10" s="198">
        <f>IF((U9-1)&lt;0,0,U9-1)</f>
        <v>59</v>
      </c>
      <c r="V10" s="36">
        <f t="shared" ref="V10:V73" si="10">U10</f>
        <v>59</v>
      </c>
      <c r="W10" s="54">
        <f>ROUND(S8*0%,-2)</f>
        <v>0</v>
      </c>
      <c r="X10" s="54">
        <f>ROUND(S8*0.5%,0)</f>
        <v>5992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0.17899999999999999</v>
      </c>
      <c r="AE10" s="147">
        <f>IF(OR($D$8="Гарантия стандарт",$D$8="Гарантия пакет"),AB7,W6)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1">IF(OR(AT10="",AT10=0),0,1)</f>
        <v>1</v>
      </c>
      <c r="AP10" s="553">
        <f>AP9+1</f>
        <v>2</v>
      </c>
      <c r="AQ10" s="554">
        <f t="shared" ref="AQ10:AQ73" si="12">IF((OR(DAY($AD$54)=29,DAY($AD$54)=30,DAY($AD$54)=31)),(EDATE($C$9-28,AP10+1)),EDATE($C$9,AP10))</f>
        <v>44900</v>
      </c>
      <c r="AR10" s="555">
        <f t="shared" si="2"/>
        <v>0.13900000000000001</v>
      </c>
      <c r="AS10" s="546" t="e">
        <f t="shared" ref="AS10:AS73" si="13">AT10+AZ10</f>
        <v>#REF!</v>
      </c>
      <c r="AT10" s="546">
        <f t="shared" ref="AT10:AT73" si="14">IF(AP10&gt;$C$10,0,ROUNDUP($BG$8*$C$11/12/((1-(1+$C$11/12)^(0-$C$10))),0))</f>
        <v>23217</v>
      </c>
      <c r="AU10" s="546">
        <f t="shared" ref="AU10:AU73" si="15">BG9*($C$11/365*(AQ10-AQ9))</f>
        <v>11294.284820041286</v>
      </c>
      <c r="AV10" s="546">
        <f t="shared" ref="AV10:AV73" si="16">IF(BI10=0,0,IF(BI10=1,BG9,IF(BG9+AW10+AU10&gt;AT9,AT10-AU10-AW10,BG9)))</f>
        <v>11922.715179958714</v>
      </c>
      <c r="AW10" s="546"/>
      <c r="AX10" s="546">
        <v>0</v>
      </c>
      <c r="AY10" s="546" t="e">
        <f t="shared" ref="AY10:AY85" si="17">AU10+AZ10</f>
        <v>#REF!</v>
      </c>
      <c r="AZ10" s="546" t="e">
        <f>IF(#REF!="Нет",0,IF(#REF!="Серебряный",1800,IF(#REF!="Золотой",2500,IF(#REF!="Платиновый",3500,""))))</f>
        <v>#REF!</v>
      </c>
      <c r="BA10" s="546">
        <f t="shared" ref="BA10:BA18" si="18">IF(BI10=0,0,0)</f>
        <v>0</v>
      </c>
      <c r="BB10" s="546"/>
      <c r="BC10" s="546"/>
      <c r="BD10" s="546"/>
      <c r="BE10" s="546"/>
      <c r="BF10" s="546"/>
      <c r="BG10" s="546">
        <f t="shared" ref="BG10:BG73" si="19">IF(OR(BI10=1,BG9=0),0,BG9-AV10)</f>
        <v>976665.7642720961</v>
      </c>
      <c r="BH10" s="108">
        <f>IF((BH9-1)&lt;0,0,BH9-1)</f>
        <v>59</v>
      </c>
      <c r="BI10" s="108">
        <f>BH10</f>
        <v>59</v>
      </c>
      <c r="BJ10" s="22">
        <f>H10</f>
        <v>44900</v>
      </c>
      <c r="BK10" s="108">
        <f t="shared" si="3"/>
        <v>22562</v>
      </c>
      <c r="BN10" s="784" t="s">
        <v>90</v>
      </c>
      <c r="BO10" s="777" t="s">
        <v>85</v>
      </c>
      <c r="BP10" s="129" t="s">
        <v>84</v>
      </c>
    </row>
    <row r="11" spans="1:78" ht="18" customHeight="1" thickBot="1" x14ac:dyDescent="0.25">
      <c r="A11" s="805" t="s">
        <v>172</v>
      </c>
      <c r="B11" s="805"/>
      <c r="C11" s="503">
        <v>0.13900000000000001</v>
      </c>
      <c r="D11" s="217">
        <f>C11</f>
        <v>0.13900000000000001</v>
      </c>
      <c r="E11" s="514"/>
      <c r="F11" s="232"/>
      <c r="G11" s="244">
        <f>G10+1</f>
        <v>3</v>
      </c>
      <c r="H11" s="245">
        <f t="shared" si="4"/>
        <v>44931</v>
      </c>
      <c r="I11" s="246">
        <f t="shared" si="5"/>
        <v>4.9000000000000002E-2</v>
      </c>
      <c r="J11" s="242" t="e">
        <f t="shared" si="6"/>
        <v>#REF!</v>
      </c>
      <c r="K11" s="242">
        <f t="shared" ref="K11:K74" si="20">IF(G11&gt;$C$10,0,IF(T10=0,K10,ROUNDUP(S10*$C$13/12/((1-(1+$C$13/12)^(0-($C$10-G11)))),0)))</f>
        <v>22562</v>
      </c>
      <c r="L11" s="242">
        <f t="shared" si="7"/>
        <v>4840.3474825863077</v>
      </c>
      <c r="M11" s="242">
        <f t="shared" ref="M11:M74" si="21">IF(S10=0,0,IF(S10+L11&gt;K10,K11-L11,S10))</f>
        <v>17721.652517413691</v>
      </c>
      <c r="N11" s="242" t="e">
        <f t="shared" si="1"/>
        <v>#REF!</v>
      </c>
      <c r="O11" s="242">
        <v>0</v>
      </c>
      <c r="P11" s="242" t="e">
        <f t="shared" ref="P11:P85" si="22">L11+Q11</f>
        <v>#REF!</v>
      </c>
      <c r="Q11" s="242" t="e">
        <f>IF(OR($C$8="Нет",#REF!="Нет"),0,IF(#REF!="Серебряный",3600,IF(#REF!="Золотой",5000,IF(#REF!="Платиновый",7000,""))))</f>
        <v>#REF!</v>
      </c>
      <c r="R11" s="242">
        <f t="shared" si="8"/>
        <v>0</v>
      </c>
      <c r="S11" s="242">
        <f t="shared" si="9"/>
        <v>1145363.8189401256</v>
      </c>
      <c r="T11" s="467"/>
      <c r="U11" s="198">
        <f>IF((U10-1)&lt;0,0,U10-1)</f>
        <v>58</v>
      </c>
      <c r="V11" s="36">
        <f t="shared" si="10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1"/>
        <v>1</v>
      </c>
      <c r="AP11" s="553">
        <f>AP10+1</f>
        <v>3</v>
      </c>
      <c r="AQ11" s="554">
        <f t="shared" si="12"/>
        <v>44931</v>
      </c>
      <c r="AR11" s="555">
        <f t="shared" si="2"/>
        <v>0.13900000000000001</v>
      </c>
      <c r="AS11" s="546" t="e">
        <f t="shared" si="13"/>
        <v>#REF!</v>
      </c>
      <c r="AT11" s="546">
        <f t="shared" si="14"/>
        <v>23217</v>
      </c>
      <c r="AU11" s="546">
        <f t="shared" si="15"/>
        <v>11530.007611639623</v>
      </c>
      <c r="AV11" s="546">
        <f>IF(BI11=0,0,IF(BI11=1,BG10,IF(BG10+AW11+AU11&gt;AT10,AT11-AU11-AW11,BG10)))</f>
        <v>11686.992388360377</v>
      </c>
      <c r="AW11" s="546"/>
      <c r="AX11" s="546">
        <v>0</v>
      </c>
      <c r="AY11" s="546" t="e">
        <f t="shared" si="17"/>
        <v>#REF!</v>
      </c>
      <c r="AZ11" s="546" t="e">
        <f>IF(#REF!="Нет",0,IF(#REF!="Серебряный",1800,IF(#REF!="Золотой",2500,IF(#REF!="Платиновый",3500,""))))</f>
        <v>#REF!</v>
      </c>
      <c r="BA11" s="546">
        <f t="shared" si="18"/>
        <v>0</v>
      </c>
      <c r="BB11" s="546"/>
      <c r="BC11" s="546"/>
      <c r="BD11" s="546"/>
      <c r="BE11" s="546"/>
      <c r="BF11" s="546"/>
      <c r="BG11" s="546">
        <f>IF(OR(BI11=1,BG10=0),0,BG10-AV11)</f>
        <v>964978.77188373567</v>
      </c>
      <c r="BH11" s="108">
        <f>IF((BH10-1)&lt;0,0,BH10-1)</f>
        <v>58</v>
      </c>
      <c r="BI11" s="108">
        <f t="shared" ref="BI11:BI74" si="23">BH11</f>
        <v>58</v>
      </c>
      <c r="BJ11" s="22">
        <f t="shared" ref="BJ11:BJ74" si="24">H11</f>
        <v>44931</v>
      </c>
      <c r="BK11" s="108">
        <f t="shared" si="3"/>
        <v>22562</v>
      </c>
      <c r="BN11" s="785"/>
      <c r="BO11" s="778"/>
      <c r="BP11" s="670" t="s">
        <v>91</v>
      </c>
    </row>
    <row r="12" spans="1:78" ht="18" customHeight="1" thickBot="1" x14ac:dyDescent="0.25">
      <c r="A12" s="805" t="s">
        <v>173</v>
      </c>
      <c r="B12" s="805"/>
      <c r="C12" s="504" t="s">
        <v>33</v>
      </c>
      <c r="D12" s="218" t="str">
        <f>C12</f>
        <v>Базовый</v>
      </c>
      <c r="E12" s="215" t="s">
        <v>383</v>
      </c>
      <c r="F12" s="584" t="s">
        <v>20</v>
      </c>
      <c r="G12" s="244">
        <f t="shared" ref="G12:G75" si="25">G11+1</f>
        <v>4</v>
      </c>
      <c r="H12" s="245">
        <f t="shared" si="4"/>
        <v>44962</v>
      </c>
      <c r="I12" s="246">
        <f t="shared" si="5"/>
        <v>4.9000000000000002E-2</v>
      </c>
      <c r="J12" s="242" t="e">
        <f t="shared" si="6"/>
        <v>#REF!</v>
      </c>
      <c r="K12" s="242">
        <f t="shared" si="20"/>
        <v>22562</v>
      </c>
      <c r="L12" s="242">
        <f t="shared" si="7"/>
        <v>4766.5962766302764</v>
      </c>
      <c r="M12" s="242">
        <f t="shared" si="21"/>
        <v>17795.403723369724</v>
      </c>
      <c r="N12" s="242" t="e">
        <f t="shared" si="1"/>
        <v>#REF!</v>
      </c>
      <c r="O12" s="242">
        <v>0</v>
      </c>
      <c r="P12" s="242" t="e">
        <f t="shared" si="22"/>
        <v>#REF!</v>
      </c>
      <c r="Q12" s="242" t="e">
        <f>IF(OR($C$8="Нет",#REF!="Нет"),0,IF(#REF!="Серебряный",3600,IF(#REF!="Золотой",5000,IF(#REF!="Платиновый",7000,""))))</f>
        <v>#REF!</v>
      </c>
      <c r="R12" s="242">
        <f t="shared" si="8"/>
        <v>0</v>
      </c>
      <c r="S12" s="242">
        <f t="shared" si="9"/>
        <v>1127568.4152167558</v>
      </c>
      <c r="T12" s="467"/>
      <c r="U12" s="198">
        <f t="shared" ref="U12:U75" si="26">IF((U11-1)&lt;0,0,U11-1)</f>
        <v>57</v>
      </c>
      <c r="V12" s="36">
        <f t="shared" si="10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пакет"),AB9,W7)</f>
        <v>0.19900000000000001</v>
      </c>
      <c r="AE12" s="147">
        <f>IF(OR($D$8="Гарантия стандарт",$D$8="Гарантия пакет"),AB9,W7)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1"/>
        <v>1</v>
      </c>
      <c r="AP12" s="553">
        <f t="shared" ref="AP12:AP75" si="27">AP11+1</f>
        <v>4</v>
      </c>
      <c r="AQ12" s="554">
        <f t="shared" si="12"/>
        <v>44962</v>
      </c>
      <c r="AR12" s="555">
        <f t="shared" si="2"/>
        <v>0.13900000000000001</v>
      </c>
      <c r="AS12" s="546" t="e">
        <f t="shared" si="13"/>
        <v>#REF!</v>
      </c>
      <c r="AT12" s="546">
        <f t="shared" si="14"/>
        <v>23217</v>
      </c>
      <c r="AU12" s="546">
        <f t="shared" si="15"/>
        <v>11392.037063142514</v>
      </c>
      <c r="AV12" s="546">
        <f t="shared" si="16"/>
        <v>11824.962936857486</v>
      </c>
      <c r="AW12" s="546"/>
      <c r="AX12" s="546">
        <v>0</v>
      </c>
      <c r="AY12" s="546" t="e">
        <f t="shared" si="17"/>
        <v>#REF!</v>
      </c>
      <c r="AZ12" s="546" t="e">
        <f>IF(#REF!="Нет",0,IF(#REF!="Серебряный",1800,IF(#REF!="Золотой",2500,IF(#REF!="Платиновый",3500,""))))</f>
        <v>#REF!</v>
      </c>
      <c r="BA12" s="546">
        <f t="shared" si="18"/>
        <v>0</v>
      </c>
      <c r="BB12" s="546"/>
      <c r="BC12" s="546"/>
      <c r="BD12" s="546"/>
      <c r="BE12" s="546"/>
      <c r="BF12" s="546"/>
      <c r="BG12" s="546">
        <f t="shared" si="19"/>
        <v>953153.80894687818</v>
      </c>
      <c r="BH12" s="108">
        <f t="shared" ref="BH12:BH75" si="28">IF((BH11-1)&lt;0,0,BH11-1)</f>
        <v>57</v>
      </c>
      <c r="BI12" s="108">
        <f t="shared" si="23"/>
        <v>57</v>
      </c>
      <c r="BJ12" s="22">
        <f t="shared" si="24"/>
        <v>44962</v>
      </c>
      <c r="BK12" s="108">
        <f t="shared" si="3"/>
        <v>22562</v>
      </c>
    </row>
    <row r="13" spans="1:78" ht="18" customHeight="1" x14ac:dyDescent="0.2">
      <c r="A13" s="805" t="s">
        <v>171</v>
      </c>
      <c r="B13" s="805"/>
      <c r="C13" s="360">
        <f>IF(OR(C8="Максимум",C8="Уверенность",C8="Оптимум + Максимум",C8="Оптимум + Уверенность")*AND(E13="да"),E14-1%,E14)</f>
        <v>4.9000000000000002E-2</v>
      </c>
      <c r="D13" s="217">
        <f>D11</f>
        <v>0.13900000000000001</v>
      </c>
      <c r="E13" s="193" t="s">
        <v>29</v>
      </c>
      <c r="F13" s="584" t="s">
        <v>29</v>
      </c>
      <c r="G13" s="244">
        <f t="shared" si="25"/>
        <v>5</v>
      </c>
      <c r="H13" s="245">
        <f t="shared" si="4"/>
        <v>44990</v>
      </c>
      <c r="I13" s="246">
        <f t="shared" si="5"/>
        <v>4.9000000000000002E-2</v>
      </c>
      <c r="J13" s="242" t="e">
        <f t="shared" si="6"/>
        <v>#REF!</v>
      </c>
      <c r="K13" s="242">
        <f t="shared" si="20"/>
        <v>22562</v>
      </c>
      <c r="L13" s="242">
        <f t="shared" si="7"/>
        <v>4238.4215498010662</v>
      </c>
      <c r="M13" s="242">
        <f t="shared" si="21"/>
        <v>18323.578450198933</v>
      </c>
      <c r="N13" s="242" t="e">
        <f t="shared" si="1"/>
        <v>#REF!</v>
      </c>
      <c r="O13" s="242">
        <v>0</v>
      </c>
      <c r="P13" s="242" t="e">
        <f t="shared" si="22"/>
        <v>#REF!</v>
      </c>
      <c r="Q13" s="242" t="e">
        <f>IF(OR($C$8="Нет",#REF!="Нет"),0,IF(#REF!="Серебряный",3600,IF(#REF!="Золотой",5000,IF(#REF!="Платиновый",7000,""))))</f>
        <v>#REF!</v>
      </c>
      <c r="R13" s="242">
        <f t="shared" si="8"/>
        <v>0</v>
      </c>
      <c r="S13" s="242">
        <f t="shared" si="9"/>
        <v>1109244.8367665568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1"/>
        <v>1</v>
      </c>
      <c r="AP13" s="553">
        <f>AP12+1</f>
        <v>5</v>
      </c>
      <c r="AQ13" s="554">
        <f t="shared" si="12"/>
        <v>44990</v>
      </c>
      <c r="AR13" s="555">
        <f t="shared" si="2"/>
        <v>0.13900000000000001</v>
      </c>
      <c r="AS13" s="546" t="e">
        <f t="shared" si="13"/>
        <v>#REF!</v>
      </c>
      <c r="AT13" s="546">
        <f t="shared" si="14"/>
        <v>23217</v>
      </c>
      <c r="AU13" s="546">
        <f t="shared" si="15"/>
        <v>10163.492121702056</v>
      </c>
      <c r="AV13" s="546">
        <f t="shared" si="16"/>
        <v>13053.507878297944</v>
      </c>
      <c r="AW13" s="546"/>
      <c r="AX13" s="546">
        <v>0</v>
      </c>
      <c r="AY13" s="546" t="e">
        <f t="shared" si="17"/>
        <v>#REF!</v>
      </c>
      <c r="AZ13" s="546" t="e">
        <f>IF(#REF!="Нет",0,IF(#REF!="Серебряный",1800,IF(#REF!="Золотой",2500,IF(#REF!="Платиновый",3500,""))))</f>
        <v>#REF!</v>
      </c>
      <c r="BA13" s="546">
        <f t="shared" si="18"/>
        <v>0</v>
      </c>
      <c r="BB13" s="546"/>
      <c r="BC13" s="546"/>
      <c r="BD13" s="546"/>
      <c r="BE13" s="546"/>
      <c r="BF13" s="546"/>
      <c r="BG13" s="546">
        <f t="shared" si="19"/>
        <v>940100.30106858024</v>
      </c>
      <c r="BH13" s="108">
        <f t="shared" si="28"/>
        <v>56</v>
      </c>
      <c r="BI13" s="108">
        <f t="shared" si="23"/>
        <v>56</v>
      </c>
      <c r="BJ13" s="22">
        <f t="shared" si="24"/>
        <v>44990</v>
      </c>
      <c r="BK13" s="108">
        <f t="shared" si="3"/>
        <v>22562</v>
      </c>
      <c r="BN13" s="784" t="s">
        <v>92</v>
      </c>
      <c r="BO13" s="777" t="s">
        <v>85</v>
      </c>
      <c r="BP13" s="129" t="s">
        <v>90</v>
      </c>
    </row>
    <row r="14" spans="1:78" ht="19.5" customHeight="1" thickBot="1" x14ac:dyDescent="0.25">
      <c r="A14" s="819" t="s">
        <v>168</v>
      </c>
      <c r="B14" s="419" t="s">
        <v>102</v>
      </c>
      <c r="C14" s="359" t="s">
        <v>35</v>
      </c>
      <c r="D14" s="218" t="str">
        <f>C14</f>
        <v>Нет</v>
      </c>
      <c r="E14" s="510">
        <f>IF(C8="Оптимум",(C11-2%),(IF(OR(C8="Максимум",C8="Уверенность"),IF(C11=27.9%,11.9%,IF(C11=22.9%,9.9%,IF(C11=20.9%,7.9%,IF((C11=17.9%)*AND(C7&gt;500000),6.9%,6.9%)))),IF(C8="нет",C11,IF(C11=27.9%,9.9%,IF(C11=22.9%,7.9%,IF(C11=20.9%,5.9%,IF((C11=17.9%)*AND(C7&gt;500000),4.9%,4.9%))))))))</f>
        <v>4.9000000000000002E-2</v>
      </c>
      <c r="F14" s="231"/>
      <c r="G14" s="244">
        <f t="shared" si="25"/>
        <v>6</v>
      </c>
      <c r="H14" s="245">
        <f t="shared" si="4"/>
        <v>45021</v>
      </c>
      <c r="I14" s="246">
        <f t="shared" si="5"/>
        <v>4.9000000000000002E-2</v>
      </c>
      <c r="J14" s="252" t="e">
        <f t="shared" si="6"/>
        <v>#REF!</v>
      </c>
      <c r="K14" s="242">
        <f t="shared" si="20"/>
        <v>22562</v>
      </c>
      <c r="L14" s="242">
        <f t="shared" si="7"/>
        <v>4616.2819371189034</v>
      </c>
      <c r="M14" s="242">
        <f t="shared" si="21"/>
        <v>17945.718062881097</v>
      </c>
      <c r="N14" s="242" t="e">
        <f t="shared" si="1"/>
        <v>#REF!</v>
      </c>
      <c r="O14" s="242">
        <v>0</v>
      </c>
      <c r="P14" s="242" t="e">
        <f t="shared" si="22"/>
        <v>#REF!</v>
      </c>
      <c r="Q14" s="242" t="e">
        <f>IF(OR($C$8="Нет",#REF!="Нет"),0,IF(#REF!="Серебряный",3600,IF(#REF!="Золотой",5000,IF(#REF!="Платиновый",7000,""))))</f>
        <v>#REF!</v>
      </c>
      <c r="R14" s="242">
        <f t="shared" si="8"/>
        <v>0</v>
      </c>
      <c r="S14" s="242">
        <f t="shared" si="9"/>
        <v>1091299.1187036757</v>
      </c>
      <c r="T14" s="242"/>
      <c r="U14" s="198">
        <f>IF((U13-1)&lt;0,0,U13-1)</f>
        <v>55</v>
      </c>
      <c r="V14" s="36">
        <f t="shared" si="10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1"/>
        <v>1</v>
      </c>
      <c r="AP14" s="553">
        <f>AP13+1</f>
        <v>6</v>
      </c>
      <c r="AQ14" s="554">
        <f t="shared" si="12"/>
        <v>45021</v>
      </c>
      <c r="AR14" s="555">
        <f t="shared" si="2"/>
        <v>0.13900000000000001</v>
      </c>
      <c r="AS14" s="546" t="e">
        <f t="shared" si="13"/>
        <v>#REF!</v>
      </c>
      <c r="AT14" s="546">
        <f t="shared" si="14"/>
        <v>23217</v>
      </c>
      <c r="AU14" s="546">
        <f t="shared" si="15"/>
        <v>11098.334787135651</v>
      </c>
      <c r="AV14" s="546">
        <f t="shared" si="16"/>
        <v>12118.665212864349</v>
      </c>
      <c r="AW14" s="546"/>
      <c r="AX14" s="546">
        <v>0</v>
      </c>
      <c r="AY14" s="546" t="e">
        <f t="shared" si="17"/>
        <v>#REF!</v>
      </c>
      <c r="AZ14" s="546" t="e">
        <f>IF(#REF!="Нет",0,IF(#REF!="Серебряный",1800,IF(#REF!="Золотой",2500,IF(#REF!="Платиновый",3500,""))))</f>
        <v>#REF!</v>
      </c>
      <c r="BA14" s="546">
        <f t="shared" si="18"/>
        <v>0</v>
      </c>
      <c r="BB14" s="546"/>
      <c r="BC14" s="546"/>
      <c r="BD14" s="546"/>
      <c r="BE14" s="546"/>
      <c r="BF14" s="546"/>
      <c r="BG14" s="546">
        <f t="shared" si="19"/>
        <v>927981.63585571584</v>
      </c>
      <c r="BH14" s="108">
        <f t="shared" si="28"/>
        <v>55</v>
      </c>
      <c r="BI14" s="108">
        <f t="shared" si="23"/>
        <v>55</v>
      </c>
      <c r="BJ14" s="22">
        <f t="shared" si="24"/>
        <v>45021</v>
      </c>
      <c r="BK14" s="108">
        <f t="shared" si="3"/>
        <v>22562</v>
      </c>
      <c r="BN14" s="785"/>
      <c r="BO14" s="778"/>
      <c r="BP14" s="670" t="s">
        <v>93</v>
      </c>
    </row>
    <row r="15" spans="1:78" ht="20.25" customHeight="1" thickBot="1" x14ac:dyDescent="0.25">
      <c r="A15" s="820"/>
      <c r="B15" s="418" t="s">
        <v>182</v>
      </c>
      <c r="C15" s="505" t="str">
        <f>IF(C14="нет","0",AJ109)</f>
        <v>0</v>
      </c>
      <c r="D15" s="216" t="str">
        <f>IF(D14="нет","",AJ109)</f>
        <v/>
      </c>
      <c r="E15" s="510"/>
      <c r="F15" s="231"/>
      <c r="G15" s="244">
        <f t="shared" si="25"/>
        <v>7</v>
      </c>
      <c r="H15" s="245">
        <f t="shared" si="4"/>
        <v>45051</v>
      </c>
      <c r="I15" s="246">
        <f t="shared" si="5"/>
        <v>4.9000000000000002E-2</v>
      </c>
      <c r="J15" s="242">
        <f t="shared" si="6"/>
        <v>22562</v>
      </c>
      <c r="K15" s="242">
        <f t="shared" si="20"/>
        <v>22562</v>
      </c>
      <c r="L15" s="242">
        <f t="shared" si="7"/>
        <v>4395.0950808065845</v>
      </c>
      <c r="M15" s="242">
        <f t="shared" si="21"/>
        <v>18166.904919193417</v>
      </c>
      <c r="N15" s="242">
        <f t="shared" si="1"/>
        <v>0</v>
      </c>
      <c r="O15" s="242">
        <v>0</v>
      </c>
      <c r="P15" s="242">
        <f t="shared" si="22"/>
        <v>4395.0950808065845</v>
      </c>
      <c r="Q15" s="242">
        <f t="shared" ref="Q15:Q78" si="29">IF(V15=0,0,0)</f>
        <v>0</v>
      </c>
      <c r="R15" s="242">
        <f t="shared" si="8"/>
        <v>0</v>
      </c>
      <c r="S15" s="242">
        <f t="shared" si="9"/>
        <v>1073132.2137844823</v>
      </c>
      <c r="T15" s="467"/>
      <c r="U15" s="198">
        <f t="shared" si="26"/>
        <v>54</v>
      </c>
      <c r="V15" s="36">
        <f t="shared" si="10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1"/>
        <v>1</v>
      </c>
      <c r="AP15" s="553">
        <f t="shared" si="27"/>
        <v>7</v>
      </c>
      <c r="AQ15" s="554">
        <f t="shared" si="12"/>
        <v>45051</v>
      </c>
      <c r="AR15" s="555">
        <f t="shared" si="2"/>
        <v>0.13900000000000001</v>
      </c>
      <c r="AS15" s="546" t="e">
        <f t="shared" si="13"/>
        <v>#REF!</v>
      </c>
      <c r="AT15" s="546">
        <f t="shared" si="14"/>
        <v>23217</v>
      </c>
      <c r="AU15" s="546">
        <f t="shared" si="15"/>
        <v>10601.872387721467</v>
      </c>
      <c r="AV15" s="546">
        <f t="shared" si="16"/>
        <v>12615.127612278533</v>
      </c>
      <c r="AW15" s="546"/>
      <c r="AX15" s="546">
        <v>0</v>
      </c>
      <c r="AY15" s="546" t="e">
        <f t="shared" si="17"/>
        <v>#REF!</v>
      </c>
      <c r="AZ15" s="546" t="e">
        <f>IF(#REF!="Нет",0,IF(#REF!="Серебряный",1800,IF(#REF!="Золотой",2500,IF(#REF!="Платиновый",3500,""))))</f>
        <v>#REF!</v>
      </c>
      <c r="BA15" s="546">
        <f t="shared" si="18"/>
        <v>0</v>
      </c>
      <c r="BB15" s="546"/>
      <c r="BC15" s="546"/>
      <c r="BD15" s="546"/>
      <c r="BE15" s="546"/>
      <c r="BF15" s="546"/>
      <c r="BG15" s="546">
        <f t="shared" si="19"/>
        <v>915366.50824343727</v>
      </c>
      <c r="BH15" s="108">
        <f t="shared" si="28"/>
        <v>54</v>
      </c>
      <c r="BI15" s="108">
        <f t="shared" si="23"/>
        <v>54</v>
      </c>
      <c r="BJ15" s="22">
        <f t="shared" si="24"/>
        <v>45051</v>
      </c>
      <c r="BK15" s="108">
        <f t="shared" si="3"/>
        <v>22562</v>
      </c>
      <c r="BX15" s="575" t="s">
        <v>368</v>
      </c>
      <c r="BY15" s="571" t="s">
        <v>369</v>
      </c>
      <c r="BZ15" s="576" t="s">
        <v>370</v>
      </c>
    </row>
    <row r="16" spans="1:78" ht="19.149999999999999" customHeight="1" thickBot="1" x14ac:dyDescent="0.25">
      <c r="A16" s="817"/>
      <c r="B16" s="817"/>
      <c r="C16" s="817"/>
      <c r="D16" s="817"/>
      <c r="E16" s="817"/>
      <c r="F16" s="232"/>
      <c r="G16" s="244">
        <f t="shared" si="25"/>
        <v>8</v>
      </c>
      <c r="H16" s="245">
        <f t="shared" si="4"/>
        <v>45082</v>
      </c>
      <c r="I16" s="246">
        <f t="shared" si="5"/>
        <v>4.9000000000000002E-2</v>
      </c>
      <c r="J16" s="242">
        <f t="shared" si="6"/>
        <v>22562</v>
      </c>
      <c r="K16" s="242">
        <f t="shared" si="20"/>
        <v>22562</v>
      </c>
      <c r="L16" s="242">
        <f t="shared" si="7"/>
        <v>4465.9940622976128</v>
      </c>
      <c r="M16" s="242">
        <f t="shared" si="21"/>
        <v>18096.005937702386</v>
      </c>
      <c r="N16" s="242">
        <f t="shared" si="1"/>
        <v>0</v>
      </c>
      <c r="O16" s="242">
        <v>0</v>
      </c>
      <c r="P16" s="242">
        <f t="shared" si="22"/>
        <v>4465.9940622976128</v>
      </c>
      <c r="Q16" s="242">
        <f t="shared" si="29"/>
        <v>0</v>
      </c>
      <c r="R16" s="242">
        <f t="shared" si="8"/>
        <v>0</v>
      </c>
      <c r="S16" s="242">
        <f t="shared" si="9"/>
        <v>1055036.2078467798</v>
      </c>
      <c r="T16" s="467"/>
      <c r="U16" s="198">
        <f t="shared" si="26"/>
        <v>53</v>
      </c>
      <c r="V16" s="36">
        <f t="shared" si="10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1"/>
        <v>1</v>
      </c>
      <c r="AP16" s="553">
        <f t="shared" si="27"/>
        <v>8</v>
      </c>
      <c r="AQ16" s="554">
        <f t="shared" si="12"/>
        <v>45082</v>
      </c>
      <c r="AR16" s="555">
        <f t="shared" si="2"/>
        <v>0.13900000000000001</v>
      </c>
      <c r="AS16" s="546" t="e">
        <f t="shared" si="13"/>
        <v>#REF!</v>
      </c>
      <c r="AT16" s="546">
        <f t="shared" si="14"/>
        <v>23217</v>
      </c>
      <c r="AU16" s="546">
        <f t="shared" si="15"/>
        <v>10806.340504167045</v>
      </c>
      <c r="AV16" s="546">
        <f t="shared" si="16"/>
        <v>12410.659495832955</v>
      </c>
      <c r="AW16" s="546"/>
      <c r="AX16" s="546">
        <v>0</v>
      </c>
      <c r="AY16" s="546" t="e">
        <f t="shared" si="17"/>
        <v>#REF!</v>
      </c>
      <c r="AZ16" s="546" t="e">
        <f>IF(#REF!="Нет",0,IF(#REF!="Серебряный",1800,IF(#REF!="Золотой",2500,IF(#REF!="Платиновый",3500,""))))</f>
        <v>#REF!</v>
      </c>
      <c r="BA16" s="546">
        <f t="shared" si="18"/>
        <v>0</v>
      </c>
      <c r="BB16" s="546"/>
      <c r="BC16" s="546"/>
      <c r="BD16" s="546"/>
      <c r="BE16" s="546"/>
      <c r="BF16" s="546"/>
      <c r="BG16" s="546">
        <f t="shared" si="19"/>
        <v>902955.84874760429</v>
      </c>
      <c r="BH16" s="108">
        <f t="shared" si="28"/>
        <v>53</v>
      </c>
      <c r="BI16" s="108">
        <f t="shared" si="23"/>
        <v>53</v>
      </c>
      <c r="BJ16" s="22">
        <f t="shared" si="24"/>
        <v>45082</v>
      </c>
      <c r="BK16" s="108">
        <f t="shared" si="3"/>
        <v>22562</v>
      </c>
      <c r="BX16" s="583" t="s">
        <v>111</v>
      </c>
      <c r="BY16" s="572" t="s">
        <v>371</v>
      </c>
      <c r="BZ16" s="573">
        <v>1.2E-2</v>
      </c>
    </row>
    <row r="17" spans="1:393" ht="19.899999999999999" customHeight="1" thickBot="1" x14ac:dyDescent="0.25">
      <c r="A17" s="872" t="s">
        <v>350</v>
      </c>
      <c r="B17" s="872"/>
      <c r="C17" s="873"/>
      <c r="D17" s="678"/>
      <c r="E17" s="678"/>
      <c r="F17" s="232"/>
      <c r="G17" s="244">
        <f t="shared" si="25"/>
        <v>9</v>
      </c>
      <c r="H17" s="245">
        <f t="shared" si="4"/>
        <v>45112</v>
      </c>
      <c r="I17" s="246">
        <f t="shared" si="5"/>
        <v>4.9000000000000002E-2</v>
      </c>
      <c r="J17" s="242">
        <f t="shared" si="6"/>
        <v>22562</v>
      </c>
      <c r="K17" s="242">
        <f t="shared" si="20"/>
        <v>22562</v>
      </c>
      <c r="L17" s="242">
        <f t="shared" si="7"/>
        <v>4249.0499329719632</v>
      </c>
      <c r="M17" s="242">
        <f t="shared" si="21"/>
        <v>18312.950067028036</v>
      </c>
      <c r="N17" s="242">
        <f t="shared" si="1"/>
        <v>0</v>
      </c>
      <c r="O17" s="242">
        <v>0</v>
      </c>
      <c r="P17" s="242">
        <f t="shared" si="22"/>
        <v>4249.0499329719632</v>
      </c>
      <c r="Q17" s="242">
        <f t="shared" si="29"/>
        <v>0</v>
      </c>
      <c r="R17" s="242">
        <f t="shared" si="8"/>
        <v>0</v>
      </c>
      <c r="S17" s="242">
        <f t="shared" si="9"/>
        <v>1036723.2577797518</v>
      </c>
      <c r="T17" s="467"/>
      <c r="U17" s="198">
        <f t="shared" si="26"/>
        <v>52</v>
      </c>
      <c r="V17" s="36">
        <f t="shared" si="10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1"/>
        <v>1</v>
      </c>
      <c r="AP17" s="553">
        <f t="shared" si="27"/>
        <v>9</v>
      </c>
      <c r="AQ17" s="554">
        <f t="shared" si="12"/>
        <v>45112</v>
      </c>
      <c r="AR17" s="555">
        <f t="shared" si="2"/>
        <v>0.13900000000000001</v>
      </c>
      <c r="AS17" s="546" t="e">
        <f t="shared" si="13"/>
        <v>#REF!</v>
      </c>
      <c r="AT17" s="546">
        <f t="shared" si="14"/>
        <v>23217</v>
      </c>
      <c r="AU17" s="546">
        <f t="shared" si="15"/>
        <v>10315.96134048633</v>
      </c>
      <c r="AV17" s="546">
        <f t="shared" si="16"/>
        <v>12901.03865951367</v>
      </c>
      <c r="AW17" s="546"/>
      <c r="AX17" s="546">
        <v>0</v>
      </c>
      <c r="AY17" s="546" t="e">
        <f t="shared" si="17"/>
        <v>#REF!</v>
      </c>
      <c r="AZ17" s="546" t="e">
        <f>IF(#REF!="Нет",0,IF(#REF!="Серебряный",1800,IF(#REF!="Золотой",2500,IF(#REF!="Платиновый",3500,""))))</f>
        <v>#REF!</v>
      </c>
      <c r="BA17" s="546">
        <f t="shared" si="18"/>
        <v>0</v>
      </c>
      <c r="BB17" s="546"/>
      <c r="BC17" s="546"/>
      <c r="BD17" s="546"/>
      <c r="BE17" s="546"/>
      <c r="BF17" s="546"/>
      <c r="BG17" s="546">
        <f t="shared" si="19"/>
        <v>890054.8100880906</v>
      </c>
      <c r="BH17" s="108">
        <f t="shared" si="28"/>
        <v>52</v>
      </c>
      <c r="BI17" s="108">
        <f t="shared" si="23"/>
        <v>52</v>
      </c>
      <c r="BJ17" s="22">
        <f t="shared" si="24"/>
        <v>45112</v>
      </c>
      <c r="BK17" s="108">
        <f t="shared" si="3"/>
        <v>22562</v>
      </c>
      <c r="BX17" s="574" t="s">
        <v>114</v>
      </c>
      <c r="BY17" s="572" t="s">
        <v>372</v>
      </c>
      <c r="BZ17" s="573">
        <v>1.2E-2</v>
      </c>
    </row>
    <row r="18" spans="1:393" ht="19.899999999999999" customHeight="1" thickBot="1" x14ac:dyDescent="0.25">
      <c r="A18" s="810" t="s">
        <v>362</v>
      </c>
      <c r="B18" s="810"/>
      <c r="C18" s="358">
        <f>$C$7+(IF($C$8="Нет",0,C20)+IF(C14="Нет",0,IF(C14="Да",C15,0)))</f>
        <v>1198465.9635666348</v>
      </c>
      <c r="D18" s="355">
        <f>$C$7+(IF($D$8="Нет",0,IF($D$20&lt;&gt;"",$D$20,0))+IF(D14="Нет",0,IF(D14="Да",D15,0)))</f>
        <v>1000000</v>
      </c>
      <c r="E18" s="224">
        <f>C18-D18</f>
        <v>198465.9635666348</v>
      </c>
      <c r="F18" s="232"/>
      <c r="G18" s="244">
        <f t="shared" si="25"/>
        <v>10</v>
      </c>
      <c r="H18" s="245">
        <f t="shared" si="4"/>
        <v>45143</v>
      </c>
      <c r="I18" s="246">
        <f t="shared" si="5"/>
        <v>4.9000000000000002E-2</v>
      </c>
      <c r="J18" s="242">
        <f t="shared" si="6"/>
        <v>22562</v>
      </c>
      <c r="K18" s="242">
        <f t="shared" si="20"/>
        <v>22562</v>
      </c>
      <c r="L18" s="242">
        <f t="shared" si="7"/>
        <v>4314.4729549792955</v>
      </c>
      <c r="M18" s="242">
        <f t="shared" si="21"/>
        <v>18247.527045020703</v>
      </c>
      <c r="N18" s="242">
        <f t="shared" si="1"/>
        <v>0</v>
      </c>
      <c r="O18" s="242">
        <v>0</v>
      </c>
      <c r="P18" s="242">
        <f t="shared" si="22"/>
        <v>4314.4729549792955</v>
      </c>
      <c r="Q18" s="242">
        <f t="shared" si="29"/>
        <v>0</v>
      </c>
      <c r="R18" s="242">
        <f t="shared" si="8"/>
        <v>0</v>
      </c>
      <c r="S18" s="242">
        <f t="shared" si="9"/>
        <v>1018475.7307347311</v>
      </c>
      <c r="T18" s="467"/>
      <c r="U18" s="198">
        <f t="shared" si="26"/>
        <v>51</v>
      </c>
      <c r="V18" s="36">
        <f t="shared" si="10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1"/>
        <v>1</v>
      </c>
      <c r="AP18" s="553">
        <f t="shared" si="27"/>
        <v>10</v>
      </c>
      <c r="AQ18" s="554">
        <f t="shared" si="12"/>
        <v>45143</v>
      </c>
      <c r="AR18" s="555">
        <f t="shared" si="2"/>
        <v>0.13900000000000001</v>
      </c>
      <c r="AS18" s="546" t="e">
        <f t="shared" si="13"/>
        <v>#REF!</v>
      </c>
      <c r="AT18" s="546">
        <f t="shared" si="14"/>
        <v>23217</v>
      </c>
      <c r="AU18" s="546">
        <f t="shared" si="15"/>
        <v>10507.523771697486</v>
      </c>
      <c r="AV18" s="546">
        <f t="shared" si="16"/>
        <v>12709.476228302514</v>
      </c>
      <c r="AW18" s="546"/>
      <c r="AX18" s="546">
        <v>0</v>
      </c>
      <c r="AY18" s="546" t="e">
        <f t="shared" si="17"/>
        <v>#REF!</v>
      </c>
      <c r="AZ18" s="546" t="e">
        <f>IF(#REF!="Нет",0,IF(#REF!="Серебряный",1800,IF(#REF!="Золотой",2500,IF(#REF!="Платиновый",3500,""))))</f>
        <v>#REF!</v>
      </c>
      <c r="BA18" s="546">
        <f t="shared" si="18"/>
        <v>0</v>
      </c>
      <c r="BB18" s="546"/>
      <c r="BC18" s="546"/>
      <c r="BD18" s="546"/>
      <c r="BE18" s="546"/>
      <c r="BF18" s="546"/>
      <c r="BG18" s="546">
        <f t="shared" si="19"/>
        <v>877345.33385978814</v>
      </c>
      <c r="BH18" s="108">
        <f t="shared" si="28"/>
        <v>51</v>
      </c>
      <c r="BI18" s="108">
        <f t="shared" si="23"/>
        <v>51</v>
      </c>
      <c r="BJ18" s="22">
        <f t="shared" si="24"/>
        <v>45143</v>
      </c>
      <c r="BK18" s="108">
        <f t="shared" si="3"/>
        <v>22562</v>
      </c>
      <c r="BX18" s="574" t="s">
        <v>360</v>
      </c>
      <c r="BY18" s="572" t="s">
        <v>372</v>
      </c>
      <c r="BZ18" s="573">
        <v>1.14E-2</v>
      </c>
      <c r="CF18" s="585">
        <f>1000000/(1-BZ18*CF21)</f>
        <v>1047778.7091366303</v>
      </c>
    </row>
    <row r="19" spans="1:393" ht="28.15" customHeight="1" x14ac:dyDescent="0.2">
      <c r="A19" s="769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Платеж, руб.</v>
      </c>
      <c r="B19" s="769"/>
      <c r="C19" s="358">
        <f>K9</f>
        <v>22562</v>
      </c>
      <c r="D19" s="355">
        <f>AT9</f>
        <v>23217</v>
      </c>
      <c r="E19" s="224">
        <f>C19-D19</f>
        <v>-655</v>
      </c>
      <c r="F19" s="233"/>
      <c r="G19" s="244">
        <f t="shared" si="25"/>
        <v>11</v>
      </c>
      <c r="H19" s="245">
        <f t="shared" si="4"/>
        <v>45174</v>
      </c>
      <c r="I19" s="246">
        <f t="shared" si="5"/>
        <v>4.9000000000000002E-2</v>
      </c>
      <c r="J19" s="242">
        <f t="shared" si="6"/>
        <v>22562</v>
      </c>
      <c r="K19" s="242">
        <f t="shared" si="20"/>
        <v>22562</v>
      </c>
      <c r="L19" s="242">
        <f t="shared" si="7"/>
        <v>4238.5332465371412</v>
      </c>
      <c r="M19" s="242">
        <f t="shared" si="21"/>
        <v>18323.466753462861</v>
      </c>
      <c r="N19" s="242">
        <f t="shared" si="1"/>
        <v>0</v>
      </c>
      <c r="O19" s="242">
        <v>0</v>
      </c>
      <c r="P19" s="242">
        <f t="shared" si="22"/>
        <v>4238.5332465371412</v>
      </c>
      <c r="Q19" s="242">
        <f t="shared" si="29"/>
        <v>0</v>
      </c>
      <c r="R19" s="242">
        <f t="shared" si="8"/>
        <v>0</v>
      </c>
      <c r="S19" s="242">
        <f t="shared" si="9"/>
        <v>1000152.2639812682</v>
      </c>
      <c r="T19" s="467"/>
      <c r="U19" s="198">
        <f>IF((U18-1)&lt;0,0,U18-1)</f>
        <v>50</v>
      </c>
      <c r="V19" s="36">
        <f t="shared" si="10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1"/>
        <v>1</v>
      </c>
      <c r="AP19" s="553">
        <f>AP18+1</f>
        <v>11</v>
      </c>
      <c r="AQ19" s="554">
        <f t="shared" si="12"/>
        <v>45174</v>
      </c>
      <c r="AR19" s="555">
        <f t="shared" si="2"/>
        <v>0.13900000000000001</v>
      </c>
      <c r="AS19" s="546" t="e">
        <f t="shared" si="13"/>
        <v>#REF!</v>
      </c>
      <c r="AT19" s="546">
        <f t="shared" si="14"/>
        <v>23217</v>
      </c>
      <c r="AU19" s="546">
        <f t="shared" si="15"/>
        <v>10357.482311237884</v>
      </c>
      <c r="AV19" s="546">
        <f t="shared" si="16"/>
        <v>12859.517688762116</v>
      </c>
      <c r="AW19" s="546"/>
      <c r="AX19" s="546">
        <v>0</v>
      </c>
      <c r="AY19" s="546" t="e">
        <f t="shared" si="17"/>
        <v>#REF!</v>
      </c>
      <c r="AZ19" s="546" t="e">
        <f>IF(#REF!="Нет",0,IF(#REF!="Серебряный",1800,IF(#REF!="Золотой",2500,IF(#REF!="Платиновый",3500,""))))</f>
        <v>#REF!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19"/>
        <v>864485.81617102597</v>
      </c>
      <c r="BH19" s="108">
        <f t="shared" si="28"/>
        <v>50</v>
      </c>
      <c r="BI19" s="108">
        <f t="shared" si="23"/>
        <v>50</v>
      </c>
      <c r="BJ19" s="22">
        <f t="shared" si="24"/>
        <v>45174</v>
      </c>
      <c r="BK19" s="108">
        <f t="shared" si="3"/>
        <v>22562</v>
      </c>
      <c r="BZ19" s="62"/>
    </row>
    <row r="20" spans="1:393" ht="16.899999999999999" customHeight="1" thickBot="1" x14ac:dyDescent="0.25">
      <c r="A20" s="763" t="s">
        <v>285</v>
      </c>
      <c r="B20" s="763"/>
      <c r="C20" s="561">
        <f>IF(OR(C8="Максимум",C8="Уверенность"),BY23,IF(C8="нет",0,IF(C8="Оптимум",CF23,BY28)))</f>
        <v>198465.96356663469</v>
      </c>
      <c r="D20" s="561">
        <f>IF(OR(D8="Максимум",D8="Уверенность плюс"),(D7*D10*0.17%),IF(D8="нет",0,IF(D8="Оптимум",(D7*D10*0.1%),(D7*D10*0.27%))))</f>
        <v>0</v>
      </c>
      <c r="E20" s="226">
        <f>C20-D20</f>
        <v>198465.96356663469</v>
      </c>
      <c r="F20" s="224"/>
      <c r="G20" s="248">
        <f t="shared" si="25"/>
        <v>12</v>
      </c>
      <c r="H20" s="581">
        <f t="shared" si="4"/>
        <v>45204</v>
      </c>
      <c r="I20" s="250">
        <f t="shared" si="5"/>
        <v>4.9000000000000002E-2</v>
      </c>
      <c r="J20" s="252">
        <f t="shared" si="6"/>
        <v>22562</v>
      </c>
      <c r="K20" s="252">
        <f t="shared" si="20"/>
        <v>22562</v>
      </c>
      <c r="L20" s="252">
        <f t="shared" si="7"/>
        <v>4028.0104878149705</v>
      </c>
      <c r="M20" s="252">
        <f t="shared" si="21"/>
        <v>18533.989512185028</v>
      </c>
      <c r="N20" s="252">
        <f t="shared" si="1"/>
        <v>0</v>
      </c>
      <c r="O20" s="252">
        <v>0</v>
      </c>
      <c r="P20" s="252">
        <f t="shared" si="22"/>
        <v>4028.0104878149705</v>
      </c>
      <c r="Q20" s="252">
        <f t="shared" si="29"/>
        <v>0</v>
      </c>
      <c r="R20" s="252">
        <f t="shared" si="8"/>
        <v>0</v>
      </c>
      <c r="S20" s="252">
        <f t="shared" si="9"/>
        <v>981618.27446908318</v>
      </c>
      <c r="T20" s="468"/>
      <c r="U20" s="198">
        <f>IF((U19-1)&lt;0,0,U19-1)</f>
        <v>49</v>
      </c>
      <c r="V20" s="36">
        <f t="shared" si="10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1"/>
        <v>1</v>
      </c>
      <c r="AP20" s="556">
        <f>AP19+1</f>
        <v>12</v>
      </c>
      <c r="AQ20" s="582">
        <f t="shared" si="12"/>
        <v>45204</v>
      </c>
      <c r="AR20" s="557">
        <f t="shared" si="2"/>
        <v>0.13900000000000001</v>
      </c>
      <c r="AS20" s="547" t="e">
        <f t="shared" si="13"/>
        <v>#REF!</v>
      </c>
      <c r="AT20" s="547">
        <f t="shared" si="14"/>
        <v>23217</v>
      </c>
      <c r="AU20" s="547">
        <f t="shared" si="15"/>
        <v>9876.4543929676129</v>
      </c>
      <c r="AV20" s="547">
        <f t="shared" si="16"/>
        <v>13340.545607032387</v>
      </c>
      <c r="AW20" s="547"/>
      <c r="AX20" s="547">
        <v>0</v>
      </c>
      <c r="AY20" s="547" t="e">
        <f t="shared" si="17"/>
        <v>#REF!</v>
      </c>
      <c r="AZ20" s="547" t="e">
        <f>IF(#REF!="Нет",0,IF(#REF!="Серебряный",1800,IF(#REF!="Золотой",2500,IF(#REF!="Платиновый",3500,""))))</f>
        <v>#REF!</v>
      </c>
      <c r="BA20" s="547">
        <f t="shared" ref="BA20:BA83" si="30">IF(BI26=0,0,0)</f>
        <v>0</v>
      </c>
      <c r="BB20" s="547"/>
      <c r="BC20" s="547"/>
      <c r="BD20" s="547"/>
      <c r="BE20" s="547"/>
      <c r="BF20" s="547"/>
      <c r="BG20" s="547">
        <f t="shared" si="19"/>
        <v>851145.2705639936</v>
      </c>
      <c r="BH20" s="108">
        <f t="shared" si="28"/>
        <v>49</v>
      </c>
      <c r="BI20" s="108">
        <f t="shared" si="23"/>
        <v>49</v>
      </c>
      <c r="BJ20" s="22">
        <f t="shared" si="24"/>
        <v>45204</v>
      </c>
      <c r="BK20" s="108">
        <f t="shared" si="3"/>
        <v>22562</v>
      </c>
      <c r="BX20" s="2" t="s">
        <v>377</v>
      </c>
      <c r="CE20" s="116"/>
    </row>
    <row r="21" spans="1:393" ht="38.25" customHeight="1" x14ac:dyDescent="0.2">
      <c r="A21" s="763" t="s">
        <v>75</v>
      </c>
      <c r="B21" s="763"/>
      <c r="C21" s="194">
        <f>L109</f>
        <v>155368.76099127252</v>
      </c>
      <c r="D21" s="209">
        <f>AU109</f>
        <v>393442.9467140286</v>
      </c>
      <c r="E21" s="274">
        <f t="shared" ref="E21" si="31">C21-D21</f>
        <v>-238074.18572275608</v>
      </c>
      <c r="F21" s="224"/>
      <c r="G21" s="244">
        <f t="shared" si="25"/>
        <v>13</v>
      </c>
      <c r="H21" s="245">
        <f t="shared" si="4"/>
        <v>45235</v>
      </c>
      <c r="I21" s="246">
        <f t="shared" si="5"/>
        <v>4.9000000000000002E-2</v>
      </c>
      <c r="J21" s="242">
        <f>K21+Q21</f>
        <v>22562</v>
      </c>
      <c r="K21" s="242">
        <f t="shared" si="20"/>
        <v>22562</v>
      </c>
      <c r="L21" s="242">
        <f t="shared" si="7"/>
        <v>4085.1456408727054</v>
      </c>
      <c r="M21" s="242">
        <f t="shared" si="21"/>
        <v>18476.854359127294</v>
      </c>
      <c r="N21" s="242">
        <f t="shared" si="1"/>
        <v>0</v>
      </c>
      <c r="O21" s="242">
        <v>0</v>
      </c>
      <c r="P21" s="242">
        <f t="shared" si="22"/>
        <v>4085.1456408727054</v>
      </c>
      <c r="Q21" s="242">
        <f t="shared" si="29"/>
        <v>0</v>
      </c>
      <c r="R21" s="242">
        <f t="shared" si="8"/>
        <v>0</v>
      </c>
      <c r="S21" s="242">
        <f t="shared" si="9"/>
        <v>963141.42010995583</v>
      </c>
      <c r="T21" s="467"/>
      <c r="U21" s="198">
        <f>IF((U20-1)&lt;0,0,U20-1)</f>
        <v>48</v>
      </c>
      <c r="V21" s="36">
        <f t="shared" si="10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1"/>
        <v>1</v>
      </c>
      <c r="AP21" s="553">
        <f>AP20+1</f>
        <v>13</v>
      </c>
      <c r="AQ21" s="554">
        <f t="shared" si="12"/>
        <v>45235</v>
      </c>
      <c r="AR21" s="555">
        <f t="shared" si="2"/>
        <v>0.13900000000000001</v>
      </c>
      <c r="AS21" s="546">
        <f t="shared" si="13"/>
        <v>23217</v>
      </c>
      <c r="AT21" s="546">
        <f t="shared" si="14"/>
        <v>23217</v>
      </c>
      <c r="AU21" s="546">
        <f t="shared" si="15"/>
        <v>10048.178002356846</v>
      </c>
      <c r="AV21" s="546">
        <f t="shared" si="16"/>
        <v>13168.821997643154</v>
      </c>
      <c r="AW21" s="546"/>
      <c r="AX21" s="546">
        <v>0</v>
      </c>
      <c r="AY21" s="546">
        <f t="shared" si="17"/>
        <v>10048.178002356846</v>
      </c>
      <c r="AZ21" s="546">
        <f t="shared" ref="AZ21:AZ84" si="32">IF(BI27=0,0,0)</f>
        <v>0</v>
      </c>
      <c r="BA21" s="546">
        <f t="shared" si="30"/>
        <v>0</v>
      </c>
      <c r="BB21" s="546"/>
      <c r="BC21" s="546"/>
      <c r="BD21" s="546"/>
      <c r="BE21" s="546"/>
      <c r="BF21" s="546"/>
      <c r="BG21" s="546">
        <f t="shared" si="19"/>
        <v>837976.4485663505</v>
      </c>
      <c r="BH21" s="108">
        <f t="shared" si="28"/>
        <v>48</v>
      </c>
      <c r="BI21" s="108">
        <f t="shared" si="23"/>
        <v>48</v>
      </c>
      <c r="BJ21" s="22">
        <f t="shared" si="24"/>
        <v>45235</v>
      </c>
      <c r="BK21" s="108">
        <f t="shared" si="3"/>
        <v>22562</v>
      </c>
      <c r="BX21" s="2" t="s">
        <v>111</v>
      </c>
      <c r="BY21" s="2">
        <f>IF(AND(C10&lt;=47,OR(C11=22.9%,C11=20.9%)),13,IF(C11=17.9%,16,IF(C11=13.9%,10,IF(AND(C11=27.9%,C10&gt;47),20,IF(OR(C11=22.9%,C11=20.9%),17,16)))))</f>
        <v>10</v>
      </c>
      <c r="CB21" s="2" t="s">
        <v>114</v>
      </c>
      <c r="CC21" s="2">
        <f>BY21</f>
        <v>10</v>
      </c>
      <c r="CE21" s="2" t="s">
        <v>360</v>
      </c>
      <c r="CF21" s="2">
        <f>IF(OR(C11=17.9%,C10&lt;=47),4,4)</f>
        <v>4</v>
      </c>
    </row>
    <row r="22" spans="1:393" ht="34.15" customHeight="1" x14ac:dyDescent="0.2">
      <c r="A22" s="763" t="s">
        <v>157</v>
      </c>
      <c r="B22" s="763"/>
      <c r="C22" s="199">
        <f>K109</f>
        <v>1353720</v>
      </c>
      <c r="D22" s="209">
        <f>AT109</f>
        <v>1393020</v>
      </c>
      <c r="E22" s="190"/>
      <c r="F22" s="225"/>
      <c r="G22" s="244">
        <f t="shared" si="25"/>
        <v>14</v>
      </c>
      <c r="H22" s="245">
        <f t="shared" si="4"/>
        <v>45265</v>
      </c>
      <c r="I22" s="246">
        <f t="shared" si="5"/>
        <v>4.9000000000000002E-2</v>
      </c>
      <c r="J22" s="242">
        <f t="shared" si="6"/>
        <v>22562</v>
      </c>
      <c r="K22" s="242">
        <f t="shared" si="20"/>
        <v>22562</v>
      </c>
      <c r="L22" s="242">
        <f t="shared" si="7"/>
        <v>3878.9531166072197</v>
      </c>
      <c r="M22" s="242">
        <f t="shared" si="21"/>
        <v>18683.046883392781</v>
      </c>
      <c r="N22" s="242">
        <f t="shared" si="1"/>
        <v>0</v>
      </c>
      <c r="O22" s="242">
        <v>0</v>
      </c>
      <c r="P22" s="242">
        <f t="shared" si="22"/>
        <v>3878.9531166072197</v>
      </c>
      <c r="Q22" s="242">
        <f t="shared" si="29"/>
        <v>0</v>
      </c>
      <c r="R22" s="242">
        <f t="shared" si="8"/>
        <v>0</v>
      </c>
      <c r="S22" s="242">
        <f t="shared" si="9"/>
        <v>944458.3732265631</v>
      </c>
      <c r="T22" s="467"/>
      <c r="U22" s="198">
        <f t="shared" si="26"/>
        <v>47</v>
      </c>
      <c r="V22" s="36">
        <f t="shared" si="10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1"/>
        <v>1</v>
      </c>
      <c r="AP22" s="553">
        <f t="shared" si="27"/>
        <v>14</v>
      </c>
      <c r="AQ22" s="554">
        <f t="shared" si="12"/>
        <v>45265</v>
      </c>
      <c r="AR22" s="555">
        <f t="shared" si="2"/>
        <v>0.13900000000000001</v>
      </c>
      <c r="AS22" s="546">
        <f t="shared" si="13"/>
        <v>23217</v>
      </c>
      <c r="AT22" s="546">
        <f t="shared" si="14"/>
        <v>23217</v>
      </c>
      <c r="AU22" s="546">
        <f t="shared" si="15"/>
        <v>9573.5939466347463</v>
      </c>
      <c r="AV22" s="546">
        <f t="shared" si="16"/>
        <v>13643.406053365254</v>
      </c>
      <c r="AW22" s="546"/>
      <c r="AX22" s="546">
        <v>0</v>
      </c>
      <c r="AY22" s="546">
        <f t="shared" si="17"/>
        <v>9573.5939466347463</v>
      </c>
      <c r="AZ22" s="546">
        <f t="shared" si="32"/>
        <v>0</v>
      </c>
      <c r="BA22" s="546">
        <f t="shared" si="30"/>
        <v>0</v>
      </c>
      <c r="BB22" s="546"/>
      <c r="BC22" s="546"/>
      <c r="BD22" s="546"/>
      <c r="BE22" s="546"/>
      <c r="BF22" s="546"/>
      <c r="BG22" s="546">
        <f t="shared" si="19"/>
        <v>824333.0425129853</v>
      </c>
      <c r="BH22" s="108">
        <f t="shared" si="28"/>
        <v>47</v>
      </c>
      <c r="BI22" s="108">
        <f t="shared" si="23"/>
        <v>47</v>
      </c>
      <c r="BJ22" s="22">
        <f t="shared" si="24"/>
        <v>45265</v>
      </c>
      <c r="BK22" s="108">
        <f t="shared" si="3"/>
        <v>22562</v>
      </c>
      <c r="BX22" s="16" t="s">
        <v>373</v>
      </c>
      <c r="BY22" s="143">
        <f>(C7+C15)/(1-BZ16*BY21)</f>
        <v>1136363.6363636365</v>
      </c>
      <c r="BZ22" s="16"/>
      <c r="CA22" s="16"/>
      <c r="CB22" s="16" t="s">
        <v>373</v>
      </c>
      <c r="CC22" s="143">
        <f>BY22</f>
        <v>1136363.6363636365</v>
      </c>
      <c r="CD22" s="16"/>
      <c r="CE22" s="16" t="s">
        <v>373</v>
      </c>
      <c r="CF22" s="143">
        <f>(C7+C15)/(1-BZ18*CF21)</f>
        <v>1047778.7091366303</v>
      </c>
    </row>
    <row r="23" spans="1:393" ht="38.25" customHeight="1" x14ac:dyDescent="0.2">
      <c r="A23" s="812" t="s">
        <v>175</v>
      </c>
      <c r="B23" s="813"/>
      <c r="C23" s="813"/>
      <c r="D23" s="813"/>
      <c r="E23" s="814"/>
      <c r="F23" s="226"/>
      <c r="G23" s="244">
        <f t="shared" si="25"/>
        <v>15</v>
      </c>
      <c r="H23" s="245">
        <f t="shared" si="4"/>
        <v>45296</v>
      </c>
      <c r="I23" s="246">
        <f t="shared" si="5"/>
        <v>4.9000000000000002E-2</v>
      </c>
      <c r="J23" s="242">
        <f t="shared" si="6"/>
        <v>22562</v>
      </c>
      <c r="K23" s="242">
        <f t="shared" si="20"/>
        <v>22562</v>
      </c>
      <c r="L23" s="242">
        <f t="shared" si="7"/>
        <v>3930.4993669346559</v>
      </c>
      <c r="M23" s="242">
        <f t="shared" si="21"/>
        <v>18631.500633065345</v>
      </c>
      <c r="N23" s="242">
        <f t="shared" si="1"/>
        <v>0</v>
      </c>
      <c r="O23" s="242">
        <v>0</v>
      </c>
      <c r="P23" s="242">
        <f t="shared" si="22"/>
        <v>3930.4993669346559</v>
      </c>
      <c r="Q23" s="242">
        <f t="shared" si="29"/>
        <v>0</v>
      </c>
      <c r="R23" s="242">
        <f t="shared" si="8"/>
        <v>0</v>
      </c>
      <c r="S23" s="242">
        <f t="shared" si="9"/>
        <v>925826.87259349774</v>
      </c>
      <c r="T23" s="467"/>
      <c r="U23" s="198">
        <f t="shared" si="26"/>
        <v>46</v>
      </c>
      <c r="V23" s="36">
        <f t="shared" si="10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1"/>
        <v>1</v>
      </c>
      <c r="AP23" s="553">
        <f t="shared" si="27"/>
        <v>15</v>
      </c>
      <c r="AQ23" s="554">
        <f t="shared" si="12"/>
        <v>45296</v>
      </c>
      <c r="AR23" s="555">
        <f t="shared" si="2"/>
        <v>0.13900000000000001</v>
      </c>
      <c r="AS23" s="546">
        <f t="shared" si="13"/>
        <v>23217</v>
      </c>
      <c r="AT23" s="546">
        <f t="shared" si="14"/>
        <v>23217</v>
      </c>
      <c r="AU23" s="546">
        <f t="shared" si="15"/>
        <v>9731.6467950368606</v>
      </c>
      <c r="AV23" s="546">
        <f t="shared" si="16"/>
        <v>13485.353204963139</v>
      </c>
      <c r="AW23" s="546"/>
      <c r="AX23" s="546">
        <v>0</v>
      </c>
      <c r="AY23" s="546">
        <f t="shared" si="17"/>
        <v>9731.6467950368606</v>
      </c>
      <c r="AZ23" s="546">
        <f t="shared" si="32"/>
        <v>0</v>
      </c>
      <c r="BA23" s="546">
        <f t="shared" si="30"/>
        <v>0</v>
      </c>
      <c r="BB23" s="546"/>
      <c r="BC23" s="546"/>
      <c r="BD23" s="546"/>
      <c r="BE23" s="546"/>
      <c r="BF23" s="546"/>
      <c r="BG23" s="546">
        <f t="shared" si="19"/>
        <v>810847.68930802215</v>
      </c>
      <c r="BH23" s="108">
        <f t="shared" si="28"/>
        <v>46</v>
      </c>
      <c r="BI23" s="108">
        <f t="shared" si="23"/>
        <v>46</v>
      </c>
      <c r="BJ23" s="22">
        <f t="shared" si="24"/>
        <v>45296</v>
      </c>
      <c r="BK23" s="108">
        <f t="shared" si="3"/>
        <v>22562</v>
      </c>
      <c r="BX23" s="16" t="s">
        <v>374</v>
      </c>
      <c r="BY23" s="143">
        <f>BY22*BZ16*BY21</f>
        <v>136363.63636363638</v>
      </c>
      <c r="BZ23" s="16"/>
      <c r="CA23" s="16"/>
      <c r="CB23" s="16" t="s">
        <v>374</v>
      </c>
      <c r="CC23" s="143">
        <f>BY23</f>
        <v>136363.63636363638</v>
      </c>
      <c r="CD23" s="16"/>
      <c r="CE23" s="16" t="s">
        <v>374</v>
      </c>
      <c r="CF23" s="143">
        <f>CF22*BZ18*CF21</f>
        <v>47778.709136630343</v>
      </c>
    </row>
    <row r="24" spans="1:393" ht="27.75" customHeight="1" x14ac:dyDescent="0.2">
      <c r="A24" s="792" t="s">
        <v>186</v>
      </c>
      <c r="B24" s="677" t="s">
        <v>180</v>
      </c>
      <c r="C24" s="674">
        <f>C21/($C$10/12)</f>
        <v>31073.752198254504</v>
      </c>
      <c r="D24" s="674">
        <f>D21/($C$10/12)</f>
        <v>78688.589342805717</v>
      </c>
      <c r="E24" s="674">
        <f>C24-D24</f>
        <v>-47614.837144551217</v>
      </c>
      <c r="F24" s="226"/>
      <c r="G24" s="244">
        <f t="shared" si="25"/>
        <v>16</v>
      </c>
      <c r="H24" s="245">
        <f t="shared" si="4"/>
        <v>45327</v>
      </c>
      <c r="I24" s="246">
        <f t="shared" si="5"/>
        <v>4.9000000000000002E-2</v>
      </c>
      <c r="J24" s="242">
        <f t="shared" si="6"/>
        <v>22562</v>
      </c>
      <c r="K24" s="242">
        <f t="shared" si="20"/>
        <v>22562</v>
      </c>
      <c r="L24" s="242">
        <f t="shared" si="7"/>
        <v>3852.9616971767755</v>
      </c>
      <c r="M24" s="242">
        <f t="shared" si="21"/>
        <v>18709.038302823225</v>
      </c>
      <c r="N24" s="242">
        <f t="shared" si="1"/>
        <v>0</v>
      </c>
      <c r="O24" s="242">
        <v>0</v>
      </c>
      <c r="P24" s="242">
        <f t="shared" si="22"/>
        <v>3852.9616971767755</v>
      </c>
      <c r="Q24" s="242">
        <f t="shared" si="29"/>
        <v>0</v>
      </c>
      <c r="R24" s="242">
        <f t="shared" si="8"/>
        <v>0</v>
      </c>
      <c r="S24" s="242">
        <f t="shared" si="9"/>
        <v>907117.83429067454</v>
      </c>
      <c r="T24" s="467"/>
      <c r="U24" s="198">
        <f t="shared" si="26"/>
        <v>45</v>
      </c>
      <c r="V24" s="36">
        <f t="shared" si="10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1"/>
        <v>1</v>
      </c>
      <c r="AP24" s="553">
        <f t="shared" si="27"/>
        <v>16</v>
      </c>
      <c r="AQ24" s="554">
        <f t="shared" si="12"/>
        <v>45327</v>
      </c>
      <c r="AR24" s="555">
        <f t="shared" si="2"/>
        <v>0.13900000000000001</v>
      </c>
      <c r="AS24" s="546">
        <f t="shared" si="13"/>
        <v>23217</v>
      </c>
      <c r="AT24" s="546">
        <f t="shared" si="14"/>
        <v>23217</v>
      </c>
      <c r="AU24" s="546">
        <f t="shared" si="15"/>
        <v>9572.4457348719661</v>
      </c>
      <c r="AV24" s="546">
        <f t="shared" si="16"/>
        <v>13644.554265128034</v>
      </c>
      <c r="AW24" s="546"/>
      <c r="AX24" s="546">
        <v>0</v>
      </c>
      <c r="AY24" s="546">
        <f t="shared" si="17"/>
        <v>9572.4457348719661</v>
      </c>
      <c r="AZ24" s="546">
        <f t="shared" si="32"/>
        <v>0</v>
      </c>
      <c r="BA24" s="546">
        <f t="shared" si="30"/>
        <v>0</v>
      </c>
      <c r="BB24" s="546"/>
      <c r="BC24" s="546"/>
      <c r="BD24" s="546"/>
      <c r="BE24" s="546"/>
      <c r="BF24" s="546"/>
      <c r="BG24" s="546">
        <f t="shared" si="19"/>
        <v>797203.13504289417</v>
      </c>
      <c r="BH24" s="108">
        <f t="shared" si="28"/>
        <v>45</v>
      </c>
      <c r="BI24" s="108">
        <f t="shared" si="23"/>
        <v>45</v>
      </c>
      <c r="BJ24" s="22">
        <f t="shared" si="24"/>
        <v>45327</v>
      </c>
      <c r="BK24" s="108">
        <f t="shared" si="3"/>
        <v>22562</v>
      </c>
      <c r="BX24" s="16"/>
      <c r="BY24" s="16"/>
      <c r="BZ24" s="16"/>
      <c r="CA24" s="16"/>
      <c r="CB24" s="16"/>
      <c r="CC24" s="16"/>
      <c r="CD24" s="16"/>
      <c r="CE24" s="16"/>
      <c r="CF24" s="16"/>
    </row>
    <row r="25" spans="1:393" ht="18" customHeight="1" x14ac:dyDescent="0.2">
      <c r="A25" s="792"/>
      <c r="B25" s="677" t="s">
        <v>181</v>
      </c>
      <c r="C25" s="201">
        <f>C24/C18</f>
        <v>2.5927938834223556E-2</v>
      </c>
      <c r="D25" s="201">
        <f>D24/D18</f>
        <v>7.8688589342805718E-2</v>
      </c>
      <c r="E25" s="674"/>
      <c r="F25" s="226"/>
      <c r="G25" s="244">
        <f t="shared" si="25"/>
        <v>17</v>
      </c>
      <c r="H25" s="245">
        <f t="shared" si="4"/>
        <v>45356</v>
      </c>
      <c r="I25" s="246">
        <f t="shared" si="5"/>
        <v>4.9000000000000002E-2</v>
      </c>
      <c r="J25" s="242">
        <f t="shared" si="6"/>
        <v>22562</v>
      </c>
      <c r="K25" s="242">
        <f t="shared" si="20"/>
        <v>22562</v>
      </c>
      <c r="L25" s="242">
        <f t="shared" si="7"/>
        <v>3531.5464178823249</v>
      </c>
      <c r="M25" s="242">
        <f t="shared" si="21"/>
        <v>19030.453582117676</v>
      </c>
      <c r="N25" s="242">
        <f t="shared" si="1"/>
        <v>0</v>
      </c>
      <c r="O25" s="242">
        <v>0</v>
      </c>
      <c r="P25" s="242">
        <f t="shared" si="22"/>
        <v>3531.5464178823249</v>
      </c>
      <c r="Q25" s="242">
        <f t="shared" si="29"/>
        <v>0</v>
      </c>
      <c r="R25" s="242">
        <f t="shared" si="8"/>
        <v>0</v>
      </c>
      <c r="S25" s="242">
        <f t="shared" si="9"/>
        <v>888087.38070855686</v>
      </c>
      <c r="T25" s="467"/>
      <c r="U25" s="198">
        <f t="shared" si="26"/>
        <v>44</v>
      </c>
      <c r="V25" s="36">
        <f t="shared" si="10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1"/>
        <v>1</v>
      </c>
      <c r="AP25" s="558">
        <f t="shared" si="27"/>
        <v>17</v>
      </c>
      <c r="AQ25" s="554">
        <f t="shared" si="12"/>
        <v>45356</v>
      </c>
      <c r="AR25" s="555">
        <f t="shared" si="2"/>
        <v>0.13900000000000001</v>
      </c>
      <c r="AS25" s="546">
        <f t="shared" si="13"/>
        <v>23217</v>
      </c>
      <c r="AT25" s="546">
        <f t="shared" si="14"/>
        <v>23217</v>
      </c>
      <c r="AU25" s="546">
        <f t="shared" si="15"/>
        <v>8804.1803763230328</v>
      </c>
      <c r="AV25" s="546">
        <f t="shared" si="16"/>
        <v>14412.819623676967</v>
      </c>
      <c r="AW25" s="546"/>
      <c r="AX25" s="546">
        <v>0</v>
      </c>
      <c r="AY25" s="546">
        <f t="shared" si="17"/>
        <v>8804.1803763230328</v>
      </c>
      <c r="AZ25" s="546">
        <f t="shared" si="32"/>
        <v>0</v>
      </c>
      <c r="BA25" s="546">
        <f t="shared" si="30"/>
        <v>0</v>
      </c>
      <c r="BB25" s="546"/>
      <c r="BC25" s="546"/>
      <c r="BD25" s="546"/>
      <c r="BE25" s="546"/>
      <c r="BF25" s="546"/>
      <c r="BG25" s="546">
        <f t="shared" si="19"/>
        <v>782790.31541921722</v>
      </c>
      <c r="BH25" s="108">
        <f t="shared" si="28"/>
        <v>44</v>
      </c>
      <c r="BI25" s="108">
        <f t="shared" si="23"/>
        <v>44</v>
      </c>
      <c r="BJ25" s="22">
        <f t="shared" si="24"/>
        <v>45356</v>
      </c>
      <c r="BK25" s="108">
        <f t="shared" si="3"/>
        <v>22562</v>
      </c>
      <c r="BX25" s="16"/>
      <c r="BY25" s="16"/>
      <c r="BZ25" s="16"/>
      <c r="CA25" s="16"/>
      <c r="CB25" s="16"/>
      <c r="CC25" s="16"/>
      <c r="CD25" s="16"/>
      <c r="CE25" s="16"/>
      <c r="CF25" s="16"/>
    </row>
    <row r="26" spans="1:393" ht="35.25" customHeight="1" x14ac:dyDescent="0.2">
      <c r="A26" s="763" t="s">
        <v>177</v>
      </c>
      <c r="B26" s="763"/>
      <c r="C26" s="190">
        <f>C24/12</f>
        <v>2589.4793498545419</v>
      </c>
      <c r="D26" s="674">
        <f>D24/12</f>
        <v>6557.3824452338094</v>
      </c>
      <c r="E26" s="674">
        <f>C26-D26</f>
        <v>-3967.9030953792676</v>
      </c>
      <c r="F26" s="192"/>
      <c r="G26" s="244">
        <f t="shared" si="25"/>
        <v>18</v>
      </c>
      <c r="H26" s="245">
        <f t="shared" si="4"/>
        <v>45387</v>
      </c>
      <c r="I26" s="246">
        <f t="shared" si="5"/>
        <v>4.9000000000000002E-2</v>
      </c>
      <c r="J26" s="242">
        <f t="shared" si="6"/>
        <v>22562</v>
      </c>
      <c r="K26" s="242">
        <f t="shared" si="20"/>
        <v>22562</v>
      </c>
      <c r="L26" s="242">
        <f t="shared" si="7"/>
        <v>3695.9033734145146</v>
      </c>
      <c r="M26" s="242">
        <f t="shared" si="21"/>
        <v>18866.096626585484</v>
      </c>
      <c r="N26" s="242">
        <f t="shared" si="1"/>
        <v>0</v>
      </c>
      <c r="O26" s="242">
        <v>0</v>
      </c>
      <c r="P26" s="242">
        <f t="shared" si="22"/>
        <v>3695.9033734145146</v>
      </c>
      <c r="Q26" s="242">
        <f t="shared" si="29"/>
        <v>0</v>
      </c>
      <c r="R26" s="242">
        <f t="shared" si="8"/>
        <v>0</v>
      </c>
      <c r="S26" s="242">
        <f t="shared" si="9"/>
        <v>869221.28408197139</v>
      </c>
      <c r="T26" s="467"/>
      <c r="U26" s="198">
        <f t="shared" si="26"/>
        <v>43</v>
      </c>
      <c r="V26" s="36">
        <f t="shared" si="10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1"/>
        <v>1</v>
      </c>
      <c r="AP26" s="553">
        <f t="shared" si="27"/>
        <v>18</v>
      </c>
      <c r="AQ26" s="554">
        <f t="shared" si="12"/>
        <v>45387</v>
      </c>
      <c r="AR26" s="555">
        <f t="shared" si="2"/>
        <v>0.13900000000000001</v>
      </c>
      <c r="AS26" s="546">
        <f t="shared" si="13"/>
        <v>23217</v>
      </c>
      <c r="AT26" s="546">
        <f t="shared" si="14"/>
        <v>23217</v>
      </c>
      <c r="AU26" s="546">
        <f t="shared" si="15"/>
        <v>9241.2149839490612</v>
      </c>
      <c r="AV26" s="546">
        <f t="shared" si="16"/>
        <v>13975.785016050939</v>
      </c>
      <c r="AW26" s="546"/>
      <c r="AX26" s="546">
        <v>0</v>
      </c>
      <c r="AY26" s="546">
        <f t="shared" si="17"/>
        <v>9241.2149839490612</v>
      </c>
      <c r="AZ26" s="546">
        <f t="shared" si="32"/>
        <v>0</v>
      </c>
      <c r="BA26" s="546">
        <f t="shared" si="30"/>
        <v>0</v>
      </c>
      <c r="BB26" s="546"/>
      <c r="BC26" s="546"/>
      <c r="BD26" s="546"/>
      <c r="BE26" s="546"/>
      <c r="BF26" s="546"/>
      <c r="BG26" s="546">
        <f t="shared" si="19"/>
        <v>768814.53040316631</v>
      </c>
      <c r="BH26" s="108">
        <f t="shared" si="28"/>
        <v>43</v>
      </c>
      <c r="BI26" s="108">
        <f t="shared" si="23"/>
        <v>43</v>
      </c>
      <c r="BJ26" s="22">
        <f t="shared" si="24"/>
        <v>45387</v>
      </c>
      <c r="BK26" s="108">
        <f t="shared" si="3"/>
        <v>22562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2" t="s">
        <v>381</v>
      </c>
      <c r="BZ26" s="16"/>
      <c r="CA26" s="16"/>
      <c r="CB26" s="2" t="s">
        <v>382</v>
      </c>
      <c r="CD26" s="16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thickBot="1" x14ac:dyDescent="0.25">
      <c r="A27" s="789" t="s">
        <v>176</v>
      </c>
      <c r="B27" s="789"/>
      <c r="C27" s="203">
        <f>C26/30</f>
        <v>86.315978328484732</v>
      </c>
      <c r="D27" s="202">
        <f>D26/30</f>
        <v>218.57941484112698</v>
      </c>
      <c r="E27" s="202">
        <f>C27-D27</f>
        <v>-132.26343651264224</v>
      </c>
      <c r="F27" s="192"/>
      <c r="G27" s="244">
        <f t="shared" si="25"/>
        <v>19</v>
      </c>
      <c r="H27" s="245">
        <f t="shared" si="4"/>
        <v>45417</v>
      </c>
      <c r="I27" s="246">
        <f t="shared" si="5"/>
        <v>4.9000000000000002E-2</v>
      </c>
      <c r="J27" s="242">
        <f t="shared" si="6"/>
        <v>22562</v>
      </c>
      <c r="K27" s="242">
        <f t="shared" si="20"/>
        <v>22562</v>
      </c>
      <c r="L27" s="242">
        <f t="shared" si="7"/>
        <v>3500.6994180835563</v>
      </c>
      <c r="M27" s="242">
        <f t="shared" si="21"/>
        <v>19061.300581916443</v>
      </c>
      <c r="N27" s="242">
        <f t="shared" si="1"/>
        <v>0</v>
      </c>
      <c r="O27" s="242">
        <v>0</v>
      </c>
      <c r="P27" s="242">
        <f t="shared" si="22"/>
        <v>3500.6994180835563</v>
      </c>
      <c r="Q27" s="242">
        <f t="shared" si="29"/>
        <v>0</v>
      </c>
      <c r="R27" s="242">
        <f t="shared" si="8"/>
        <v>0</v>
      </c>
      <c r="S27" s="242">
        <f t="shared" si="9"/>
        <v>850159.98350005492</v>
      </c>
      <c r="T27" s="467"/>
      <c r="U27" s="198">
        <f t="shared" si="26"/>
        <v>42</v>
      </c>
      <c r="V27" s="36">
        <f t="shared" si="10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1"/>
        <v>1</v>
      </c>
      <c r="AP27" s="553">
        <f t="shared" si="27"/>
        <v>19</v>
      </c>
      <c r="AQ27" s="554">
        <f t="shared" si="12"/>
        <v>45417</v>
      </c>
      <c r="AR27" s="555">
        <f t="shared" si="2"/>
        <v>0.13900000000000001</v>
      </c>
      <c r="AS27" s="546">
        <f t="shared" si="13"/>
        <v>23217</v>
      </c>
      <c r="AT27" s="546">
        <f t="shared" si="14"/>
        <v>23217</v>
      </c>
      <c r="AU27" s="546">
        <f t="shared" si="15"/>
        <v>8783.442717208778</v>
      </c>
      <c r="AV27" s="546">
        <f t="shared" si="16"/>
        <v>14433.557282791222</v>
      </c>
      <c r="AW27" s="546"/>
      <c r="AX27" s="546">
        <v>0</v>
      </c>
      <c r="AY27" s="546">
        <f t="shared" si="17"/>
        <v>8783.442717208778</v>
      </c>
      <c r="AZ27" s="546">
        <f t="shared" si="32"/>
        <v>0</v>
      </c>
      <c r="BA27" s="546">
        <f t="shared" si="30"/>
        <v>0</v>
      </c>
      <c r="BB27" s="546"/>
      <c r="BC27" s="546"/>
      <c r="BD27" s="546"/>
      <c r="BE27" s="546"/>
      <c r="BF27" s="546"/>
      <c r="BG27" s="546">
        <f t="shared" si="19"/>
        <v>754380.97312037507</v>
      </c>
      <c r="BH27" s="108">
        <f t="shared" si="28"/>
        <v>42</v>
      </c>
      <c r="BI27" s="108">
        <f t="shared" si="23"/>
        <v>42</v>
      </c>
      <c r="BJ27" s="22">
        <f t="shared" si="24"/>
        <v>45417</v>
      </c>
      <c r="BK27" s="108">
        <f t="shared" si="3"/>
        <v>22562</v>
      </c>
      <c r="BX27" s="16" t="s">
        <v>373</v>
      </c>
      <c r="BY27" s="143">
        <f>(C7+C15)/(1-BZ16*BY21-BZ18*CF21)</f>
        <v>1198465.9635666346</v>
      </c>
      <c r="BZ27" s="16"/>
      <c r="CA27" s="16"/>
      <c r="CB27" s="16" t="s">
        <v>373</v>
      </c>
      <c r="CC27" s="143">
        <f>BY27</f>
        <v>1198465.9635666346</v>
      </c>
      <c r="CD27" s="16"/>
      <c r="CE27" s="16"/>
      <c r="CF27" s="143"/>
    </row>
    <row r="28" spans="1:393" ht="22.5" customHeight="1" x14ac:dyDescent="0.3">
      <c r="A28" s="178"/>
      <c r="B28" s="178"/>
      <c r="C28" s="184"/>
      <c r="D28" s="178"/>
      <c r="E28" s="178"/>
      <c r="F28" s="190"/>
      <c r="G28" s="244">
        <f t="shared" si="25"/>
        <v>20</v>
      </c>
      <c r="H28" s="245">
        <f t="shared" si="4"/>
        <v>45448</v>
      </c>
      <c r="I28" s="246">
        <f t="shared" si="5"/>
        <v>4.9000000000000002E-2</v>
      </c>
      <c r="J28" s="242">
        <f t="shared" si="6"/>
        <v>22562</v>
      </c>
      <c r="K28" s="242">
        <f t="shared" si="20"/>
        <v>22562</v>
      </c>
      <c r="L28" s="242">
        <f t="shared" si="7"/>
        <v>3538.0630546207767</v>
      </c>
      <c r="M28" s="242">
        <f t="shared" si="21"/>
        <v>19023.936945379224</v>
      </c>
      <c r="N28" s="242">
        <f t="shared" si="1"/>
        <v>0</v>
      </c>
      <c r="O28" s="242">
        <v>0</v>
      </c>
      <c r="P28" s="242">
        <f t="shared" si="22"/>
        <v>3538.0630546207767</v>
      </c>
      <c r="Q28" s="242">
        <f t="shared" si="29"/>
        <v>0</v>
      </c>
      <c r="R28" s="242">
        <f t="shared" si="8"/>
        <v>0</v>
      </c>
      <c r="S28" s="242">
        <f t="shared" si="9"/>
        <v>831136.04655467567</v>
      </c>
      <c r="T28" s="467"/>
      <c r="U28" s="198">
        <f t="shared" si="26"/>
        <v>41</v>
      </c>
      <c r="V28" s="36">
        <f t="shared" si="10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1"/>
        <v>1</v>
      </c>
      <c r="AP28" s="553">
        <f t="shared" si="27"/>
        <v>20</v>
      </c>
      <c r="AQ28" s="554">
        <f t="shared" si="12"/>
        <v>45448</v>
      </c>
      <c r="AR28" s="555">
        <f t="shared" si="2"/>
        <v>0.13900000000000001</v>
      </c>
      <c r="AS28" s="546">
        <f t="shared" si="13"/>
        <v>23217</v>
      </c>
      <c r="AT28" s="546">
        <f t="shared" si="14"/>
        <v>23217</v>
      </c>
      <c r="AU28" s="546">
        <f t="shared" si="15"/>
        <v>8905.8290771936881</v>
      </c>
      <c r="AV28" s="546">
        <f t="shared" si="16"/>
        <v>14311.170922806312</v>
      </c>
      <c r="AW28" s="546"/>
      <c r="AX28" s="546">
        <v>0</v>
      </c>
      <c r="AY28" s="546">
        <f t="shared" si="17"/>
        <v>8905.8290771936881</v>
      </c>
      <c r="AZ28" s="546">
        <f t="shared" si="32"/>
        <v>0</v>
      </c>
      <c r="BA28" s="546">
        <f t="shared" si="30"/>
        <v>0</v>
      </c>
      <c r="BB28" s="546"/>
      <c r="BC28" s="546"/>
      <c r="BD28" s="546"/>
      <c r="BE28" s="546"/>
      <c r="BF28" s="546"/>
      <c r="BG28" s="546">
        <f t="shared" si="19"/>
        <v>740069.80219756882</v>
      </c>
      <c r="BH28" s="108">
        <f t="shared" si="28"/>
        <v>41</v>
      </c>
      <c r="BI28" s="108">
        <f t="shared" si="23"/>
        <v>41</v>
      </c>
      <c r="BJ28" s="22">
        <f t="shared" si="24"/>
        <v>45448</v>
      </c>
      <c r="BK28" s="108">
        <f t="shared" si="3"/>
        <v>22562</v>
      </c>
      <c r="BX28" s="16" t="s">
        <v>374</v>
      </c>
      <c r="BY28" s="143">
        <f>BY27*BZ16*BY21+BY27*BZ18*CF21</f>
        <v>198465.96356663469</v>
      </c>
      <c r="BZ28" s="16"/>
      <c r="CA28" s="16"/>
      <c r="CB28" s="16" t="s">
        <v>374</v>
      </c>
      <c r="CC28" s="143">
        <f>BY28</f>
        <v>198465.96356663469</v>
      </c>
      <c r="CD28" s="16"/>
      <c r="CE28" s="16"/>
      <c r="CF28" s="143"/>
    </row>
    <row r="29" spans="1:393" ht="19.5" customHeight="1" x14ac:dyDescent="0.3">
      <c r="A29" s="178"/>
      <c r="B29" s="179"/>
      <c r="C29" s="524"/>
      <c r="D29" s="179"/>
      <c r="E29" s="178"/>
      <c r="F29" s="234"/>
      <c r="G29" s="244">
        <f t="shared" si="25"/>
        <v>21</v>
      </c>
      <c r="H29" s="245">
        <f t="shared" si="4"/>
        <v>45478</v>
      </c>
      <c r="I29" s="246">
        <f t="shared" si="5"/>
        <v>4.9000000000000002E-2</v>
      </c>
      <c r="J29" s="242">
        <f t="shared" si="6"/>
        <v>22562</v>
      </c>
      <c r="K29" s="242">
        <f t="shared" si="20"/>
        <v>22562</v>
      </c>
      <c r="L29" s="242">
        <f t="shared" si="7"/>
        <v>3347.315036809242</v>
      </c>
      <c r="M29" s="242">
        <f t="shared" si="21"/>
        <v>19214.684963190757</v>
      </c>
      <c r="N29" s="242">
        <f t="shared" si="1"/>
        <v>0</v>
      </c>
      <c r="O29" s="242">
        <v>0</v>
      </c>
      <c r="P29" s="242">
        <f t="shared" si="22"/>
        <v>3347.315036809242</v>
      </c>
      <c r="Q29" s="242">
        <f t="shared" si="29"/>
        <v>0</v>
      </c>
      <c r="R29" s="242">
        <f t="shared" si="8"/>
        <v>0</v>
      </c>
      <c r="S29" s="242">
        <f t="shared" si="9"/>
        <v>811921.36159148486</v>
      </c>
      <c r="T29" s="467"/>
      <c r="U29" s="198">
        <f t="shared" si="26"/>
        <v>40</v>
      </c>
      <c r="V29" s="36">
        <f t="shared" si="10"/>
        <v>40</v>
      </c>
      <c r="W29" s="16" t="s">
        <v>360</v>
      </c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1"/>
        <v>1</v>
      </c>
      <c r="AP29" s="553">
        <f t="shared" si="27"/>
        <v>21</v>
      </c>
      <c r="AQ29" s="554">
        <f t="shared" si="12"/>
        <v>45478</v>
      </c>
      <c r="AR29" s="555">
        <f t="shared" si="2"/>
        <v>0.13900000000000001</v>
      </c>
      <c r="AS29" s="546">
        <f t="shared" si="13"/>
        <v>23217</v>
      </c>
      <c r="AT29" s="546">
        <f t="shared" si="14"/>
        <v>23217</v>
      </c>
      <c r="AU29" s="546">
        <f t="shared" si="15"/>
        <v>8455.0440415448284</v>
      </c>
      <c r="AV29" s="546">
        <f t="shared" si="16"/>
        <v>14761.955958455172</v>
      </c>
      <c r="AW29" s="546"/>
      <c r="AX29" s="546">
        <v>0</v>
      </c>
      <c r="AY29" s="546">
        <f t="shared" si="17"/>
        <v>8455.0440415448284</v>
      </c>
      <c r="AZ29" s="546">
        <f t="shared" si="32"/>
        <v>0</v>
      </c>
      <c r="BA29" s="546">
        <f t="shared" si="30"/>
        <v>0</v>
      </c>
      <c r="BB29" s="546"/>
      <c r="BC29" s="546"/>
      <c r="BD29" s="546"/>
      <c r="BE29" s="546"/>
      <c r="BF29" s="546"/>
      <c r="BG29" s="546">
        <f t="shared" si="19"/>
        <v>725307.8462391136</v>
      </c>
      <c r="BH29" s="108">
        <f t="shared" si="28"/>
        <v>40</v>
      </c>
      <c r="BI29" s="108">
        <f t="shared" si="23"/>
        <v>40</v>
      </c>
      <c r="BJ29" s="22">
        <f t="shared" si="24"/>
        <v>45478</v>
      </c>
      <c r="BK29" s="108">
        <f t="shared" si="3"/>
        <v>22562</v>
      </c>
      <c r="BX29" s="16"/>
      <c r="BY29" s="16"/>
      <c r="BZ29" s="16"/>
      <c r="CA29" s="16"/>
      <c r="CB29" s="16"/>
      <c r="CC29" s="16"/>
      <c r="CD29" s="16"/>
      <c r="CE29" s="16"/>
      <c r="CF29" s="16"/>
    </row>
    <row r="30" spans="1:393" ht="35.25" customHeight="1" x14ac:dyDescent="0.3">
      <c r="A30" s="180"/>
      <c r="B30" s="180"/>
      <c r="C30" s="524"/>
      <c r="D30" s="254"/>
      <c r="E30" s="178"/>
      <c r="F30" s="235"/>
      <c r="G30" s="244">
        <f>G29+1</f>
        <v>22</v>
      </c>
      <c r="H30" s="245">
        <f t="shared" si="4"/>
        <v>45509</v>
      </c>
      <c r="I30" s="246">
        <f t="shared" si="5"/>
        <v>4.9000000000000002E-2</v>
      </c>
      <c r="J30" s="242">
        <f t="shared" si="6"/>
        <v>22562</v>
      </c>
      <c r="K30" s="242">
        <f t="shared" si="20"/>
        <v>22562</v>
      </c>
      <c r="L30" s="242">
        <f t="shared" si="7"/>
        <v>3378.9275294725085</v>
      </c>
      <c r="M30" s="242">
        <f t="shared" si="21"/>
        <v>19183.072470527492</v>
      </c>
      <c r="N30" s="242">
        <f t="shared" si="1"/>
        <v>0</v>
      </c>
      <c r="O30" s="242">
        <v>0</v>
      </c>
      <c r="P30" s="242">
        <f t="shared" si="22"/>
        <v>3378.9275294725085</v>
      </c>
      <c r="Q30" s="242">
        <f t="shared" si="29"/>
        <v>0</v>
      </c>
      <c r="R30" s="242">
        <f t="shared" si="8"/>
        <v>0</v>
      </c>
      <c r="S30" s="242">
        <f t="shared" si="9"/>
        <v>792738.28912095737</v>
      </c>
      <c r="T30" s="467"/>
      <c r="U30" s="198">
        <f>IF((U29-1)&lt;0,0,U29-1)</f>
        <v>39</v>
      </c>
      <c r="V30" s="36">
        <f t="shared" si="10"/>
        <v>39</v>
      </c>
      <c r="W30" s="16" t="s">
        <v>111</v>
      </c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1"/>
        <v>1</v>
      </c>
      <c r="AP30" s="553">
        <f>AP29+1</f>
        <v>22</v>
      </c>
      <c r="AQ30" s="554">
        <f t="shared" si="12"/>
        <v>45509</v>
      </c>
      <c r="AR30" s="555">
        <f t="shared" si="2"/>
        <v>0.13900000000000001</v>
      </c>
      <c r="AS30" s="546">
        <f t="shared" si="13"/>
        <v>23217</v>
      </c>
      <c r="AT30" s="546">
        <f t="shared" si="14"/>
        <v>23217</v>
      </c>
      <c r="AU30" s="546">
        <f t="shared" si="15"/>
        <v>8562.6068751899747</v>
      </c>
      <c r="AV30" s="546">
        <f>IF(BI30=0,0,IF(BI30=1,BG29,IF(BG29+AW30+AU30&gt;AT29,AT30-AU30-AW30,BG29)))</f>
        <v>14654.393124810025</v>
      </c>
      <c r="AW30" s="546"/>
      <c r="AX30" s="546">
        <v>0</v>
      </c>
      <c r="AY30" s="546">
        <f t="shared" si="17"/>
        <v>8562.6068751899747</v>
      </c>
      <c r="AZ30" s="546">
        <f t="shared" si="32"/>
        <v>0</v>
      </c>
      <c r="BA30" s="546">
        <f t="shared" si="30"/>
        <v>0</v>
      </c>
      <c r="BB30" s="546"/>
      <c r="BC30" s="546"/>
      <c r="BD30" s="546"/>
      <c r="BE30" s="546"/>
      <c r="BF30" s="546"/>
      <c r="BG30" s="546">
        <f>IF(OR(BI30=1,BG29=0),0,BG29-AV30)</f>
        <v>710653.45311430353</v>
      </c>
      <c r="BH30" s="108">
        <f>IF((BH29-1)&lt;0,0,BH29-1)</f>
        <v>39</v>
      </c>
      <c r="BI30" s="108">
        <f t="shared" si="23"/>
        <v>39</v>
      </c>
      <c r="BJ30" s="22">
        <f t="shared" si="24"/>
        <v>45509</v>
      </c>
      <c r="BK30" s="108">
        <f t="shared" si="3"/>
        <v>22562</v>
      </c>
      <c r="BX30" s="16"/>
      <c r="BY30" s="16"/>
      <c r="BZ30" s="16"/>
      <c r="CA30" s="16"/>
      <c r="CB30" s="16"/>
      <c r="CC30" s="16"/>
      <c r="CD30" s="16"/>
      <c r="CE30" s="16"/>
      <c r="CF30" s="16"/>
    </row>
    <row r="31" spans="1:393" ht="42" customHeight="1" x14ac:dyDescent="0.3">
      <c r="A31" s="180"/>
      <c r="B31" s="180"/>
      <c r="C31" s="524"/>
      <c r="D31" s="254"/>
      <c r="E31" s="178"/>
      <c r="F31" s="236"/>
      <c r="G31" s="244">
        <f t="shared" si="25"/>
        <v>23</v>
      </c>
      <c r="H31" s="245">
        <f t="shared" si="4"/>
        <v>45540</v>
      </c>
      <c r="I31" s="246">
        <f t="shared" si="5"/>
        <v>4.9000000000000002E-2</v>
      </c>
      <c r="J31" s="242">
        <f t="shared" si="6"/>
        <v>22562</v>
      </c>
      <c r="K31" s="242">
        <f t="shared" si="20"/>
        <v>22562</v>
      </c>
      <c r="L31" s="242">
        <f t="shared" si="7"/>
        <v>3299.0944141773543</v>
      </c>
      <c r="M31" s="242">
        <f t="shared" si="21"/>
        <v>19262.905585822646</v>
      </c>
      <c r="N31" s="242">
        <f t="shared" si="1"/>
        <v>0</v>
      </c>
      <c r="O31" s="242">
        <v>0</v>
      </c>
      <c r="P31" s="242">
        <f t="shared" si="22"/>
        <v>3299.0944141773543</v>
      </c>
      <c r="Q31" s="242">
        <f t="shared" si="29"/>
        <v>0</v>
      </c>
      <c r="R31" s="242">
        <f t="shared" si="8"/>
        <v>0</v>
      </c>
      <c r="S31" s="242">
        <f t="shared" si="9"/>
        <v>773475.38353513472</v>
      </c>
      <c r="T31" s="467"/>
      <c r="U31" s="198">
        <f t="shared" si="26"/>
        <v>38</v>
      </c>
      <c r="V31" s="36">
        <f t="shared" si="10"/>
        <v>38</v>
      </c>
      <c r="W31" s="16" t="s">
        <v>114</v>
      </c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1"/>
        <v>1</v>
      </c>
      <c r="AP31" s="553">
        <f t="shared" si="27"/>
        <v>23</v>
      </c>
      <c r="AQ31" s="554">
        <f t="shared" si="12"/>
        <v>45540</v>
      </c>
      <c r="AR31" s="555">
        <f t="shared" si="2"/>
        <v>0.13900000000000001</v>
      </c>
      <c r="AS31" s="546">
        <f t="shared" si="13"/>
        <v>23217</v>
      </c>
      <c r="AT31" s="546">
        <f t="shared" si="14"/>
        <v>23217</v>
      </c>
      <c r="AU31" s="546">
        <f t="shared" si="15"/>
        <v>8389.6047382726956</v>
      </c>
      <c r="AV31" s="546">
        <f t="shared" si="16"/>
        <v>14827.395261727304</v>
      </c>
      <c r="AW31" s="546"/>
      <c r="AX31" s="546">
        <v>0</v>
      </c>
      <c r="AY31" s="546">
        <f t="shared" si="17"/>
        <v>8389.6047382726956</v>
      </c>
      <c r="AZ31" s="546">
        <f t="shared" si="32"/>
        <v>0</v>
      </c>
      <c r="BA31" s="546">
        <f t="shared" si="30"/>
        <v>0</v>
      </c>
      <c r="BB31" s="546"/>
      <c r="BC31" s="546"/>
      <c r="BD31" s="546"/>
      <c r="BE31" s="546"/>
      <c r="BF31" s="546"/>
      <c r="BG31" s="546">
        <f t="shared" si="19"/>
        <v>695826.05785257625</v>
      </c>
      <c r="BH31" s="108">
        <f t="shared" si="28"/>
        <v>38</v>
      </c>
      <c r="BI31" s="108">
        <f t="shared" si="23"/>
        <v>38</v>
      </c>
      <c r="BJ31" s="22">
        <f t="shared" si="24"/>
        <v>45540</v>
      </c>
      <c r="BK31" s="108">
        <f t="shared" si="3"/>
        <v>22562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6"/>
      <c r="BY31" s="16"/>
      <c r="BZ31" s="16"/>
      <c r="CA31" s="16"/>
      <c r="CB31" s="16"/>
      <c r="CC31" s="16"/>
      <c r="CD31" s="16"/>
      <c r="CE31" s="16"/>
      <c r="CF31" s="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15" thickBot="1" x14ac:dyDescent="0.35">
      <c r="A32" s="180"/>
      <c r="B32" s="180"/>
      <c r="C32" s="524"/>
      <c r="D32" s="254"/>
      <c r="E32" s="178"/>
      <c r="F32" s="674"/>
      <c r="G32" s="248">
        <f t="shared" si="25"/>
        <v>24</v>
      </c>
      <c r="H32" s="581">
        <f t="shared" si="4"/>
        <v>45570</v>
      </c>
      <c r="I32" s="250">
        <f t="shared" si="5"/>
        <v>4.9000000000000002E-2</v>
      </c>
      <c r="J32" s="252">
        <f t="shared" si="6"/>
        <v>22562</v>
      </c>
      <c r="K32" s="252">
        <f t="shared" si="20"/>
        <v>22562</v>
      </c>
      <c r="L32" s="252">
        <f t="shared" si="7"/>
        <v>3115.0926405387618</v>
      </c>
      <c r="M32" s="252">
        <f t="shared" si="21"/>
        <v>19446.907359461238</v>
      </c>
      <c r="N32" s="252">
        <f t="shared" si="1"/>
        <v>0</v>
      </c>
      <c r="O32" s="252">
        <v>0</v>
      </c>
      <c r="P32" s="252">
        <f t="shared" si="22"/>
        <v>3115.0926405387618</v>
      </c>
      <c r="Q32" s="252">
        <f t="shared" si="29"/>
        <v>0</v>
      </c>
      <c r="R32" s="252">
        <f t="shared" si="8"/>
        <v>0</v>
      </c>
      <c r="S32" s="252">
        <f t="shared" si="9"/>
        <v>754028.47617567354</v>
      </c>
      <c r="T32" s="468"/>
      <c r="U32" s="198">
        <f t="shared" si="26"/>
        <v>37</v>
      </c>
      <c r="V32" s="36">
        <f t="shared" si="10"/>
        <v>37</v>
      </c>
      <c r="W32" s="16" t="s">
        <v>361</v>
      </c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1"/>
        <v>1</v>
      </c>
      <c r="AP32" s="556">
        <f t="shared" si="27"/>
        <v>24</v>
      </c>
      <c r="AQ32" s="582">
        <f t="shared" si="12"/>
        <v>45570</v>
      </c>
      <c r="AR32" s="557">
        <f t="shared" si="2"/>
        <v>0.13900000000000001</v>
      </c>
      <c r="AS32" s="547">
        <f t="shared" si="13"/>
        <v>23217</v>
      </c>
      <c r="AT32" s="547">
        <f t="shared" si="14"/>
        <v>23217</v>
      </c>
      <c r="AU32" s="547">
        <f t="shared" si="15"/>
        <v>7949.5744143705297</v>
      </c>
      <c r="AV32" s="547">
        <f t="shared" si="16"/>
        <v>15267.425585629469</v>
      </c>
      <c r="AW32" s="547"/>
      <c r="AX32" s="547">
        <v>0</v>
      </c>
      <c r="AY32" s="547">
        <f t="shared" si="17"/>
        <v>7949.5744143705297</v>
      </c>
      <c r="AZ32" s="547">
        <f t="shared" si="32"/>
        <v>0</v>
      </c>
      <c r="BA32" s="547">
        <f t="shared" si="30"/>
        <v>0</v>
      </c>
      <c r="BB32" s="547"/>
      <c r="BC32" s="547"/>
      <c r="BD32" s="547"/>
      <c r="BE32" s="547"/>
      <c r="BF32" s="547"/>
      <c r="BG32" s="547">
        <f t="shared" si="19"/>
        <v>680558.63226694684</v>
      </c>
      <c r="BH32" s="108">
        <f t="shared" si="28"/>
        <v>37</v>
      </c>
      <c r="BI32" s="108">
        <f t="shared" si="23"/>
        <v>37</v>
      </c>
      <c r="BJ32" s="22">
        <f t="shared" si="24"/>
        <v>45570</v>
      </c>
      <c r="BK32" s="108">
        <f t="shared" si="3"/>
        <v>22562</v>
      </c>
      <c r="BX32" s="16"/>
      <c r="BY32" s="16"/>
      <c r="BZ32" s="16"/>
      <c r="CA32" s="16"/>
      <c r="CB32" s="16"/>
      <c r="CC32" s="16"/>
      <c r="CD32" s="16"/>
      <c r="CE32" s="16"/>
      <c r="CF32" s="16"/>
    </row>
    <row r="33" spans="1:1217" ht="30.75" thickBot="1" x14ac:dyDescent="0.35">
      <c r="A33" s="180"/>
      <c r="B33" s="180"/>
      <c r="C33" s="524"/>
      <c r="D33" s="254"/>
      <c r="E33" s="178"/>
      <c r="F33" s="674"/>
      <c r="G33" s="244">
        <f t="shared" si="25"/>
        <v>25</v>
      </c>
      <c r="H33" s="245">
        <f t="shared" si="4"/>
        <v>45601</v>
      </c>
      <c r="I33" s="246">
        <f t="shared" si="5"/>
        <v>4.9000000000000002E-2</v>
      </c>
      <c r="J33" s="242">
        <f t="shared" si="6"/>
        <v>22562</v>
      </c>
      <c r="K33" s="242">
        <f t="shared" si="20"/>
        <v>22562</v>
      </c>
      <c r="L33" s="242">
        <f t="shared" si="7"/>
        <v>3137.9979597557485</v>
      </c>
      <c r="M33" s="242">
        <f t="shared" si="21"/>
        <v>19424.002040244253</v>
      </c>
      <c r="N33" s="242">
        <f t="shared" si="1"/>
        <v>0</v>
      </c>
      <c r="O33" s="242">
        <v>0</v>
      </c>
      <c r="P33" s="242">
        <f t="shared" si="22"/>
        <v>3137.9979597557485</v>
      </c>
      <c r="Q33" s="242">
        <f t="shared" si="29"/>
        <v>0</v>
      </c>
      <c r="R33" s="242">
        <f t="shared" si="8"/>
        <v>0</v>
      </c>
      <c r="S33" s="242">
        <f t="shared" si="9"/>
        <v>734604.47413542925</v>
      </c>
      <c r="T33" s="467"/>
      <c r="U33" s="198">
        <f t="shared" si="26"/>
        <v>36</v>
      </c>
      <c r="V33" s="36">
        <f t="shared" si="10"/>
        <v>36</v>
      </c>
      <c r="W33" s="16" t="s">
        <v>380</v>
      </c>
      <c r="X33" s="16"/>
      <c r="Y33" s="57"/>
      <c r="AE33" s="15"/>
      <c r="AF33" s="173">
        <f>$C$19-AG33</f>
        <v>-2308</v>
      </c>
      <c r="AG33" s="2">
        <f>ROUNDUP(((S20)*AG37/12*(1+AG37/12)^(U21)/((1+AG37/12)^(U21)-1)+S20/10000*IF(U21&lt;11,20,IF(U21&lt;34,0.7,IF(U21&lt;58,0.3,0.1)))*IF(AG37&lt;0.3,AG37/0.2,AG37/0.1))/AG47,0)*AG47</f>
        <v>24870</v>
      </c>
      <c r="AH33" s="16">
        <v>6000000</v>
      </c>
      <c r="AM33" s="16"/>
      <c r="AN33" s="16"/>
      <c r="AO33" s="130">
        <f t="shared" si="11"/>
        <v>1</v>
      </c>
      <c r="AP33" s="553">
        <f t="shared" si="27"/>
        <v>25</v>
      </c>
      <c r="AQ33" s="554">
        <f t="shared" si="12"/>
        <v>45601</v>
      </c>
      <c r="AR33" s="555">
        <f t="shared" si="2"/>
        <v>0.13900000000000001</v>
      </c>
      <c r="AS33" s="546">
        <f t="shared" si="13"/>
        <v>23217</v>
      </c>
      <c r="AT33" s="546">
        <f t="shared" si="14"/>
        <v>23217</v>
      </c>
      <c r="AU33" s="546">
        <f t="shared" si="15"/>
        <v>8034.3209491459565</v>
      </c>
      <c r="AV33" s="546">
        <f t="shared" si="16"/>
        <v>15182.679050854043</v>
      </c>
      <c r="AW33" s="546"/>
      <c r="AX33" s="546">
        <v>0</v>
      </c>
      <c r="AY33" s="546">
        <f t="shared" si="17"/>
        <v>8034.3209491459565</v>
      </c>
      <c r="AZ33" s="546">
        <f t="shared" si="32"/>
        <v>0</v>
      </c>
      <c r="BA33" s="546">
        <f t="shared" si="30"/>
        <v>0</v>
      </c>
      <c r="BB33" s="546"/>
      <c r="BC33" s="546"/>
      <c r="BD33" s="546"/>
      <c r="BE33" s="546"/>
      <c r="BF33" s="546"/>
      <c r="BG33" s="546">
        <f t="shared" si="19"/>
        <v>665375.95321609278</v>
      </c>
      <c r="BH33" s="108">
        <f t="shared" si="28"/>
        <v>36</v>
      </c>
      <c r="BI33" s="108">
        <f t="shared" si="23"/>
        <v>36</v>
      </c>
      <c r="BJ33" s="22">
        <f t="shared" si="24"/>
        <v>45601</v>
      </c>
      <c r="BK33" s="108">
        <f t="shared" si="3"/>
        <v>22562</v>
      </c>
      <c r="BN33" s="782"/>
      <c r="BP33" s="131"/>
      <c r="BW33" s="586" t="s">
        <v>390</v>
      </c>
      <c r="BX33" s="592" t="s">
        <v>391</v>
      </c>
      <c r="BY33" s="593" t="s">
        <v>409</v>
      </c>
      <c r="BZ33" s="587" t="s">
        <v>392</v>
      </c>
      <c r="CA33" s="587" t="s">
        <v>393</v>
      </c>
      <c r="CB33" s="587" t="s">
        <v>394</v>
      </c>
      <c r="CC33" s="587" t="s">
        <v>395</v>
      </c>
      <c r="CD33" s="587" t="s">
        <v>396</v>
      </c>
      <c r="CE33" s="16"/>
      <c r="CF33" s="16"/>
    </row>
    <row r="34" spans="1:1217" ht="15" customHeight="1" thickBot="1" x14ac:dyDescent="0.35">
      <c r="A34" s="180"/>
      <c r="B34" s="180"/>
      <c r="C34" s="524"/>
      <c r="D34" s="254"/>
      <c r="E34" s="178"/>
      <c r="F34" s="674"/>
      <c r="G34" s="244">
        <f t="shared" si="25"/>
        <v>26</v>
      </c>
      <c r="H34" s="245">
        <f t="shared" si="4"/>
        <v>45631</v>
      </c>
      <c r="I34" s="246">
        <f t="shared" si="5"/>
        <v>4.9000000000000002E-2</v>
      </c>
      <c r="J34" s="242">
        <f t="shared" si="6"/>
        <v>22562</v>
      </c>
      <c r="K34" s="242">
        <f t="shared" si="20"/>
        <v>22562</v>
      </c>
      <c r="L34" s="242">
        <f t="shared" si="7"/>
        <v>2958.5440465180304</v>
      </c>
      <c r="M34" s="242">
        <f t="shared" si="21"/>
        <v>19603.455953481971</v>
      </c>
      <c r="N34" s="242">
        <f t="shared" si="1"/>
        <v>0</v>
      </c>
      <c r="O34" s="242">
        <v>0</v>
      </c>
      <c r="P34" s="242">
        <f t="shared" si="22"/>
        <v>2958.5440465180304</v>
      </c>
      <c r="Q34" s="242">
        <f t="shared" si="29"/>
        <v>0</v>
      </c>
      <c r="R34" s="242">
        <f t="shared" si="8"/>
        <v>0</v>
      </c>
      <c r="S34" s="242">
        <f t="shared" si="9"/>
        <v>715001.01818194729</v>
      </c>
      <c r="T34" s="467"/>
      <c r="U34" s="198">
        <f t="shared" si="26"/>
        <v>35</v>
      </c>
      <c r="V34" s="36">
        <f t="shared" si="10"/>
        <v>35</v>
      </c>
      <c r="W34" s="2" t="s">
        <v>29</v>
      </c>
      <c r="AB34" s="2" t="str">
        <f>IF(C10 &lt;=W31,W33,IF(C10 &lt;=X31,X33,IF(C10 &lt;=Y31,Y33,IF(C10 &lt;=Z31,Z33,AA33))))</f>
        <v>Оптимум + Уверенность</v>
      </c>
      <c r="AE34" s="2"/>
      <c r="AF34" s="16"/>
      <c r="AG34" s="16"/>
      <c r="AH34" s="16"/>
      <c r="AM34" s="16"/>
      <c r="AN34" s="16"/>
      <c r="AO34" s="130">
        <f t="shared" si="11"/>
        <v>1</v>
      </c>
      <c r="AP34" s="553">
        <f t="shared" si="27"/>
        <v>26</v>
      </c>
      <c r="AQ34" s="554">
        <f t="shared" si="12"/>
        <v>45631</v>
      </c>
      <c r="AR34" s="555">
        <f t="shared" si="2"/>
        <v>0.13900000000000001</v>
      </c>
      <c r="AS34" s="546">
        <f t="shared" si="13"/>
        <v>23217</v>
      </c>
      <c r="AT34" s="546">
        <f t="shared" si="14"/>
        <v>23217</v>
      </c>
      <c r="AU34" s="546">
        <f t="shared" si="15"/>
        <v>7601.6923970167327</v>
      </c>
      <c r="AV34" s="546">
        <f t="shared" si="16"/>
        <v>15615.307602983266</v>
      </c>
      <c r="AW34" s="546"/>
      <c r="AX34" s="546">
        <v>0</v>
      </c>
      <c r="AY34" s="546">
        <f t="shared" si="17"/>
        <v>7601.6923970167327</v>
      </c>
      <c r="AZ34" s="546">
        <f t="shared" si="32"/>
        <v>0</v>
      </c>
      <c r="BA34" s="546">
        <f t="shared" si="30"/>
        <v>0</v>
      </c>
      <c r="BB34" s="546"/>
      <c r="BC34" s="546"/>
      <c r="BD34" s="546"/>
      <c r="BE34" s="546"/>
      <c r="BF34" s="546"/>
      <c r="BG34" s="546">
        <f t="shared" si="19"/>
        <v>649760.64561310946</v>
      </c>
      <c r="BH34" s="108">
        <f t="shared" si="28"/>
        <v>35</v>
      </c>
      <c r="BI34" s="108">
        <f t="shared" si="23"/>
        <v>35</v>
      </c>
      <c r="BJ34" s="22">
        <f t="shared" si="24"/>
        <v>45631</v>
      </c>
      <c r="BK34" s="108">
        <f t="shared" si="3"/>
        <v>22562</v>
      </c>
      <c r="BN34" s="782"/>
      <c r="BW34" s="588" t="s">
        <v>397</v>
      </c>
      <c r="BX34" s="594" t="s">
        <v>398</v>
      </c>
      <c r="BY34" s="595">
        <v>0.27900000000000003</v>
      </c>
      <c r="BZ34" s="590">
        <v>1.14E-2</v>
      </c>
      <c r="CA34" s="589" t="s">
        <v>399</v>
      </c>
      <c r="CB34" s="590">
        <v>1.2E-2</v>
      </c>
      <c r="CC34" s="591" t="s">
        <v>410</v>
      </c>
      <c r="CD34" s="589" t="s">
        <v>401</v>
      </c>
      <c r="CE34" s="16"/>
      <c r="CF34" s="16"/>
    </row>
    <row r="35" spans="1:1217" ht="31.5" customHeight="1" thickBot="1" x14ac:dyDescent="0.35">
      <c r="A35" s="180"/>
      <c r="B35" s="180"/>
      <c r="C35" s="524"/>
      <c r="D35" s="254"/>
      <c r="E35" s="178"/>
      <c r="F35" s="674"/>
      <c r="G35" s="244">
        <f t="shared" si="25"/>
        <v>27</v>
      </c>
      <c r="H35" s="245">
        <f t="shared" si="4"/>
        <v>45662</v>
      </c>
      <c r="I35" s="246">
        <f t="shared" si="5"/>
        <v>4.9000000000000002E-2</v>
      </c>
      <c r="J35" s="242">
        <f t="shared" si="6"/>
        <v>22562</v>
      </c>
      <c r="K35" s="242">
        <f t="shared" si="20"/>
        <v>22562</v>
      </c>
      <c r="L35" s="242">
        <f t="shared" si="7"/>
        <v>2975.5795797763781</v>
      </c>
      <c r="M35" s="242">
        <f t="shared" si="21"/>
        <v>19586.420420223621</v>
      </c>
      <c r="N35" s="242">
        <f t="shared" si="1"/>
        <v>0</v>
      </c>
      <c r="O35" s="242">
        <v>0</v>
      </c>
      <c r="P35" s="242">
        <f t="shared" si="22"/>
        <v>2975.5795797763781</v>
      </c>
      <c r="Q35" s="242">
        <f t="shared" si="29"/>
        <v>0</v>
      </c>
      <c r="R35" s="242">
        <f t="shared" si="8"/>
        <v>0</v>
      </c>
      <c r="S35" s="242">
        <f t="shared" si="9"/>
        <v>695414.59776172368</v>
      </c>
      <c r="T35" s="467"/>
      <c r="U35" s="198">
        <f t="shared" si="26"/>
        <v>34</v>
      </c>
      <c r="V35" s="36">
        <f t="shared" si="10"/>
        <v>34</v>
      </c>
      <c r="AE35" s="15"/>
      <c r="AF35" s="47">
        <f>ROUNDUP(AH35/AH33*C7/1,0)*1</f>
        <v>1667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1667</v>
      </c>
      <c r="AM35" s="169">
        <v>0.04</v>
      </c>
      <c r="AN35" s="16"/>
      <c r="AO35" s="130">
        <f t="shared" si="11"/>
        <v>1</v>
      </c>
      <c r="AP35" s="553">
        <f t="shared" si="27"/>
        <v>27</v>
      </c>
      <c r="AQ35" s="554">
        <f t="shared" si="12"/>
        <v>45662</v>
      </c>
      <c r="AR35" s="555">
        <f t="shared" si="2"/>
        <v>0.13900000000000001</v>
      </c>
      <c r="AS35" s="546">
        <f t="shared" si="13"/>
        <v>23217</v>
      </c>
      <c r="AT35" s="546">
        <f t="shared" si="14"/>
        <v>23217</v>
      </c>
      <c r="AU35" s="546">
        <f t="shared" si="15"/>
        <v>7670.7359505394215</v>
      </c>
      <c r="AV35" s="546">
        <f t="shared" si="16"/>
        <v>15546.264049460578</v>
      </c>
      <c r="AW35" s="546"/>
      <c r="AX35" s="546">
        <v>0</v>
      </c>
      <c r="AY35" s="546">
        <f t="shared" si="17"/>
        <v>7670.7359505394215</v>
      </c>
      <c r="AZ35" s="546">
        <f t="shared" si="32"/>
        <v>0</v>
      </c>
      <c r="BA35" s="546">
        <f t="shared" si="30"/>
        <v>0</v>
      </c>
      <c r="BB35" s="546"/>
      <c r="BC35" s="546"/>
      <c r="BD35" s="546"/>
      <c r="BE35" s="546"/>
      <c r="BF35" s="546"/>
      <c r="BG35" s="546">
        <f t="shared" si="19"/>
        <v>634214.38156364893</v>
      </c>
      <c r="BH35" s="108">
        <f t="shared" si="28"/>
        <v>34</v>
      </c>
      <c r="BI35" s="108">
        <f t="shared" si="23"/>
        <v>34</v>
      </c>
      <c r="BJ35" s="22">
        <f t="shared" si="24"/>
        <v>45662</v>
      </c>
      <c r="BK35" s="108">
        <f t="shared" si="3"/>
        <v>22562</v>
      </c>
      <c r="BN35" s="782"/>
      <c r="BW35" s="588" t="s">
        <v>402</v>
      </c>
      <c r="BX35" s="594" t="s">
        <v>403</v>
      </c>
      <c r="BY35" s="595">
        <v>0.22900000000000001</v>
      </c>
      <c r="BZ35" s="590">
        <v>1.14E-2</v>
      </c>
      <c r="CA35" s="589" t="s">
        <v>399</v>
      </c>
      <c r="CB35" s="590">
        <v>1.2E-2</v>
      </c>
      <c r="CC35" s="589" t="s">
        <v>404</v>
      </c>
      <c r="CD35" s="589" t="s">
        <v>400</v>
      </c>
      <c r="CE35" s="16"/>
      <c r="CF35" s="16"/>
    </row>
    <row r="36" spans="1:1217" ht="21.75" customHeight="1" thickBot="1" x14ac:dyDescent="0.35">
      <c r="A36" s="180"/>
      <c r="B36" s="180"/>
      <c r="C36" s="524"/>
      <c r="D36" s="254"/>
      <c r="E36" s="178"/>
      <c r="F36" s="178"/>
      <c r="G36" s="244">
        <f t="shared" si="25"/>
        <v>28</v>
      </c>
      <c r="H36" s="245">
        <f t="shared" si="4"/>
        <v>45693</v>
      </c>
      <c r="I36" s="246">
        <f t="shared" si="5"/>
        <v>4.9000000000000002E-2</v>
      </c>
      <c r="J36" s="242">
        <f t="shared" si="6"/>
        <v>22562</v>
      </c>
      <c r="K36" s="242">
        <f t="shared" si="20"/>
        <v>22562</v>
      </c>
      <c r="L36" s="242">
        <f t="shared" si="7"/>
        <v>2894.0678739727623</v>
      </c>
      <c r="M36" s="242">
        <f t="shared" si="21"/>
        <v>19667.932126027237</v>
      </c>
      <c r="N36" s="242">
        <f t="shared" si="1"/>
        <v>0</v>
      </c>
      <c r="O36" s="242">
        <v>0</v>
      </c>
      <c r="P36" s="242">
        <f t="shared" si="22"/>
        <v>2894.0678739727623</v>
      </c>
      <c r="Q36" s="242">
        <f t="shared" si="29"/>
        <v>0</v>
      </c>
      <c r="R36" s="242">
        <f t="shared" si="8"/>
        <v>0</v>
      </c>
      <c r="S36" s="242">
        <f t="shared" si="9"/>
        <v>675746.6656356965</v>
      </c>
      <c r="T36" s="467"/>
      <c r="U36" s="198">
        <f t="shared" si="26"/>
        <v>33</v>
      </c>
      <c r="V36" s="36">
        <f t="shared" si="10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C19</f>
        <v>22562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D19</f>
        <v>23217</v>
      </c>
      <c r="AM36" s="15">
        <f>IF(OR(D$8="Гарантия стандарт",D$8="Гарантия пакет"),AD13,D11)</f>
        <v>0.13900000000000001</v>
      </c>
      <c r="AN36" s="16"/>
      <c r="AO36" s="130">
        <f t="shared" si="11"/>
        <v>1</v>
      </c>
      <c r="AP36" s="553">
        <f t="shared" si="27"/>
        <v>28</v>
      </c>
      <c r="AQ36" s="554">
        <f t="shared" si="12"/>
        <v>45693</v>
      </c>
      <c r="AR36" s="555">
        <f t="shared" si="2"/>
        <v>0.13900000000000001</v>
      </c>
      <c r="AS36" s="546">
        <f t="shared" si="13"/>
        <v>23217</v>
      </c>
      <c r="AT36" s="546">
        <f t="shared" si="14"/>
        <v>23217</v>
      </c>
      <c r="AU36" s="546">
        <f t="shared" si="15"/>
        <v>7487.204849747297</v>
      </c>
      <c r="AV36" s="546">
        <f t="shared" si="16"/>
        <v>15729.795150252703</v>
      </c>
      <c r="AW36" s="546"/>
      <c r="AX36" s="546">
        <v>0</v>
      </c>
      <c r="AY36" s="546">
        <f t="shared" si="17"/>
        <v>7487.204849747297</v>
      </c>
      <c r="AZ36" s="546">
        <f t="shared" si="32"/>
        <v>0</v>
      </c>
      <c r="BA36" s="546">
        <f t="shared" si="30"/>
        <v>0</v>
      </c>
      <c r="BB36" s="546"/>
      <c r="BC36" s="546"/>
      <c r="BD36" s="546"/>
      <c r="BE36" s="546"/>
      <c r="BF36" s="546"/>
      <c r="BG36" s="546">
        <f t="shared" si="19"/>
        <v>618484.58641339617</v>
      </c>
      <c r="BH36" s="108">
        <f t="shared" si="28"/>
        <v>33</v>
      </c>
      <c r="BI36" s="108">
        <f t="shared" si="23"/>
        <v>33</v>
      </c>
      <c r="BJ36" s="22">
        <f t="shared" si="24"/>
        <v>45693</v>
      </c>
      <c r="BK36" s="108">
        <f t="shared" si="3"/>
        <v>22562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588" t="s">
        <v>405</v>
      </c>
      <c r="BX36" s="594" t="s">
        <v>406</v>
      </c>
      <c r="BY36" s="595">
        <v>0.20899999999999999</v>
      </c>
      <c r="BZ36" s="590">
        <v>1.14E-2</v>
      </c>
      <c r="CA36" s="589" t="s">
        <v>399</v>
      </c>
      <c r="CB36" s="590">
        <v>1.2E-2</v>
      </c>
      <c r="CC36" s="589" t="s">
        <v>404</v>
      </c>
      <c r="CD36" s="589" t="s">
        <v>400</v>
      </c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thickBot="1" x14ac:dyDescent="0.35">
      <c r="A37" s="180"/>
      <c r="B37" s="180"/>
      <c r="C37" s="524"/>
      <c r="D37" s="254"/>
      <c r="E37" s="178"/>
      <c r="F37" s="178"/>
      <c r="G37" s="244">
        <f t="shared" si="25"/>
        <v>29</v>
      </c>
      <c r="H37" s="245">
        <f t="shared" si="4"/>
        <v>45721</v>
      </c>
      <c r="I37" s="246">
        <f t="shared" si="5"/>
        <v>4.9000000000000002E-2</v>
      </c>
      <c r="J37" s="242">
        <f t="shared" si="6"/>
        <v>22562</v>
      </c>
      <c r="K37" s="242">
        <f t="shared" si="20"/>
        <v>22562</v>
      </c>
      <c r="L37" s="242">
        <f t="shared" si="7"/>
        <v>2540.0669184991116</v>
      </c>
      <c r="M37" s="242">
        <f t="shared" si="21"/>
        <v>20021.933081500887</v>
      </c>
      <c r="N37" s="242">
        <f t="shared" si="1"/>
        <v>0</v>
      </c>
      <c r="O37" s="242">
        <v>0</v>
      </c>
      <c r="P37" s="242">
        <f t="shared" si="22"/>
        <v>2540.0669184991116</v>
      </c>
      <c r="Q37" s="242">
        <f t="shared" si="29"/>
        <v>0</v>
      </c>
      <c r="R37" s="242">
        <f t="shared" si="8"/>
        <v>0</v>
      </c>
      <c r="S37" s="242">
        <f t="shared" si="9"/>
        <v>655724.73255419557</v>
      </c>
      <c r="T37" s="467"/>
      <c r="U37" s="198">
        <f t="shared" si="26"/>
        <v>32</v>
      </c>
      <c r="V37" s="36">
        <f t="shared" si="10"/>
        <v>32</v>
      </c>
      <c r="W37" s="16">
        <f>INDEX('[2]Для Перспективы'!$B$6:$F$6,MATCH($C$10,'[2]Для Перспективы'!$B$1:$F$1,0))</f>
        <v>5500</v>
      </c>
      <c r="X37" s="16">
        <f>INDEX('[2]Для Перспективы'!$B$8:$F$8,MATCH($C$10,'[2]Для Перспективы'!$B$1:$F$1,0))</f>
        <v>10000</v>
      </c>
      <c r="Y37" s="16">
        <f>INDEX('[2]Для Перспективы'!$B$10:$F$10,MATCH($C$10,'[2]Для Перспективы'!$B$1:$F$1,0))</f>
        <v>10000</v>
      </c>
      <c r="Z37" s="16">
        <f>INDEX('[2]Для Перспективы'!$B$12:$F$12,MATCH($C$10,'[2]Для Перспективы'!$B$1:$F$1,0))</f>
        <v>10000</v>
      </c>
      <c r="AA37" s="16">
        <f>INDEX('[2]Для Перспективы'!$B$14:$F$14,MATCH($C$10,'[2]Для Перспективы'!$B$1:$F$1,0))</f>
        <v>11000</v>
      </c>
      <c r="AB37" s="16">
        <f>INDEX('[2]Для Перспективы'!$B$22:$D$22,MATCH($C$10,'[2]Для Перспективы'!$B$1:$D$1,0))</f>
        <v>11000</v>
      </c>
      <c r="AC37" s="16">
        <f>INDEX('[2]Для Перспективы'!$B$20:$F$20,MATCH($C$10,'[2]Для Перспективы'!$B$1:$F$1,0))</f>
        <v>11000</v>
      </c>
      <c r="AD37" s="16">
        <f>INDEX('[2]Для Перспективы'!$B$6:$F$6,MATCH($C$10,'[2]Для Перспективы'!$B$1:$F$1,0))</f>
        <v>5500</v>
      </c>
      <c r="AE37" s="16">
        <f>INDEX('[2]Для Перспективы'!$B$6:$F$6,MATCH($C$10,'[2]Для Перспективы'!$B$1:$F$1,0))</f>
        <v>5500</v>
      </c>
      <c r="AF37" s="47">
        <f>IF(AG37=AG36,AF36,AF36-$AF$35)</f>
        <v>20895</v>
      </c>
      <c r="AG37" s="169">
        <f>AG36-$AG$35</f>
        <v>9.9000000000000005E-2</v>
      </c>
      <c r="AI37" s="2"/>
      <c r="AJ37" s="2"/>
      <c r="AK37" s="57"/>
      <c r="AL37" s="47">
        <f>AL36-$AL$35</f>
        <v>21550</v>
      </c>
      <c r="AM37" s="169">
        <f>AM36-$AM$35</f>
        <v>9.9000000000000005E-2</v>
      </c>
      <c r="AO37" s="130">
        <f t="shared" si="11"/>
        <v>1</v>
      </c>
      <c r="AP37" s="553">
        <f t="shared" si="27"/>
        <v>29</v>
      </c>
      <c r="AQ37" s="554">
        <f t="shared" si="12"/>
        <v>45721</v>
      </c>
      <c r="AR37" s="555">
        <f t="shared" si="2"/>
        <v>0.13900000000000001</v>
      </c>
      <c r="AS37" s="546">
        <f t="shared" si="13"/>
        <v>23217</v>
      </c>
      <c r="AT37" s="546">
        <f t="shared" si="14"/>
        <v>23217</v>
      </c>
      <c r="AU37" s="546">
        <f t="shared" si="15"/>
        <v>6594.9096173176395</v>
      </c>
      <c r="AV37" s="546">
        <f t="shared" si="16"/>
        <v>16622.09038268236</v>
      </c>
      <c r="AW37" s="546"/>
      <c r="AX37" s="546">
        <v>0</v>
      </c>
      <c r="AY37" s="546">
        <f t="shared" si="17"/>
        <v>6594.9096173176395</v>
      </c>
      <c r="AZ37" s="546">
        <f t="shared" si="32"/>
        <v>0</v>
      </c>
      <c r="BA37" s="546">
        <f t="shared" si="30"/>
        <v>0</v>
      </c>
      <c r="BB37" s="546"/>
      <c r="BC37" s="546"/>
      <c r="BD37" s="546"/>
      <c r="BE37" s="546"/>
      <c r="BF37" s="546"/>
      <c r="BG37" s="546">
        <f t="shared" si="19"/>
        <v>601862.49603071378</v>
      </c>
      <c r="BH37" s="108">
        <f t="shared" si="28"/>
        <v>32</v>
      </c>
      <c r="BI37" s="108">
        <f t="shared" si="23"/>
        <v>32</v>
      </c>
      <c r="BJ37" s="22">
        <f t="shared" si="24"/>
        <v>45721</v>
      </c>
      <c r="BK37" s="108">
        <f t="shared" si="3"/>
        <v>22562</v>
      </c>
      <c r="BW37" s="596" t="s">
        <v>407</v>
      </c>
      <c r="BX37" s="597" t="s">
        <v>408</v>
      </c>
      <c r="BY37" s="595">
        <v>0.17899999999999999</v>
      </c>
      <c r="BZ37" s="598">
        <v>1.14E-2</v>
      </c>
      <c r="CA37" s="599" t="s">
        <v>399</v>
      </c>
      <c r="CB37" s="598">
        <v>1.2E-2</v>
      </c>
      <c r="CC37" s="600" t="s">
        <v>410</v>
      </c>
      <c r="CD37" s="600" t="s">
        <v>410</v>
      </c>
    </row>
    <row r="38" spans="1:1217" s="16" customFormat="1" ht="16.5" customHeight="1" thickBot="1" x14ac:dyDescent="0.35">
      <c r="A38" s="180"/>
      <c r="B38" s="180"/>
      <c r="C38" s="524"/>
      <c r="D38" s="254"/>
      <c r="E38" s="178"/>
      <c r="F38" s="178"/>
      <c r="G38" s="244">
        <f t="shared" si="25"/>
        <v>30</v>
      </c>
      <c r="H38" s="245">
        <f t="shared" si="4"/>
        <v>45752</v>
      </c>
      <c r="I38" s="246">
        <f t="shared" si="5"/>
        <v>4.9000000000000002E-2</v>
      </c>
      <c r="J38" s="242">
        <f t="shared" si="6"/>
        <v>22562</v>
      </c>
      <c r="K38" s="242">
        <f t="shared" si="20"/>
        <v>22562</v>
      </c>
      <c r="L38" s="242">
        <f t="shared" si="7"/>
        <v>2728.8927910954058</v>
      </c>
      <c r="M38" s="242">
        <f t="shared" si="21"/>
        <v>19833.107208904596</v>
      </c>
      <c r="N38" s="242">
        <f t="shared" si="1"/>
        <v>0</v>
      </c>
      <c r="O38" s="242">
        <v>0</v>
      </c>
      <c r="P38" s="242">
        <f t="shared" si="22"/>
        <v>2728.8927910954058</v>
      </c>
      <c r="Q38" s="242">
        <f t="shared" si="29"/>
        <v>0</v>
      </c>
      <c r="R38" s="242">
        <f t="shared" si="8"/>
        <v>0</v>
      </c>
      <c r="S38" s="242">
        <f t="shared" si="9"/>
        <v>635891.62534529099</v>
      </c>
      <c r="T38" s="467"/>
      <c r="U38" s="198">
        <f t="shared" si="26"/>
        <v>31</v>
      </c>
      <c r="V38" s="36">
        <f t="shared" si="10"/>
        <v>31</v>
      </c>
      <c r="W38" s="16">
        <f>INDEX('[2]Для Перспективы'!B7:F7,MATCH($C$10,'[2]Для Перспективы'!$B$1:$F$1,0))</f>
        <v>134000</v>
      </c>
      <c r="X38" s="16">
        <f>INDEX('[2]Для Перспективы'!$B$9:$F$9,MATCH($C$10,'[2]Для Перспективы'!$B$1:$F$1,0))</f>
        <v>136300</v>
      </c>
      <c r="Y38" s="16">
        <f>INDEX('[2]Для Перспективы'!$B$11:$F$11,MATCH($C$10,'[2]Для Перспективы'!$B$1:$F$1,0))</f>
        <v>139400</v>
      </c>
      <c r="Z38" s="16">
        <f>INDEX('[2]Для Перспективы'!$B$13:$F$13,MATCH($C$10,'[2]Для Перспективы'!$B$1:$F$1,0))</f>
        <v>142500</v>
      </c>
      <c r="AA38" s="16">
        <f>INDEX('[2]Для Перспективы'!$B$15:$F$15,MATCH($C$10,'[2]Для Перспективы'!$B$1:$F$1,0))</f>
        <v>145800</v>
      </c>
      <c r="AB38" s="16">
        <f>INDEX('[2]Для Перспективы'!$B$23:$D$23,MATCH($C$10,'[2]Для Перспективы'!$B$1:$D$1,0))</f>
        <v>158700</v>
      </c>
      <c r="AC38" s="16">
        <f>INDEX('[2]Для Перспективы'!$B$11:$D$11,MATCH($C$10,'[2]Для Перспективы'!$B$1:$D$1,0))</f>
        <v>139400</v>
      </c>
      <c r="AD38" s="16">
        <f>INDEX('[2]Для Перспективы'!$B$11:$D$11,MATCH($C$10,'[2]Для Перспективы'!$B$1:$D$1,0))</f>
        <v>139400</v>
      </c>
      <c r="AE38" s="16" t="e">
        <f>INDEX('[2]Для Перспективы'!$G21:$I21,MATCH($C$10,'[2]Для Перспективы'!$G$1:$I$1,0))</f>
        <v>#N/A</v>
      </c>
      <c r="AF38" s="47">
        <f t="shared" ref="AF38:AF40" si="33">IF(AG38=AG37,AF37,AF37-$AF$35)</f>
        <v>20895</v>
      </c>
      <c r="AG38" s="169">
        <f>AG36-$AG$35</f>
        <v>9.9000000000000005E-2</v>
      </c>
      <c r="AI38" s="2"/>
      <c r="AJ38" s="2"/>
      <c r="AK38" s="57"/>
      <c r="AL38" s="47">
        <f>AL36-$AL$35</f>
        <v>21550</v>
      </c>
      <c r="AM38" s="169">
        <f>AM36-$AM$35</f>
        <v>9.9000000000000005E-2</v>
      </c>
      <c r="AN38" s="63"/>
      <c r="AO38" s="130">
        <f t="shared" si="11"/>
        <v>1</v>
      </c>
      <c r="AP38" s="553">
        <f t="shared" si="27"/>
        <v>30</v>
      </c>
      <c r="AQ38" s="554">
        <f t="shared" si="12"/>
        <v>45752</v>
      </c>
      <c r="AR38" s="555">
        <f t="shared" si="2"/>
        <v>0.13900000000000001</v>
      </c>
      <c r="AS38" s="546">
        <f t="shared" si="13"/>
        <v>23217</v>
      </c>
      <c r="AT38" s="546">
        <f t="shared" si="14"/>
        <v>23217</v>
      </c>
      <c r="AU38" s="546">
        <f t="shared" si="15"/>
        <v>7105.2753298530024</v>
      </c>
      <c r="AV38" s="546">
        <f t="shared" si="16"/>
        <v>16111.724670146998</v>
      </c>
      <c r="AW38" s="546"/>
      <c r="AX38" s="546">
        <v>0</v>
      </c>
      <c r="AY38" s="546">
        <f t="shared" si="17"/>
        <v>7105.2753298530024</v>
      </c>
      <c r="AZ38" s="546">
        <f t="shared" si="32"/>
        <v>0</v>
      </c>
      <c r="BA38" s="546">
        <f t="shared" si="30"/>
        <v>0</v>
      </c>
      <c r="BB38" s="546"/>
      <c r="BC38" s="546"/>
      <c r="BD38" s="546"/>
      <c r="BE38" s="546"/>
      <c r="BF38" s="546"/>
      <c r="BG38" s="546">
        <f t="shared" si="19"/>
        <v>585750.77136056684</v>
      </c>
      <c r="BH38" s="108">
        <f t="shared" si="28"/>
        <v>31</v>
      </c>
      <c r="BI38" s="108">
        <f t="shared" si="23"/>
        <v>31</v>
      </c>
      <c r="BJ38" s="22">
        <f t="shared" si="24"/>
        <v>45752</v>
      </c>
      <c r="BK38" s="108">
        <f t="shared" si="3"/>
        <v>22562</v>
      </c>
      <c r="BW38" s="601" t="s">
        <v>407</v>
      </c>
      <c r="BX38" s="597" t="s">
        <v>408</v>
      </c>
      <c r="BY38" s="595">
        <v>0.13900000000000001</v>
      </c>
      <c r="BZ38" s="602">
        <v>1.14E-2</v>
      </c>
      <c r="CA38" s="597" t="s">
        <v>399</v>
      </c>
      <c r="CB38" s="602">
        <v>1.2E-2</v>
      </c>
      <c r="CC38" s="603" t="s">
        <v>411</v>
      </c>
      <c r="CD38" s="603" t="s">
        <v>411</v>
      </c>
    </row>
    <row r="39" spans="1:1217" s="16" customFormat="1" ht="17.25" customHeight="1" x14ac:dyDescent="0.3">
      <c r="A39" s="180"/>
      <c r="B39" s="180"/>
      <c r="C39" s="524"/>
      <c r="D39" s="254"/>
      <c r="E39" s="178"/>
      <c r="F39" s="178"/>
      <c r="G39" s="244">
        <f t="shared" si="25"/>
        <v>31</v>
      </c>
      <c r="H39" s="245">
        <f t="shared" si="4"/>
        <v>45782</v>
      </c>
      <c r="I39" s="246">
        <f t="shared" si="5"/>
        <v>4.9000000000000002E-2</v>
      </c>
      <c r="J39" s="242">
        <f t="shared" si="6"/>
        <v>22562</v>
      </c>
      <c r="K39" s="242">
        <f t="shared" si="20"/>
        <v>22562</v>
      </c>
      <c r="L39" s="242">
        <f t="shared" si="7"/>
        <v>2560.9881897467885</v>
      </c>
      <c r="M39" s="242">
        <f t="shared" si="21"/>
        <v>20001.011810253211</v>
      </c>
      <c r="N39" s="242">
        <f t="shared" si="1"/>
        <v>0</v>
      </c>
      <c r="O39" s="242">
        <v>0</v>
      </c>
      <c r="P39" s="242">
        <f t="shared" si="22"/>
        <v>2560.9881897467885</v>
      </c>
      <c r="Q39" s="242">
        <f t="shared" si="29"/>
        <v>0</v>
      </c>
      <c r="R39" s="242">
        <f t="shared" si="8"/>
        <v>0</v>
      </c>
      <c r="S39" s="242">
        <f t="shared" si="9"/>
        <v>615890.61353503773</v>
      </c>
      <c r="T39" s="467"/>
      <c r="U39" s="198">
        <f t="shared" si="26"/>
        <v>30</v>
      </c>
      <c r="V39" s="36">
        <f t="shared" si="10"/>
        <v>30</v>
      </c>
      <c r="W39" s="15">
        <v>0.11899999999999999</v>
      </c>
      <c r="X39" s="101">
        <v>0.22900000000000001</v>
      </c>
      <c r="Y39" s="484">
        <v>0.13900000000000001</v>
      </c>
      <c r="Z39" s="101">
        <v>0.14899999999999999</v>
      </c>
      <c r="AA39" s="484">
        <v>0.29899999999999999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3"/>
        <v>20895</v>
      </c>
      <c r="AG39" s="169">
        <f>AG36-$AG$35</f>
        <v>9.9000000000000005E-2</v>
      </c>
      <c r="AI39" s="2"/>
      <c r="AJ39" s="2"/>
      <c r="AK39" s="57"/>
      <c r="AL39" s="47">
        <f>AL36-$AL$35</f>
        <v>21550</v>
      </c>
      <c r="AM39" s="169">
        <f>AM36-$AM$35</f>
        <v>9.9000000000000005E-2</v>
      </c>
      <c r="AN39" s="15"/>
      <c r="AO39" s="130">
        <f t="shared" si="11"/>
        <v>1</v>
      </c>
      <c r="AP39" s="553">
        <f t="shared" si="27"/>
        <v>31</v>
      </c>
      <c r="AQ39" s="554">
        <f t="shared" si="12"/>
        <v>45782</v>
      </c>
      <c r="AR39" s="555">
        <f t="shared" si="2"/>
        <v>0.13900000000000001</v>
      </c>
      <c r="AS39" s="546">
        <f t="shared" si="13"/>
        <v>23217</v>
      </c>
      <c r="AT39" s="546">
        <f t="shared" si="14"/>
        <v>23217</v>
      </c>
      <c r="AU39" s="546">
        <f t="shared" si="15"/>
        <v>6692.0019632152444</v>
      </c>
      <c r="AV39" s="546">
        <f t="shared" si="16"/>
        <v>16524.998036784757</v>
      </c>
      <c r="AW39" s="546"/>
      <c r="AX39" s="546">
        <v>0</v>
      </c>
      <c r="AY39" s="546">
        <f t="shared" si="17"/>
        <v>6692.0019632152444</v>
      </c>
      <c r="AZ39" s="546">
        <f t="shared" si="32"/>
        <v>0</v>
      </c>
      <c r="BA39" s="546">
        <f t="shared" si="30"/>
        <v>0</v>
      </c>
      <c r="BB39" s="546"/>
      <c r="BC39" s="546"/>
      <c r="BD39" s="546"/>
      <c r="BE39" s="546"/>
      <c r="BF39" s="546"/>
      <c r="BG39" s="546">
        <f t="shared" si="19"/>
        <v>569225.77332378214</v>
      </c>
      <c r="BH39" s="108">
        <f t="shared" si="28"/>
        <v>30</v>
      </c>
      <c r="BI39" s="108">
        <f t="shared" si="23"/>
        <v>30</v>
      </c>
      <c r="BJ39" s="22">
        <f t="shared" si="24"/>
        <v>45782</v>
      </c>
      <c r="BK39" s="108">
        <f t="shared" si="3"/>
        <v>22562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5"/>
        <v>32</v>
      </c>
      <c r="H40" s="245">
        <f t="shared" si="4"/>
        <v>45813</v>
      </c>
      <c r="I40" s="246">
        <f t="shared" si="5"/>
        <v>4.9000000000000002E-2</v>
      </c>
      <c r="J40" s="242">
        <f t="shared" si="6"/>
        <v>22562</v>
      </c>
      <c r="K40" s="242">
        <f t="shared" si="20"/>
        <v>22562</v>
      </c>
      <c r="L40" s="242">
        <f t="shared" si="7"/>
        <v>2563.117375232116</v>
      </c>
      <c r="M40" s="242">
        <f t="shared" si="21"/>
        <v>19998.882624767884</v>
      </c>
      <c r="N40" s="242">
        <f t="shared" si="1"/>
        <v>0</v>
      </c>
      <c r="O40" s="242">
        <v>0</v>
      </c>
      <c r="P40" s="242">
        <f t="shared" si="22"/>
        <v>2563.117375232116</v>
      </c>
      <c r="Q40" s="242">
        <f t="shared" si="29"/>
        <v>0</v>
      </c>
      <c r="R40" s="242">
        <f t="shared" si="8"/>
        <v>0</v>
      </c>
      <c r="S40" s="242">
        <f t="shared" si="9"/>
        <v>595891.73091026989</v>
      </c>
      <c r="T40" s="467"/>
      <c r="U40" s="198">
        <f t="shared" si="26"/>
        <v>29</v>
      </c>
      <c r="V40" s="36">
        <f t="shared" si="10"/>
        <v>29</v>
      </c>
      <c r="W40" s="16">
        <f>INDEX('[2]Для Перспективы'!B2:F2,MATCH($C$10,'[2]Для Перспективы'!$B$1:$F$1,0))</f>
        <v>4000</v>
      </c>
      <c r="X40" s="16">
        <f>INDEX('[2]Для Перспективы'!B8:F8,MATCH($C$10,'[2]Для Перспективы'!$B$1:$F$1,0))</f>
        <v>10000</v>
      </c>
      <c r="Y40" s="16">
        <f>INDEX('[2]Для Перспективы'!B10:F10,MATCH($C$10,'[2]Для Перспективы'!$B$1:$F$1,0))</f>
        <v>10000</v>
      </c>
      <c r="Z40" s="16">
        <f>INDEX('[2]Для Перспективы'!B12:F12,MATCH($C$10,'[2]Для Перспективы'!$B$1:$F$1,0))</f>
        <v>10000</v>
      </c>
      <c r="AA40" s="16">
        <f>INDEX('[2]Для Перспективы'!B14:F14,MATCH($C$10,'[2]Для Перспективы'!$B$1:$F$1,0))</f>
        <v>11000</v>
      </c>
      <c r="AB40" s="16">
        <f>INDEX('[2]Для Перспективы'!B14:D14,MATCH($C$10,'[2]Для Перспективы'!$B$1:$D$1,0))</f>
        <v>11000</v>
      </c>
      <c r="AC40" s="16">
        <f>INDEX('[2]Для Перспективы'!B16:D16,MATCH($C$10,'[2]Для Перспективы'!$B$1:$D$1,0))</f>
        <v>11000</v>
      </c>
      <c r="AD40" s="16">
        <f>INDEX('[2]Для Перспективы'!B18:D18,MATCH($C$10,'[2]Для Перспективы'!$B$1:$D$1,0))</f>
        <v>8000</v>
      </c>
      <c r="AE40" s="16">
        <f>INDEX('[2]Для Перспективы'!B20:D20,MATCH($C$10,'[2]Для Перспективы'!$B$1:$D$1,0))</f>
        <v>11000</v>
      </c>
      <c r="AF40" s="47">
        <f t="shared" si="33"/>
        <v>20895</v>
      </c>
      <c r="AG40" s="169">
        <f>AG36-$AG$35</f>
        <v>9.9000000000000005E-2</v>
      </c>
      <c r="AI40" s="2"/>
      <c r="AJ40" s="2"/>
      <c r="AK40" s="57"/>
      <c r="AL40" s="47">
        <f>AL36-$AL$35</f>
        <v>21550</v>
      </c>
      <c r="AM40" s="169">
        <f>AM36-$AM$35</f>
        <v>9.9000000000000005E-2</v>
      </c>
      <c r="AN40" s="15"/>
      <c r="AO40" s="130">
        <f t="shared" si="11"/>
        <v>1</v>
      </c>
      <c r="AP40" s="553">
        <f t="shared" si="27"/>
        <v>32</v>
      </c>
      <c r="AQ40" s="554">
        <f t="shared" si="12"/>
        <v>45813</v>
      </c>
      <c r="AR40" s="555">
        <f t="shared" si="2"/>
        <v>0.13900000000000001</v>
      </c>
      <c r="AS40" s="546">
        <f t="shared" si="13"/>
        <v>23217</v>
      </c>
      <c r="AT40" s="546">
        <f t="shared" si="14"/>
        <v>23217</v>
      </c>
      <c r="AU40" s="546">
        <f t="shared" si="15"/>
        <v>6719.9831705539109</v>
      </c>
      <c r="AV40" s="546">
        <f t="shared" si="16"/>
        <v>16497.016829446089</v>
      </c>
      <c r="AW40" s="546"/>
      <c r="AX40" s="546">
        <v>0</v>
      </c>
      <c r="AY40" s="546">
        <f t="shared" si="17"/>
        <v>6719.9831705539109</v>
      </c>
      <c r="AZ40" s="546">
        <f t="shared" si="32"/>
        <v>0</v>
      </c>
      <c r="BA40" s="546">
        <f t="shared" si="30"/>
        <v>0</v>
      </c>
      <c r="BB40" s="546"/>
      <c r="BC40" s="546"/>
      <c r="BD40" s="546"/>
      <c r="BE40" s="546"/>
      <c r="BF40" s="546"/>
      <c r="BG40" s="546">
        <f t="shared" si="19"/>
        <v>552728.75649433606</v>
      </c>
      <c r="BH40" s="108">
        <f t="shared" si="28"/>
        <v>29</v>
      </c>
      <c r="BI40" s="108">
        <f t="shared" si="23"/>
        <v>29</v>
      </c>
      <c r="BJ40" s="22">
        <f t="shared" si="24"/>
        <v>45813</v>
      </c>
      <c r="BK40" s="108">
        <f t="shared" si="3"/>
        <v>22562</v>
      </c>
    </row>
    <row r="41" spans="1:1217" s="16" customFormat="1" ht="39" customHeight="1" x14ac:dyDescent="0.3">
      <c r="A41" s="178"/>
      <c r="B41" s="178"/>
      <c r="C41" s="524"/>
      <c r="D41" s="182"/>
      <c r="E41" s="180"/>
      <c r="F41" s="178"/>
      <c r="G41" s="244">
        <f t="shared" si="25"/>
        <v>33</v>
      </c>
      <c r="H41" s="245">
        <f t="shared" si="4"/>
        <v>45843</v>
      </c>
      <c r="I41" s="246">
        <f t="shared" si="5"/>
        <v>4.9000000000000002E-2</v>
      </c>
      <c r="J41" s="242">
        <f t="shared" si="6"/>
        <v>22562</v>
      </c>
      <c r="K41" s="242">
        <f t="shared" si="20"/>
        <v>22562</v>
      </c>
      <c r="L41" s="242">
        <f t="shared" si="7"/>
        <v>2399.8927244879364</v>
      </c>
      <c r="M41" s="242">
        <f t="shared" si="21"/>
        <v>20162.107275512062</v>
      </c>
      <c r="N41" s="242">
        <f t="shared" si="1"/>
        <v>0</v>
      </c>
      <c r="O41" s="242">
        <v>0</v>
      </c>
      <c r="P41" s="242">
        <f t="shared" si="22"/>
        <v>2399.8927244879364</v>
      </c>
      <c r="Q41" s="242">
        <f t="shared" si="29"/>
        <v>0</v>
      </c>
      <c r="R41" s="242">
        <f t="shared" si="8"/>
        <v>0</v>
      </c>
      <c r="S41" s="242">
        <f t="shared" si="9"/>
        <v>575729.62363475782</v>
      </c>
      <c r="T41" s="467"/>
      <c r="U41" s="198">
        <f t="shared" si="26"/>
        <v>28</v>
      </c>
      <c r="V41" s="36">
        <f t="shared" si="10"/>
        <v>28</v>
      </c>
      <c r="W41" s="16">
        <f>INDEX('[2]Для Перспективы'!B3:F3,MATCH($C$10,'[2]Для Перспективы'!$B$1:$F$1,0))</f>
        <v>128000</v>
      </c>
      <c r="X41" s="16">
        <f>INDEX('[2]Для Перспективы'!B9:F9,MATCH($C$10,'[2]Для Перспективы'!$B$1:$F$1,0))</f>
        <v>136300</v>
      </c>
      <c r="Y41" s="16">
        <f>INDEX('[2]Для Перспективы'!B11:F11,MATCH($C$10,'[2]Для Перспективы'!$B$1:$F$1,0))</f>
        <v>139400</v>
      </c>
      <c r="Z41" s="16">
        <f>INDEX('[2]Для Перспективы'!B13:F13,MATCH($C$10,'[2]Для Перспективы'!$B$1:$F$1,0))</f>
        <v>142500</v>
      </c>
      <c r="AA41" s="16">
        <f>INDEX('[2]Для Перспективы'!B15:F15,MATCH($C$10,'[2]Для Перспективы'!$B$1:$F$1,0))</f>
        <v>145800</v>
      </c>
      <c r="AB41" s="16">
        <f>INDEX('[2]Для Перспективы'!B15:D15,MATCH($C$10,'[2]Для Перспективы'!$B$1:$D$1,0))</f>
        <v>145800</v>
      </c>
      <c r="AC41" s="16">
        <f>INDEX('[2]Для Перспективы'!B17:D17,MATCH($C$10,'[2]Для Перспективы'!$B$1:$D$1,0))</f>
        <v>148900</v>
      </c>
      <c r="AD41" s="16">
        <f>INDEX('[2]Для Перспективы'!B19:D19,MATCH($C$10,'[2]Для Перспективы'!$B$1:$D$1,0))</f>
        <v>151980</v>
      </c>
      <c r="AE41" s="16">
        <f>INDEX('[2]Для Перспективы'!B21:D21,MATCH($C$10,'[2]Для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1"/>
        <v>1</v>
      </c>
      <c r="AP41" s="553">
        <f t="shared" si="27"/>
        <v>33</v>
      </c>
      <c r="AQ41" s="554">
        <f t="shared" si="12"/>
        <v>45843</v>
      </c>
      <c r="AR41" s="555">
        <f t="shared" si="2"/>
        <v>0.13900000000000001</v>
      </c>
      <c r="AS41" s="546">
        <f t="shared" si="13"/>
        <v>23217</v>
      </c>
      <c r="AT41" s="546">
        <f t="shared" si="14"/>
        <v>23217</v>
      </c>
      <c r="AU41" s="546">
        <f t="shared" si="15"/>
        <v>6314.7367522777586</v>
      </c>
      <c r="AV41" s="546">
        <f t="shared" si="16"/>
        <v>16902.263247722243</v>
      </c>
      <c r="AW41" s="546"/>
      <c r="AX41" s="546">
        <v>0</v>
      </c>
      <c r="AY41" s="546">
        <f t="shared" si="17"/>
        <v>6314.7367522777586</v>
      </c>
      <c r="AZ41" s="546">
        <f t="shared" si="32"/>
        <v>0</v>
      </c>
      <c r="BA41" s="546">
        <f t="shared" si="30"/>
        <v>0</v>
      </c>
      <c r="BB41" s="546"/>
      <c r="BC41" s="546"/>
      <c r="BD41" s="546"/>
      <c r="BE41" s="546"/>
      <c r="BF41" s="546"/>
      <c r="BG41" s="546">
        <f t="shared" si="19"/>
        <v>535826.49324661377</v>
      </c>
      <c r="BH41" s="108">
        <f t="shared" si="28"/>
        <v>28</v>
      </c>
      <c r="BI41" s="108">
        <f t="shared" si="23"/>
        <v>28</v>
      </c>
      <c r="BJ41" s="22">
        <f t="shared" si="24"/>
        <v>45843</v>
      </c>
      <c r="BK41" s="108">
        <f t="shared" si="3"/>
        <v>22562</v>
      </c>
    </row>
    <row r="42" spans="1:1217" s="16" customFormat="1" ht="18.75" customHeight="1" x14ac:dyDescent="0.3">
      <c r="A42" s="178"/>
      <c r="B42" s="178"/>
      <c r="C42" s="524"/>
      <c r="D42" s="182"/>
      <c r="E42" s="178"/>
      <c r="F42" s="178"/>
      <c r="G42" s="244">
        <f t="shared" si="25"/>
        <v>34</v>
      </c>
      <c r="H42" s="245">
        <f t="shared" si="4"/>
        <v>45874</v>
      </c>
      <c r="I42" s="246">
        <f t="shared" si="5"/>
        <v>4.9000000000000002E-2</v>
      </c>
      <c r="J42" s="242">
        <f t="shared" si="6"/>
        <v>22562</v>
      </c>
      <c r="K42" s="242">
        <f t="shared" si="20"/>
        <v>22562</v>
      </c>
      <c r="L42" s="242">
        <f t="shared" si="7"/>
        <v>2395.981639181362</v>
      </c>
      <c r="M42" s="242">
        <f t="shared" si="21"/>
        <v>20166.018360818638</v>
      </c>
      <c r="N42" s="242">
        <f t="shared" si="1"/>
        <v>0</v>
      </c>
      <c r="O42" s="242">
        <v>0</v>
      </c>
      <c r="P42" s="242">
        <f t="shared" si="22"/>
        <v>2395.981639181362</v>
      </c>
      <c r="Q42" s="242">
        <f t="shared" si="29"/>
        <v>0</v>
      </c>
      <c r="R42" s="242">
        <f t="shared" si="8"/>
        <v>0</v>
      </c>
      <c r="S42" s="242">
        <f t="shared" si="9"/>
        <v>555563.6052739392</v>
      </c>
      <c r="T42" s="467"/>
      <c r="U42" s="198">
        <f t="shared" si="26"/>
        <v>27</v>
      </c>
      <c r="V42" s="36">
        <f t="shared" si="10"/>
        <v>27</v>
      </c>
      <c r="W42" s="2"/>
      <c r="X42" s="18">
        <f>K8</f>
        <v>-1198465.9635666348</v>
      </c>
      <c r="Y42" s="57">
        <f>H8</f>
        <v>44839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1"/>
        <v>1</v>
      </c>
      <c r="AP42" s="553">
        <f t="shared" si="27"/>
        <v>34</v>
      </c>
      <c r="AQ42" s="554">
        <f t="shared" si="12"/>
        <v>45874</v>
      </c>
      <c r="AR42" s="555">
        <f t="shared" si="2"/>
        <v>0.13900000000000001</v>
      </c>
      <c r="AS42" s="546">
        <f t="shared" si="13"/>
        <v>23217</v>
      </c>
      <c r="AT42" s="546">
        <f t="shared" si="14"/>
        <v>23217</v>
      </c>
      <c r="AU42" s="546">
        <f t="shared" si="15"/>
        <v>6325.6886558894766</v>
      </c>
      <c r="AV42" s="546">
        <f t="shared" si="16"/>
        <v>16891.311344110523</v>
      </c>
      <c r="AW42" s="546"/>
      <c r="AX42" s="546">
        <v>0</v>
      </c>
      <c r="AY42" s="546">
        <f t="shared" si="17"/>
        <v>6325.6886558894766</v>
      </c>
      <c r="AZ42" s="546">
        <f t="shared" si="32"/>
        <v>0</v>
      </c>
      <c r="BA42" s="546">
        <f t="shared" si="30"/>
        <v>0</v>
      </c>
      <c r="BB42" s="546"/>
      <c r="BC42" s="546"/>
      <c r="BD42" s="546"/>
      <c r="BE42" s="546"/>
      <c r="BF42" s="546"/>
      <c r="BG42" s="546">
        <f t="shared" si="19"/>
        <v>518935.18190250325</v>
      </c>
      <c r="BH42" s="108">
        <f t="shared" si="28"/>
        <v>27</v>
      </c>
      <c r="BI42" s="108">
        <f t="shared" si="23"/>
        <v>27</v>
      </c>
      <c r="BJ42" s="22">
        <f t="shared" si="24"/>
        <v>45874</v>
      </c>
      <c r="BK42" s="108">
        <f t="shared" si="3"/>
        <v>22562</v>
      </c>
    </row>
    <row r="43" spans="1:1217" s="16" customFormat="1" ht="14.25" x14ac:dyDescent="0.3">
      <c r="A43" s="178"/>
      <c r="B43" s="178"/>
      <c r="C43" s="524"/>
      <c r="D43" s="178"/>
      <c r="E43" s="178"/>
      <c r="F43" s="178"/>
      <c r="G43" s="244">
        <f t="shared" si="25"/>
        <v>35</v>
      </c>
      <c r="H43" s="245">
        <f t="shared" si="4"/>
        <v>45905</v>
      </c>
      <c r="I43" s="246">
        <f t="shared" si="5"/>
        <v>4.9000000000000002E-2</v>
      </c>
      <c r="J43" s="242">
        <f t="shared" si="6"/>
        <v>22562</v>
      </c>
      <c r="K43" s="242">
        <f t="shared" si="20"/>
        <v>22562</v>
      </c>
      <c r="L43" s="242">
        <f t="shared" si="7"/>
        <v>2312.0578531811334</v>
      </c>
      <c r="M43" s="242">
        <f t="shared" si="21"/>
        <v>20249.942146818867</v>
      </c>
      <c r="N43" s="242">
        <f t="shared" si="1"/>
        <v>0</v>
      </c>
      <c r="O43" s="242">
        <v>0</v>
      </c>
      <c r="P43" s="242">
        <f t="shared" si="22"/>
        <v>2312.0578531811334</v>
      </c>
      <c r="Q43" s="242">
        <f t="shared" si="29"/>
        <v>0</v>
      </c>
      <c r="R43" s="242">
        <f t="shared" si="8"/>
        <v>0</v>
      </c>
      <c r="S43" s="242">
        <f t="shared" si="9"/>
        <v>535313.66312712035</v>
      </c>
      <c r="T43" s="467"/>
      <c r="U43" s="198">
        <f t="shared" si="26"/>
        <v>26</v>
      </c>
      <c r="V43" s="36">
        <f t="shared" si="10"/>
        <v>26</v>
      </c>
      <c r="X43" s="34">
        <f>IF(OR(C8="Гарантия стандарт",C8="Гарантия пакет"),AH65*AH79*$C$10,0)</f>
        <v>0</v>
      </c>
      <c r="Y43" s="57">
        <f>H8</f>
        <v>44839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1"/>
        <v>1</v>
      </c>
      <c r="AP43" s="553">
        <f t="shared" si="27"/>
        <v>35</v>
      </c>
      <c r="AQ43" s="554">
        <f t="shared" si="12"/>
        <v>45905</v>
      </c>
      <c r="AR43" s="555">
        <f t="shared" si="2"/>
        <v>0.13900000000000001</v>
      </c>
      <c r="AS43" s="546">
        <f t="shared" si="13"/>
        <v>23217</v>
      </c>
      <c r="AT43" s="546">
        <f t="shared" si="14"/>
        <v>23217</v>
      </c>
      <c r="AU43" s="546">
        <f t="shared" si="15"/>
        <v>6126.27862689832</v>
      </c>
      <c r="AV43" s="546">
        <f t="shared" si="16"/>
        <v>17090.721373101682</v>
      </c>
      <c r="AW43" s="546"/>
      <c r="AX43" s="546">
        <v>0</v>
      </c>
      <c r="AY43" s="546">
        <f t="shared" si="17"/>
        <v>6126.27862689832</v>
      </c>
      <c r="AZ43" s="546">
        <f t="shared" si="32"/>
        <v>0</v>
      </c>
      <c r="BA43" s="546">
        <f t="shared" si="30"/>
        <v>0</v>
      </c>
      <c r="BB43" s="546"/>
      <c r="BC43" s="546"/>
      <c r="BD43" s="546"/>
      <c r="BE43" s="546"/>
      <c r="BF43" s="546"/>
      <c r="BG43" s="546">
        <f t="shared" si="19"/>
        <v>501844.46052940155</v>
      </c>
      <c r="BH43" s="108">
        <f t="shared" si="28"/>
        <v>26</v>
      </c>
      <c r="BI43" s="108">
        <f t="shared" si="23"/>
        <v>26</v>
      </c>
      <c r="BJ43" s="22">
        <f t="shared" si="24"/>
        <v>45905</v>
      </c>
      <c r="BK43" s="108">
        <f t="shared" si="3"/>
        <v>22562</v>
      </c>
    </row>
    <row r="44" spans="1:1217" s="16" customFormat="1" ht="15.75" customHeight="1" thickBot="1" x14ac:dyDescent="0.35">
      <c r="A44" s="178"/>
      <c r="B44" s="178"/>
      <c r="C44" s="524"/>
      <c r="D44" s="178"/>
      <c r="E44" s="178"/>
      <c r="F44" s="178"/>
      <c r="G44" s="248">
        <f t="shared" si="25"/>
        <v>36</v>
      </c>
      <c r="H44" s="581">
        <f t="shared" si="4"/>
        <v>45935</v>
      </c>
      <c r="I44" s="250">
        <f t="shared" si="5"/>
        <v>4.9000000000000002E-2</v>
      </c>
      <c r="J44" s="252">
        <f t="shared" si="6"/>
        <v>22562</v>
      </c>
      <c r="K44" s="252">
        <f t="shared" si="20"/>
        <v>22562</v>
      </c>
      <c r="L44" s="252">
        <f t="shared" si="7"/>
        <v>2155.9207802653891</v>
      </c>
      <c r="M44" s="252">
        <f t="shared" si="21"/>
        <v>20406.079219734609</v>
      </c>
      <c r="N44" s="252">
        <f t="shared" si="1"/>
        <v>0</v>
      </c>
      <c r="O44" s="252">
        <v>0</v>
      </c>
      <c r="P44" s="252">
        <f t="shared" si="22"/>
        <v>2155.9207802653891</v>
      </c>
      <c r="Q44" s="252">
        <f t="shared" si="29"/>
        <v>0</v>
      </c>
      <c r="R44" s="252">
        <f t="shared" si="8"/>
        <v>0</v>
      </c>
      <c r="S44" s="252">
        <f t="shared" si="9"/>
        <v>514907.58390738576</v>
      </c>
      <c r="T44" s="468"/>
      <c r="U44" s="198">
        <f t="shared" si="26"/>
        <v>25</v>
      </c>
      <c r="V44" s="36">
        <f t="shared" si="10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22562</v>
      </c>
      <c r="Y44" s="57">
        <f>Y43+365</f>
        <v>45204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1"/>
        <v>1</v>
      </c>
      <c r="AP44" s="556">
        <f t="shared" si="27"/>
        <v>36</v>
      </c>
      <c r="AQ44" s="582">
        <f t="shared" si="12"/>
        <v>45935</v>
      </c>
      <c r="AR44" s="557">
        <f t="shared" si="2"/>
        <v>0.13900000000000001</v>
      </c>
      <c r="AS44" s="547">
        <f t="shared" si="13"/>
        <v>23217</v>
      </c>
      <c r="AT44" s="547">
        <f t="shared" si="14"/>
        <v>23217</v>
      </c>
      <c r="AU44" s="547">
        <f t="shared" si="15"/>
        <v>5733.4010970071367</v>
      </c>
      <c r="AV44" s="547">
        <f t="shared" si="16"/>
        <v>17483.598902992864</v>
      </c>
      <c r="AW44" s="547"/>
      <c r="AX44" s="547">
        <v>0</v>
      </c>
      <c r="AY44" s="547">
        <f t="shared" si="17"/>
        <v>5733.4010970071367</v>
      </c>
      <c r="AZ44" s="547">
        <f t="shared" si="32"/>
        <v>0</v>
      </c>
      <c r="BA44" s="547">
        <f t="shared" si="30"/>
        <v>0</v>
      </c>
      <c r="BB44" s="547"/>
      <c r="BC44" s="547"/>
      <c r="BD44" s="547"/>
      <c r="BE44" s="547"/>
      <c r="BF44" s="547"/>
      <c r="BG44" s="547">
        <f t="shared" si="19"/>
        <v>484360.8616264087</v>
      </c>
      <c r="BH44" s="108">
        <f t="shared" si="28"/>
        <v>25</v>
      </c>
      <c r="BI44" s="108">
        <f t="shared" si="23"/>
        <v>25</v>
      </c>
      <c r="BJ44" s="22">
        <f t="shared" si="24"/>
        <v>45935</v>
      </c>
      <c r="BK44" s="108">
        <f t="shared" si="3"/>
        <v>22562</v>
      </c>
    </row>
    <row r="45" spans="1:1217" s="16" customFormat="1" ht="16.899999999999999" customHeight="1" x14ac:dyDescent="0.3">
      <c r="A45" s="178"/>
      <c r="B45" s="178"/>
      <c r="C45" s="184"/>
      <c r="D45" s="178"/>
      <c r="E45" s="178"/>
      <c r="F45" s="178"/>
      <c r="G45" s="244">
        <f t="shared" si="25"/>
        <v>37</v>
      </c>
      <c r="H45" s="245">
        <f t="shared" si="4"/>
        <v>45966</v>
      </c>
      <c r="I45" s="246">
        <f t="shared" si="5"/>
        <v>4.9000000000000002E-2</v>
      </c>
      <c r="J45" s="242">
        <f t="shared" si="6"/>
        <v>22562</v>
      </c>
      <c r="K45" s="242">
        <f t="shared" si="20"/>
        <v>22562</v>
      </c>
      <c r="L45" s="242">
        <f t="shared" si="7"/>
        <v>2142.8619724803261</v>
      </c>
      <c r="M45" s="242">
        <f t="shared" si="21"/>
        <v>20419.138027519675</v>
      </c>
      <c r="N45" s="242">
        <f t="shared" si="1"/>
        <v>0</v>
      </c>
      <c r="O45" s="242">
        <v>0</v>
      </c>
      <c r="P45" s="242">
        <f t="shared" si="22"/>
        <v>2142.8619724803261</v>
      </c>
      <c r="Q45" s="242">
        <f t="shared" si="29"/>
        <v>0</v>
      </c>
      <c r="R45" s="242">
        <f t="shared" si="8"/>
        <v>0</v>
      </c>
      <c r="S45" s="242">
        <f t="shared" si="9"/>
        <v>494488.44587986608</v>
      </c>
      <c r="T45" s="467"/>
      <c r="U45" s="198">
        <f t="shared" si="26"/>
        <v>24</v>
      </c>
      <c r="V45" s="36">
        <f t="shared" si="10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22562</v>
      </c>
      <c r="Y45" s="57">
        <f t="shared" ref="Y45:Y108" si="34">Y44+365</f>
        <v>45569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1"/>
        <v>1</v>
      </c>
      <c r="AP45" s="553">
        <f t="shared" si="27"/>
        <v>37</v>
      </c>
      <c r="AQ45" s="554">
        <f t="shared" si="12"/>
        <v>45966</v>
      </c>
      <c r="AR45" s="555">
        <f t="shared" si="2"/>
        <v>0.13900000000000001</v>
      </c>
      <c r="AS45" s="546">
        <f t="shared" si="13"/>
        <v>23217</v>
      </c>
      <c r="AT45" s="546">
        <f t="shared" si="14"/>
        <v>23217</v>
      </c>
      <c r="AU45" s="546">
        <f t="shared" si="15"/>
        <v>5718.1121993101242</v>
      </c>
      <c r="AV45" s="546">
        <f t="shared" si="16"/>
        <v>17498.887800689874</v>
      </c>
      <c r="AW45" s="546"/>
      <c r="AX45" s="546">
        <v>0</v>
      </c>
      <c r="AY45" s="546">
        <f t="shared" si="17"/>
        <v>5718.1121993101242</v>
      </c>
      <c r="AZ45" s="546">
        <f t="shared" si="32"/>
        <v>0</v>
      </c>
      <c r="BA45" s="546">
        <f t="shared" si="30"/>
        <v>0</v>
      </c>
      <c r="BB45" s="546"/>
      <c r="BC45" s="546"/>
      <c r="BD45" s="546"/>
      <c r="BE45" s="546"/>
      <c r="BF45" s="546"/>
      <c r="BG45" s="546">
        <f t="shared" si="19"/>
        <v>466861.97382571886</v>
      </c>
      <c r="BH45" s="108">
        <f t="shared" si="28"/>
        <v>24</v>
      </c>
      <c r="BI45" s="108">
        <f t="shared" si="23"/>
        <v>24</v>
      </c>
      <c r="BJ45" s="22">
        <f t="shared" si="24"/>
        <v>45966</v>
      </c>
      <c r="BK45" s="108">
        <f t="shared" si="3"/>
        <v>22562</v>
      </c>
    </row>
    <row r="46" spans="1:1217" s="16" customFormat="1" ht="41.25" customHeight="1" x14ac:dyDescent="0.3">
      <c r="A46" s="178"/>
      <c r="B46" s="178"/>
      <c r="C46" s="184"/>
      <c r="D46" s="178"/>
      <c r="E46" s="178"/>
      <c r="F46" s="178"/>
      <c r="G46" s="244">
        <f t="shared" si="25"/>
        <v>38</v>
      </c>
      <c r="H46" s="245">
        <f t="shared" si="4"/>
        <v>45996</v>
      </c>
      <c r="I46" s="246">
        <f t="shared" si="5"/>
        <v>4.9000000000000002E-2</v>
      </c>
      <c r="J46" s="242">
        <f t="shared" si="6"/>
        <v>22562</v>
      </c>
      <c r="K46" s="242">
        <f t="shared" si="20"/>
        <v>22562</v>
      </c>
      <c r="L46" s="242">
        <f t="shared" si="7"/>
        <v>1991.5014121737072</v>
      </c>
      <c r="M46" s="242">
        <f t="shared" si="21"/>
        <v>20570.498587826292</v>
      </c>
      <c r="N46" s="242">
        <f t="shared" si="1"/>
        <v>0</v>
      </c>
      <c r="O46" s="242">
        <v>0</v>
      </c>
      <c r="P46" s="242">
        <f t="shared" si="22"/>
        <v>1991.5014121737072</v>
      </c>
      <c r="Q46" s="242">
        <f t="shared" si="29"/>
        <v>0</v>
      </c>
      <c r="R46" s="242">
        <f t="shared" si="8"/>
        <v>0</v>
      </c>
      <c r="S46" s="242">
        <f t="shared" si="9"/>
        <v>473917.94729203981</v>
      </c>
      <c r="T46" s="467"/>
      <c r="U46" s="198">
        <f t="shared" si="26"/>
        <v>23</v>
      </c>
      <c r="V46" s="36">
        <f t="shared" si="10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35">IF(K11 &gt; 0, K11, 0)</f>
        <v>22562</v>
      </c>
      <c r="Y46" s="57">
        <f t="shared" si="34"/>
        <v>45934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-1000000</v>
      </c>
      <c r="AN46" s="57">
        <f>AQ8</f>
        <v>44839</v>
      </c>
      <c r="AO46" s="130">
        <f t="shared" si="11"/>
        <v>1</v>
      </c>
      <c r="AP46" s="553">
        <f t="shared" si="27"/>
        <v>38</v>
      </c>
      <c r="AQ46" s="554">
        <f t="shared" si="12"/>
        <v>45996</v>
      </c>
      <c r="AR46" s="555">
        <f t="shared" si="2"/>
        <v>0.13900000000000001</v>
      </c>
      <c r="AS46" s="546">
        <f t="shared" si="13"/>
        <v>23217</v>
      </c>
      <c r="AT46" s="546">
        <f t="shared" si="14"/>
        <v>23217</v>
      </c>
      <c r="AU46" s="546">
        <f t="shared" si="15"/>
        <v>5333.7381667212276</v>
      </c>
      <c r="AV46" s="546">
        <f t="shared" si="16"/>
        <v>17883.261833278772</v>
      </c>
      <c r="AW46" s="546"/>
      <c r="AX46" s="546">
        <v>0</v>
      </c>
      <c r="AY46" s="546">
        <f t="shared" si="17"/>
        <v>5333.7381667212276</v>
      </c>
      <c r="AZ46" s="546">
        <f t="shared" si="32"/>
        <v>0</v>
      </c>
      <c r="BA46" s="546">
        <f t="shared" si="30"/>
        <v>0</v>
      </c>
      <c r="BB46" s="546"/>
      <c r="BC46" s="546"/>
      <c r="BD46" s="546"/>
      <c r="BE46" s="546"/>
      <c r="BF46" s="546"/>
      <c r="BG46" s="546">
        <f t="shared" si="19"/>
        <v>448978.7119924401</v>
      </c>
      <c r="BH46" s="108">
        <f t="shared" si="28"/>
        <v>23</v>
      </c>
      <c r="BI46" s="108">
        <f t="shared" si="23"/>
        <v>23</v>
      </c>
      <c r="BJ46" s="22">
        <f t="shared" si="24"/>
        <v>45996</v>
      </c>
      <c r="BK46" s="108">
        <f t="shared" si="3"/>
        <v>22562</v>
      </c>
    </row>
    <row r="47" spans="1:1217" s="16" customFormat="1" ht="30.75" customHeight="1" x14ac:dyDescent="0.3">
      <c r="A47" s="178"/>
      <c r="B47" s="178"/>
      <c r="C47" s="184"/>
      <c r="D47" s="178"/>
      <c r="E47" s="178"/>
      <c r="F47" s="178"/>
      <c r="G47" s="244">
        <f t="shared" si="25"/>
        <v>39</v>
      </c>
      <c r="H47" s="245">
        <f t="shared" si="4"/>
        <v>46027</v>
      </c>
      <c r="I47" s="246">
        <f t="shared" si="5"/>
        <v>4.9000000000000002E-2</v>
      </c>
      <c r="J47" s="242">
        <f t="shared" si="6"/>
        <v>22562</v>
      </c>
      <c r="K47" s="242">
        <f t="shared" si="20"/>
        <v>22562</v>
      </c>
      <c r="L47" s="242">
        <f t="shared" si="7"/>
        <v>1972.2777039359137</v>
      </c>
      <c r="M47" s="242">
        <f t="shared" si="21"/>
        <v>20589.722296064087</v>
      </c>
      <c r="N47" s="242">
        <f t="shared" si="1"/>
        <v>0</v>
      </c>
      <c r="O47" s="242">
        <v>0</v>
      </c>
      <c r="P47" s="242">
        <f t="shared" si="22"/>
        <v>1972.2777039359137</v>
      </c>
      <c r="Q47" s="242">
        <f t="shared" si="29"/>
        <v>0</v>
      </c>
      <c r="R47" s="242">
        <f t="shared" si="8"/>
        <v>0</v>
      </c>
      <c r="S47" s="242">
        <f t="shared" si="9"/>
        <v>453328.22499597573</v>
      </c>
      <c r="T47" s="467"/>
      <c r="U47" s="198">
        <f t="shared" si="26"/>
        <v>22</v>
      </c>
      <c r="V47" s="36">
        <f t="shared" si="10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35"/>
        <v>22562</v>
      </c>
      <c r="Y47" s="57">
        <f t="shared" si="34"/>
        <v>46299</v>
      </c>
      <c r="Z47" s="5" t="s">
        <v>42</v>
      </c>
      <c r="AA47" s="8"/>
      <c r="AB47" s="17">
        <f>AC51/C7</f>
        <v>0.39301999999999998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44839</v>
      </c>
      <c r="AO47" s="130">
        <f t="shared" si="11"/>
        <v>1</v>
      </c>
      <c r="AP47" s="553">
        <f t="shared" si="27"/>
        <v>39</v>
      </c>
      <c r="AQ47" s="554">
        <f t="shared" si="12"/>
        <v>46027</v>
      </c>
      <c r="AR47" s="555">
        <f t="shared" si="2"/>
        <v>0.13900000000000001</v>
      </c>
      <c r="AS47" s="546">
        <f t="shared" si="13"/>
        <v>23217</v>
      </c>
      <c r="AT47" s="546">
        <f t="shared" si="14"/>
        <v>23217</v>
      </c>
      <c r="AU47" s="546">
        <f t="shared" si="15"/>
        <v>5300.4089588367797</v>
      </c>
      <c r="AV47" s="546">
        <f t="shared" si="16"/>
        <v>17916.591041163221</v>
      </c>
      <c r="AW47" s="546"/>
      <c r="AX47" s="546">
        <v>0</v>
      </c>
      <c r="AY47" s="546">
        <f t="shared" si="17"/>
        <v>5300.4089588367797</v>
      </c>
      <c r="AZ47" s="546">
        <f t="shared" si="32"/>
        <v>0</v>
      </c>
      <c r="BA47" s="546">
        <f t="shared" si="30"/>
        <v>0</v>
      </c>
      <c r="BB47" s="546"/>
      <c r="BC47" s="546"/>
      <c r="BD47" s="546"/>
      <c r="BE47" s="546"/>
      <c r="BF47" s="546"/>
      <c r="BG47" s="546">
        <f t="shared" si="19"/>
        <v>431062.12095127685</v>
      </c>
      <c r="BH47" s="108">
        <f t="shared" si="28"/>
        <v>22</v>
      </c>
      <c r="BI47" s="108">
        <f t="shared" si="23"/>
        <v>22</v>
      </c>
      <c r="BJ47" s="22">
        <f t="shared" si="24"/>
        <v>46027</v>
      </c>
      <c r="BK47" s="108">
        <f t="shared" si="3"/>
        <v>22562</v>
      </c>
    </row>
    <row r="48" spans="1:1217" s="16" customFormat="1" ht="44.25" customHeight="1" x14ac:dyDescent="0.3">
      <c r="A48" s="178"/>
      <c r="B48" s="178"/>
      <c r="C48" s="184"/>
      <c r="D48" s="178"/>
      <c r="E48" s="178"/>
      <c r="F48" s="178"/>
      <c r="G48" s="244">
        <f t="shared" si="25"/>
        <v>40</v>
      </c>
      <c r="H48" s="245">
        <f t="shared" si="4"/>
        <v>46058</v>
      </c>
      <c r="I48" s="246">
        <f t="shared" si="5"/>
        <v>4.9000000000000002E-2</v>
      </c>
      <c r="J48" s="242">
        <f t="shared" si="6"/>
        <v>22562</v>
      </c>
      <c r="K48" s="242">
        <f t="shared" si="20"/>
        <v>22562</v>
      </c>
      <c r="L48" s="242">
        <f t="shared" si="7"/>
        <v>1886.5906130654444</v>
      </c>
      <c r="M48" s="242">
        <f t="shared" si="21"/>
        <v>20675.409386934556</v>
      </c>
      <c r="N48" s="242">
        <f t="shared" si="1"/>
        <v>0</v>
      </c>
      <c r="O48" s="242">
        <v>0</v>
      </c>
      <c r="P48" s="242">
        <f t="shared" si="22"/>
        <v>1886.5906130654444</v>
      </c>
      <c r="Q48" s="242">
        <f t="shared" si="29"/>
        <v>0</v>
      </c>
      <c r="R48" s="242">
        <f t="shared" si="8"/>
        <v>0</v>
      </c>
      <c r="S48" s="242">
        <f t="shared" si="9"/>
        <v>432652.81560904119</v>
      </c>
      <c r="T48" s="467"/>
      <c r="U48" s="198">
        <f t="shared" si="26"/>
        <v>21</v>
      </c>
      <c r="V48" s="36">
        <f t="shared" si="10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35"/>
        <v>22562</v>
      </c>
      <c r="Y48" s="57">
        <f t="shared" si="34"/>
        <v>46664</v>
      </c>
      <c r="Z48" s="5"/>
      <c r="AA48" s="8"/>
      <c r="AB48" s="17">
        <f>IF(C8=AC59,AC65,IF(C8=AD59,AD65,IF(C8=AF59,AF65,IF(C8=AG59,AG65,IF(C8=AE59,AE65,IF(C8=AH59,AH65,IF(C8=AI59,AI65,IF(C8=AJ59,AJ65,Y23))))))))</f>
        <v>1</v>
      </c>
      <c r="AC48" s="39">
        <f>C7*(1-AC47)</f>
        <v>1000000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23217</v>
      </c>
      <c r="AN48" s="57">
        <f>AN47+365</f>
        <v>45204</v>
      </c>
      <c r="AO48" s="130">
        <f t="shared" si="11"/>
        <v>1</v>
      </c>
      <c r="AP48" s="553">
        <f t="shared" si="27"/>
        <v>40</v>
      </c>
      <c r="AQ48" s="554">
        <f t="shared" si="12"/>
        <v>46058</v>
      </c>
      <c r="AR48" s="555">
        <f t="shared" si="2"/>
        <v>0.13900000000000001</v>
      </c>
      <c r="AS48" s="546">
        <f t="shared" si="13"/>
        <v>23217</v>
      </c>
      <c r="AT48" s="546">
        <f t="shared" si="14"/>
        <v>23217</v>
      </c>
      <c r="AU48" s="546">
        <f t="shared" si="15"/>
        <v>5088.8950114494573</v>
      </c>
      <c r="AV48" s="546">
        <f t="shared" si="16"/>
        <v>18128.104988550542</v>
      </c>
      <c r="AW48" s="546"/>
      <c r="AX48" s="546">
        <v>0</v>
      </c>
      <c r="AY48" s="546">
        <f t="shared" si="17"/>
        <v>5088.8950114494573</v>
      </c>
      <c r="AZ48" s="546">
        <f t="shared" si="32"/>
        <v>0</v>
      </c>
      <c r="BA48" s="546">
        <f t="shared" si="30"/>
        <v>0</v>
      </c>
      <c r="BB48" s="546"/>
      <c r="BC48" s="546"/>
      <c r="BD48" s="546"/>
      <c r="BE48" s="546"/>
      <c r="BF48" s="546"/>
      <c r="BG48" s="546">
        <f t="shared" si="19"/>
        <v>412934.01596272632</v>
      </c>
      <c r="BH48" s="108">
        <f t="shared" si="28"/>
        <v>21</v>
      </c>
      <c r="BI48" s="108">
        <f t="shared" si="23"/>
        <v>21</v>
      </c>
      <c r="BJ48" s="22">
        <f t="shared" si="24"/>
        <v>46058</v>
      </c>
      <c r="BK48" s="108">
        <f t="shared" si="3"/>
        <v>22562</v>
      </c>
    </row>
    <row r="49" spans="1:64" s="16" customFormat="1" ht="55.15" customHeight="1" x14ac:dyDescent="0.3">
      <c r="A49" s="178"/>
      <c r="B49" s="178"/>
      <c r="C49" s="184"/>
      <c r="D49" s="178"/>
      <c r="E49" s="178"/>
      <c r="F49" s="180"/>
      <c r="G49" s="244">
        <f t="shared" si="25"/>
        <v>41</v>
      </c>
      <c r="H49" s="245">
        <f t="shared" si="4"/>
        <v>46086</v>
      </c>
      <c r="I49" s="246">
        <f t="shared" si="5"/>
        <v>4.9000000000000002E-2</v>
      </c>
      <c r="J49" s="242">
        <f t="shared" si="6"/>
        <v>22562</v>
      </c>
      <c r="K49" s="242">
        <f t="shared" si="20"/>
        <v>22562</v>
      </c>
      <c r="L49" s="242">
        <f t="shared" si="7"/>
        <v>1626.3004466180946</v>
      </c>
      <c r="M49" s="242">
        <f t="shared" si="21"/>
        <v>20935.699553381906</v>
      </c>
      <c r="N49" s="242">
        <f t="shared" si="1"/>
        <v>0</v>
      </c>
      <c r="O49" s="242">
        <v>0</v>
      </c>
      <c r="P49" s="242">
        <f t="shared" si="22"/>
        <v>1626.3004466180946</v>
      </c>
      <c r="Q49" s="242">
        <f t="shared" si="29"/>
        <v>0</v>
      </c>
      <c r="R49" s="242">
        <f t="shared" si="8"/>
        <v>0</v>
      </c>
      <c r="S49" s="242">
        <f t="shared" si="9"/>
        <v>411717.11605565931</v>
      </c>
      <c r="T49" s="467"/>
      <c r="U49" s="198">
        <f t="shared" si="26"/>
        <v>20</v>
      </c>
      <c r="V49" s="36">
        <f t="shared" si="10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35"/>
        <v>22562</v>
      </c>
      <c r="Y49" s="57">
        <f t="shared" si="34"/>
        <v>47029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27840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23217</v>
      </c>
      <c r="AN49" s="57">
        <f t="shared" ref="AN49:AN112" si="36">AN48+365</f>
        <v>45569</v>
      </c>
      <c r="AO49" s="130">
        <f t="shared" si="11"/>
        <v>1</v>
      </c>
      <c r="AP49" s="553">
        <f t="shared" si="27"/>
        <v>41</v>
      </c>
      <c r="AQ49" s="554">
        <f t="shared" si="12"/>
        <v>46086</v>
      </c>
      <c r="AR49" s="555">
        <f t="shared" si="2"/>
        <v>0.13900000000000001</v>
      </c>
      <c r="AS49" s="546">
        <f t="shared" si="13"/>
        <v>23217</v>
      </c>
      <c r="AT49" s="546">
        <f t="shared" si="14"/>
        <v>23217</v>
      </c>
      <c r="AU49" s="546">
        <f t="shared" si="15"/>
        <v>4403.1210688409074</v>
      </c>
      <c r="AV49" s="546">
        <f t="shared" si="16"/>
        <v>18813.878931159092</v>
      </c>
      <c r="AW49" s="546"/>
      <c r="AX49" s="546">
        <v>0</v>
      </c>
      <c r="AY49" s="546">
        <f t="shared" si="17"/>
        <v>4403.1210688409074</v>
      </c>
      <c r="AZ49" s="546">
        <f t="shared" si="32"/>
        <v>0</v>
      </c>
      <c r="BA49" s="546">
        <f t="shared" si="30"/>
        <v>0</v>
      </c>
      <c r="BB49" s="546"/>
      <c r="BC49" s="546"/>
      <c r="BD49" s="546"/>
      <c r="BE49" s="546"/>
      <c r="BF49" s="546"/>
      <c r="BG49" s="546">
        <f t="shared" si="19"/>
        <v>394120.13703156722</v>
      </c>
      <c r="BH49" s="108">
        <f t="shared" si="28"/>
        <v>20</v>
      </c>
      <c r="BI49" s="108">
        <f t="shared" si="23"/>
        <v>20</v>
      </c>
      <c r="BJ49" s="22">
        <f t="shared" si="24"/>
        <v>46086</v>
      </c>
      <c r="BK49" s="108">
        <f t="shared" si="3"/>
        <v>22562</v>
      </c>
    </row>
    <row r="50" spans="1:64" s="16" customFormat="1" ht="55.5" customHeight="1" thickBot="1" x14ac:dyDescent="0.35">
      <c r="A50" s="178"/>
      <c r="B50" s="178"/>
      <c r="C50" s="184"/>
      <c r="D50" s="178"/>
      <c r="E50" s="178"/>
      <c r="F50" s="180"/>
      <c r="G50" s="244">
        <f t="shared" si="25"/>
        <v>42</v>
      </c>
      <c r="H50" s="245">
        <f t="shared" si="4"/>
        <v>46117</v>
      </c>
      <c r="I50" s="246">
        <f t="shared" si="5"/>
        <v>4.9000000000000002E-2</v>
      </c>
      <c r="J50" s="242">
        <f t="shared" si="6"/>
        <v>22562</v>
      </c>
      <c r="K50" s="242">
        <f t="shared" si="20"/>
        <v>22562</v>
      </c>
      <c r="L50" s="242">
        <f t="shared" si="7"/>
        <v>1713.4199980508124</v>
      </c>
      <c r="M50" s="242">
        <f t="shared" si="21"/>
        <v>20848.580001949187</v>
      </c>
      <c r="N50" s="242">
        <f t="shared" si="1"/>
        <v>0</v>
      </c>
      <c r="O50" s="242">
        <v>0</v>
      </c>
      <c r="P50" s="242">
        <f t="shared" si="22"/>
        <v>1713.4199980508124</v>
      </c>
      <c r="Q50" s="242">
        <f t="shared" si="29"/>
        <v>0</v>
      </c>
      <c r="R50" s="242">
        <f t="shared" si="8"/>
        <v>0</v>
      </c>
      <c r="S50" s="242">
        <f t="shared" si="9"/>
        <v>390868.53605371015</v>
      </c>
      <c r="T50" s="467"/>
      <c r="U50" s="198">
        <f t="shared" si="26"/>
        <v>19</v>
      </c>
      <c r="V50" s="36">
        <f t="shared" si="10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35"/>
        <v>22562</v>
      </c>
      <c r="Y50" s="57">
        <f t="shared" si="34"/>
        <v>47394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37">AT11</f>
        <v>23217</v>
      </c>
      <c r="AN50" s="57">
        <f t="shared" si="36"/>
        <v>45934</v>
      </c>
      <c r="AO50" s="130">
        <f t="shared" si="11"/>
        <v>1</v>
      </c>
      <c r="AP50" s="553">
        <f t="shared" si="27"/>
        <v>42</v>
      </c>
      <c r="AQ50" s="554">
        <f t="shared" si="12"/>
        <v>46117</v>
      </c>
      <c r="AR50" s="555">
        <f t="shared" si="2"/>
        <v>0.13900000000000001</v>
      </c>
      <c r="AS50" s="546">
        <f t="shared" si="13"/>
        <v>23217</v>
      </c>
      <c r="AT50" s="546">
        <f t="shared" si="14"/>
        <v>23217</v>
      </c>
      <c r="AU50" s="546">
        <f t="shared" si="15"/>
        <v>4652.7771793671873</v>
      </c>
      <c r="AV50" s="546">
        <f t="shared" si="16"/>
        <v>18564.222820632815</v>
      </c>
      <c r="AW50" s="546"/>
      <c r="AX50" s="546">
        <v>0</v>
      </c>
      <c r="AY50" s="546">
        <f t="shared" si="17"/>
        <v>4652.7771793671873</v>
      </c>
      <c r="AZ50" s="546">
        <f t="shared" si="32"/>
        <v>0</v>
      </c>
      <c r="BA50" s="546">
        <f t="shared" si="30"/>
        <v>0</v>
      </c>
      <c r="BB50" s="546"/>
      <c r="BC50" s="546"/>
      <c r="BD50" s="546"/>
      <c r="BE50" s="546"/>
      <c r="BF50" s="546"/>
      <c r="BG50" s="546">
        <f t="shared" si="19"/>
        <v>375555.91421093442</v>
      </c>
      <c r="BH50" s="108">
        <f t="shared" si="28"/>
        <v>19</v>
      </c>
      <c r="BI50" s="108">
        <f t="shared" si="23"/>
        <v>19</v>
      </c>
      <c r="BJ50" s="22">
        <f t="shared" si="24"/>
        <v>46117</v>
      </c>
      <c r="BK50" s="108">
        <f t="shared" si="3"/>
        <v>22562</v>
      </c>
    </row>
    <row r="51" spans="1:64" s="16" customFormat="1" ht="19.5" customHeight="1" x14ac:dyDescent="0.3">
      <c r="A51" s="178"/>
      <c r="B51" s="178"/>
      <c r="C51" s="525"/>
      <c r="D51" s="182"/>
      <c r="E51" s="178"/>
      <c r="F51" s="178"/>
      <c r="G51" s="244">
        <f t="shared" si="25"/>
        <v>43</v>
      </c>
      <c r="H51" s="245">
        <f t="shared" si="4"/>
        <v>46147</v>
      </c>
      <c r="I51" s="246">
        <f t="shared" si="5"/>
        <v>4.9000000000000002E-2</v>
      </c>
      <c r="J51" s="242">
        <f t="shared" si="6"/>
        <v>22562</v>
      </c>
      <c r="K51" s="242">
        <f t="shared" si="20"/>
        <v>22562</v>
      </c>
      <c r="L51" s="242">
        <f t="shared" si="7"/>
        <v>1574.1828712300107</v>
      </c>
      <c r="M51" s="242">
        <f t="shared" si="21"/>
        <v>20987.817128769988</v>
      </c>
      <c r="N51" s="242">
        <f t="shared" si="1"/>
        <v>0</v>
      </c>
      <c r="O51" s="242">
        <v>0</v>
      </c>
      <c r="P51" s="242">
        <f t="shared" si="22"/>
        <v>1574.1828712300107</v>
      </c>
      <c r="Q51" s="242">
        <f t="shared" si="29"/>
        <v>0</v>
      </c>
      <c r="R51" s="242">
        <f t="shared" si="8"/>
        <v>0</v>
      </c>
      <c r="S51" s="242">
        <f t="shared" si="9"/>
        <v>369880.71892494016</v>
      </c>
      <c r="T51" s="467"/>
      <c r="U51" s="198">
        <f t="shared" si="26"/>
        <v>18</v>
      </c>
      <c r="V51" s="36">
        <f t="shared" si="10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35"/>
        <v>22562</v>
      </c>
      <c r="Y51" s="57">
        <f t="shared" si="34"/>
        <v>47759</v>
      </c>
      <c r="Z51" s="11" t="s">
        <v>18</v>
      </c>
      <c r="AA51" s="11"/>
      <c r="AB51" s="11"/>
      <c r="AC51" s="42">
        <f>(D22-C7)</f>
        <v>393020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37"/>
        <v>23217</v>
      </c>
      <c r="AN51" s="57">
        <f t="shared" si="36"/>
        <v>46299</v>
      </c>
      <c r="AO51" s="130">
        <f t="shared" si="11"/>
        <v>1</v>
      </c>
      <c r="AP51" s="553">
        <f t="shared" si="27"/>
        <v>43</v>
      </c>
      <c r="AQ51" s="554">
        <f t="shared" si="12"/>
        <v>46147</v>
      </c>
      <c r="AR51" s="555">
        <f t="shared" si="2"/>
        <v>0.13900000000000001</v>
      </c>
      <c r="AS51" s="546">
        <f t="shared" si="13"/>
        <v>23217</v>
      </c>
      <c r="AT51" s="546">
        <f t="shared" si="14"/>
        <v>23217</v>
      </c>
      <c r="AU51" s="546">
        <f t="shared" si="15"/>
        <v>4290.5977048208133</v>
      </c>
      <c r="AV51" s="546">
        <f t="shared" si="16"/>
        <v>18926.402295179185</v>
      </c>
      <c r="AW51" s="546"/>
      <c r="AX51" s="546">
        <v>0</v>
      </c>
      <c r="AY51" s="546">
        <f t="shared" si="17"/>
        <v>4290.5977048208133</v>
      </c>
      <c r="AZ51" s="546">
        <f t="shared" si="32"/>
        <v>0</v>
      </c>
      <c r="BA51" s="546">
        <f t="shared" si="30"/>
        <v>0</v>
      </c>
      <c r="BB51" s="546"/>
      <c r="BC51" s="546"/>
      <c r="BD51" s="546"/>
      <c r="BE51" s="546"/>
      <c r="BF51" s="546"/>
      <c r="BG51" s="546">
        <f t="shared" si="19"/>
        <v>356629.51191575523</v>
      </c>
      <c r="BH51" s="108">
        <f t="shared" si="28"/>
        <v>18</v>
      </c>
      <c r="BI51" s="108">
        <f t="shared" si="23"/>
        <v>18</v>
      </c>
      <c r="BJ51" s="22">
        <f t="shared" si="24"/>
        <v>46147</v>
      </c>
      <c r="BK51" s="108">
        <f t="shared" si="3"/>
        <v>22562</v>
      </c>
    </row>
    <row r="52" spans="1:64" s="16" customFormat="1" ht="24" customHeight="1" x14ac:dyDescent="0.3">
      <c r="A52" s="178"/>
      <c r="B52" s="178"/>
      <c r="C52" s="184"/>
      <c r="D52" s="182"/>
      <c r="E52" s="178"/>
      <c r="F52" s="178"/>
      <c r="G52" s="244">
        <f t="shared" si="25"/>
        <v>44</v>
      </c>
      <c r="H52" s="245">
        <f t="shared" si="4"/>
        <v>46178</v>
      </c>
      <c r="I52" s="246">
        <f t="shared" si="5"/>
        <v>4.9000000000000002E-2</v>
      </c>
      <c r="J52" s="242">
        <f t="shared" si="6"/>
        <v>22562</v>
      </c>
      <c r="K52" s="242">
        <f t="shared" si="20"/>
        <v>22562</v>
      </c>
      <c r="L52" s="242">
        <f t="shared" si="7"/>
        <v>1539.3118138273537</v>
      </c>
      <c r="M52" s="242">
        <f t="shared" si="21"/>
        <v>21022.688186172647</v>
      </c>
      <c r="N52" s="242">
        <f t="shared" si="1"/>
        <v>0</v>
      </c>
      <c r="O52" s="242">
        <v>0</v>
      </c>
      <c r="P52" s="242">
        <f t="shared" si="22"/>
        <v>1539.3118138273537</v>
      </c>
      <c r="Q52" s="242">
        <f t="shared" si="29"/>
        <v>0</v>
      </c>
      <c r="R52" s="242">
        <f t="shared" si="8"/>
        <v>0</v>
      </c>
      <c r="S52" s="242">
        <f t="shared" si="9"/>
        <v>348858.03073876753</v>
      </c>
      <c r="T52" s="467"/>
      <c r="U52" s="198">
        <f t="shared" si="26"/>
        <v>17</v>
      </c>
      <c r="V52" s="36">
        <f t="shared" si="10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35"/>
        <v>22562</v>
      </c>
      <c r="Y52" s="57">
        <f t="shared" si="34"/>
        <v>48124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37"/>
        <v>23217</v>
      </c>
      <c r="AN52" s="57">
        <f t="shared" si="36"/>
        <v>46664</v>
      </c>
      <c r="AO52" s="130">
        <f t="shared" si="11"/>
        <v>1</v>
      </c>
      <c r="AP52" s="553">
        <f t="shared" si="27"/>
        <v>44</v>
      </c>
      <c r="AQ52" s="554">
        <f t="shared" si="12"/>
        <v>46178</v>
      </c>
      <c r="AR52" s="555">
        <f t="shared" si="2"/>
        <v>0.13900000000000001</v>
      </c>
      <c r="AS52" s="546">
        <f t="shared" si="13"/>
        <v>23217</v>
      </c>
      <c r="AT52" s="546">
        <f t="shared" si="14"/>
        <v>23217</v>
      </c>
      <c r="AU52" s="546">
        <f t="shared" si="15"/>
        <v>4210.1823749177793</v>
      </c>
      <c r="AV52" s="546">
        <f t="shared" si="16"/>
        <v>19006.817625082222</v>
      </c>
      <c r="AW52" s="546"/>
      <c r="AX52" s="546">
        <v>0</v>
      </c>
      <c r="AY52" s="546">
        <f t="shared" si="17"/>
        <v>4210.1823749177793</v>
      </c>
      <c r="AZ52" s="546">
        <f t="shared" si="32"/>
        <v>0</v>
      </c>
      <c r="BA52" s="546">
        <f t="shared" si="30"/>
        <v>0</v>
      </c>
      <c r="BB52" s="546"/>
      <c r="BC52" s="546"/>
      <c r="BD52" s="546"/>
      <c r="BE52" s="546"/>
      <c r="BF52" s="546"/>
      <c r="BG52" s="546">
        <f t="shared" si="19"/>
        <v>337622.69429067301</v>
      </c>
      <c r="BH52" s="108">
        <f t="shared" si="28"/>
        <v>17</v>
      </c>
      <c r="BI52" s="108">
        <f t="shared" si="23"/>
        <v>17</v>
      </c>
      <c r="BJ52" s="22">
        <f t="shared" si="24"/>
        <v>46178</v>
      </c>
      <c r="BK52" s="108">
        <f t="shared" si="3"/>
        <v>22562</v>
      </c>
    </row>
    <row r="53" spans="1:64" s="16" customFormat="1" ht="24" customHeight="1" x14ac:dyDescent="0.3">
      <c r="A53" s="178"/>
      <c r="B53" s="178"/>
      <c r="C53" s="184"/>
      <c r="D53" s="178"/>
      <c r="E53" s="178"/>
      <c r="F53" s="178"/>
      <c r="G53" s="244">
        <f t="shared" si="25"/>
        <v>45</v>
      </c>
      <c r="H53" s="245">
        <f t="shared" si="4"/>
        <v>46208</v>
      </c>
      <c r="I53" s="246">
        <f t="shared" si="5"/>
        <v>4.9000000000000002E-2</v>
      </c>
      <c r="J53" s="242">
        <f t="shared" si="6"/>
        <v>22562</v>
      </c>
      <c r="K53" s="242">
        <f t="shared" si="20"/>
        <v>22562</v>
      </c>
      <c r="L53" s="242">
        <f t="shared" si="7"/>
        <v>1404.9898772218858</v>
      </c>
      <c r="M53" s="242">
        <f t="shared" si="21"/>
        <v>21157.010122778112</v>
      </c>
      <c r="N53" s="242">
        <f t="shared" si="1"/>
        <v>0</v>
      </c>
      <c r="O53" s="242">
        <v>0</v>
      </c>
      <c r="P53" s="242">
        <f t="shared" si="22"/>
        <v>1404.9898772218858</v>
      </c>
      <c r="Q53" s="242">
        <f t="shared" si="29"/>
        <v>0</v>
      </c>
      <c r="R53" s="242">
        <f t="shared" si="8"/>
        <v>0</v>
      </c>
      <c r="S53" s="242">
        <f t="shared" si="9"/>
        <v>327701.0206159894</v>
      </c>
      <c r="T53" s="467"/>
      <c r="U53" s="198">
        <f t="shared" si="26"/>
        <v>16</v>
      </c>
      <c r="V53" s="36">
        <f t="shared" si="10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35"/>
        <v>22562</v>
      </c>
      <c r="Y53" s="57">
        <f t="shared" si="34"/>
        <v>48489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37"/>
        <v>23217</v>
      </c>
      <c r="AN53" s="57">
        <f t="shared" si="36"/>
        <v>47029</v>
      </c>
      <c r="AO53" s="130">
        <f t="shared" si="11"/>
        <v>1</v>
      </c>
      <c r="AP53" s="553">
        <f t="shared" si="27"/>
        <v>45</v>
      </c>
      <c r="AQ53" s="554">
        <f t="shared" si="12"/>
        <v>46208</v>
      </c>
      <c r="AR53" s="555">
        <f t="shared" si="2"/>
        <v>0.13900000000000001</v>
      </c>
      <c r="AS53" s="546">
        <f t="shared" si="13"/>
        <v>23217</v>
      </c>
      <c r="AT53" s="546">
        <f t="shared" si="14"/>
        <v>23217</v>
      </c>
      <c r="AU53" s="546">
        <f t="shared" si="15"/>
        <v>3857.2236580605663</v>
      </c>
      <c r="AV53" s="546">
        <f t="shared" si="16"/>
        <v>19359.776341939432</v>
      </c>
      <c r="AW53" s="546"/>
      <c r="AX53" s="546">
        <v>0</v>
      </c>
      <c r="AY53" s="546">
        <f t="shared" si="17"/>
        <v>3857.2236580605663</v>
      </c>
      <c r="AZ53" s="546">
        <f t="shared" si="32"/>
        <v>0</v>
      </c>
      <c r="BA53" s="546">
        <f t="shared" si="30"/>
        <v>0</v>
      </c>
      <c r="BB53" s="546"/>
      <c r="BC53" s="546"/>
      <c r="BD53" s="546"/>
      <c r="BE53" s="546"/>
      <c r="BF53" s="546"/>
      <c r="BG53" s="546">
        <f t="shared" si="19"/>
        <v>318262.91794873355</v>
      </c>
      <c r="BH53" s="108">
        <f t="shared" si="28"/>
        <v>16</v>
      </c>
      <c r="BI53" s="108">
        <f t="shared" si="23"/>
        <v>16</v>
      </c>
      <c r="BJ53" s="22">
        <f t="shared" si="24"/>
        <v>46208</v>
      </c>
      <c r="BK53" s="108">
        <f t="shared" si="3"/>
        <v>22562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5"/>
        <v>46</v>
      </c>
      <c r="H54" s="245">
        <f t="shared" si="4"/>
        <v>46239</v>
      </c>
      <c r="I54" s="246">
        <f t="shared" si="5"/>
        <v>4.9000000000000002E-2</v>
      </c>
      <c r="J54" s="242">
        <f t="shared" si="6"/>
        <v>22562</v>
      </c>
      <c r="K54" s="242">
        <f t="shared" si="20"/>
        <v>22562</v>
      </c>
      <c r="L54" s="242">
        <f t="shared" si="7"/>
        <v>1363.7749323717478</v>
      </c>
      <c r="M54" s="242">
        <f t="shared" si="21"/>
        <v>21198.225067628253</v>
      </c>
      <c r="N54" s="242">
        <f t="shared" si="1"/>
        <v>0</v>
      </c>
      <c r="O54" s="242">
        <v>0</v>
      </c>
      <c r="P54" s="242">
        <f t="shared" si="22"/>
        <v>1363.7749323717478</v>
      </c>
      <c r="Q54" s="242">
        <f t="shared" si="29"/>
        <v>0</v>
      </c>
      <c r="R54" s="242">
        <f t="shared" si="8"/>
        <v>0</v>
      </c>
      <c r="S54" s="242">
        <f t="shared" si="9"/>
        <v>306502.79554836114</v>
      </c>
      <c r="T54" s="467"/>
      <c r="U54" s="198">
        <f t="shared" si="26"/>
        <v>15</v>
      </c>
      <c r="V54" s="36">
        <f t="shared" si="10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35"/>
        <v>22562</v>
      </c>
      <c r="Y54" s="57">
        <f t="shared" si="34"/>
        <v>48854</v>
      </c>
      <c r="Z54" s="2"/>
      <c r="AA54" s="2"/>
      <c r="AB54" s="2"/>
      <c r="AC54" s="1"/>
      <c r="AD54" s="7">
        <f>H8</f>
        <v>44839</v>
      </c>
      <c r="AE54" s="47">
        <f>(C18+AI51)*AG36/12*(1+AG36/12)^(C10)/((1+AG36/12)^(C10)-1)+C18/10000*IF(C10&lt;11,20,IF(C10&lt;20,2.5,IF(C10&lt;37,1.5,IF(C10&lt;60,0.7,0.5))))*IF(AG36&lt;0.3,AG36/0.2,AG36/0.1)</f>
        <v>27865.759398180624</v>
      </c>
      <c r="AF54" s="2"/>
      <c r="AG54" s="47">
        <f>(D18+AI51)*AE14/12*(1+AE14/12)^(C10)/((1+AE14/12)^(C10)-1)+D18/10000*IF(C10&lt;11,20,IF(C10&lt;20,2.5,IF(C10&lt;37,1.5,IF(C10&lt;60,0.7,0.5))))*IF(AE14&lt;0.3,AE14/0.2,AE14/0.1)</f>
        <v>23251.189641841909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37"/>
        <v>23217</v>
      </c>
      <c r="AN54" s="57">
        <f t="shared" si="36"/>
        <v>47394</v>
      </c>
      <c r="AO54" s="130">
        <f t="shared" si="11"/>
        <v>1</v>
      </c>
      <c r="AP54" s="553">
        <f t="shared" si="27"/>
        <v>46</v>
      </c>
      <c r="AQ54" s="554">
        <f t="shared" si="12"/>
        <v>46239</v>
      </c>
      <c r="AR54" s="555">
        <f t="shared" si="2"/>
        <v>0.13900000000000001</v>
      </c>
      <c r="AS54" s="546">
        <f t="shared" si="13"/>
        <v>23217</v>
      </c>
      <c r="AT54" s="546">
        <f t="shared" si="14"/>
        <v>23217</v>
      </c>
      <c r="AU54" s="546">
        <f t="shared" si="15"/>
        <v>3757.246338194775</v>
      </c>
      <c r="AV54" s="546">
        <f t="shared" si="16"/>
        <v>19459.753661805225</v>
      </c>
      <c r="AW54" s="546"/>
      <c r="AX54" s="546">
        <v>0</v>
      </c>
      <c r="AY54" s="546">
        <f t="shared" si="17"/>
        <v>3757.246338194775</v>
      </c>
      <c r="AZ54" s="546">
        <f t="shared" si="32"/>
        <v>0</v>
      </c>
      <c r="BA54" s="546">
        <f t="shared" si="30"/>
        <v>0</v>
      </c>
      <c r="BB54" s="546"/>
      <c r="BC54" s="546"/>
      <c r="BD54" s="546"/>
      <c r="BE54" s="546"/>
      <c r="BF54" s="546"/>
      <c r="BG54" s="546">
        <f t="shared" si="19"/>
        <v>298803.16428692831</v>
      </c>
      <c r="BH54" s="108">
        <f t="shared" si="28"/>
        <v>15</v>
      </c>
      <c r="BI54" s="108">
        <f t="shared" si="23"/>
        <v>15</v>
      </c>
      <c r="BJ54" s="22">
        <f t="shared" si="24"/>
        <v>46239</v>
      </c>
      <c r="BK54" s="108">
        <f t="shared" si="3"/>
        <v>22562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5"/>
        <v>47</v>
      </c>
      <c r="H55" s="245">
        <f t="shared" si="4"/>
        <v>46270</v>
      </c>
      <c r="I55" s="246">
        <f t="shared" si="5"/>
        <v>4.9000000000000002E-2</v>
      </c>
      <c r="J55" s="242">
        <f t="shared" si="6"/>
        <v>22562</v>
      </c>
      <c r="K55" s="242">
        <f t="shared" si="20"/>
        <v>22562</v>
      </c>
      <c r="L55" s="242">
        <f t="shared" si="7"/>
        <v>1275.5554696930428</v>
      </c>
      <c r="M55" s="242">
        <f t="shared" si="21"/>
        <v>21286.444530306959</v>
      </c>
      <c r="N55" s="242">
        <f t="shared" si="1"/>
        <v>0</v>
      </c>
      <c r="O55" s="242">
        <v>0</v>
      </c>
      <c r="P55" s="242">
        <f t="shared" si="22"/>
        <v>1275.5554696930428</v>
      </c>
      <c r="Q55" s="242">
        <f t="shared" si="29"/>
        <v>0</v>
      </c>
      <c r="R55" s="242">
        <f t="shared" si="8"/>
        <v>0</v>
      </c>
      <c r="S55" s="242">
        <f t="shared" si="9"/>
        <v>285216.35101805418</v>
      </c>
      <c r="T55" s="467"/>
      <c r="U55" s="198">
        <f t="shared" si="26"/>
        <v>14</v>
      </c>
      <c r="V55" s="36">
        <f t="shared" si="10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35"/>
        <v>22562</v>
      </c>
      <c r="Y55" s="57">
        <f t="shared" si="34"/>
        <v>49219</v>
      </c>
      <c r="AA55" s="170" t="s">
        <v>134</v>
      </c>
      <c r="AD55" s="47">
        <f>IF(DAY(C9)&lt;4,AE54,IF(DAY(C9)&gt;28,AE56,AE55))</f>
        <v>27832.442044393469</v>
      </c>
      <c r="AE55" s="47">
        <f>(C18+AI51)*AG36/12*(1+AG36/12)^(C10)/((1+AG36/12)^(C10)-1)+C18/10000*IF(C10&lt;11,20,IF(C10&lt;34,0.7,IF(C10&lt;58,0.3,0.1)))*IF(AG36&lt;0.3,AG36/0.2,AG36/0.1)</f>
        <v>27832.442044393469</v>
      </c>
      <c r="AF55" s="13">
        <f>IF(DAY(C9)&lt;4,AG54,IF(DAY(C9)&gt;28,AG56,AG55))</f>
        <v>23223.38964184191</v>
      </c>
      <c r="AG55" s="156">
        <f>(D18+AI51)*AE14/12*(1+AE14/12)^(C10)/((1+AE14/12)^(C10)-1)+D18/10000*IF(C10&lt;11,20,IF(C10&lt;34,0.7,IF(C10&lt;58,0.3,0.1)))*IF(AE14&lt;0.3,AE14/0.2,AE14/0.1)</f>
        <v>23223.38964184191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37"/>
        <v>23217</v>
      </c>
      <c r="AN55" s="57">
        <f t="shared" si="36"/>
        <v>47759</v>
      </c>
      <c r="AO55" s="130">
        <f t="shared" si="11"/>
        <v>1</v>
      </c>
      <c r="AP55" s="553">
        <f t="shared" si="27"/>
        <v>47</v>
      </c>
      <c r="AQ55" s="554">
        <f t="shared" si="12"/>
        <v>46270</v>
      </c>
      <c r="AR55" s="555">
        <f t="shared" si="2"/>
        <v>0.13900000000000001</v>
      </c>
      <c r="AS55" s="546">
        <f t="shared" si="13"/>
        <v>23217</v>
      </c>
      <c r="AT55" s="546">
        <f t="shared" si="14"/>
        <v>23217</v>
      </c>
      <c r="AU55" s="546">
        <f t="shared" si="15"/>
        <v>3527.5146161982852</v>
      </c>
      <c r="AV55" s="546">
        <f t="shared" si="16"/>
        <v>19689.485383801715</v>
      </c>
      <c r="AW55" s="546"/>
      <c r="AX55" s="546">
        <v>0</v>
      </c>
      <c r="AY55" s="546">
        <f t="shared" si="17"/>
        <v>3527.5146161982852</v>
      </c>
      <c r="AZ55" s="546">
        <f t="shared" si="32"/>
        <v>0</v>
      </c>
      <c r="BA55" s="546">
        <f t="shared" si="30"/>
        <v>0</v>
      </c>
      <c r="BB55" s="546"/>
      <c r="BC55" s="546"/>
      <c r="BD55" s="546"/>
      <c r="BE55" s="546"/>
      <c r="BF55" s="546"/>
      <c r="BG55" s="546">
        <f t="shared" si="19"/>
        <v>279113.67890312662</v>
      </c>
      <c r="BH55" s="108">
        <f t="shared" si="28"/>
        <v>14</v>
      </c>
      <c r="BI55" s="108">
        <f t="shared" si="23"/>
        <v>14</v>
      </c>
      <c r="BJ55" s="22">
        <f t="shared" si="24"/>
        <v>46270</v>
      </c>
      <c r="BK55" s="108">
        <f t="shared" si="3"/>
        <v>22562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5"/>
        <v>48</v>
      </c>
      <c r="H56" s="581">
        <f t="shared" si="4"/>
        <v>46300</v>
      </c>
      <c r="I56" s="250">
        <f t="shared" si="5"/>
        <v>4.9000000000000002E-2</v>
      </c>
      <c r="J56" s="252">
        <f t="shared" si="6"/>
        <v>22562</v>
      </c>
      <c r="K56" s="252">
        <f t="shared" si="20"/>
        <v>22562</v>
      </c>
      <c r="L56" s="252">
        <f t="shared" si="7"/>
        <v>1148.6795506754511</v>
      </c>
      <c r="M56" s="252">
        <f t="shared" si="21"/>
        <v>21413.32044932455</v>
      </c>
      <c r="N56" s="252">
        <f t="shared" si="1"/>
        <v>0</v>
      </c>
      <c r="O56" s="252">
        <v>0</v>
      </c>
      <c r="P56" s="252">
        <f t="shared" si="22"/>
        <v>1148.6795506754511</v>
      </c>
      <c r="Q56" s="252">
        <f t="shared" si="29"/>
        <v>0</v>
      </c>
      <c r="R56" s="252">
        <f t="shared" si="8"/>
        <v>0</v>
      </c>
      <c r="S56" s="252">
        <f t="shared" si="9"/>
        <v>263803.03056872962</v>
      </c>
      <c r="T56" s="468"/>
      <c r="U56" s="198">
        <f t="shared" si="26"/>
        <v>13</v>
      </c>
      <c r="V56" s="36">
        <f t="shared" si="10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35"/>
        <v>22562</v>
      </c>
      <c r="Y56" s="57">
        <f t="shared" si="34"/>
        <v>49584</v>
      </c>
      <c r="AA56" s="171">
        <v>20000</v>
      </c>
      <c r="AB56" s="133" t="s">
        <v>135</v>
      </c>
      <c r="AC56" s="118">
        <f>ROUNDUP(AD56/AG47,0)*AG47</f>
        <v>20840</v>
      </c>
      <c r="AD56" s="13">
        <f>(C18+AI51)*AC57/12*(1+AC57/12)^(C10+AD57)/((1+AC57/12)^(C10+AD57)-1)+10*C18/100000*IF(C10+AD57&lt;24,4,IF(C10+AD57&lt;36,3,IF(C10+AD57&lt;48,2,IF(C10+AD57&lt;60,1.5,1))))*AC57/0.2</f>
        <v>20834.298759818739</v>
      </c>
      <c r="AE56" s="47">
        <f>(C18+AI51)*AG36/12*(1+AG36/12)^(C10)/((1+AG36/12)^(C10)-1)+C18/10000*IF(C10&lt;11,20,IF(C10&lt;34,0.7,IF(C10&lt;48,0.3,0)))*IF(AG36&lt;0.3,AG36/0.2,AG36/0.1)</f>
        <v>27824.112705946682</v>
      </c>
      <c r="AF56" s="13">
        <f>(D18+AI51)*AF57/12*(1+AF57/12)^(C10+AD57)/((1+AF57/12)^(C10+AD57)-1)+10*D18/100000*IF(C10+AD57&lt;24,4,IF(C10+AD57&lt;36,3,IF(C10+AD57&lt;48,2,IF(C10+AD57&lt;60,1.5,1))))*AF57/0.2</f>
        <v>17384.138885192751</v>
      </c>
      <c r="AG56" s="157">
        <f>(D18+AI51)*AE14/12*(1+AE14/12)^(C10)/((1+AE14/12)^(C10)-1)+D18/10000*IF(C10&lt;11,20,IF(C10&lt;34,0.7,IF(C10&lt;48,0.3,0)))*IF(AE14&lt;0.3,AE14/0.2,AE14/0.1)</f>
        <v>23216.439641841909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37"/>
        <v>23217</v>
      </c>
      <c r="AN56" s="57">
        <f t="shared" si="36"/>
        <v>48124</v>
      </c>
      <c r="AO56" s="130">
        <f t="shared" si="11"/>
        <v>1</v>
      </c>
      <c r="AP56" s="556">
        <f t="shared" si="27"/>
        <v>48</v>
      </c>
      <c r="AQ56" s="582">
        <f t="shared" si="12"/>
        <v>46300</v>
      </c>
      <c r="AR56" s="557">
        <f t="shared" si="2"/>
        <v>0.13900000000000001</v>
      </c>
      <c r="AS56" s="547">
        <f t="shared" si="13"/>
        <v>23217</v>
      </c>
      <c r="AT56" s="547">
        <f t="shared" si="14"/>
        <v>23217</v>
      </c>
      <c r="AU56" s="547">
        <f t="shared" si="15"/>
        <v>3188.7781945918855</v>
      </c>
      <c r="AV56" s="547">
        <f t="shared" si="16"/>
        <v>20028.221805408113</v>
      </c>
      <c r="AW56" s="547"/>
      <c r="AX56" s="547">
        <v>0</v>
      </c>
      <c r="AY56" s="547">
        <f t="shared" si="17"/>
        <v>3188.7781945918855</v>
      </c>
      <c r="AZ56" s="547">
        <f t="shared" si="32"/>
        <v>0</v>
      </c>
      <c r="BA56" s="547">
        <f t="shared" si="30"/>
        <v>0</v>
      </c>
      <c r="BB56" s="547"/>
      <c r="BC56" s="547"/>
      <c r="BD56" s="547"/>
      <c r="BE56" s="547"/>
      <c r="BF56" s="547"/>
      <c r="BG56" s="547">
        <f t="shared" si="19"/>
        <v>259085.45709771852</v>
      </c>
      <c r="BH56" s="108">
        <f t="shared" si="28"/>
        <v>13</v>
      </c>
      <c r="BI56" s="108">
        <f t="shared" si="23"/>
        <v>13</v>
      </c>
      <c r="BJ56" s="22">
        <f t="shared" si="24"/>
        <v>46300</v>
      </c>
      <c r="BK56" s="108">
        <f t="shared" si="3"/>
        <v>22562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5"/>
        <v>49</v>
      </c>
      <c r="H57" s="245">
        <f t="shared" si="4"/>
        <v>46331</v>
      </c>
      <c r="I57" s="246">
        <f t="shared" si="5"/>
        <v>4.9000000000000002E-2</v>
      </c>
      <c r="J57" s="242">
        <f t="shared" si="6"/>
        <v>22562</v>
      </c>
      <c r="K57" s="242">
        <f t="shared" si="20"/>
        <v>22562</v>
      </c>
      <c r="L57" s="242">
        <f t="shared" si="7"/>
        <v>1097.8542559832886</v>
      </c>
      <c r="M57" s="242">
        <f t="shared" si="21"/>
        <v>21464.145744016711</v>
      </c>
      <c r="N57" s="242">
        <f t="shared" si="1"/>
        <v>0</v>
      </c>
      <c r="O57" s="242">
        <v>0</v>
      </c>
      <c r="P57" s="242">
        <f t="shared" si="22"/>
        <v>1097.8542559832886</v>
      </c>
      <c r="Q57" s="242">
        <f t="shared" si="29"/>
        <v>0</v>
      </c>
      <c r="R57" s="242">
        <f t="shared" si="8"/>
        <v>0</v>
      </c>
      <c r="S57" s="242">
        <f t="shared" si="9"/>
        <v>242338.88482471291</v>
      </c>
      <c r="T57" s="467"/>
      <c r="U57" s="198">
        <f t="shared" si="26"/>
        <v>12</v>
      </c>
      <c r="V57" s="36">
        <f t="shared" si="10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35"/>
        <v>22562</v>
      </c>
      <c r="Y57" s="57">
        <f t="shared" si="34"/>
        <v>49949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(C18+AI51)*AG36/12*(1+AG36/12)^(C10)/((1+AG36/12)^(C10)-1)</f>
        <v>27824.112705946682</v>
      </c>
      <c r="AF57" s="15">
        <f>IF(C9&gt;AH48,D13,D13+0.05)</f>
        <v>0.13900000000000001</v>
      </c>
      <c r="AG57" s="118">
        <f>(D18+AI51)*AE14/12*(1+AE14/12)^(C10)/((1+AE14/12)^(C10)-1)</f>
        <v>23216.439641841909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37"/>
        <v>23217</v>
      </c>
      <c r="AN57" s="57">
        <f t="shared" si="36"/>
        <v>48489</v>
      </c>
      <c r="AO57" s="130">
        <f t="shared" si="11"/>
        <v>1</v>
      </c>
      <c r="AP57" s="553">
        <f t="shared" si="27"/>
        <v>49</v>
      </c>
      <c r="AQ57" s="554">
        <f t="shared" si="12"/>
        <v>46331</v>
      </c>
      <c r="AR57" s="555">
        <f t="shared" si="2"/>
        <v>0.13900000000000001</v>
      </c>
      <c r="AS57" s="546">
        <f t="shared" si="13"/>
        <v>23217</v>
      </c>
      <c r="AT57" s="546">
        <f t="shared" si="14"/>
        <v>23217</v>
      </c>
      <c r="AU57" s="546">
        <f t="shared" si="15"/>
        <v>3058.6280400933401</v>
      </c>
      <c r="AV57" s="546">
        <f t="shared" si="16"/>
        <v>20158.371959906661</v>
      </c>
      <c r="AW57" s="546"/>
      <c r="AX57" s="546">
        <v>0</v>
      </c>
      <c r="AY57" s="546">
        <f t="shared" si="17"/>
        <v>3058.6280400933401</v>
      </c>
      <c r="AZ57" s="546">
        <f t="shared" si="32"/>
        <v>0</v>
      </c>
      <c r="BA57" s="546">
        <f t="shared" si="30"/>
        <v>0</v>
      </c>
      <c r="BB57" s="546"/>
      <c r="BC57" s="546"/>
      <c r="BD57" s="546"/>
      <c r="BE57" s="546"/>
      <c r="BF57" s="546"/>
      <c r="BG57" s="546">
        <f t="shared" si="19"/>
        <v>238927.08513781187</v>
      </c>
      <c r="BH57" s="108">
        <f t="shared" si="28"/>
        <v>12</v>
      </c>
      <c r="BI57" s="108">
        <f t="shared" si="23"/>
        <v>12</v>
      </c>
      <c r="BJ57" s="22">
        <f t="shared" si="24"/>
        <v>46331</v>
      </c>
      <c r="BK57" s="108">
        <f t="shared" si="3"/>
        <v>22562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5"/>
        <v>50</v>
      </c>
      <c r="H58" s="245">
        <f t="shared" si="4"/>
        <v>46361</v>
      </c>
      <c r="I58" s="246">
        <f t="shared" si="5"/>
        <v>4.9000000000000002E-2</v>
      </c>
      <c r="J58" s="242">
        <f t="shared" si="6"/>
        <v>22562</v>
      </c>
      <c r="K58" s="242">
        <f t="shared" si="20"/>
        <v>22562</v>
      </c>
      <c r="L58" s="242">
        <f t="shared" si="7"/>
        <v>975.99496080089864</v>
      </c>
      <c r="M58" s="242">
        <f t="shared" si="21"/>
        <v>21586.005039199103</v>
      </c>
      <c r="N58" s="242">
        <f t="shared" si="1"/>
        <v>0</v>
      </c>
      <c r="O58" s="242">
        <v>0</v>
      </c>
      <c r="P58" s="242">
        <f t="shared" si="22"/>
        <v>975.99496080089864</v>
      </c>
      <c r="Q58" s="242">
        <f t="shared" si="29"/>
        <v>0</v>
      </c>
      <c r="R58" s="242">
        <f t="shared" si="8"/>
        <v>0</v>
      </c>
      <c r="S58" s="242">
        <f t="shared" si="9"/>
        <v>220752.8797855138</v>
      </c>
      <c r="T58" s="467"/>
      <c r="U58" s="198">
        <f t="shared" si="26"/>
        <v>11</v>
      </c>
      <c r="V58" s="36">
        <f t="shared" si="10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35"/>
        <v>22562</v>
      </c>
      <c r="Y58" s="57">
        <f t="shared" si="34"/>
        <v>50314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37"/>
        <v>23217</v>
      </c>
      <c r="AN58" s="57">
        <f t="shared" si="36"/>
        <v>48854</v>
      </c>
      <c r="AO58" s="130">
        <f t="shared" si="11"/>
        <v>1</v>
      </c>
      <c r="AP58" s="553">
        <f t="shared" si="27"/>
        <v>50</v>
      </c>
      <c r="AQ58" s="554">
        <f t="shared" si="12"/>
        <v>46361</v>
      </c>
      <c r="AR58" s="555">
        <f t="shared" si="2"/>
        <v>0.13900000000000001</v>
      </c>
      <c r="AS58" s="546">
        <f t="shared" si="13"/>
        <v>23217</v>
      </c>
      <c r="AT58" s="546">
        <f t="shared" si="14"/>
        <v>23217</v>
      </c>
      <c r="AU58" s="546">
        <f t="shared" si="15"/>
        <v>2729.6601233552756</v>
      </c>
      <c r="AV58" s="546">
        <f t="shared" si="16"/>
        <v>20487.339876644724</v>
      </c>
      <c r="AW58" s="546"/>
      <c r="AX58" s="546">
        <v>0</v>
      </c>
      <c r="AY58" s="546">
        <f t="shared" si="17"/>
        <v>2729.6601233552756</v>
      </c>
      <c r="AZ58" s="546">
        <f t="shared" si="32"/>
        <v>0</v>
      </c>
      <c r="BA58" s="546">
        <f t="shared" si="30"/>
        <v>0</v>
      </c>
      <c r="BB58" s="546"/>
      <c r="BC58" s="546"/>
      <c r="BD58" s="546"/>
      <c r="BE58" s="546"/>
      <c r="BF58" s="546"/>
      <c r="BG58" s="546">
        <f t="shared" si="19"/>
        <v>218439.74526116715</v>
      </c>
      <c r="BH58" s="108">
        <f t="shared" si="28"/>
        <v>11</v>
      </c>
      <c r="BI58" s="108">
        <f t="shared" si="23"/>
        <v>11</v>
      </c>
      <c r="BJ58" s="22">
        <f t="shared" si="24"/>
        <v>46361</v>
      </c>
      <c r="BK58" s="108">
        <f t="shared" si="3"/>
        <v>22562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5"/>
        <v>51</v>
      </c>
      <c r="H59" s="245">
        <f t="shared" si="4"/>
        <v>46392</v>
      </c>
      <c r="I59" s="246">
        <f t="shared" si="5"/>
        <v>4.9000000000000002E-2</v>
      </c>
      <c r="J59" s="242">
        <f t="shared" si="6"/>
        <v>22562</v>
      </c>
      <c r="K59" s="242">
        <f t="shared" si="20"/>
        <v>22562</v>
      </c>
      <c r="L59" s="242">
        <f t="shared" si="7"/>
        <v>918.69486135396016</v>
      </c>
      <c r="M59" s="242">
        <f t="shared" si="21"/>
        <v>21643.305138646039</v>
      </c>
      <c r="N59" s="242">
        <f t="shared" si="1"/>
        <v>0</v>
      </c>
      <c r="O59" s="242">
        <v>0</v>
      </c>
      <c r="P59" s="242">
        <f t="shared" si="22"/>
        <v>918.69486135396016</v>
      </c>
      <c r="Q59" s="242">
        <f t="shared" si="29"/>
        <v>0</v>
      </c>
      <c r="R59" s="242">
        <f t="shared" si="8"/>
        <v>0</v>
      </c>
      <c r="S59" s="242">
        <f t="shared" si="9"/>
        <v>199109.57464686775</v>
      </c>
      <c r="T59" s="467"/>
      <c r="U59" s="198">
        <f t="shared" si="26"/>
        <v>10</v>
      </c>
      <c r="V59" s="36">
        <f t="shared" si="10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35"/>
        <v>22562</v>
      </c>
      <c r="Y59" s="57">
        <f t="shared" si="34"/>
        <v>50679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37"/>
        <v>23217</v>
      </c>
      <c r="AN59" s="57">
        <f t="shared" si="36"/>
        <v>49219</v>
      </c>
      <c r="AO59" s="130">
        <f t="shared" si="11"/>
        <v>1</v>
      </c>
      <c r="AP59" s="553">
        <f t="shared" si="27"/>
        <v>51</v>
      </c>
      <c r="AQ59" s="554">
        <f t="shared" si="12"/>
        <v>46392</v>
      </c>
      <c r="AR59" s="555">
        <f t="shared" si="2"/>
        <v>0.13900000000000001</v>
      </c>
      <c r="AS59" s="546">
        <f t="shared" si="13"/>
        <v>23217</v>
      </c>
      <c r="AT59" s="546">
        <f t="shared" si="14"/>
        <v>23217</v>
      </c>
      <c r="AU59" s="546">
        <f t="shared" si="15"/>
        <v>2578.7859241927927</v>
      </c>
      <c r="AV59" s="546">
        <f t="shared" si="16"/>
        <v>20638.214075807206</v>
      </c>
      <c r="AW59" s="546"/>
      <c r="AX59" s="546">
        <v>0</v>
      </c>
      <c r="AY59" s="546">
        <f t="shared" si="17"/>
        <v>2578.7859241927927</v>
      </c>
      <c r="AZ59" s="546">
        <f t="shared" si="32"/>
        <v>0</v>
      </c>
      <c r="BA59" s="546">
        <f t="shared" si="30"/>
        <v>0</v>
      </c>
      <c r="BB59" s="546"/>
      <c r="BC59" s="546"/>
      <c r="BD59" s="546"/>
      <c r="BE59" s="546"/>
      <c r="BF59" s="546"/>
      <c r="BG59" s="546">
        <f t="shared" si="19"/>
        <v>197801.53118535993</v>
      </c>
      <c r="BH59" s="108">
        <f t="shared" si="28"/>
        <v>10</v>
      </c>
      <c r="BI59" s="108">
        <f t="shared" si="23"/>
        <v>10</v>
      </c>
      <c r="BJ59" s="22">
        <f t="shared" si="24"/>
        <v>46392</v>
      </c>
      <c r="BK59" s="108">
        <f t="shared" si="3"/>
        <v>22562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184"/>
      <c r="D60" s="178"/>
      <c r="E60" s="178"/>
      <c r="F60" s="178"/>
      <c r="G60" s="244">
        <f t="shared" si="25"/>
        <v>52</v>
      </c>
      <c r="H60" s="245">
        <f t="shared" si="4"/>
        <v>46423</v>
      </c>
      <c r="I60" s="246">
        <f t="shared" si="5"/>
        <v>4.9000000000000002E-2</v>
      </c>
      <c r="J60" s="242">
        <f t="shared" si="6"/>
        <v>22562</v>
      </c>
      <c r="K60" s="242">
        <f t="shared" si="20"/>
        <v>22562</v>
      </c>
      <c r="L60" s="242">
        <f t="shared" si="7"/>
        <v>828.62313394134833</v>
      </c>
      <c r="M60" s="242">
        <f t="shared" si="21"/>
        <v>21733.37686605865</v>
      </c>
      <c r="N60" s="242">
        <f t="shared" si="1"/>
        <v>0</v>
      </c>
      <c r="O60" s="242">
        <v>0</v>
      </c>
      <c r="P60" s="242">
        <f t="shared" si="22"/>
        <v>828.62313394134833</v>
      </c>
      <c r="Q60" s="242">
        <f t="shared" si="29"/>
        <v>0</v>
      </c>
      <c r="R60" s="242">
        <f t="shared" si="8"/>
        <v>0</v>
      </c>
      <c r="S60" s="242">
        <f t="shared" si="9"/>
        <v>177376.1977808091</v>
      </c>
      <c r="T60" s="467"/>
      <c r="U60" s="198">
        <f t="shared" si="26"/>
        <v>9</v>
      </c>
      <c r="V60" s="36">
        <f t="shared" si="10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35"/>
        <v>22562</v>
      </c>
      <c r="Y60" s="57">
        <f t="shared" si="34"/>
        <v>51044</v>
      </c>
      <c r="AA60" s="171"/>
      <c r="AB60" s="171">
        <v>3000000</v>
      </c>
      <c r="AC60" s="133" t="s">
        <v>379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37"/>
        <v>23217</v>
      </c>
      <c r="AN60" s="57">
        <f t="shared" si="36"/>
        <v>49584</v>
      </c>
      <c r="AO60" s="130">
        <f t="shared" si="11"/>
        <v>1</v>
      </c>
      <c r="AP60" s="553">
        <f t="shared" si="27"/>
        <v>52</v>
      </c>
      <c r="AQ60" s="554">
        <f t="shared" si="12"/>
        <v>46423</v>
      </c>
      <c r="AR60" s="555">
        <f t="shared" si="2"/>
        <v>0.13900000000000001</v>
      </c>
      <c r="AS60" s="546">
        <f t="shared" si="13"/>
        <v>23217</v>
      </c>
      <c r="AT60" s="546">
        <f t="shared" si="14"/>
        <v>23217</v>
      </c>
      <c r="AU60" s="546">
        <f t="shared" si="15"/>
        <v>2335.1419119937423</v>
      </c>
      <c r="AV60" s="546">
        <f t="shared" si="16"/>
        <v>20881.858088006258</v>
      </c>
      <c r="AW60" s="546"/>
      <c r="AX60" s="546">
        <v>0</v>
      </c>
      <c r="AY60" s="546">
        <f t="shared" si="17"/>
        <v>2335.1419119937423</v>
      </c>
      <c r="AZ60" s="546">
        <f t="shared" si="32"/>
        <v>0</v>
      </c>
      <c r="BA60" s="546">
        <f t="shared" si="30"/>
        <v>0</v>
      </c>
      <c r="BB60" s="546"/>
      <c r="BC60" s="546"/>
      <c r="BD60" s="546"/>
      <c r="BE60" s="546"/>
      <c r="BF60" s="546"/>
      <c r="BG60" s="546">
        <f t="shared" si="19"/>
        <v>176919.67309735366</v>
      </c>
      <c r="BH60" s="108">
        <f t="shared" si="28"/>
        <v>9</v>
      </c>
      <c r="BI60" s="108">
        <f t="shared" si="23"/>
        <v>9</v>
      </c>
      <c r="BJ60" s="22">
        <f t="shared" si="24"/>
        <v>46423</v>
      </c>
      <c r="BK60" s="108">
        <f t="shared" si="3"/>
        <v>22562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525"/>
      <c r="D61" s="182"/>
      <c r="E61" s="178"/>
      <c r="F61" s="178"/>
      <c r="G61" s="244">
        <f t="shared" si="25"/>
        <v>53</v>
      </c>
      <c r="H61" s="245">
        <f t="shared" si="4"/>
        <v>46451</v>
      </c>
      <c r="I61" s="246">
        <f t="shared" si="5"/>
        <v>4.9000000000000002E-2</v>
      </c>
      <c r="J61" s="242">
        <f t="shared" si="6"/>
        <v>22562</v>
      </c>
      <c r="K61" s="242">
        <f t="shared" si="20"/>
        <v>22562</v>
      </c>
      <c r="L61" s="242">
        <f t="shared" si="7"/>
        <v>666.74011878156193</v>
      </c>
      <c r="M61" s="242">
        <f t="shared" si="21"/>
        <v>21895.259881218437</v>
      </c>
      <c r="N61" s="242">
        <f t="shared" si="1"/>
        <v>0</v>
      </c>
      <c r="O61" s="242">
        <v>0</v>
      </c>
      <c r="P61" s="242">
        <f t="shared" si="22"/>
        <v>666.74011878156193</v>
      </c>
      <c r="Q61" s="242">
        <f t="shared" si="29"/>
        <v>0</v>
      </c>
      <c r="R61" s="242">
        <f t="shared" si="8"/>
        <v>0</v>
      </c>
      <c r="S61" s="242">
        <f t="shared" si="9"/>
        <v>155480.93789959067</v>
      </c>
      <c r="T61" s="467"/>
      <c r="U61" s="198">
        <f t="shared" si="26"/>
        <v>8</v>
      </c>
      <c r="V61" s="36">
        <f t="shared" si="10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35"/>
        <v>22562</v>
      </c>
      <c r="Y61" s="57">
        <f t="shared" si="34"/>
        <v>51409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37"/>
        <v>23217</v>
      </c>
      <c r="AN61" s="57">
        <f t="shared" si="36"/>
        <v>49949</v>
      </c>
      <c r="AO61" s="130">
        <f t="shared" si="11"/>
        <v>1</v>
      </c>
      <c r="AP61" s="553">
        <f t="shared" si="27"/>
        <v>53</v>
      </c>
      <c r="AQ61" s="554">
        <f t="shared" si="12"/>
        <v>46451</v>
      </c>
      <c r="AR61" s="555">
        <f t="shared" si="2"/>
        <v>0.13900000000000001</v>
      </c>
      <c r="AS61" s="546">
        <f t="shared" si="13"/>
        <v>23217</v>
      </c>
      <c r="AT61" s="546">
        <f t="shared" si="14"/>
        <v>23217</v>
      </c>
      <c r="AU61" s="546">
        <f t="shared" si="15"/>
        <v>1886.4968977942481</v>
      </c>
      <c r="AV61" s="546">
        <f t="shared" si="16"/>
        <v>21330.503102205752</v>
      </c>
      <c r="AW61" s="546"/>
      <c r="AX61" s="546">
        <v>0</v>
      </c>
      <c r="AY61" s="546">
        <f t="shared" si="17"/>
        <v>1886.4968977942481</v>
      </c>
      <c r="AZ61" s="546">
        <f t="shared" si="32"/>
        <v>0</v>
      </c>
      <c r="BA61" s="546">
        <f t="shared" si="30"/>
        <v>0</v>
      </c>
      <c r="BB61" s="546"/>
      <c r="BC61" s="546"/>
      <c r="BD61" s="546"/>
      <c r="BE61" s="546"/>
      <c r="BF61" s="546"/>
      <c r="BG61" s="546">
        <f t="shared" si="19"/>
        <v>155589.16999514791</v>
      </c>
      <c r="BH61" s="108">
        <f t="shared" si="28"/>
        <v>8</v>
      </c>
      <c r="BI61" s="108">
        <f t="shared" si="23"/>
        <v>8</v>
      </c>
      <c r="BJ61" s="22">
        <f t="shared" si="24"/>
        <v>46451</v>
      </c>
      <c r="BK61" s="108">
        <f t="shared" si="3"/>
        <v>22562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82"/>
      <c r="E62" s="178"/>
      <c r="F62" s="178"/>
      <c r="G62" s="244">
        <f t="shared" si="25"/>
        <v>54</v>
      </c>
      <c r="H62" s="245">
        <f t="shared" si="4"/>
        <v>46482</v>
      </c>
      <c r="I62" s="246">
        <f t="shared" si="5"/>
        <v>4.9000000000000002E-2</v>
      </c>
      <c r="J62" s="242">
        <f t="shared" si="6"/>
        <v>22562</v>
      </c>
      <c r="K62" s="242">
        <f t="shared" si="20"/>
        <v>22562</v>
      </c>
      <c r="L62" s="242">
        <f t="shared" si="7"/>
        <v>647.05628676569381</v>
      </c>
      <c r="M62" s="242">
        <f t="shared" si="21"/>
        <v>21914.943713234305</v>
      </c>
      <c r="N62" s="242">
        <f t="shared" si="1"/>
        <v>0</v>
      </c>
      <c r="O62" s="242">
        <v>0</v>
      </c>
      <c r="P62" s="242">
        <f t="shared" si="22"/>
        <v>647.05628676569381</v>
      </c>
      <c r="Q62" s="242">
        <f t="shared" si="29"/>
        <v>0</v>
      </c>
      <c r="R62" s="242">
        <f t="shared" si="8"/>
        <v>0</v>
      </c>
      <c r="S62" s="242">
        <f t="shared" si="9"/>
        <v>133565.99418635637</v>
      </c>
      <c r="T62" s="467"/>
      <c r="U62" s="198">
        <f t="shared" si="26"/>
        <v>7</v>
      </c>
      <c r="V62" s="36">
        <f t="shared" si="10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35"/>
        <v>22562</v>
      </c>
      <c r="Y62" s="57">
        <f t="shared" si="34"/>
        <v>51774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37"/>
        <v>23217</v>
      </c>
      <c r="AN62" s="57">
        <f t="shared" si="36"/>
        <v>50314</v>
      </c>
      <c r="AO62" s="130">
        <f t="shared" si="11"/>
        <v>1</v>
      </c>
      <c r="AP62" s="553">
        <f t="shared" si="27"/>
        <v>54</v>
      </c>
      <c r="AQ62" s="554">
        <f t="shared" si="12"/>
        <v>46482</v>
      </c>
      <c r="AR62" s="555">
        <f t="shared" si="2"/>
        <v>0.13900000000000001</v>
      </c>
      <c r="AS62" s="546">
        <f t="shared" si="13"/>
        <v>23217</v>
      </c>
      <c r="AT62" s="546">
        <f t="shared" si="14"/>
        <v>23217</v>
      </c>
      <c r="AU62" s="546">
        <f t="shared" si="15"/>
        <v>1836.8047493399793</v>
      </c>
      <c r="AV62" s="546">
        <f t="shared" si="16"/>
        <v>21380.195250660021</v>
      </c>
      <c r="AW62" s="546"/>
      <c r="AX62" s="546">
        <v>0</v>
      </c>
      <c r="AY62" s="546">
        <f t="shared" si="17"/>
        <v>1836.8047493399793</v>
      </c>
      <c r="AZ62" s="546">
        <f t="shared" si="32"/>
        <v>0</v>
      </c>
      <c r="BA62" s="546">
        <f t="shared" si="30"/>
        <v>0</v>
      </c>
      <c r="BB62" s="546"/>
      <c r="BC62" s="546"/>
      <c r="BD62" s="546"/>
      <c r="BE62" s="546"/>
      <c r="BF62" s="546"/>
      <c r="BG62" s="546">
        <f t="shared" si="19"/>
        <v>134208.9747444879</v>
      </c>
      <c r="BH62" s="108">
        <f t="shared" si="28"/>
        <v>7</v>
      </c>
      <c r="BI62" s="108">
        <f t="shared" si="23"/>
        <v>7</v>
      </c>
      <c r="BJ62" s="22">
        <f t="shared" si="24"/>
        <v>46482</v>
      </c>
      <c r="BK62" s="108">
        <f t="shared" si="3"/>
        <v>22562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5"/>
        <v>55</v>
      </c>
      <c r="H63" s="245">
        <f t="shared" si="4"/>
        <v>46512</v>
      </c>
      <c r="I63" s="246">
        <f t="shared" si="5"/>
        <v>4.9000000000000002E-2</v>
      </c>
      <c r="J63" s="242">
        <f t="shared" si="6"/>
        <v>22562</v>
      </c>
      <c r="K63" s="242">
        <f t="shared" si="20"/>
        <v>22562</v>
      </c>
      <c r="L63" s="242">
        <f t="shared" si="7"/>
        <v>537.92331905190099</v>
      </c>
      <c r="M63" s="242">
        <f t="shared" si="21"/>
        <v>22024.076680948099</v>
      </c>
      <c r="N63" s="242">
        <f t="shared" si="1"/>
        <v>0</v>
      </c>
      <c r="O63" s="242">
        <v>0</v>
      </c>
      <c r="P63" s="242">
        <f t="shared" si="22"/>
        <v>537.92331905190099</v>
      </c>
      <c r="Q63" s="242">
        <f t="shared" si="29"/>
        <v>0</v>
      </c>
      <c r="R63" s="242">
        <f t="shared" si="8"/>
        <v>0</v>
      </c>
      <c r="S63" s="242">
        <f t="shared" si="9"/>
        <v>111541.91750540827</v>
      </c>
      <c r="T63" s="467"/>
      <c r="U63" s="198">
        <f t="shared" si="26"/>
        <v>6</v>
      </c>
      <c r="V63" s="36">
        <f t="shared" si="10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35"/>
        <v>22562</v>
      </c>
      <c r="Y63" s="57">
        <f t="shared" si="34"/>
        <v>52139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37"/>
        <v>23217</v>
      </c>
      <c r="AN63" s="57">
        <f t="shared" si="36"/>
        <v>50679</v>
      </c>
      <c r="AO63" s="130">
        <f t="shared" si="11"/>
        <v>1</v>
      </c>
      <c r="AP63" s="553">
        <f t="shared" si="27"/>
        <v>55</v>
      </c>
      <c r="AQ63" s="554">
        <f t="shared" si="12"/>
        <v>46512</v>
      </c>
      <c r="AR63" s="555">
        <f t="shared" si="2"/>
        <v>0.13900000000000001</v>
      </c>
      <c r="AS63" s="546">
        <f t="shared" si="13"/>
        <v>23217</v>
      </c>
      <c r="AT63" s="546">
        <f t="shared" si="14"/>
        <v>23217</v>
      </c>
      <c r="AU63" s="546">
        <f t="shared" si="15"/>
        <v>1533.2915744781224</v>
      </c>
      <c r="AV63" s="546">
        <f t="shared" si="16"/>
        <v>21683.708425521876</v>
      </c>
      <c r="AW63" s="546"/>
      <c r="AX63" s="546">
        <v>0</v>
      </c>
      <c r="AY63" s="546">
        <f t="shared" si="17"/>
        <v>1533.2915744781224</v>
      </c>
      <c r="AZ63" s="546">
        <f t="shared" si="32"/>
        <v>0</v>
      </c>
      <c r="BA63" s="546">
        <f t="shared" si="30"/>
        <v>0</v>
      </c>
      <c r="BB63" s="546"/>
      <c r="BC63" s="546"/>
      <c r="BD63" s="546"/>
      <c r="BE63" s="546"/>
      <c r="BF63" s="546"/>
      <c r="BG63" s="546">
        <f t="shared" si="19"/>
        <v>112525.26631896602</v>
      </c>
      <c r="BH63" s="108">
        <f t="shared" si="28"/>
        <v>6</v>
      </c>
      <c r="BI63" s="108">
        <f t="shared" si="23"/>
        <v>6</v>
      </c>
      <c r="BJ63" s="22">
        <f t="shared" si="24"/>
        <v>46512</v>
      </c>
      <c r="BK63" s="108">
        <f t="shared" si="3"/>
        <v>22562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5"/>
        <v>56</v>
      </c>
      <c r="H64" s="245">
        <f t="shared" si="4"/>
        <v>46543</v>
      </c>
      <c r="I64" s="246">
        <f t="shared" si="5"/>
        <v>4.9000000000000002E-2</v>
      </c>
      <c r="J64" s="242">
        <f t="shared" si="6"/>
        <v>22562</v>
      </c>
      <c r="K64" s="242">
        <f t="shared" si="20"/>
        <v>22562</v>
      </c>
      <c r="L64" s="242">
        <f t="shared" si="7"/>
        <v>464.19773339921966</v>
      </c>
      <c r="M64" s="242">
        <f t="shared" si="21"/>
        <v>22097.802266600782</v>
      </c>
      <c r="N64" s="242">
        <f t="shared" si="1"/>
        <v>0</v>
      </c>
      <c r="O64" s="242">
        <v>0</v>
      </c>
      <c r="P64" s="242">
        <f t="shared" si="22"/>
        <v>464.19773339921966</v>
      </c>
      <c r="Q64" s="242">
        <f t="shared" si="29"/>
        <v>0</v>
      </c>
      <c r="R64" s="242">
        <f t="shared" si="8"/>
        <v>0</v>
      </c>
      <c r="S64" s="242">
        <f t="shared" si="9"/>
        <v>89444.115238807484</v>
      </c>
      <c r="T64" s="467"/>
      <c r="U64" s="198">
        <f t="shared" si="26"/>
        <v>5</v>
      </c>
      <c r="V64" s="36">
        <f t="shared" si="10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35"/>
        <v>22562</v>
      </c>
      <c r="Y64" s="57">
        <f t="shared" si="34"/>
        <v>52504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37"/>
        <v>23217</v>
      </c>
      <c r="AN64" s="57">
        <f t="shared" si="36"/>
        <v>51044</v>
      </c>
      <c r="AO64" s="130">
        <f t="shared" si="11"/>
        <v>1</v>
      </c>
      <c r="AP64" s="553">
        <f t="shared" si="27"/>
        <v>56</v>
      </c>
      <c r="AQ64" s="554">
        <f t="shared" si="12"/>
        <v>46543</v>
      </c>
      <c r="AR64" s="555">
        <f t="shared" si="2"/>
        <v>0.13900000000000001</v>
      </c>
      <c r="AS64" s="546">
        <f t="shared" si="13"/>
        <v>23217</v>
      </c>
      <c r="AT64" s="546">
        <f t="shared" si="14"/>
        <v>23217</v>
      </c>
      <c r="AU64" s="546">
        <f t="shared" si="15"/>
        <v>1328.4147193655469</v>
      </c>
      <c r="AV64" s="546">
        <f t="shared" si="16"/>
        <v>21888.585280634452</v>
      </c>
      <c r="AW64" s="546"/>
      <c r="AX64" s="546">
        <v>0</v>
      </c>
      <c r="AY64" s="546">
        <f t="shared" si="17"/>
        <v>1328.4147193655469</v>
      </c>
      <c r="AZ64" s="546">
        <f t="shared" si="32"/>
        <v>0</v>
      </c>
      <c r="BA64" s="546">
        <f t="shared" si="30"/>
        <v>0</v>
      </c>
      <c r="BB64" s="546"/>
      <c r="BC64" s="546"/>
      <c r="BD64" s="546"/>
      <c r="BE64" s="546"/>
      <c r="BF64" s="546"/>
      <c r="BG64" s="546">
        <f t="shared" si="19"/>
        <v>90636.681038331575</v>
      </c>
      <c r="BH64" s="108">
        <f t="shared" si="28"/>
        <v>5</v>
      </c>
      <c r="BI64" s="108">
        <f t="shared" si="23"/>
        <v>5</v>
      </c>
      <c r="BJ64" s="22">
        <f t="shared" si="24"/>
        <v>46543</v>
      </c>
      <c r="BK64" s="108">
        <f t="shared" si="3"/>
        <v>22562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5"/>
        <v>57</v>
      </c>
      <c r="H65" s="245">
        <f t="shared" si="4"/>
        <v>46573</v>
      </c>
      <c r="I65" s="246">
        <f t="shared" si="5"/>
        <v>4.9000000000000002E-2</v>
      </c>
      <c r="J65" s="242">
        <f t="shared" si="6"/>
        <v>22562</v>
      </c>
      <c r="K65" s="242">
        <f t="shared" si="20"/>
        <v>22562</v>
      </c>
      <c r="L65" s="242">
        <f t="shared" si="7"/>
        <v>360.22698466040276</v>
      </c>
      <c r="M65" s="242">
        <f t="shared" si="21"/>
        <v>22201.773015339597</v>
      </c>
      <c r="N65" s="242">
        <f t="shared" si="1"/>
        <v>0</v>
      </c>
      <c r="O65" s="242">
        <v>0</v>
      </c>
      <c r="P65" s="242">
        <f t="shared" si="22"/>
        <v>360.22698466040276</v>
      </c>
      <c r="Q65" s="242">
        <f t="shared" si="29"/>
        <v>0</v>
      </c>
      <c r="R65" s="242">
        <f t="shared" si="8"/>
        <v>0</v>
      </c>
      <c r="S65" s="242">
        <f t="shared" si="9"/>
        <v>67242.342223467887</v>
      </c>
      <c r="T65" s="467"/>
      <c r="U65" s="198">
        <f t="shared" si="26"/>
        <v>4</v>
      </c>
      <c r="V65" s="36">
        <f t="shared" si="10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35"/>
        <v>22562</v>
      </c>
      <c r="Y65" s="57">
        <f t="shared" si="34"/>
        <v>52869</v>
      </c>
      <c r="AB65" s="2"/>
      <c r="AC65" s="66">
        <f t="shared" ref="AC65:AI65" si="38">IF(AC79&gt;$AA$59,AC64,IF(AC79&gt;$AA$58,AC63,IF(AC79&gt;$AA$57,AC62,AC61)))</f>
        <v>2.5000000000000001E-3</v>
      </c>
      <c r="AD65" s="66">
        <f t="shared" si="38"/>
        <v>2E-3</v>
      </c>
      <c r="AE65" s="66">
        <f t="shared" si="38"/>
        <v>0</v>
      </c>
      <c r="AF65" s="66">
        <f t="shared" si="38"/>
        <v>0</v>
      </c>
      <c r="AG65" s="66">
        <f t="shared" si="38"/>
        <v>0</v>
      </c>
      <c r="AH65" s="66">
        <f t="shared" si="38"/>
        <v>1E-3</v>
      </c>
      <c r="AI65" s="66">
        <f t="shared" si="38"/>
        <v>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37"/>
        <v>23217</v>
      </c>
      <c r="AN65" s="57">
        <f t="shared" si="36"/>
        <v>51409</v>
      </c>
      <c r="AO65" s="130">
        <f t="shared" si="11"/>
        <v>1</v>
      </c>
      <c r="AP65" s="553">
        <f t="shared" si="27"/>
        <v>57</v>
      </c>
      <c r="AQ65" s="554">
        <f t="shared" si="12"/>
        <v>46573</v>
      </c>
      <c r="AR65" s="555">
        <f t="shared" si="2"/>
        <v>0.13900000000000001</v>
      </c>
      <c r="AS65" s="546">
        <f t="shared" si="13"/>
        <v>23217</v>
      </c>
      <c r="AT65" s="546">
        <f t="shared" si="14"/>
        <v>23217</v>
      </c>
      <c r="AU65" s="546">
        <f t="shared" si="15"/>
        <v>1035.4930409036788</v>
      </c>
      <c r="AV65" s="546">
        <f t="shared" si="16"/>
        <v>22181.506959096321</v>
      </c>
      <c r="AW65" s="546"/>
      <c r="AX65" s="546">
        <v>0</v>
      </c>
      <c r="AY65" s="546">
        <f t="shared" si="17"/>
        <v>1035.4930409036788</v>
      </c>
      <c r="AZ65" s="546">
        <f t="shared" si="32"/>
        <v>0</v>
      </c>
      <c r="BA65" s="546">
        <f t="shared" si="30"/>
        <v>0</v>
      </c>
      <c r="BB65" s="546"/>
      <c r="BC65" s="546"/>
      <c r="BD65" s="546"/>
      <c r="BE65" s="546"/>
      <c r="BF65" s="546"/>
      <c r="BG65" s="546">
        <f t="shared" si="19"/>
        <v>68455.17407923525</v>
      </c>
      <c r="BH65" s="108">
        <f t="shared" si="28"/>
        <v>4</v>
      </c>
      <c r="BI65" s="108">
        <f t="shared" si="23"/>
        <v>4</v>
      </c>
      <c r="BJ65" s="22">
        <f t="shared" si="24"/>
        <v>46573</v>
      </c>
      <c r="BK65" s="108">
        <f t="shared" si="3"/>
        <v>22562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5"/>
        <v>58</v>
      </c>
      <c r="H66" s="245">
        <f t="shared" si="4"/>
        <v>46604</v>
      </c>
      <c r="I66" s="246">
        <f t="shared" si="5"/>
        <v>4.9000000000000002E-2</v>
      </c>
      <c r="J66" s="242">
        <f t="shared" si="6"/>
        <v>22562</v>
      </c>
      <c r="K66" s="242">
        <f t="shared" si="20"/>
        <v>22562</v>
      </c>
      <c r="L66" s="242">
        <f t="shared" si="7"/>
        <v>279.83867900670612</v>
      </c>
      <c r="M66" s="242">
        <f t="shared" si="21"/>
        <v>22282.161320993295</v>
      </c>
      <c r="N66" s="242">
        <f t="shared" si="1"/>
        <v>0</v>
      </c>
      <c r="O66" s="242">
        <v>0</v>
      </c>
      <c r="P66" s="242">
        <f t="shared" si="22"/>
        <v>279.83867900670612</v>
      </c>
      <c r="Q66" s="242">
        <f t="shared" si="29"/>
        <v>0</v>
      </c>
      <c r="R66" s="242">
        <f t="shared" si="8"/>
        <v>0</v>
      </c>
      <c r="S66" s="242">
        <f t="shared" si="9"/>
        <v>44960.180902474589</v>
      </c>
      <c r="T66" s="467"/>
      <c r="U66" s="198">
        <f t="shared" si="26"/>
        <v>3</v>
      </c>
      <c r="V66" s="36">
        <f t="shared" si="10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35"/>
        <v>22562</v>
      </c>
      <c r="Y66" s="57">
        <f t="shared" si="34"/>
        <v>53234</v>
      </c>
      <c r="AA66" s="133" t="s">
        <v>96</v>
      </c>
      <c r="AB66" s="15"/>
      <c r="AC66" s="143">
        <f>AC65*AC79*IF($C$10&gt;60,60,$C$10)</f>
        <v>150000</v>
      </c>
      <c r="AD66" s="143">
        <f>AD65*AD79*IF($C$10&gt;60,60,$C$10)</f>
        <v>156000</v>
      </c>
      <c r="AE66" s="143">
        <f>AE65*AE79*IF($C$10&gt;60,60,$C$10)</f>
        <v>0</v>
      </c>
      <c r="AF66" s="143">
        <f>AF65*AF79*IF($C$10&gt;60,60,$C$10)</f>
        <v>0</v>
      </c>
      <c r="AG66" s="143">
        <f t="shared" ref="AG66:AH66" si="39">AG65*AG79*$C$10</f>
        <v>0</v>
      </c>
      <c r="AH66" s="143">
        <f t="shared" si="39"/>
        <v>60000</v>
      </c>
      <c r="AI66" s="143">
        <f>AI65*AI79*$C$10</f>
        <v>156000</v>
      </c>
      <c r="AJ66" s="143">
        <f>AI66+AH66</f>
        <v>216000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37"/>
        <v>23217</v>
      </c>
      <c r="AN66" s="57">
        <f t="shared" si="36"/>
        <v>51774</v>
      </c>
      <c r="AO66" s="130">
        <f t="shared" si="11"/>
        <v>1</v>
      </c>
      <c r="AP66" s="553">
        <f t="shared" si="27"/>
        <v>58</v>
      </c>
      <c r="AQ66" s="554">
        <f t="shared" si="12"/>
        <v>46604</v>
      </c>
      <c r="AR66" s="555">
        <f t="shared" si="2"/>
        <v>0.13900000000000001</v>
      </c>
      <c r="AS66" s="546">
        <f t="shared" si="13"/>
        <v>23217</v>
      </c>
      <c r="AT66" s="546">
        <f t="shared" si="14"/>
        <v>23217</v>
      </c>
      <c r="AU66" s="546">
        <f t="shared" si="15"/>
        <v>808.14615097924582</v>
      </c>
      <c r="AV66" s="546">
        <f t="shared" si="16"/>
        <v>22408.853849020754</v>
      </c>
      <c r="AW66" s="546"/>
      <c r="AX66" s="546">
        <v>0</v>
      </c>
      <c r="AY66" s="546">
        <f t="shared" si="17"/>
        <v>808.14615097924582</v>
      </c>
      <c r="AZ66" s="546">
        <f t="shared" si="32"/>
        <v>0</v>
      </c>
      <c r="BA66" s="546">
        <f t="shared" si="30"/>
        <v>0</v>
      </c>
      <c r="BB66" s="546"/>
      <c r="BC66" s="546"/>
      <c r="BD66" s="546"/>
      <c r="BE66" s="546"/>
      <c r="BF66" s="546"/>
      <c r="BG66" s="546">
        <f t="shared" si="19"/>
        <v>46046.320230214493</v>
      </c>
      <c r="BH66" s="108">
        <f t="shared" si="28"/>
        <v>3</v>
      </c>
      <c r="BI66" s="108">
        <f t="shared" si="23"/>
        <v>3</v>
      </c>
      <c r="BJ66" s="22">
        <f t="shared" si="24"/>
        <v>46604</v>
      </c>
      <c r="BK66" s="108">
        <f t="shared" si="3"/>
        <v>22562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5"/>
        <v>59</v>
      </c>
      <c r="H67" s="245">
        <f t="shared" si="4"/>
        <v>46635</v>
      </c>
      <c r="I67" s="246">
        <f t="shared" si="5"/>
        <v>4.9000000000000002E-2</v>
      </c>
      <c r="J67" s="242">
        <f t="shared" si="6"/>
        <v>22562</v>
      </c>
      <c r="K67" s="242">
        <f t="shared" si="20"/>
        <v>22562</v>
      </c>
      <c r="L67" s="242">
        <f t="shared" si="7"/>
        <v>187.1082597009833</v>
      </c>
      <c r="M67" s="242">
        <f t="shared" si="21"/>
        <v>22374.891740299016</v>
      </c>
      <c r="N67" s="242">
        <f t="shared" si="1"/>
        <v>0</v>
      </c>
      <c r="O67" s="242">
        <v>0</v>
      </c>
      <c r="P67" s="242">
        <f t="shared" si="22"/>
        <v>187.1082597009833</v>
      </c>
      <c r="Q67" s="242">
        <f t="shared" si="29"/>
        <v>0</v>
      </c>
      <c r="R67" s="242">
        <f t="shared" si="8"/>
        <v>0</v>
      </c>
      <c r="S67" s="242">
        <f t="shared" si="9"/>
        <v>22585.289162175573</v>
      </c>
      <c r="T67" s="467"/>
      <c r="U67" s="198">
        <f t="shared" si="26"/>
        <v>2</v>
      </c>
      <c r="V67" s="36">
        <f t="shared" si="10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35"/>
        <v>22562</v>
      </c>
      <c r="Y67" s="57">
        <f t="shared" si="34"/>
        <v>53599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37"/>
        <v>23217</v>
      </c>
      <c r="AN67" s="57">
        <f t="shared" si="36"/>
        <v>52139</v>
      </c>
      <c r="AO67" s="130">
        <f t="shared" si="11"/>
        <v>1</v>
      </c>
      <c r="AP67" s="553">
        <f t="shared" si="27"/>
        <v>59</v>
      </c>
      <c r="AQ67" s="554">
        <f t="shared" si="12"/>
        <v>46635</v>
      </c>
      <c r="AR67" s="555">
        <f t="shared" si="2"/>
        <v>0.13900000000000001</v>
      </c>
      <c r="AS67" s="546">
        <f t="shared" si="13"/>
        <v>23217</v>
      </c>
      <c r="AT67" s="546">
        <f t="shared" si="14"/>
        <v>23217</v>
      </c>
      <c r="AU67" s="546">
        <f t="shared" si="15"/>
        <v>543.59888732053219</v>
      </c>
      <c r="AV67" s="546">
        <f t="shared" si="16"/>
        <v>22673.401112679468</v>
      </c>
      <c r="AW67" s="546"/>
      <c r="AX67" s="546">
        <v>0</v>
      </c>
      <c r="AY67" s="546">
        <f t="shared" si="17"/>
        <v>543.59888732053219</v>
      </c>
      <c r="AZ67" s="546">
        <f t="shared" si="32"/>
        <v>0</v>
      </c>
      <c r="BA67" s="546">
        <f t="shared" si="30"/>
        <v>0</v>
      </c>
      <c r="BB67" s="546"/>
      <c r="BC67" s="546"/>
      <c r="BD67" s="546"/>
      <c r="BE67" s="546"/>
      <c r="BF67" s="546"/>
      <c r="BG67" s="546">
        <f t="shared" si="19"/>
        <v>23372.919117535024</v>
      </c>
      <c r="BH67" s="108">
        <f t="shared" si="28"/>
        <v>2</v>
      </c>
      <c r="BI67" s="108">
        <f t="shared" si="23"/>
        <v>2</v>
      </c>
      <c r="BJ67" s="22">
        <f t="shared" si="24"/>
        <v>46635</v>
      </c>
      <c r="BK67" s="108">
        <f t="shared" si="3"/>
        <v>22562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5"/>
        <v>60</v>
      </c>
      <c r="H68" s="581">
        <f t="shared" si="4"/>
        <v>46665</v>
      </c>
      <c r="I68" s="250">
        <f t="shared" si="5"/>
        <v>4.9000000000000002E-2</v>
      </c>
      <c r="J68" s="242">
        <f t="shared" si="6"/>
        <v>22562</v>
      </c>
      <c r="K68" s="252">
        <f t="shared" si="20"/>
        <v>22562</v>
      </c>
      <c r="L68" s="252">
        <f t="shared" si="7"/>
        <v>90.959931694241348</v>
      </c>
      <c r="M68" s="252">
        <f t="shared" si="21"/>
        <v>22471.04006830576</v>
      </c>
      <c r="N68" s="252">
        <f t="shared" si="1"/>
        <v>0</v>
      </c>
      <c r="O68" s="252">
        <v>0</v>
      </c>
      <c r="P68" s="252">
        <f t="shared" si="22"/>
        <v>90.959931694241348</v>
      </c>
      <c r="Q68" s="252">
        <f t="shared" si="29"/>
        <v>0</v>
      </c>
      <c r="R68" s="252">
        <f t="shared" si="8"/>
        <v>0</v>
      </c>
      <c r="S68" s="252">
        <f t="shared" si="9"/>
        <v>114.24909386981381</v>
      </c>
      <c r="T68" s="252"/>
      <c r="U68" s="198">
        <f t="shared" si="26"/>
        <v>1</v>
      </c>
      <c r="V68" s="36">
        <f t="shared" si="10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35"/>
        <v>22562</v>
      </c>
      <c r="Y68" s="57">
        <f t="shared" si="34"/>
        <v>53964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37"/>
        <v>23217</v>
      </c>
      <c r="AN68" s="57">
        <f t="shared" si="36"/>
        <v>52504</v>
      </c>
      <c r="AO68" s="130">
        <f t="shared" si="11"/>
        <v>1</v>
      </c>
      <c r="AP68" s="556">
        <f t="shared" si="27"/>
        <v>60</v>
      </c>
      <c r="AQ68" s="582">
        <f t="shared" si="12"/>
        <v>46665</v>
      </c>
      <c r="AR68" s="557">
        <f t="shared" si="2"/>
        <v>0.13900000000000001</v>
      </c>
      <c r="AS68" s="547">
        <f t="shared" si="13"/>
        <v>23217</v>
      </c>
      <c r="AT68" s="547">
        <f t="shared" si="14"/>
        <v>23217</v>
      </c>
      <c r="AU68" s="547">
        <f t="shared" si="15"/>
        <v>267.02759649348235</v>
      </c>
      <c r="AV68" s="547">
        <f t="shared" si="16"/>
        <v>23372.919117535024</v>
      </c>
      <c r="AW68" s="547"/>
      <c r="AX68" s="547">
        <v>0</v>
      </c>
      <c r="AY68" s="547">
        <f t="shared" si="17"/>
        <v>267.02759649348235</v>
      </c>
      <c r="AZ68" s="547">
        <f t="shared" si="32"/>
        <v>0</v>
      </c>
      <c r="BA68" s="547">
        <f t="shared" si="30"/>
        <v>0</v>
      </c>
      <c r="BB68" s="547"/>
      <c r="BC68" s="547"/>
      <c r="BD68" s="547"/>
      <c r="BE68" s="547"/>
      <c r="BF68" s="547"/>
      <c r="BG68" s="547">
        <f t="shared" si="19"/>
        <v>0</v>
      </c>
      <c r="BH68" s="108">
        <f t="shared" si="28"/>
        <v>1</v>
      </c>
      <c r="BI68" s="108">
        <f t="shared" si="23"/>
        <v>1</v>
      </c>
      <c r="BJ68" s="22">
        <f t="shared" si="24"/>
        <v>46665</v>
      </c>
      <c r="BK68" s="108">
        <f t="shared" si="3"/>
        <v>22562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5"/>
        <v>61</v>
      </c>
      <c r="H69" s="245">
        <f t="shared" si="4"/>
        <v>46696</v>
      </c>
      <c r="I69" s="246">
        <f t="shared" si="5"/>
        <v>4.9000000000000002E-2</v>
      </c>
      <c r="J69" s="242">
        <f t="shared" si="6"/>
        <v>0</v>
      </c>
      <c r="K69" s="242">
        <f t="shared" si="20"/>
        <v>0</v>
      </c>
      <c r="L69" s="242">
        <f t="shared" si="7"/>
        <v>0.47546403722807445</v>
      </c>
      <c r="M69" s="242">
        <f t="shared" si="21"/>
        <v>114.24909386981381</v>
      </c>
      <c r="N69" s="242">
        <f t="shared" si="1"/>
        <v>0</v>
      </c>
      <c r="O69" s="242">
        <v>0</v>
      </c>
      <c r="P69" s="242">
        <f t="shared" si="22"/>
        <v>0.47546403722807445</v>
      </c>
      <c r="Q69" s="242">
        <f t="shared" si="29"/>
        <v>0</v>
      </c>
      <c r="R69" s="242">
        <f t="shared" si="8"/>
        <v>0</v>
      </c>
      <c r="S69" s="242">
        <f t="shared" si="9"/>
        <v>0</v>
      </c>
      <c r="T69" s="467"/>
      <c r="U69" s="36">
        <f t="shared" si="26"/>
        <v>0</v>
      </c>
      <c r="V69" s="36">
        <f t="shared" si="10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35"/>
        <v>22562</v>
      </c>
      <c r="Y69" s="57">
        <f t="shared" si="34"/>
        <v>54329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37"/>
        <v>23217</v>
      </c>
      <c r="AN69" s="57">
        <f t="shared" si="36"/>
        <v>52869</v>
      </c>
      <c r="AO69" s="130">
        <f t="shared" si="11"/>
        <v>0</v>
      </c>
      <c r="AP69" s="553">
        <f t="shared" si="27"/>
        <v>61</v>
      </c>
      <c r="AQ69" s="554">
        <f t="shared" si="12"/>
        <v>46696</v>
      </c>
      <c r="AR69" s="555">
        <f t="shared" si="2"/>
        <v>0.13900000000000001</v>
      </c>
      <c r="AS69" s="546">
        <f t="shared" si="13"/>
        <v>0</v>
      </c>
      <c r="AT69" s="546">
        <f t="shared" si="14"/>
        <v>0</v>
      </c>
      <c r="AU69" s="546">
        <f t="shared" si="15"/>
        <v>0</v>
      </c>
      <c r="AV69" s="546">
        <f t="shared" si="16"/>
        <v>0</v>
      </c>
      <c r="AW69" s="546"/>
      <c r="AX69" s="546">
        <v>0</v>
      </c>
      <c r="AY69" s="546">
        <f t="shared" si="17"/>
        <v>0</v>
      </c>
      <c r="AZ69" s="546">
        <f t="shared" si="32"/>
        <v>0</v>
      </c>
      <c r="BA69" s="546">
        <f t="shared" si="30"/>
        <v>0</v>
      </c>
      <c r="BB69" s="546"/>
      <c r="BC69" s="546"/>
      <c r="BD69" s="546"/>
      <c r="BE69" s="546"/>
      <c r="BF69" s="546"/>
      <c r="BG69" s="546">
        <f t="shared" si="19"/>
        <v>0</v>
      </c>
      <c r="BH69" s="108">
        <f t="shared" si="28"/>
        <v>0</v>
      </c>
      <c r="BI69" s="108">
        <f t="shared" si="23"/>
        <v>0</v>
      </c>
      <c r="BJ69" s="22">
        <f t="shared" si="24"/>
        <v>46696</v>
      </c>
      <c r="BK69" s="108">
        <f t="shared" si="3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4"/>
      <c r="D70" s="178"/>
      <c r="E70" s="178"/>
      <c r="F70" s="178"/>
      <c r="G70" s="244">
        <f t="shared" si="25"/>
        <v>62</v>
      </c>
      <c r="H70" s="245">
        <f t="shared" si="4"/>
        <v>46726</v>
      </c>
      <c r="I70" s="246">
        <f t="shared" si="5"/>
        <v>4.9000000000000002E-2</v>
      </c>
      <c r="J70" s="242">
        <f t="shared" si="6"/>
        <v>0</v>
      </c>
      <c r="K70" s="242">
        <f t="shared" si="20"/>
        <v>0</v>
      </c>
      <c r="L70" s="242">
        <f t="shared" si="7"/>
        <v>0</v>
      </c>
      <c r="M70" s="242">
        <f t="shared" si="21"/>
        <v>0</v>
      </c>
      <c r="N70" s="242">
        <f t="shared" si="1"/>
        <v>0</v>
      </c>
      <c r="O70" s="242">
        <v>0</v>
      </c>
      <c r="P70" s="242">
        <f t="shared" si="22"/>
        <v>0</v>
      </c>
      <c r="Q70" s="242">
        <f t="shared" si="29"/>
        <v>0</v>
      </c>
      <c r="R70" s="242">
        <f t="shared" si="8"/>
        <v>0</v>
      </c>
      <c r="S70" s="242">
        <f t="shared" si="9"/>
        <v>0</v>
      </c>
      <c r="T70" s="467"/>
      <c r="U70" s="36">
        <f t="shared" si="26"/>
        <v>0</v>
      </c>
      <c r="V70" s="36">
        <f t="shared" si="10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35"/>
        <v>22562</v>
      </c>
      <c r="Y70" s="57">
        <f t="shared" si="34"/>
        <v>54694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37"/>
        <v>23217</v>
      </c>
      <c r="AN70" s="57">
        <f t="shared" si="36"/>
        <v>53234</v>
      </c>
      <c r="AO70" s="130">
        <f t="shared" si="11"/>
        <v>0</v>
      </c>
      <c r="AP70" s="553">
        <f t="shared" si="27"/>
        <v>62</v>
      </c>
      <c r="AQ70" s="554">
        <f t="shared" si="12"/>
        <v>46726</v>
      </c>
      <c r="AR70" s="555">
        <f t="shared" si="2"/>
        <v>0.13900000000000001</v>
      </c>
      <c r="AS70" s="546">
        <f t="shared" si="13"/>
        <v>0</v>
      </c>
      <c r="AT70" s="546">
        <f t="shared" si="14"/>
        <v>0</v>
      </c>
      <c r="AU70" s="546">
        <f t="shared" si="15"/>
        <v>0</v>
      </c>
      <c r="AV70" s="546">
        <f t="shared" si="16"/>
        <v>0</v>
      </c>
      <c r="AW70" s="546"/>
      <c r="AX70" s="546">
        <v>0</v>
      </c>
      <c r="AY70" s="546">
        <f t="shared" si="17"/>
        <v>0</v>
      </c>
      <c r="AZ70" s="546">
        <f t="shared" si="32"/>
        <v>0</v>
      </c>
      <c r="BA70" s="546">
        <f t="shared" si="30"/>
        <v>0</v>
      </c>
      <c r="BB70" s="546"/>
      <c r="BC70" s="546"/>
      <c r="BD70" s="546"/>
      <c r="BE70" s="546"/>
      <c r="BF70" s="546"/>
      <c r="BG70" s="546">
        <f t="shared" si="19"/>
        <v>0</v>
      </c>
      <c r="BH70" s="108">
        <f t="shared" si="28"/>
        <v>0</v>
      </c>
      <c r="BI70" s="108">
        <f t="shared" si="23"/>
        <v>0</v>
      </c>
      <c r="BJ70" s="22">
        <f t="shared" si="24"/>
        <v>46726</v>
      </c>
      <c r="BK70" s="108">
        <f t="shared" si="3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5"/>
        <v>63</v>
      </c>
      <c r="H71" s="245">
        <f t="shared" si="4"/>
        <v>46757</v>
      </c>
      <c r="I71" s="246">
        <f t="shared" si="5"/>
        <v>4.9000000000000002E-2</v>
      </c>
      <c r="J71" s="242">
        <f t="shared" si="6"/>
        <v>0</v>
      </c>
      <c r="K71" s="242">
        <f t="shared" si="20"/>
        <v>0</v>
      </c>
      <c r="L71" s="242">
        <f t="shared" si="7"/>
        <v>0</v>
      </c>
      <c r="M71" s="242">
        <f t="shared" si="21"/>
        <v>0</v>
      </c>
      <c r="N71" s="242">
        <f t="shared" si="1"/>
        <v>0</v>
      </c>
      <c r="O71" s="242">
        <v>0</v>
      </c>
      <c r="P71" s="242">
        <f t="shared" si="22"/>
        <v>0</v>
      </c>
      <c r="Q71" s="242">
        <f t="shared" si="29"/>
        <v>0</v>
      </c>
      <c r="R71" s="242">
        <f t="shared" si="8"/>
        <v>0</v>
      </c>
      <c r="S71" s="242">
        <f t="shared" si="9"/>
        <v>0</v>
      </c>
      <c r="T71" s="467"/>
      <c r="U71" s="36">
        <f t="shared" si="26"/>
        <v>0</v>
      </c>
      <c r="V71" s="36">
        <f t="shared" si="10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35"/>
        <v>22562</v>
      </c>
      <c r="Y71" s="57">
        <f t="shared" si="34"/>
        <v>55059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37"/>
        <v>23217</v>
      </c>
      <c r="AN71" s="57">
        <f t="shared" si="36"/>
        <v>53599</v>
      </c>
      <c r="AO71" s="130">
        <f t="shared" si="11"/>
        <v>0</v>
      </c>
      <c r="AP71" s="553">
        <f t="shared" si="27"/>
        <v>63</v>
      </c>
      <c r="AQ71" s="554">
        <f t="shared" si="12"/>
        <v>46757</v>
      </c>
      <c r="AR71" s="555">
        <f t="shared" si="2"/>
        <v>0.13900000000000001</v>
      </c>
      <c r="AS71" s="546">
        <f t="shared" si="13"/>
        <v>0</v>
      </c>
      <c r="AT71" s="546">
        <f t="shared" si="14"/>
        <v>0</v>
      </c>
      <c r="AU71" s="546">
        <f t="shared" si="15"/>
        <v>0</v>
      </c>
      <c r="AV71" s="546">
        <f t="shared" si="16"/>
        <v>0</v>
      </c>
      <c r="AW71" s="546"/>
      <c r="AX71" s="546">
        <v>0</v>
      </c>
      <c r="AY71" s="546">
        <f t="shared" si="17"/>
        <v>0</v>
      </c>
      <c r="AZ71" s="546">
        <f t="shared" si="32"/>
        <v>0</v>
      </c>
      <c r="BA71" s="546">
        <f t="shared" si="30"/>
        <v>0</v>
      </c>
      <c r="BB71" s="546"/>
      <c r="BC71" s="546"/>
      <c r="BD71" s="546"/>
      <c r="BE71" s="546"/>
      <c r="BF71" s="546"/>
      <c r="BG71" s="546">
        <f t="shared" si="19"/>
        <v>0</v>
      </c>
      <c r="BH71" s="108">
        <f t="shared" si="28"/>
        <v>0</v>
      </c>
      <c r="BI71" s="108">
        <f t="shared" si="23"/>
        <v>0</v>
      </c>
      <c r="BJ71" s="22">
        <f t="shared" si="24"/>
        <v>46757</v>
      </c>
      <c r="BK71" s="108">
        <f t="shared" si="3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5"/>
        <v>64</v>
      </c>
      <c r="H72" s="245">
        <f t="shared" si="4"/>
        <v>46788</v>
      </c>
      <c r="I72" s="246">
        <f t="shared" si="5"/>
        <v>4.9000000000000002E-2</v>
      </c>
      <c r="J72" s="242">
        <f t="shared" si="6"/>
        <v>0</v>
      </c>
      <c r="K72" s="242">
        <f t="shared" si="20"/>
        <v>0</v>
      </c>
      <c r="L72" s="242">
        <f t="shared" si="7"/>
        <v>0</v>
      </c>
      <c r="M72" s="242">
        <f t="shared" si="21"/>
        <v>0</v>
      </c>
      <c r="N72" s="242">
        <f t="shared" si="1"/>
        <v>0</v>
      </c>
      <c r="O72" s="242">
        <v>0</v>
      </c>
      <c r="P72" s="242">
        <f t="shared" si="22"/>
        <v>0</v>
      </c>
      <c r="Q72" s="242">
        <f t="shared" si="29"/>
        <v>0</v>
      </c>
      <c r="R72" s="242">
        <f t="shared" si="8"/>
        <v>0</v>
      </c>
      <c r="S72" s="242">
        <f t="shared" si="9"/>
        <v>0</v>
      </c>
      <c r="T72" s="467"/>
      <c r="U72" s="36">
        <f t="shared" si="26"/>
        <v>0</v>
      </c>
      <c r="V72" s="36">
        <f t="shared" si="10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35"/>
        <v>22562</v>
      </c>
      <c r="Y72" s="57">
        <f t="shared" si="34"/>
        <v>55424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37"/>
        <v>23217</v>
      </c>
      <c r="AN72" s="57">
        <f t="shared" si="36"/>
        <v>53964</v>
      </c>
      <c r="AO72" s="130">
        <f t="shared" si="11"/>
        <v>0</v>
      </c>
      <c r="AP72" s="553">
        <f t="shared" si="27"/>
        <v>64</v>
      </c>
      <c r="AQ72" s="554">
        <f t="shared" si="12"/>
        <v>46788</v>
      </c>
      <c r="AR72" s="555">
        <f t="shared" si="2"/>
        <v>0.13900000000000001</v>
      </c>
      <c r="AS72" s="546">
        <f t="shared" si="13"/>
        <v>0</v>
      </c>
      <c r="AT72" s="546">
        <f t="shared" si="14"/>
        <v>0</v>
      </c>
      <c r="AU72" s="546">
        <f t="shared" si="15"/>
        <v>0</v>
      </c>
      <c r="AV72" s="546">
        <f t="shared" si="16"/>
        <v>0</v>
      </c>
      <c r="AW72" s="546"/>
      <c r="AX72" s="546">
        <v>0</v>
      </c>
      <c r="AY72" s="546">
        <f t="shared" si="17"/>
        <v>0</v>
      </c>
      <c r="AZ72" s="546">
        <f t="shared" si="32"/>
        <v>0</v>
      </c>
      <c r="BA72" s="546">
        <f t="shared" si="30"/>
        <v>0</v>
      </c>
      <c r="BB72" s="546"/>
      <c r="BC72" s="546"/>
      <c r="BD72" s="546"/>
      <c r="BE72" s="546"/>
      <c r="BF72" s="546"/>
      <c r="BG72" s="546">
        <f t="shared" si="19"/>
        <v>0</v>
      </c>
      <c r="BH72" s="108">
        <f t="shared" si="28"/>
        <v>0</v>
      </c>
      <c r="BI72" s="108">
        <f t="shared" si="23"/>
        <v>0</v>
      </c>
      <c r="BJ72" s="22">
        <f t="shared" si="24"/>
        <v>46788</v>
      </c>
      <c r="BK72" s="108">
        <f t="shared" si="3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83"/>
      <c r="B73" s="180"/>
      <c r="C73" s="184"/>
      <c r="D73" s="182"/>
      <c r="E73" s="178"/>
      <c r="F73" s="178"/>
      <c r="G73" s="244">
        <f t="shared" si="25"/>
        <v>65</v>
      </c>
      <c r="H73" s="245">
        <f t="shared" si="4"/>
        <v>46817</v>
      </c>
      <c r="I73" s="246">
        <f t="shared" si="5"/>
        <v>4.9000000000000002E-2</v>
      </c>
      <c r="J73" s="242">
        <f t="shared" si="6"/>
        <v>0</v>
      </c>
      <c r="K73" s="242">
        <f t="shared" si="20"/>
        <v>0</v>
      </c>
      <c r="L73" s="242">
        <f t="shared" si="7"/>
        <v>0</v>
      </c>
      <c r="M73" s="242">
        <f t="shared" si="21"/>
        <v>0</v>
      </c>
      <c r="N73" s="242">
        <f t="shared" ref="N73:N108" si="40">IF(P73-Q73&gt;$C$19,$C$19-L73,IF(V73=0,0,R73)+$AI$51)</f>
        <v>0</v>
      </c>
      <c r="O73" s="242">
        <v>0</v>
      </c>
      <c r="P73" s="242">
        <f t="shared" si="22"/>
        <v>0</v>
      </c>
      <c r="Q73" s="242">
        <f t="shared" si="29"/>
        <v>0</v>
      </c>
      <c r="R73" s="242">
        <f t="shared" si="8"/>
        <v>0</v>
      </c>
      <c r="S73" s="242">
        <f t="shared" si="9"/>
        <v>0</v>
      </c>
      <c r="T73" s="467"/>
      <c r="U73" s="36">
        <f t="shared" si="26"/>
        <v>0</v>
      </c>
      <c r="V73" s="36">
        <f t="shared" si="10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35"/>
        <v>22562</v>
      </c>
      <c r="Y73" s="57">
        <f t="shared" si="34"/>
        <v>55789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37"/>
        <v>23217</v>
      </c>
      <c r="AN73" s="57">
        <f t="shared" si="36"/>
        <v>54329</v>
      </c>
      <c r="AO73" s="130">
        <f t="shared" si="11"/>
        <v>0</v>
      </c>
      <c r="AP73" s="553">
        <f t="shared" si="27"/>
        <v>65</v>
      </c>
      <c r="AQ73" s="554">
        <f t="shared" si="12"/>
        <v>46817</v>
      </c>
      <c r="AR73" s="555">
        <f t="shared" ref="AR73:AR108" si="41">$D$13</f>
        <v>0.13900000000000001</v>
      </c>
      <c r="AS73" s="546">
        <f t="shared" si="13"/>
        <v>0</v>
      </c>
      <c r="AT73" s="546">
        <f t="shared" si="14"/>
        <v>0</v>
      </c>
      <c r="AU73" s="546">
        <f t="shared" si="15"/>
        <v>0</v>
      </c>
      <c r="AV73" s="546">
        <f t="shared" si="16"/>
        <v>0</v>
      </c>
      <c r="AW73" s="546"/>
      <c r="AX73" s="546">
        <v>0</v>
      </c>
      <c r="AY73" s="546">
        <f t="shared" si="17"/>
        <v>0</v>
      </c>
      <c r="AZ73" s="546">
        <f t="shared" si="32"/>
        <v>0</v>
      </c>
      <c r="BA73" s="546">
        <f t="shared" si="30"/>
        <v>0</v>
      </c>
      <c r="BB73" s="546"/>
      <c r="BC73" s="546"/>
      <c r="BD73" s="546"/>
      <c r="BE73" s="546"/>
      <c r="BF73" s="546"/>
      <c r="BG73" s="546">
        <f t="shared" si="19"/>
        <v>0</v>
      </c>
      <c r="BH73" s="108">
        <f t="shared" si="28"/>
        <v>0</v>
      </c>
      <c r="BI73" s="108">
        <f t="shared" si="23"/>
        <v>0</v>
      </c>
      <c r="BJ73" s="22">
        <f t="shared" si="24"/>
        <v>46817</v>
      </c>
      <c r="BK73" s="108">
        <f t="shared" ref="BK73:BK114" si="4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83"/>
      <c r="B74" s="178"/>
      <c r="C74" s="184"/>
      <c r="D74" s="178"/>
      <c r="E74" s="178"/>
      <c r="F74" s="178"/>
      <c r="G74" s="244">
        <f t="shared" si="25"/>
        <v>66</v>
      </c>
      <c r="H74" s="245">
        <f t="shared" ref="H74:H92" si="43">IF((OR(DAY($AD$54)=29,DAY($AD$54)=30,DAY($AD$54)=31)),(EDATE($C$9-28,G74+1)),EDATE($C$9,G74))</f>
        <v>46848</v>
      </c>
      <c r="I74" s="246">
        <f t="shared" ref="I74:I108" si="44">IF($C$8="нет",$C$11,$C$13)</f>
        <v>4.9000000000000002E-2</v>
      </c>
      <c r="J74" s="242">
        <f t="shared" ref="J74:J108" si="45">K74+Q74</f>
        <v>0</v>
      </c>
      <c r="K74" s="242">
        <f t="shared" si="20"/>
        <v>0</v>
      </c>
      <c r="L74" s="242">
        <f t="shared" ref="L74:L108" si="46">S73*($C$13/365*(H74-H73))</f>
        <v>0</v>
      </c>
      <c r="M74" s="242">
        <f t="shared" si="21"/>
        <v>0</v>
      </c>
      <c r="N74" s="242">
        <f t="shared" si="40"/>
        <v>0</v>
      </c>
      <c r="O74" s="242">
        <v>0</v>
      </c>
      <c r="P74" s="242">
        <f t="shared" si="22"/>
        <v>0</v>
      </c>
      <c r="Q74" s="242">
        <f t="shared" si="29"/>
        <v>0</v>
      </c>
      <c r="R74" s="242">
        <f t="shared" ref="R74:R108" si="47">IF(V74=0,0,0)</f>
        <v>0</v>
      </c>
      <c r="S74" s="242">
        <f t="shared" ref="S74" si="48">S73-M74-T74</f>
        <v>0</v>
      </c>
      <c r="T74" s="467"/>
      <c r="U74" s="36">
        <f t="shared" si="26"/>
        <v>0</v>
      </c>
      <c r="V74" s="36">
        <f t="shared" ref="V74:V107" si="4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35"/>
        <v>22562</v>
      </c>
      <c r="Y74" s="57">
        <f t="shared" si="34"/>
        <v>56154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37"/>
        <v>23217</v>
      </c>
      <c r="AN74" s="57">
        <f t="shared" si="36"/>
        <v>54694</v>
      </c>
      <c r="AO74" s="130">
        <f t="shared" ref="AO74:AO108" si="50">IF(OR(AT74="",AT74=0),0,1)</f>
        <v>0</v>
      </c>
      <c r="AP74" s="553">
        <f t="shared" si="27"/>
        <v>66</v>
      </c>
      <c r="AQ74" s="554">
        <f t="shared" ref="AQ74:AQ92" si="51">IF((OR(DAY($AD$54)=29,DAY($AD$54)=30,DAY($AD$54)=31)),(EDATE($C$9-28,AP74+1)),EDATE($C$9,AP74))</f>
        <v>46848</v>
      </c>
      <c r="AR74" s="555">
        <f t="shared" si="41"/>
        <v>0.13900000000000001</v>
      </c>
      <c r="AS74" s="546">
        <f t="shared" ref="AS74:AS108" si="52">AT74+AZ74</f>
        <v>0</v>
      </c>
      <c r="AT74" s="546">
        <f t="shared" ref="AT74:AT92" si="53">IF(AP74&gt;$C$10,0,ROUNDUP($BG$8*$C$11/12/((1-(1+$C$11/12)^(0-$C$10))),0))</f>
        <v>0</v>
      </c>
      <c r="AU74" s="546">
        <f t="shared" ref="AU74:AU92" si="54">BG73*($C$11/365*(AQ74-AQ73))</f>
        <v>0</v>
      </c>
      <c r="AV74" s="546">
        <f t="shared" ref="AV74:AV108" si="55">IF(BI74=0,0,IF(BI74=1,BG73,IF(BG73+AW74+AU74&gt;AT73,AT74-AU74-AW74,BG73)))</f>
        <v>0</v>
      </c>
      <c r="AW74" s="546"/>
      <c r="AX74" s="546">
        <v>0</v>
      </c>
      <c r="AY74" s="546">
        <f t="shared" si="17"/>
        <v>0</v>
      </c>
      <c r="AZ74" s="546">
        <f t="shared" si="32"/>
        <v>0</v>
      </c>
      <c r="BA74" s="546">
        <f t="shared" si="30"/>
        <v>0</v>
      </c>
      <c r="BB74" s="546"/>
      <c r="BC74" s="546"/>
      <c r="BD74" s="546"/>
      <c r="BE74" s="546"/>
      <c r="BF74" s="546"/>
      <c r="BG74" s="546">
        <f t="shared" ref="BG74:BG108" si="56">IF(OR(BI74=1,BG73=0),0,BG73-AV74)</f>
        <v>0</v>
      </c>
      <c r="BH74" s="108">
        <f t="shared" si="28"/>
        <v>0</v>
      </c>
      <c r="BI74" s="108">
        <f t="shared" si="23"/>
        <v>0</v>
      </c>
      <c r="BJ74" s="22">
        <f t="shared" si="24"/>
        <v>46848</v>
      </c>
      <c r="BK74" s="108">
        <f t="shared" si="4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84"/>
      <c r="E75" s="178"/>
      <c r="F75" s="178"/>
      <c r="G75" s="244">
        <f t="shared" si="25"/>
        <v>67</v>
      </c>
      <c r="H75" s="245">
        <f t="shared" si="43"/>
        <v>46878</v>
      </c>
      <c r="I75" s="246">
        <f t="shared" si="44"/>
        <v>4.9000000000000002E-2</v>
      </c>
      <c r="J75" s="242">
        <f t="shared" si="45"/>
        <v>0</v>
      </c>
      <c r="K75" s="242">
        <f t="shared" ref="K75:K92" si="57">IF(G75&gt;$C$10,0,IF(T74=0,K74,ROUNDUP(S74*$C$13/12/((1-(1+$C$13/12)^(0-($C$10-G75)))),0)))</f>
        <v>0</v>
      </c>
      <c r="L75" s="242">
        <f t="shared" si="46"/>
        <v>0</v>
      </c>
      <c r="M75" s="242">
        <f t="shared" ref="M75:M92" si="58">IF(S74=0,0,IF(S74+L75&gt;K74,K75-L75,S74))</f>
        <v>0</v>
      </c>
      <c r="N75" s="242">
        <f t="shared" si="40"/>
        <v>0</v>
      </c>
      <c r="O75" s="242">
        <v>0</v>
      </c>
      <c r="P75" s="242">
        <f t="shared" si="22"/>
        <v>0</v>
      </c>
      <c r="Q75" s="242">
        <f t="shared" si="29"/>
        <v>0</v>
      </c>
      <c r="R75" s="242">
        <f t="shared" si="47"/>
        <v>0</v>
      </c>
      <c r="S75" s="242">
        <f t="shared" ref="S75:S108" si="59">IF(OR(V75=1,S74=0),0,S74-M75)</f>
        <v>0</v>
      </c>
      <c r="T75" s="467"/>
      <c r="U75" s="36">
        <f t="shared" si="26"/>
        <v>0</v>
      </c>
      <c r="V75" s="36">
        <f t="shared" si="4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35"/>
        <v>22562</v>
      </c>
      <c r="Y75" s="57">
        <f t="shared" si="34"/>
        <v>56519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37"/>
        <v>23217</v>
      </c>
      <c r="AN75" s="57">
        <f t="shared" si="36"/>
        <v>55059</v>
      </c>
      <c r="AO75" s="130">
        <f t="shared" si="50"/>
        <v>0</v>
      </c>
      <c r="AP75" s="553">
        <f t="shared" si="27"/>
        <v>67</v>
      </c>
      <c r="AQ75" s="554">
        <f t="shared" si="51"/>
        <v>46878</v>
      </c>
      <c r="AR75" s="555">
        <f t="shared" si="41"/>
        <v>0.13900000000000001</v>
      </c>
      <c r="AS75" s="559">
        <f t="shared" si="52"/>
        <v>0</v>
      </c>
      <c r="AT75" s="546">
        <f t="shared" si="53"/>
        <v>0</v>
      </c>
      <c r="AU75" s="546">
        <f t="shared" si="54"/>
        <v>0</v>
      </c>
      <c r="AV75" s="546">
        <f t="shared" si="55"/>
        <v>0</v>
      </c>
      <c r="AW75" s="559"/>
      <c r="AX75" s="559">
        <v>0</v>
      </c>
      <c r="AY75" s="559">
        <f t="shared" si="17"/>
        <v>0</v>
      </c>
      <c r="AZ75" s="559">
        <f t="shared" si="32"/>
        <v>0</v>
      </c>
      <c r="BA75" s="559">
        <f t="shared" si="30"/>
        <v>0</v>
      </c>
      <c r="BB75" s="559"/>
      <c r="BC75" s="559"/>
      <c r="BD75" s="559"/>
      <c r="BE75" s="559"/>
      <c r="BF75" s="559"/>
      <c r="BG75" s="546">
        <f t="shared" si="56"/>
        <v>0</v>
      </c>
      <c r="BH75" s="108">
        <f t="shared" si="28"/>
        <v>0</v>
      </c>
      <c r="BI75" s="108">
        <f t="shared" ref="BI75:BI114" si="60">BH75</f>
        <v>0</v>
      </c>
      <c r="BJ75" s="22">
        <f t="shared" ref="BJ75:BJ114" si="61">H75</f>
        <v>46878</v>
      </c>
      <c r="BK75" s="108">
        <f t="shared" si="4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84"/>
      <c r="E76" s="178"/>
      <c r="F76" s="178"/>
      <c r="G76" s="244">
        <f t="shared" ref="G76:G108" si="62">G75+1</f>
        <v>68</v>
      </c>
      <c r="H76" s="245">
        <f t="shared" si="43"/>
        <v>46909</v>
      </c>
      <c r="I76" s="246">
        <f t="shared" si="44"/>
        <v>4.9000000000000002E-2</v>
      </c>
      <c r="J76" s="242">
        <f t="shared" si="45"/>
        <v>0</v>
      </c>
      <c r="K76" s="242">
        <f t="shared" si="57"/>
        <v>0</v>
      </c>
      <c r="L76" s="242">
        <f t="shared" si="46"/>
        <v>0</v>
      </c>
      <c r="M76" s="242">
        <f t="shared" si="58"/>
        <v>0</v>
      </c>
      <c r="N76" s="242">
        <f t="shared" si="40"/>
        <v>0</v>
      </c>
      <c r="O76" s="242">
        <v>0</v>
      </c>
      <c r="P76" s="242">
        <f t="shared" si="22"/>
        <v>0</v>
      </c>
      <c r="Q76" s="242">
        <f t="shared" si="29"/>
        <v>0</v>
      </c>
      <c r="R76" s="242">
        <f t="shared" si="47"/>
        <v>0</v>
      </c>
      <c r="S76" s="242">
        <f t="shared" si="59"/>
        <v>0</v>
      </c>
      <c r="T76" s="467"/>
      <c r="U76" s="36">
        <f t="shared" ref="U76:U108" si="63">IF((U75-1)&lt;0,0,U75-1)</f>
        <v>0</v>
      </c>
      <c r="V76" s="36">
        <f t="shared" si="4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35"/>
        <v>22562</v>
      </c>
      <c r="Y76" s="57">
        <f t="shared" si="34"/>
        <v>56884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37"/>
        <v>23217</v>
      </c>
      <c r="AN76" s="57">
        <f t="shared" si="36"/>
        <v>55424</v>
      </c>
      <c r="AO76" s="130">
        <f t="shared" si="50"/>
        <v>0</v>
      </c>
      <c r="AP76" s="553">
        <f t="shared" ref="AP76:AP108" si="64">AP75+1</f>
        <v>68</v>
      </c>
      <c r="AQ76" s="554">
        <f t="shared" si="51"/>
        <v>46909</v>
      </c>
      <c r="AR76" s="555">
        <f t="shared" si="41"/>
        <v>0.13900000000000001</v>
      </c>
      <c r="AS76" s="559">
        <f t="shared" si="52"/>
        <v>0</v>
      </c>
      <c r="AT76" s="546">
        <f t="shared" si="53"/>
        <v>0</v>
      </c>
      <c r="AU76" s="546">
        <f t="shared" si="54"/>
        <v>0</v>
      </c>
      <c r="AV76" s="546">
        <f t="shared" si="55"/>
        <v>0</v>
      </c>
      <c r="AW76" s="559"/>
      <c r="AX76" s="559">
        <v>0</v>
      </c>
      <c r="AY76" s="559">
        <f t="shared" si="17"/>
        <v>0</v>
      </c>
      <c r="AZ76" s="559">
        <f t="shared" si="32"/>
        <v>0</v>
      </c>
      <c r="BA76" s="559">
        <f t="shared" si="30"/>
        <v>0</v>
      </c>
      <c r="BB76" s="559"/>
      <c r="BC76" s="559"/>
      <c r="BD76" s="559"/>
      <c r="BE76" s="559"/>
      <c r="BF76" s="559"/>
      <c r="BG76" s="546">
        <f t="shared" si="56"/>
        <v>0</v>
      </c>
      <c r="BH76" s="108">
        <f t="shared" ref="BH76:BH114" si="65">IF((BH75-1)&lt;0,0,BH75-1)</f>
        <v>0</v>
      </c>
      <c r="BI76" s="108">
        <f t="shared" si="60"/>
        <v>0</v>
      </c>
      <c r="BJ76" s="22">
        <f t="shared" si="61"/>
        <v>46909</v>
      </c>
      <c r="BK76" s="108">
        <f t="shared" si="4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84"/>
      <c r="E77" s="178"/>
      <c r="F77" s="178"/>
      <c r="G77" s="244">
        <f t="shared" si="62"/>
        <v>69</v>
      </c>
      <c r="H77" s="245">
        <f t="shared" si="43"/>
        <v>46939</v>
      </c>
      <c r="I77" s="246">
        <f t="shared" si="44"/>
        <v>4.9000000000000002E-2</v>
      </c>
      <c r="J77" s="242">
        <f t="shared" si="45"/>
        <v>0</v>
      </c>
      <c r="K77" s="242">
        <f t="shared" si="57"/>
        <v>0</v>
      </c>
      <c r="L77" s="242">
        <f t="shared" si="46"/>
        <v>0</v>
      </c>
      <c r="M77" s="242">
        <f t="shared" si="58"/>
        <v>0</v>
      </c>
      <c r="N77" s="242">
        <f t="shared" si="40"/>
        <v>0</v>
      </c>
      <c r="O77" s="242">
        <v>0</v>
      </c>
      <c r="P77" s="242">
        <f t="shared" si="22"/>
        <v>0</v>
      </c>
      <c r="Q77" s="242">
        <f t="shared" si="29"/>
        <v>0</v>
      </c>
      <c r="R77" s="242">
        <f t="shared" si="47"/>
        <v>0</v>
      </c>
      <c r="S77" s="242">
        <f t="shared" si="59"/>
        <v>0</v>
      </c>
      <c r="T77" s="467"/>
      <c r="U77" s="36">
        <f t="shared" si="63"/>
        <v>0</v>
      </c>
      <c r="V77" s="36">
        <f t="shared" si="4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35"/>
        <v>22562</v>
      </c>
      <c r="Y77" s="57">
        <f t="shared" si="34"/>
        <v>57249</v>
      </c>
      <c r="AC77" s="16">
        <f>IF($C$7&gt;=$AA$71,AC76,IF($C$7&gt;=$AA$70,AC75,IF($C$7&gt;=$AA$69,AC74,IF($C$7&gt;=$AA$68,AC73,AC72))))</f>
        <v>1.1000000000000001</v>
      </c>
      <c r="AD77" s="16">
        <v>1.3</v>
      </c>
      <c r="AE77" s="16">
        <f t="shared" ref="AE77:AI77" si="66">IF($C$7&gt;=$AA$71,AE76,IF($C$7&gt;=$AA$70,AE75,IF($C$7&gt;=$AA$69,AE74,IF($C$7&gt;=$AA$68,AE73,AE72))))</f>
        <v>1.3</v>
      </c>
      <c r="AF77" s="16">
        <f t="shared" si="66"/>
        <v>1.2</v>
      </c>
      <c r="AG77" s="16">
        <f t="shared" si="66"/>
        <v>0</v>
      </c>
      <c r="AH77" s="16">
        <f t="shared" si="66"/>
        <v>1</v>
      </c>
      <c r="AI77" s="16">
        <f t="shared" si="66"/>
        <v>1.3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37"/>
        <v>23217</v>
      </c>
      <c r="AN77" s="57">
        <f t="shared" si="36"/>
        <v>55789</v>
      </c>
      <c r="AO77" s="130">
        <f t="shared" si="50"/>
        <v>0</v>
      </c>
      <c r="AP77" s="553">
        <f t="shared" si="64"/>
        <v>69</v>
      </c>
      <c r="AQ77" s="554">
        <f t="shared" si="51"/>
        <v>46939</v>
      </c>
      <c r="AR77" s="555">
        <f t="shared" si="41"/>
        <v>0.13900000000000001</v>
      </c>
      <c r="AS77" s="559">
        <f t="shared" si="52"/>
        <v>0</v>
      </c>
      <c r="AT77" s="546">
        <f t="shared" si="53"/>
        <v>0</v>
      </c>
      <c r="AU77" s="546">
        <f t="shared" si="54"/>
        <v>0</v>
      </c>
      <c r="AV77" s="546">
        <f t="shared" si="55"/>
        <v>0</v>
      </c>
      <c r="AW77" s="559"/>
      <c r="AX77" s="559">
        <v>0</v>
      </c>
      <c r="AY77" s="559">
        <f t="shared" si="17"/>
        <v>0</v>
      </c>
      <c r="AZ77" s="559">
        <f t="shared" si="32"/>
        <v>0</v>
      </c>
      <c r="BA77" s="559">
        <f t="shared" si="30"/>
        <v>0</v>
      </c>
      <c r="BB77" s="559"/>
      <c r="BC77" s="559"/>
      <c r="BD77" s="559"/>
      <c r="BE77" s="559"/>
      <c r="BF77" s="559"/>
      <c r="BG77" s="546">
        <f t="shared" si="56"/>
        <v>0</v>
      </c>
      <c r="BH77" s="108">
        <f t="shared" si="65"/>
        <v>0</v>
      </c>
      <c r="BI77" s="108">
        <f t="shared" si="60"/>
        <v>0</v>
      </c>
      <c r="BJ77" s="22">
        <f t="shared" si="61"/>
        <v>46939</v>
      </c>
      <c r="BK77" s="108">
        <f t="shared" si="4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4"/>
      <c r="E78" s="178"/>
      <c r="F78" s="178"/>
      <c r="G78" s="244">
        <f t="shared" si="62"/>
        <v>70</v>
      </c>
      <c r="H78" s="245">
        <f t="shared" si="43"/>
        <v>46970</v>
      </c>
      <c r="I78" s="246">
        <f t="shared" si="44"/>
        <v>4.9000000000000002E-2</v>
      </c>
      <c r="J78" s="242">
        <f t="shared" si="45"/>
        <v>0</v>
      </c>
      <c r="K78" s="242">
        <f t="shared" si="57"/>
        <v>0</v>
      </c>
      <c r="L78" s="242">
        <f t="shared" si="46"/>
        <v>0</v>
      </c>
      <c r="M78" s="242">
        <f t="shared" si="58"/>
        <v>0</v>
      </c>
      <c r="N78" s="242">
        <f t="shared" si="40"/>
        <v>0</v>
      </c>
      <c r="O78" s="242">
        <v>0</v>
      </c>
      <c r="P78" s="242">
        <f t="shared" si="22"/>
        <v>0</v>
      </c>
      <c r="Q78" s="242">
        <f t="shared" si="29"/>
        <v>0</v>
      </c>
      <c r="R78" s="242">
        <f t="shared" si="47"/>
        <v>0</v>
      </c>
      <c r="S78" s="242">
        <f t="shared" si="59"/>
        <v>0</v>
      </c>
      <c r="T78" s="467"/>
      <c r="U78" s="36">
        <f t="shared" si="63"/>
        <v>0</v>
      </c>
      <c r="V78" s="36">
        <f t="shared" si="4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35"/>
        <v>22562</v>
      </c>
      <c r="Y78" s="57">
        <f t="shared" si="34"/>
        <v>57614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37"/>
        <v>23217</v>
      </c>
      <c r="AN78" s="57">
        <f t="shared" si="36"/>
        <v>56154</v>
      </c>
      <c r="AO78" s="130">
        <f t="shared" si="50"/>
        <v>0</v>
      </c>
      <c r="AP78" s="553">
        <f t="shared" si="64"/>
        <v>70</v>
      </c>
      <c r="AQ78" s="554">
        <f t="shared" si="51"/>
        <v>46970</v>
      </c>
      <c r="AR78" s="555">
        <f t="shared" si="41"/>
        <v>0.13900000000000001</v>
      </c>
      <c r="AS78" s="559">
        <f t="shared" si="52"/>
        <v>0</v>
      </c>
      <c r="AT78" s="546">
        <f t="shared" si="53"/>
        <v>0</v>
      </c>
      <c r="AU78" s="546">
        <f t="shared" si="54"/>
        <v>0</v>
      </c>
      <c r="AV78" s="546">
        <f t="shared" si="55"/>
        <v>0</v>
      </c>
      <c r="AW78" s="559"/>
      <c r="AX78" s="559">
        <v>0</v>
      </c>
      <c r="AY78" s="559">
        <f t="shared" si="17"/>
        <v>0</v>
      </c>
      <c r="AZ78" s="559">
        <f t="shared" si="32"/>
        <v>0</v>
      </c>
      <c r="BA78" s="559">
        <f t="shared" si="30"/>
        <v>0</v>
      </c>
      <c r="BB78" s="559"/>
      <c r="BC78" s="559"/>
      <c r="BD78" s="559"/>
      <c r="BE78" s="559"/>
      <c r="BF78" s="559"/>
      <c r="BG78" s="546">
        <f t="shared" si="56"/>
        <v>0</v>
      </c>
      <c r="BH78" s="108">
        <f t="shared" si="65"/>
        <v>0</v>
      </c>
      <c r="BI78" s="108">
        <f t="shared" si="60"/>
        <v>0</v>
      </c>
      <c r="BJ78" s="22">
        <f t="shared" si="61"/>
        <v>46970</v>
      </c>
      <c r="BK78" s="108">
        <f t="shared" si="4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84"/>
      <c r="E79" s="178"/>
      <c r="F79" s="178"/>
      <c r="G79" s="244">
        <f t="shared" si="62"/>
        <v>71</v>
      </c>
      <c r="H79" s="245">
        <f t="shared" si="43"/>
        <v>47001</v>
      </c>
      <c r="I79" s="246">
        <f t="shared" si="44"/>
        <v>4.9000000000000002E-2</v>
      </c>
      <c r="J79" s="242">
        <f t="shared" si="45"/>
        <v>0</v>
      </c>
      <c r="K79" s="242">
        <f t="shared" si="57"/>
        <v>0</v>
      </c>
      <c r="L79" s="242">
        <f t="shared" si="46"/>
        <v>0</v>
      </c>
      <c r="M79" s="242">
        <f t="shared" si="58"/>
        <v>0</v>
      </c>
      <c r="N79" s="242">
        <f t="shared" si="40"/>
        <v>0</v>
      </c>
      <c r="O79" s="242">
        <v>0</v>
      </c>
      <c r="P79" s="242">
        <f t="shared" si="22"/>
        <v>0</v>
      </c>
      <c r="Q79" s="242">
        <f t="shared" ref="Q79:Q108" si="67">IF(V79=0,0,0)</f>
        <v>0</v>
      </c>
      <c r="R79" s="242">
        <f t="shared" si="47"/>
        <v>0</v>
      </c>
      <c r="S79" s="242">
        <f t="shared" si="59"/>
        <v>0</v>
      </c>
      <c r="T79" s="467"/>
      <c r="U79" s="36">
        <f t="shared" si="63"/>
        <v>0</v>
      </c>
      <c r="V79" s="36">
        <f t="shared" si="4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35"/>
        <v>22562</v>
      </c>
      <c r="Y79" s="57">
        <f t="shared" si="34"/>
        <v>57979</v>
      </c>
      <c r="AC79" s="143">
        <f>MIN($C$7*IF($C$7&gt;$AB$71,AC76,IF($C$7&gt;$AB$70,AC75,IF($C$7&gt;$AB$69,AC74,IF($C$7&gt;$AB$68,AC73,AC72)))),5000000)</f>
        <v>1000000</v>
      </c>
      <c r="AD79" s="143">
        <f>MIN($C$7*IF($C$7&gt;$AB$72,AD77,IF($C$7&gt;$AB$77,AD76,IF($C$7&gt;$AB$70,AD75,IF($C$7&gt;$AB$69,AD74,IF($C$7&gt;$AB$68,AD73,AD72))))),5000000)</f>
        <v>1300000</v>
      </c>
      <c r="AE79" s="143">
        <f>MIN(3000000,$C$7*IF($C$7&gt;=$AA$71,AE76,IF($C$7&gt;=$AA$70,AE75,IF($C$7&gt;=$AA$69,AE74,IF($C$7&gt;=$AA$68,AE73,AE72)))))</f>
        <v>1300000</v>
      </c>
      <c r="AF79" s="143">
        <f>MIN(3000000,$C$7*IF($C$7&gt;=$AA$71,AF76,IF($C$7&gt;=$AA$70,AF75,IF($C$7&gt;=$AA$69,AF74,IF($C$7&gt;=$AA$68,AF73,AF72)))))</f>
        <v>1200000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1000000</v>
      </c>
      <c r="AI79" s="143">
        <f>$C$7*IF($C$7&gt;=$AA$71,AI76,IF($C$7&gt;=$AA$70,AI75,IF($C$7&gt;=$AA$69,AI74,IF($C$7&gt;=$AA$68,AI73,AI72))))</f>
        <v>1300000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37"/>
        <v>23217</v>
      </c>
      <c r="AN79" s="57">
        <f t="shared" si="36"/>
        <v>56519</v>
      </c>
      <c r="AO79" s="130">
        <f t="shared" si="50"/>
        <v>0</v>
      </c>
      <c r="AP79" s="553">
        <f t="shared" si="64"/>
        <v>71</v>
      </c>
      <c r="AQ79" s="554">
        <f t="shared" si="51"/>
        <v>47001</v>
      </c>
      <c r="AR79" s="555">
        <f t="shared" si="41"/>
        <v>0.13900000000000001</v>
      </c>
      <c r="AS79" s="559">
        <f t="shared" si="52"/>
        <v>0</v>
      </c>
      <c r="AT79" s="546">
        <f t="shared" si="53"/>
        <v>0</v>
      </c>
      <c r="AU79" s="546">
        <f t="shared" si="54"/>
        <v>0</v>
      </c>
      <c r="AV79" s="546">
        <f t="shared" si="55"/>
        <v>0</v>
      </c>
      <c r="AW79" s="559"/>
      <c r="AX79" s="559">
        <v>0</v>
      </c>
      <c r="AY79" s="559">
        <f t="shared" si="17"/>
        <v>0</v>
      </c>
      <c r="AZ79" s="559">
        <f t="shared" si="32"/>
        <v>0</v>
      </c>
      <c r="BA79" s="559">
        <f t="shared" si="30"/>
        <v>0</v>
      </c>
      <c r="BB79" s="559"/>
      <c r="BC79" s="559"/>
      <c r="BD79" s="559"/>
      <c r="BE79" s="559"/>
      <c r="BF79" s="559"/>
      <c r="BG79" s="546">
        <f t="shared" si="56"/>
        <v>0</v>
      </c>
      <c r="BH79" s="108">
        <f t="shared" si="65"/>
        <v>0</v>
      </c>
      <c r="BI79" s="108">
        <f t="shared" si="60"/>
        <v>0</v>
      </c>
      <c r="BJ79" s="22">
        <f t="shared" si="61"/>
        <v>47001</v>
      </c>
      <c r="BK79" s="108">
        <f t="shared" si="4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84"/>
      <c r="E80" s="178"/>
      <c r="F80" s="178"/>
      <c r="G80" s="248">
        <f t="shared" si="62"/>
        <v>72</v>
      </c>
      <c r="H80" s="581">
        <f t="shared" si="43"/>
        <v>47031</v>
      </c>
      <c r="I80" s="250">
        <f t="shared" si="44"/>
        <v>4.9000000000000002E-2</v>
      </c>
      <c r="J80" s="242">
        <f t="shared" si="45"/>
        <v>0</v>
      </c>
      <c r="K80" s="252">
        <f t="shared" si="57"/>
        <v>0</v>
      </c>
      <c r="L80" s="252">
        <f t="shared" si="46"/>
        <v>0</v>
      </c>
      <c r="M80" s="252">
        <f t="shared" si="58"/>
        <v>0</v>
      </c>
      <c r="N80" s="252">
        <f t="shared" si="40"/>
        <v>0</v>
      </c>
      <c r="O80" s="252">
        <v>0</v>
      </c>
      <c r="P80" s="252">
        <f t="shared" si="22"/>
        <v>0</v>
      </c>
      <c r="Q80" s="252">
        <f t="shared" si="67"/>
        <v>0</v>
      </c>
      <c r="R80" s="252">
        <f t="shared" si="47"/>
        <v>0</v>
      </c>
      <c r="S80" s="252">
        <f t="shared" si="59"/>
        <v>0</v>
      </c>
      <c r="T80" s="252"/>
      <c r="U80" s="36">
        <f t="shared" si="63"/>
        <v>0</v>
      </c>
      <c r="V80" s="36">
        <f t="shared" si="4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35"/>
        <v>22562</v>
      </c>
      <c r="Y80" s="57">
        <f t="shared" si="34"/>
        <v>58344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37"/>
        <v>23217</v>
      </c>
      <c r="AN80" s="57">
        <f t="shared" si="36"/>
        <v>56884</v>
      </c>
      <c r="AO80" s="130">
        <f t="shared" si="50"/>
        <v>0</v>
      </c>
      <c r="AP80" s="556">
        <f t="shared" si="64"/>
        <v>72</v>
      </c>
      <c r="AQ80" s="582">
        <f t="shared" si="51"/>
        <v>47031</v>
      </c>
      <c r="AR80" s="557">
        <f t="shared" si="41"/>
        <v>0.13900000000000001</v>
      </c>
      <c r="AS80" s="560">
        <f t="shared" si="52"/>
        <v>0</v>
      </c>
      <c r="AT80" s="547">
        <f t="shared" si="53"/>
        <v>0</v>
      </c>
      <c r="AU80" s="547">
        <f t="shared" si="54"/>
        <v>0</v>
      </c>
      <c r="AV80" s="547">
        <f t="shared" si="55"/>
        <v>0</v>
      </c>
      <c r="AW80" s="560"/>
      <c r="AX80" s="560">
        <v>0</v>
      </c>
      <c r="AY80" s="560">
        <f t="shared" si="17"/>
        <v>0</v>
      </c>
      <c r="AZ80" s="560">
        <f t="shared" si="32"/>
        <v>0</v>
      </c>
      <c r="BA80" s="560">
        <f t="shared" si="30"/>
        <v>0</v>
      </c>
      <c r="BB80" s="560"/>
      <c r="BC80" s="560"/>
      <c r="BD80" s="560"/>
      <c r="BE80" s="560"/>
      <c r="BF80" s="560"/>
      <c r="BG80" s="547">
        <f t="shared" si="56"/>
        <v>0</v>
      </c>
      <c r="BH80" s="108">
        <f t="shared" si="65"/>
        <v>0</v>
      </c>
      <c r="BI80" s="108">
        <f t="shared" si="60"/>
        <v>0</v>
      </c>
      <c r="BJ80" s="22">
        <f t="shared" si="61"/>
        <v>47031</v>
      </c>
      <c r="BK80" s="108">
        <f t="shared" si="4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84" s="16" customFormat="1" ht="14.25" x14ac:dyDescent="0.3">
      <c r="A81" s="178"/>
      <c r="B81" s="178"/>
      <c r="C81" s="184"/>
      <c r="D81" s="184"/>
      <c r="E81" s="184"/>
      <c r="F81" s="178"/>
      <c r="G81" s="244">
        <f t="shared" si="62"/>
        <v>73</v>
      </c>
      <c r="H81" s="245">
        <f t="shared" si="43"/>
        <v>47062</v>
      </c>
      <c r="I81" s="246">
        <f t="shared" si="44"/>
        <v>4.9000000000000002E-2</v>
      </c>
      <c r="J81" s="242">
        <f t="shared" si="45"/>
        <v>0</v>
      </c>
      <c r="K81" s="242">
        <f t="shared" si="57"/>
        <v>0</v>
      </c>
      <c r="L81" s="242">
        <f t="shared" si="46"/>
        <v>0</v>
      </c>
      <c r="M81" s="242">
        <f t="shared" si="58"/>
        <v>0</v>
      </c>
      <c r="N81" s="242">
        <f t="shared" si="40"/>
        <v>0</v>
      </c>
      <c r="O81" s="242">
        <v>0</v>
      </c>
      <c r="P81" s="242">
        <f t="shared" si="22"/>
        <v>0</v>
      </c>
      <c r="Q81" s="242">
        <f t="shared" si="67"/>
        <v>0</v>
      </c>
      <c r="R81" s="242">
        <f t="shared" si="47"/>
        <v>0</v>
      </c>
      <c r="S81" s="242">
        <f t="shared" si="59"/>
        <v>0</v>
      </c>
      <c r="T81" s="467"/>
      <c r="U81" s="36">
        <f t="shared" si="63"/>
        <v>0</v>
      </c>
      <c r="V81" s="36">
        <f t="shared" si="4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35"/>
        <v>22562</v>
      </c>
      <c r="Y81" s="57">
        <f t="shared" si="34"/>
        <v>58709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37"/>
        <v>23217</v>
      </c>
      <c r="AN81" s="57">
        <f t="shared" si="36"/>
        <v>57249</v>
      </c>
      <c r="AO81" s="130">
        <f t="shared" si="50"/>
        <v>0</v>
      </c>
      <c r="AP81" s="553">
        <f t="shared" si="64"/>
        <v>73</v>
      </c>
      <c r="AQ81" s="554">
        <f t="shared" si="51"/>
        <v>47062</v>
      </c>
      <c r="AR81" s="555">
        <f t="shared" si="41"/>
        <v>0.13900000000000001</v>
      </c>
      <c r="AS81" s="559">
        <f t="shared" si="52"/>
        <v>0</v>
      </c>
      <c r="AT81" s="546">
        <f t="shared" si="53"/>
        <v>0</v>
      </c>
      <c r="AU81" s="546">
        <f t="shared" si="54"/>
        <v>0</v>
      </c>
      <c r="AV81" s="546">
        <f t="shared" si="55"/>
        <v>0</v>
      </c>
      <c r="AW81" s="559"/>
      <c r="AX81" s="559">
        <v>0</v>
      </c>
      <c r="AY81" s="559">
        <f t="shared" si="17"/>
        <v>0</v>
      </c>
      <c r="AZ81" s="559">
        <f t="shared" si="32"/>
        <v>0</v>
      </c>
      <c r="BA81" s="559">
        <f t="shared" si="30"/>
        <v>0</v>
      </c>
      <c r="BB81" s="559"/>
      <c r="BC81" s="559"/>
      <c r="BD81" s="559"/>
      <c r="BE81" s="559"/>
      <c r="BF81" s="559"/>
      <c r="BG81" s="546">
        <f t="shared" si="56"/>
        <v>0</v>
      </c>
      <c r="BH81" s="108">
        <f t="shared" si="65"/>
        <v>0</v>
      </c>
      <c r="BI81" s="108">
        <f t="shared" si="60"/>
        <v>0</v>
      </c>
      <c r="BJ81" s="22">
        <f t="shared" si="61"/>
        <v>47062</v>
      </c>
      <c r="BK81" s="108">
        <f t="shared" si="4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84" s="16" customFormat="1" ht="14.25" x14ac:dyDescent="0.3">
      <c r="A82" s="178"/>
      <c r="B82" s="178"/>
      <c r="C82" s="184"/>
      <c r="D82" s="184"/>
      <c r="E82" s="184"/>
      <c r="F82" s="178"/>
      <c r="G82" s="244">
        <f t="shared" si="62"/>
        <v>74</v>
      </c>
      <c r="H82" s="245">
        <f t="shared" si="43"/>
        <v>47092</v>
      </c>
      <c r="I82" s="246">
        <f t="shared" si="44"/>
        <v>4.9000000000000002E-2</v>
      </c>
      <c r="J82" s="242">
        <f t="shared" si="45"/>
        <v>0</v>
      </c>
      <c r="K82" s="242">
        <f t="shared" si="57"/>
        <v>0</v>
      </c>
      <c r="L82" s="242">
        <f t="shared" si="46"/>
        <v>0</v>
      </c>
      <c r="M82" s="242">
        <f t="shared" si="58"/>
        <v>0</v>
      </c>
      <c r="N82" s="242">
        <f t="shared" si="40"/>
        <v>0</v>
      </c>
      <c r="O82" s="242">
        <v>0</v>
      </c>
      <c r="P82" s="242">
        <f t="shared" si="22"/>
        <v>0</v>
      </c>
      <c r="Q82" s="242">
        <f t="shared" si="67"/>
        <v>0</v>
      </c>
      <c r="R82" s="242">
        <f t="shared" si="47"/>
        <v>0</v>
      </c>
      <c r="S82" s="242">
        <f t="shared" si="59"/>
        <v>0</v>
      </c>
      <c r="T82" s="467"/>
      <c r="U82" s="36">
        <f t="shared" si="63"/>
        <v>0</v>
      </c>
      <c r="V82" s="36">
        <f t="shared" si="4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35"/>
        <v>22562</v>
      </c>
      <c r="Y82" s="57">
        <f t="shared" si="34"/>
        <v>59074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37"/>
        <v>23217</v>
      </c>
      <c r="AN82" s="57">
        <f t="shared" si="36"/>
        <v>57614</v>
      </c>
      <c r="AO82" s="130">
        <f t="shared" si="50"/>
        <v>0</v>
      </c>
      <c r="AP82" s="553">
        <f t="shared" si="64"/>
        <v>74</v>
      </c>
      <c r="AQ82" s="554">
        <f t="shared" si="51"/>
        <v>47092</v>
      </c>
      <c r="AR82" s="555">
        <f t="shared" si="41"/>
        <v>0.13900000000000001</v>
      </c>
      <c r="AS82" s="559">
        <f t="shared" si="52"/>
        <v>0</v>
      </c>
      <c r="AT82" s="546">
        <f t="shared" si="53"/>
        <v>0</v>
      </c>
      <c r="AU82" s="546">
        <f t="shared" si="54"/>
        <v>0</v>
      </c>
      <c r="AV82" s="546">
        <f t="shared" si="55"/>
        <v>0</v>
      </c>
      <c r="AW82" s="559"/>
      <c r="AX82" s="559">
        <v>0</v>
      </c>
      <c r="AY82" s="559">
        <f t="shared" si="17"/>
        <v>0</v>
      </c>
      <c r="AZ82" s="559">
        <f t="shared" si="32"/>
        <v>0</v>
      </c>
      <c r="BA82" s="559">
        <f t="shared" si="30"/>
        <v>0</v>
      </c>
      <c r="BB82" s="559"/>
      <c r="BC82" s="559"/>
      <c r="BD82" s="559"/>
      <c r="BE82" s="559"/>
      <c r="BF82" s="559"/>
      <c r="BG82" s="546">
        <f t="shared" si="56"/>
        <v>0</v>
      </c>
      <c r="BH82" s="108">
        <f t="shared" si="65"/>
        <v>0</v>
      </c>
      <c r="BI82" s="108">
        <f t="shared" si="60"/>
        <v>0</v>
      </c>
      <c r="BJ82" s="22">
        <f t="shared" si="61"/>
        <v>47092</v>
      </c>
      <c r="BK82" s="108">
        <f t="shared" si="4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84" s="16" customFormat="1" ht="14.25" x14ac:dyDescent="0.3">
      <c r="A83" s="178"/>
      <c r="B83" s="178"/>
      <c r="C83" s="184"/>
      <c r="D83" s="184"/>
      <c r="E83" s="184"/>
      <c r="F83" s="178"/>
      <c r="G83" s="244">
        <f t="shared" si="62"/>
        <v>75</v>
      </c>
      <c r="H83" s="245">
        <f t="shared" si="43"/>
        <v>47123</v>
      </c>
      <c r="I83" s="246">
        <f t="shared" si="44"/>
        <v>4.9000000000000002E-2</v>
      </c>
      <c r="J83" s="242">
        <f t="shared" si="45"/>
        <v>0</v>
      </c>
      <c r="K83" s="242">
        <f t="shared" si="57"/>
        <v>0</v>
      </c>
      <c r="L83" s="242">
        <f t="shared" si="46"/>
        <v>0</v>
      </c>
      <c r="M83" s="242">
        <f t="shared" si="58"/>
        <v>0</v>
      </c>
      <c r="N83" s="242">
        <f t="shared" si="40"/>
        <v>0</v>
      </c>
      <c r="O83" s="242">
        <v>0</v>
      </c>
      <c r="P83" s="242">
        <f t="shared" si="22"/>
        <v>0</v>
      </c>
      <c r="Q83" s="242">
        <f t="shared" si="67"/>
        <v>0</v>
      </c>
      <c r="R83" s="242">
        <f t="shared" si="47"/>
        <v>0</v>
      </c>
      <c r="S83" s="242">
        <f t="shared" si="59"/>
        <v>0</v>
      </c>
      <c r="T83" s="467"/>
      <c r="U83" s="36">
        <f t="shared" si="63"/>
        <v>0</v>
      </c>
      <c r="V83" s="36">
        <f t="shared" si="4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35"/>
        <v>22562</v>
      </c>
      <c r="Y83" s="57">
        <f t="shared" si="34"/>
        <v>59439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37"/>
        <v>23217</v>
      </c>
      <c r="AN83" s="57">
        <f t="shared" si="36"/>
        <v>57979</v>
      </c>
      <c r="AO83" s="130">
        <f t="shared" si="50"/>
        <v>0</v>
      </c>
      <c r="AP83" s="553">
        <f t="shared" si="64"/>
        <v>75</v>
      </c>
      <c r="AQ83" s="554">
        <f t="shared" si="51"/>
        <v>47123</v>
      </c>
      <c r="AR83" s="555">
        <f t="shared" si="41"/>
        <v>0.13900000000000001</v>
      </c>
      <c r="AS83" s="559">
        <f t="shared" si="52"/>
        <v>0</v>
      </c>
      <c r="AT83" s="546">
        <f t="shared" si="53"/>
        <v>0</v>
      </c>
      <c r="AU83" s="546">
        <f t="shared" si="54"/>
        <v>0</v>
      </c>
      <c r="AV83" s="546">
        <f t="shared" si="55"/>
        <v>0</v>
      </c>
      <c r="AW83" s="559"/>
      <c r="AX83" s="559">
        <v>0</v>
      </c>
      <c r="AY83" s="559">
        <f t="shared" si="17"/>
        <v>0</v>
      </c>
      <c r="AZ83" s="559">
        <f t="shared" si="32"/>
        <v>0</v>
      </c>
      <c r="BA83" s="559">
        <f t="shared" si="30"/>
        <v>0</v>
      </c>
      <c r="BB83" s="559"/>
      <c r="BC83" s="559"/>
      <c r="BD83" s="559"/>
      <c r="BE83" s="559"/>
      <c r="BF83" s="559"/>
      <c r="BG83" s="546">
        <f t="shared" si="56"/>
        <v>0</v>
      </c>
      <c r="BH83" s="108">
        <f t="shared" si="65"/>
        <v>0</v>
      </c>
      <c r="BI83" s="108">
        <f t="shared" si="60"/>
        <v>0</v>
      </c>
      <c r="BJ83" s="22">
        <f t="shared" si="61"/>
        <v>47123</v>
      </c>
      <c r="BK83" s="108">
        <f t="shared" si="4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84" s="16" customFormat="1" ht="14.25" x14ac:dyDescent="0.3">
      <c r="A84" s="178"/>
      <c r="B84" s="178"/>
      <c r="C84" s="184"/>
      <c r="D84" s="184"/>
      <c r="E84" s="184"/>
      <c r="F84" s="178"/>
      <c r="G84" s="244">
        <f t="shared" si="62"/>
        <v>76</v>
      </c>
      <c r="H84" s="245">
        <f t="shared" si="43"/>
        <v>47154</v>
      </c>
      <c r="I84" s="246">
        <f t="shared" si="44"/>
        <v>4.9000000000000002E-2</v>
      </c>
      <c r="J84" s="242">
        <f t="shared" si="45"/>
        <v>0</v>
      </c>
      <c r="K84" s="242">
        <f t="shared" si="57"/>
        <v>0</v>
      </c>
      <c r="L84" s="242">
        <f t="shared" si="46"/>
        <v>0</v>
      </c>
      <c r="M84" s="242">
        <f t="shared" si="58"/>
        <v>0</v>
      </c>
      <c r="N84" s="242">
        <f t="shared" si="40"/>
        <v>0</v>
      </c>
      <c r="O84" s="242">
        <v>0</v>
      </c>
      <c r="P84" s="242">
        <f t="shared" si="22"/>
        <v>0</v>
      </c>
      <c r="Q84" s="242">
        <f t="shared" si="67"/>
        <v>0</v>
      </c>
      <c r="R84" s="242">
        <f t="shared" si="47"/>
        <v>0</v>
      </c>
      <c r="S84" s="242">
        <f t="shared" si="59"/>
        <v>0</v>
      </c>
      <c r="T84" s="467"/>
      <c r="U84" s="36">
        <f t="shared" si="63"/>
        <v>0</v>
      </c>
      <c r="V84" s="36">
        <f t="shared" si="4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35"/>
        <v>22562</v>
      </c>
      <c r="Y84" s="57">
        <f t="shared" si="34"/>
        <v>59804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37"/>
        <v>23217</v>
      </c>
      <c r="AN84" s="57">
        <f t="shared" si="36"/>
        <v>58344</v>
      </c>
      <c r="AO84" s="130">
        <f t="shared" si="50"/>
        <v>0</v>
      </c>
      <c r="AP84" s="553">
        <f t="shared" si="64"/>
        <v>76</v>
      </c>
      <c r="AQ84" s="554">
        <f t="shared" si="51"/>
        <v>47154</v>
      </c>
      <c r="AR84" s="555">
        <f t="shared" si="41"/>
        <v>0.13900000000000001</v>
      </c>
      <c r="AS84" s="559">
        <f t="shared" si="52"/>
        <v>0</v>
      </c>
      <c r="AT84" s="546">
        <f t="shared" si="53"/>
        <v>0</v>
      </c>
      <c r="AU84" s="546">
        <f t="shared" si="54"/>
        <v>0</v>
      </c>
      <c r="AV84" s="546">
        <f t="shared" si="55"/>
        <v>0</v>
      </c>
      <c r="AW84" s="559"/>
      <c r="AX84" s="559">
        <v>0</v>
      </c>
      <c r="AY84" s="559">
        <f t="shared" si="17"/>
        <v>0</v>
      </c>
      <c r="AZ84" s="559">
        <f t="shared" si="32"/>
        <v>0</v>
      </c>
      <c r="BA84" s="559">
        <f t="shared" ref="BA84:BA108" si="68">IF(BI90=0,0,0)</f>
        <v>0</v>
      </c>
      <c r="BB84" s="559"/>
      <c r="BC84" s="559"/>
      <c r="BD84" s="559"/>
      <c r="BE84" s="559"/>
      <c r="BF84" s="559"/>
      <c r="BG84" s="546">
        <f t="shared" si="56"/>
        <v>0</v>
      </c>
      <c r="BH84" s="108">
        <f t="shared" si="65"/>
        <v>0</v>
      </c>
      <c r="BI84" s="108">
        <f t="shared" si="60"/>
        <v>0</v>
      </c>
      <c r="BJ84" s="22">
        <f t="shared" si="61"/>
        <v>47154</v>
      </c>
      <c r="BK84" s="108">
        <f t="shared" si="4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84" s="16" customFormat="1" ht="14.25" x14ac:dyDescent="0.3">
      <c r="A85" s="178"/>
      <c r="B85" s="178"/>
      <c r="C85" s="184"/>
      <c r="D85" s="184"/>
      <c r="E85" s="184"/>
      <c r="F85" s="178"/>
      <c r="G85" s="244">
        <f t="shared" si="62"/>
        <v>77</v>
      </c>
      <c r="H85" s="245">
        <f t="shared" si="43"/>
        <v>47182</v>
      </c>
      <c r="I85" s="246">
        <f t="shared" si="44"/>
        <v>4.9000000000000002E-2</v>
      </c>
      <c r="J85" s="242">
        <f t="shared" si="45"/>
        <v>0</v>
      </c>
      <c r="K85" s="242">
        <f t="shared" si="57"/>
        <v>0</v>
      </c>
      <c r="L85" s="242">
        <f t="shared" si="46"/>
        <v>0</v>
      </c>
      <c r="M85" s="242">
        <f t="shared" si="58"/>
        <v>0</v>
      </c>
      <c r="N85" s="242">
        <f t="shared" si="40"/>
        <v>0</v>
      </c>
      <c r="O85" s="242">
        <v>0</v>
      </c>
      <c r="P85" s="242">
        <f t="shared" si="22"/>
        <v>0</v>
      </c>
      <c r="Q85" s="242">
        <f t="shared" si="67"/>
        <v>0</v>
      </c>
      <c r="R85" s="242">
        <f t="shared" si="47"/>
        <v>0</v>
      </c>
      <c r="S85" s="242">
        <f t="shared" si="59"/>
        <v>0</v>
      </c>
      <c r="T85" s="467"/>
      <c r="U85" s="36">
        <f t="shared" si="63"/>
        <v>0</v>
      </c>
      <c r="V85" s="36">
        <f t="shared" si="4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35"/>
        <v>22562</v>
      </c>
      <c r="Y85" s="57">
        <f t="shared" si="34"/>
        <v>60169</v>
      </c>
      <c r="AC85" s="803" t="s">
        <v>104</v>
      </c>
      <c r="AD85" s="803"/>
      <c r="AE85" s="803"/>
      <c r="AF85" s="803"/>
      <c r="AG85" s="803"/>
      <c r="AH85" s="803"/>
      <c r="AI85" s="803"/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37"/>
        <v>23217</v>
      </c>
      <c r="AN85" s="57">
        <f t="shared" si="36"/>
        <v>58709</v>
      </c>
      <c r="AO85" s="130">
        <f t="shared" si="50"/>
        <v>0</v>
      </c>
      <c r="AP85" s="553">
        <f t="shared" si="64"/>
        <v>77</v>
      </c>
      <c r="AQ85" s="554">
        <f t="shared" si="51"/>
        <v>47182</v>
      </c>
      <c r="AR85" s="555">
        <f t="shared" si="41"/>
        <v>0.13900000000000001</v>
      </c>
      <c r="AS85" s="559">
        <f t="shared" si="52"/>
        <v>0</v>
      </c>
      <c r="AT85" s="546">
        <f t="shared" si="53"/>
        <v>0</v>
      </c>
      <c r="AU85" s="546">
        <f t="shared" si="54"/>
        <v>0</v>
      </c>
      <c r="AV85" s="546">
        <f t="shared" si="55"/>
        <v>0</v>
      </c>
      <c r="AW85" s="559"/>
      <c r="AX85" s="559">
        <v>0</v>
      </c>
      <c r="AY85" s="559">
        <f t="shared" si="17"/>
        <v>0</v>
      </c>
      <c r="AZ85" s="559">
        <f t="shared" ref="AZ85:AZ108" si="69">IF(BI91=0,0,0)</f>
        <v>0</v>
      </c>
      <c r="BA85" s="559">
        <f t="shared" si="68"/>
        <v>0</v>
      </c>
      <c r="BB85" s="559"/>
      <c r="BC85" s="559"/>
      <c r="BD85" s="559"/>
      <c r="BE85" s="559"/>
      <c r="BF85" s="559"/>
      <c r="BG85" s="546">
        <f t="shared" si="56"/>
        <v>0</v>
      </c>
      <c r="BH85" s="108">
        <f t="shared" si="65"/>
        <v>0</v>
      </c>
      <c r="BI85" s="108">
        <f t="shared" si="60"/>
        <v>0</v>
      </c>
      <c r="BJ85" s="22">
        <f t="shared" si="61"/>
        <v>47182</v>
      </c>
      <c r="BK85" s="108">
        <f t="shared" si="4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84" s="16" customFormat="1" ht="15.75" x14ac:dyDescent="0.3">
      <c r="A86" s="178"/>
      <c r="B86" s="178"/>
      <c r="C86" s="184"/>
      <c r="D86" s="184"/>
      <c r="E86" s="184"/>
      <c r="F86" s="178"/>
      <c r="G86" s="244">
        <f t="shared" si="62"/>
        <v>78</v>
      </c>
      <c r="H86" s="245">
        <f t="shared" si="43"/>
        <v>47213</v>
      </c>
      <c r="I86" s="246">
        <f t="shared" si="44"/>
        <v>4.9000000000000002E-2</v>
      </c>
      <c r="J86" s="242">
        <f t="shared" si="45"/>
        <v>0</v>
      </c>
      <c r="K86" s="242">
        <f t="shared" si="57"/>
        <v>0</v>
      </c>
      <c r="L86" s="242">
        <f t="shared" si="46"/>
        <v>0</v>
      </c>
      <c r="M86" s="242">
        <f t="shared" si="58"/>
        <v>0</v>
      </c>
      <c r="N86" s="242">
        <f t="shared" si="40"/>
        <v>0</v>
      </c>
      <c r="O86" s="242">
        <v>0</v>
      </c>
      <c r="P86" s="242">
        <f t="shared" ref="P86:P108" si="70">L86+Q86</f>
        <v>0</v>
      </c>
      <c r="Q86" s="242">
        <f t="shared" si="67"/>
        <v>0</v>
      </c>
      <c r="R86" s="242">
        <f t="shared" si="47"/>
        <v>0</v>
      </c>
      <c r="S86" s="242">
        <f t="shared" si="59"/>
        <v>0</v>
      </c>
      <c r="T86" s="467"/>
      <c r="U86" s="36">
        <f t="shared" si="63"/>
        <v>0</v>
      </c>
      <c r="V86" s="36">
        <f t="shared" si="4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35"/>
        <v>22562</v>
      </c>
      <c r="Y86" s="57">
        <f t="shared" si="34"/>
        <v>60534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37"/>
        <v>23217</v>
      </c>
      <c r="AN86" s="57">
        <f t="shared" si="36"/>
        <v>59074</v>
      </c>
      <c r="AO86" s="130">
        <f t="shared" si="50"/>
        <v>0</v>
      </c>
      <c r="AP86" s="553">
        <f t="shared" si="64"/>
        <v>78</v>
      </c>
      <c r="AQ86" s="554">
        <f t="shared" si="51"/>
        <v>47213</v>
      </c>
      <c r="AR86" s="555">
        <f t="shared" si="41"/>
        <v>0.13900000000000001</v>
      </c>
      <c r="AS86" s="559">
        <f t="shared" si="52"/>
        <v>0</v>
      </c>
      <c r="AT86" s="546">
        <f t="shared" si="53"/>
        <v>0</v>
      </c>
      <c r="AU86" s="546">
        <f t="shared" si="54"/>
        <v>0</v>
      </c>
      <c r="AV86" s="546">
        <f t="shared" si="55"/>
        <v>0</v>
      </c>
      <c r="AW86" s="559"/>
      <c r="AX86" s="559">
        <v>0</v>
      </c>
      <c r="AY86" s="559">
        <f t="shared" ref="AY86:AY108" si="71">AU86+AZ86</f>
        <v>0</v>
      </c>
      <c r="AZ86" s="559">
        <f t="shared" si="69"/>
        <v>0</v>
      </c>
      <c r="BA86" s="559">
        <f t="shared" si="68"/>
        <v>0</v>
      </c>
      <c r="BB86" s="559"/>
      <c r="BC86" s="559"/>
      <c r="BD86" s="559"/>
      <c r="BE86" s="559"/>
      <c r="BF86" s="559"/>
      <c r="BG86" s="546">
        <f t="shared" si="56"/>
        <v>0</v>
      </c>
      <c r="BH86" s="108">
        <f t="shared" si="65"/>
        <v>0</v>
      </c>
      <c r="BI86" s="108">
        <f t="shared" si="60"/>
        <v>0</v>
      </c>
      <c r="BJ86" s="22">
        <f t="shared" si="61"/>
        <v>47213</v>
      </c>
      <c r="BK86" s="108">
        <f t="shared" si="4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84" s="16" customFormat="1" ht="15.75" x14ac:dyDescent="0.3">
      <c r="A87" s="178"/>
      <c r="B87" s="178"/>
      <c r="C87" s="184"/>
      <c r="D87" s="184"/>
      <c r="E87" s="184"/>
      <c r="F87" s="178"/>
      <c r="G87" s="244">
        <f t="shared" si="62"/>
        <v>79</v>
      </c>
      <c r="H87" s="245">
        <f t="shared" si="43"/>
        <v>47243</v>
      </c>
      <c r="I87" s="246">
        <f t="shared" si="44"/>
        <v>4.9000000000000002E-2</v>
      </c>
      <c r="J87" s="242">
        <f t="shared" si="45"/>
        <v>0</v>
      </c>
      <c r="K87" s="242">
        <f t="shared" si="57"/>
        <v>0</v>
      </c>
      <c r="L87" s="242">
        <f t="shared" si="46"/>
        <v>0</v>
      </c>
      <c r="M87" s="242">
        <f t="shared" si="58"/>
        <v>0</v>
      </c>
      <c r="N87" s="242">
        <f t="shared" si="40"/>
        <v>0</v>
      </c>
      <c r="O87" s="242">
        <v>0</v>
      </c>
      <c r="P87" s="242">
        <f t="shared" si="70"/>
        <v>0</v>
      </c>
      <c r="Q87" s="242">
        <f t="shared" si="67"/>
        <v>0</v>
      </c>
      <c r="R87" s="242">
        <f t="shared" si="47"/>
        <v>0</v>
      </c>
      <c r="S87" s="242">
        <f t="shared" si="59"/>
        <v>0</v>
      </c>
      <c r="T87" s="467"/>
      <c r="U87" s="36">
        <f t="shared" si="63"/>
        <v>0</v>
      </c>
      <c r="V87" s="36">
        <f t="shared" si="4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35"/>
        <v>22562</v>
      </c>
      <c r="Y87" s="57">
        <f t="shared" si="34"/>
        <v>60899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37"/>
        <v>23217</v>
      </c>
      <c r="AN87" s="57">
        <f t="shared" si="36"/>
        <v>59439</v>
      </c>
      <c r="AO87" s="130">
        <f t="shared" si="50"/>
        <v>0</v>
      </c>
      <c r="AP87" s="553">
        <f t="shared" si="64"/>
        <v>79</v>
      </c>
      <c r="AQ87" s="554">
        <f t="shared" si="51"/>
        <v>47243</v>
      </c>
      <c r="AR87" s="555">
        <f t="shared" si="41"/>
        <v>0.13900000000000001</v>
      </c>
      <c r="AS87" s="559">
        <f t="shared" si="52"/>
        <v>0</v>
      </c>
      <c r="AT87" s="546">
        <f t="shared" si="53"/>
        <v>0</v>
      </c>
      <c r="AU87" s="546">
        <f t="shared" si="54"/>
        <v>0</v>
      </c>
      <c r="AV87" s="546">
        <f t="shared" si="55"/>
        <v>0</v>
      </c>
      <c r="AW87" s="559"/>
      <c r="AX87" s="559">
        <v>0</v>
      </c>
      <c r="AY87" s="559">
        <f t="shared" si="71"/>
        <v>0</v>
      </c>
      <c r="AZ87" s="559">
        <f t="shared" si="69"/>
        <v>0</v>
      </c>
      <c r="BA87" s="559">
        <f t="shared" si="68"/>
        <v>0</v>
      </c>
      <c r="BB87" s="559"/>
      <c r="BC87" s="559"/>
      <c r="BD87" s="559"/>
      <c r="BE87" s="559"/>
      <c r="BF87" s="559"/>
      <c r="BG87" s="546">
        <f t="shared" si="56"/>
        <v>0</v>
      </c>
      <c r="BH87" s="108">
        <f t="shared" si="65"/>
        <v>0</v>
      </c>
      <c r="BI87" s="108">
        <f t="shared" si="60"/>
        <v>0</v>
      </c>
      <c r="BJ87" s="22">
        <f t="shared" si="61"/>
        <v>47243</v>
      </c>
      <c r="BK87" s="108">
        <f t="shared" si="4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84" s="16" customFormat="1" ht="15.75" x14ac:dyDescent="0.3">
      <c r="A88" s="178"/>
      <c r="B88" s="178"/>
      <c r="C88" s="184"/>
      <c r="D88" s="184"/>
      <c r="E88" s="184"/>
      <c r="F88" s="178"/>
      <c r="G88" s="244">
        <f t="shared" si="62"/>
        <v>80</v>
      </c>
      <c r="H88" s="245">
        <f t="shared" si="43"/>
        <v>47274</v>
      </c>
      <c r="I88" s="246">
        <f t="shared" si="44"/>
        <v>4.9000000000000002E-2</v>
      </c>
      <c r="J88" s="242">
        <f t="shared" si="45"/>
        <v>0</v>
      </c>
      <c r="K88" s="242">
        <f t="shared" si="57"/>
        <v>0</v>
      </c>
      <c r="L88" s="242">
        <f t="shared" si="46"/>
        <v>0</v>
      </c>
      <c r="M88" s="242">
        <f t="shared" si="58"/>
        <v>0</v>
      </c>
      <c r="N88" s="242">
        <f t="shared" si="40"/>
        <v>0</v>
      </c>
      <c r="O88" s="242">
        <v>0</v>
      </c>
      <c r="P88" s="242">
        <f t="shared" si="70"/>
        <v>0</v>
      </c>
      <c r="Q88" s="242">
        <f t="shared" si="67"/>
        <v>0</v>
      </c>
      <c r="R88" s="242">
        <f t="shared" si="47"/>
        <v>0</v>
      </c>
      <c r="S88" s="242">
        <f t="shared" si="59"/>
        <v>0</v>
      </c>
      <c r="T88" s="467"/>
      <c r="U88" s="36">
        <f t="shared" si="63"/>
        <v>0</v>
      </c>
      <c r="V88" s="36">
        <f t="shared" si="4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35"/>
        <v>22562</v>
      </c>
      <c r="Y88" s="57">
        <f t="shared" si="34"/>
        <v>61264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37"/>
        <v>23217</v>
      </c>
      <c r="AN88" s="57">
        <f t="shared" si="36"/>
        <v>59804</v>
      </c>
      <c r="AO88" s="130">
        <f t="shared" si="50"/>
        <v>0</v>
      </c>
      <c r="AP88" s="553">
        <f t="shared" si="64"/>
        <v>80</v>
      </c>
      <c r="AQ88" s="554">
        <f t="shared" si="51"/>
        <v>47274</v>
      </c>
      <c r="AR88" s="555">
        <f t="shared" si="41"/>
        <v>0.13900000000000001</v>
      </c>
      <c r="AS88" s="559">
        <f t="shared" si="52"/>
        <v>0</v>
      </c>
      <c r="AT88" s="546">
        <f t="shared" si="53"/>
        <v>0</v>
      </c>
      <c r="AU88" s="546">
        <f t="shared" si="54"/>
        <v>0</v>
      </c>
      <c r="AV88" s="546">
        <f t="shared" si="55"/>
        <v>0</v>
      </c>
      <c r="AW88" s="559"/>
      <c r="AX88" s="559">
        <v>0</v>
      </c>
      <c r="AY88" s="559">
        <f t="shared" si="71"/>
        <v>0</v>
      </c>
      <c r="AZ88" s="559">
        <f t="shared" si="69"/>
        <v>0</v>
      </c>
      <c r="BA88" s="559">
        <f t="shared" si="68"/>
        <v>0</v>
      </c>
      <c r="BB88" s="559"/>
      <c r="BC88" s="559"/>
      <c r="BD88" s="559"/>
      <c r="BE88" s="559"/>
      <c r="BF88" s="559"/>
      <c r="BG88" s="546">
        <f t="shared" si="56"/>
        <v>0</v>
      </c>
      <c r="BH88" s="108">
        <f t="shared" si="65"/>
        <v>0</v>
      </c>
      <c r="BI88" s="108">
        <f t="shared" si="60"/>
        <v>0</v>
      </c>
      <c r="BJ88" s="22">
        <f t="shared" si="61"/>
        <v>47274</v>
      </c>
      <c r="BK88" s="108">
        <f t="shared" si="4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  <c r="BX88" s="2"/>
      <c r="BY88" s="2"/>
      <c r="BZ88" s="2"/>
      <c r="CA88" s="2"/>
      <c r="CB88" s="2"/>
      <c r="CC88" s="2"/>
      <c r="CD88" s="2"/>
      <c r="CE88" s="2"/>
      <c r="CF88" s="2"/>
    </row>
    <row r="89" spans="1:84" s="16" customFormat="1" ht="14.25" x14ac:dyDescent="0.3">
      <c r="A89" s="178"/>
      <c r="B89" s="178"/>
      <c r="C89" s="184"/>
      <c r="D89" s="184"/>
      <c r="E89" s="184"/>
      <c r="F89" s="178"/>
      <c r="G89" s="244">
        <f t="shared" si="62"/>
        <v>81</v>
      </c>
      <c r="H89" s="245">
        <f t="shared" si="43"/>
        <v>47304</v>
      </c>
      <c r="I89" s="246">
        <f t="shared" si="44"/>
        <v>4.9000000000000002E-2</v>
      </c>
      <c r="J89" s="242">
        <f t="shared" si="45"/>
        <v>0</v>
      </c>
      <c r="K89" s="242">
        <f t="shared" si="57"/>
        <v>0</v>
      </c>
      <c r="L89" s="242">
        <f t="shared" si="46"/>
        <v>0</v>
      </c>
      <c r="M89" s="242">
        <f t="shared" si="58"/>
        <v>0</v>
      </c>
      <c r="N89" s="242">
        <f t="shared" si="40"/>
        <v>0</v>
      </c>
      <c r="O89" s="242">
        <v>0</v>
      </c>
      <c r="P89" s="242">
        <f t="shared" si="70"/>
        <v>0</v>
      </c>
      <c r="Q89" s="242">
        <f t="shared" si="67"/>
        <v>0</v>
      </c>
      <c r="R89" s="242">
        <f t="shared" si="47"/>
        <v>0</v>
      </c>
      <c r="S89" s="242">
        <f t="shared" si="59"/>
        <v>0</v>
      </c>
      <c r="T89" s="467"/>
      <c r="U89" s="36">
        <f t="shared" si="63"/>
        <v>0</v>
      </c>
      <c r="V89" s="36">
        <f t="shared" si="4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35"/>
        <v>22562</v>
      </c>
      <c r="Y89" s="57">
        <f t="shared" si="34"/>
        <v>61629</v>
      </c>
      <c r="AC89" s="142">
        <v>0</v>
      </c>
      <c r="AD89" s="142">
        <v>199000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37"/>
        <v>23217</v>
      </c>
      <c r="AN89" s="57">
        <f t="shared" si="36"/>
        <v>60169</v>
      </c>
      <c r="AO89" s="130">
        <f t="shared" si="50"/>
        <v>0</v>
      </c>
      <c r="AP89" s="553">
        <f t="shared" si="64"/>
        <v>81</v>
      </c>
      <c r="AQ89" s="554">
        <f t="shared" si="51"/>
        <v>47304</v>
      </c>
      <c r="AR89" s="555">
        <f t="shared" si="41"/>
        <v>0.13900000000000001</v>
      </c>
      <c r="AS89" s="559">
        <f t="shared" si="52"/>
        <v>0</v>
      </c>
      <c r="AT89" s="546">
        <f t="shared" si="53"/>
        <v>0</v>
      </c>
      <c r="AU89" s="546">
        <f t="shared" si="54"/>
        <v>0</v>
      </c>
      <c r="AV89" s="546">
        <f t="shared" si="55"/>
        <v>0</v>
      </c>
      <c r="AW89" s="559"/>
      <c r="AX89" s="559">
        <v>0</v>
      </c>
      <c r="AY89" s="559">
        <f t="shared" si="71"/>
        <v>0</v>
      </c>
      <c r="AZ89" s="559">
        <f t="shared" si="69"/>
        <v>0</v>
      </c>
      <c r="BA89" s="559">
        <f t="shared" si="68"/>
        <v>0</v>
      </c>
      <c r="BB89" s="559"/>
      <c r="BC89" s="559"/>
      <c r="BD89" s="559"/>
      <c r="BE89" s="559"/>
      <c r="BF89" s="559"/>
      <c r="BG89" s="546">
        <f t="shared" si="56"/>
        <v>0</v>
      </c>
      <c r="BH89" s="108">
        <f t="shared" si="65"/>
        <v>0</v>
      </c>
      <c r="BI89" s="108">
        <f t="shared" si="60"/>
        <v>0</v>
      </c>
      <c r="BJ89" s="22">
        <f t="shared" si="61"/>
        <v>47304</v>
      </c>
      <c r="BK89" s="108">
        <f t="shared" si="4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  <c r="BX89" s="2"/>
      <c r="BY89" s="2"/>
      <c r="BZ89" s="2"/>
      <c r="CA89" s="2"/>
      <c r="CB89" s="2"/>
      <c r="CC89" s="2"/>
      <c r="CD89" s="2"/>
      <c r="CE89" s="2"/>
      <c r="CF89" s="2"/>
    </row>
    <row r="90" spans="1:84" s="16" customFormat="1" ht="14.25" x14ac:dyDescent="0.3">
      <c r="A90" s="178"/>
      <c r="B90" s="178"/>
      <c r="C90" s="184"/>
      <c r="D90" s="184"/>
      <c r="E90" s="184"/>
      <c r="F90" s="184"/>
      <c r="G90" s="244">
        <f t="shared" si="62"/>
        <v>82</v>
      </c>
      <c r="H90" s="245">
        <f t="shared" si="43"/>
        <v>47335</v>
      </c>
      <c r="I90" s="246">
        <f t="shared" si="44"/>
        <v>4.9000000000000002E-2</v>
      </c>
      <c r="J90" s="242">
        <f t="shared" si="45"/>
        <v>0</v>
      </c>
      <c r="K90" s="242">
        <f t="shared" si="57"/>
        <v>0</v>
      </c>
      <c r="L90" s="242">
        <f t="shared" si="46"/>
        <v>0</v>
      </c>
      <c r="M90" s="242">
        <f t="shared" si="58"/>
        <v>0</v>
      </c>
      <c r="N90" s="242">
        <f t="shared" si="40"/>
        <v>0</v>
      </c>
      <c r="O90" s="242">
        <v>0</v>
      </c>
      <c r="P90" s="242">
        <f t="shared" si="70"/>
        <v>0</v>
      </c>
      <c r="Q90" s="242">
        <f t="shared" si="67"/>
        <v>0</v>
      </c>
      <c r="R90" s="242">
        <f t="shared" si="47"/>
        <v>0</v>
      </c>
      <c r="S90" s="242">
        <f t="shared" si="59"/>
        <v>0</v>
      </c>
      <c r="T90" s="467"/>
      <c r="U90" s="36">
        <f t="shared" si="63"/>
        <v>0</v>
      </c>
      <c r="V90" s="36">
        <f t="shared" si="4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35"/>
        <v>22562</v>
      </c>
      <c r="Y90" s="57">
        <f t="shared" si="34"/>
        <v>61994</v>
      </c>
      <c r="AC90" s="142">
        <v>199001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37"/>
        <v>23217</v>
      </c>
      <c r="AN90" s="57">
        <f t="shared" si="36"/>
        <v>60534</v>
      </c>
      <c r="AO90" s="130">
        <f t="shared" si="50"/>
        <v>0</v>
      </c>
      <c r="AP90" s="553">
        <f t="shared" si="64"/>
        <v>82</v>
      </c>
      <c r="AQ90" s="554">
        <f t="shared" si="51"/>
        <v>47335</v>
      </c>
      <c r="AR90" s="555">
        <f t="shared" si="41"/>
        <v>0.13900000000000001</v>
      </c>
      <c r="AS90" s="559">
        <f t="shared" si="52"/>
        <v>0</v>
      </c>
      <c r="AT90" s="546">
        <f t="shared" si="53"/>
        <v>0</v>
      </c>
      <c r="AU90" s="546">
        <f t="shared" si="54"/>
        <v>0</v>
      </c>
      <c r="AV90" s="546">
        <f t="shared" si="55"/>
        <v>0</v>
      </c>
      <c r="AW90" s="559"/>
      <c r="AX90" s="559">
        <v>0</v>
      </c>
      <c r="AY90" s="559">
        <f t="shared" si="71"/>
        <v>0</v>
      </c>
      <c r="AZ90" s="559">
        <f t="shared" si="69"/>
        <v>0</v>
      </c>
      <c r="BA90" s="559">
        <f t="shared" si="68"/>
        <v>0</v>
      </c>
      <c r="BB90" s="559"/>
      <c r="BC90" s="559"/>
      <c r="BD90" s="559"/>
      <c r="BE90" s="559"/>
      <c r="BF90" s="559"/>
      <c r="BG90" s="546">
        <f t="shared" si="56"/>
        <v>0</v>
      </c>
      <c r="BH90" s="108">
        <f t="shared" si="65"/>
        <v>0</v>
      </c>
      <c r="BI90" s="108">
        <f t="shared" si="60"/>
        <v>0</v>
      </c>
      <c r="BJ90" s="22">
        <f t="shared" si="61"/>
        <v>47335</v>
      </c>
      <c r="BK90" s="108">
        <f t="shared" si="4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  <c r="BX90" s="2"/>
      <c r="BY90" s="2"/>
      <c r="BZ90" s="2"/>
      <c r="CA90" s="2"/>
      <c r="CB90" s="2"/>
      <c r="CC90" s="2"/>
      <c r="CD90" s="2"/>
      <c r="CE90" s="2"/>
      <c r="CF90" s="2"/>
    </row>
    <row r="91" spans="1:84" s="16" customFormat="1" ht="14.25" x14ac:dyDescent="0.3">
      <c r="A91" s="178"/>
      <c r="B91" s="178"/>
      <c r="C91" s="184"/>
      <c r="D91" s="184"/>
      <c r="E91" s="184"/>
      <c r="F91" s="184"/>
      <c r="G91" s="244">
        <f t="shared" si="62"/>
        <v>83</v>
      </c>
      <c r="H91" s="245">
        <f t="shared" si="43"/>
        <v>47366</v>
      </c>
      <c r="I91" s="246">
        <f t="shared" si="44"/>
        <v>4.9000000000000002E-2</v>
      </c>
      <c r="J91" s="242">
        <f t="shared" si="45"/>
        <v>0</v>
      </c>
      <c r="K91" s="242">
        <f t="shared" si="57"/>
        <v>0</v>
      </c>
      <c r="L91" s="242">
        <f t="shared" si="46"/>
        <v>0</v>
      </c>
      <c r="M91" s="242">
        <f t="shared" si="58"/>
        <v>0</v>
      </c>
      <c r="N91" s="242">
        <f t="shared" si="40"/>
        <v>0</v>
      </c>
      <c r="O91" s="242">
        <v>0</v>
      </c>
      <c r="P91" s="242">
        <f t="shared" si="70"/>
        <v>0</v>
      </c>
      <c r="Q91" s="242">
        <f t="shared" si="67"/>
        <v>0</v>
      </c>
      <c r="R91" s="242">
        <f t="shared" si="47"/>
        <v>0</v>
      </c>
      <c r="S91" s="242">
        <f t="shared" si="59"/>
        <v>0</v>
      </c>
      <c r="T91" s="467"/>
      <c r="U91" s="36">
        <f t="shared" si="63"/>
        <v>0</v>
      </c>
      <c r="V91" s="36">
        <f t="shared" si="4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35"/>
        <v>22562</v>
      </c>
      <c r="Y91" s="57">
        <f t="shared" si="34"/>
        <v>62359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37"/>
        <v>23217</v>
      </c>
      <c r="AN91" s="57">
        <f t="shared" si="36"/>
        <v>60899</v>
      </c>
      <c r="AO91" s="130">
        <f t="shared" si="50"/>
        <v>0</v>
      </c>
      <c r="AP91" s="553">
        <f t="shared" si="64"/>
        <v>83</v>
      </c>
      <c r="AQ91" s="554">
        <f t="shared" si="51"/>
        <v>47366</v>
      </c>
      <c r="AR91" s="555">
        <f t="shared" si="41"/>
        <v>0.13900000000000001</v>
      </c>
      <c r="AS91" s="559">
        <f t="shared" si="52"/>
        <v>0</v>
      </c>
      <c r="AT91" s="546">
        <f t="shared" si="53"/>
        <v>0</v>
      </c>
      <c r="AU91" s="546">
        <f t="shared" si="54"/>
        <v>0</v>
      </c>
      <c r="AV91" s="546">
        <f t="shared" si="55"/>
        <v>0</v>
      </c>
      <c r="AW91" s="559"/>
      <c r="AX91" s="559">
        <v>0</v>
      </c>
      <c r="AY91" s="559">
        <f t="shared" si="71"/>
        <v>0</v>
      </c>
      <c r="AZ91" s="559">
        <f t="shared" si="69"/>
        <v>0</v>
      </c>
      <c r="BA91" s="559">
        <f t="shared" si="68"/>
        <v>0</v>
      </c>
      <c r="BB91" s="559"/>
      <c r="BC91" s="559"/>
      <c r="BD91" s="559"/>
      <c r="BE91" s="559"/>
      <c r="BF91" s="559"/>
      <c r="BG91" s="546">
        <f t="shared" si="56"/>
        <v>0</v>
      </c>
      <c r="BH91" s="108">
        <f t="shared" si="65"/>
        <v>0</v>
      </c>
      <c r="BI91" s="108">
        <f t="shared" si="60"/>
        <v>0</v>
      </c>
      <c r="BJ91" s="22">
        <f t="shared" si="61"/>
        <v>47366</v>
      </c>
      <c r="BK91" s="108">
        <f t="shared" si="4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  <c r="BX91" s="2"/>
      <c r="BY91" s="2"/>
      <c r="BZ91" s="2"/>
      <c r="CA91" s="2"/>
      <c r="CB91" s="2"/>
      <c r="CC91" s="2"/>
      <c r="CD91" s="2"/>
      <c r="CE91" s="2"/>
      <c r="CF91" s="2"/>
    </row>
    <row r="92" spans="1:84" s="16" customFormat="1" ht="14.25" x14ac:dyDescent="0.3">
      <c r="A92" s="178"/>
      <c r="B92" s="178"/>
      <c r="C92" s="184"/>
      <c r="D92" s="184"/>
      <c r="E92" s="184"/>
      <c r="F92" s="184"/>
      <c r="G92" s="244">
        <f t="shared" si="62"/>
        <v>84</v>
      </c>
      <c r="H92" s="245">
        <f t="shared" si="43"/>
        <v>47396</v>
      </c>
      <c r="I92" s="246">
        <f t="shared" si="44"/>
        <v>4.9000000000000002E-2</v>
      </c>
      <c r="J92" s="242">
        <f t="shared" si="45"/>
        <v>0</v>
      </c>
      <c r="K92" s="242">
        <f t="shared" si="57"/>
        <v>0</v>
      </c>
      <c r="L92" s="242">
        <f t="shared" si="46"/>
        <v>0</v>
      </c>
      <c r="M92" s="242">
        <f t="shared" si="58"/>
        <v>0</v>
      </c>
      <c r="N92" s="242">
        <f t="shared" si="40"/>
        <v>0</v>
      </c>
      <c r="O92" s="242">
        <v>0</v>
      </c>
      <c r="P92" s="242">
        <f t="shared" si="70"/>
        <v>0</v>
      </c>
      <c r="Q92" s="242">
        <f t="shared" si="67"/>
        <v>0</v>
      </c>
      <c r="R92" s="242">
        <f t="shared" si="47"/>
        <v>0</v>
      </c>
      <c r="S92" s="242">
        <f t="shared" si="59"/>
        <v>0</v>
      </c>
      <c r="T92" s="467"/>
      <c r="U92" s="36">
        <f t="shared" si="63"/>
        <v>0</v>
      </c>
      <c r="V92" s="36">
        <f t="shared" si="4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35"/>
        <v>22562</v>
      </c>
      <c r="Y92" s="57">
        <f t="shared" si="34"/>
        <v>62724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37"/>
        <v>23217</v>
      </c>
      <c r="AN92" s="57">
        <f t="shared" si="36"/>
        <v>61264</v>
      </c>
      <c r="AO92" s="130">
        <f t="shared" si="50"/>
        <v>0</v>
      </c>
      <c r="AP92" s="553">
        <f t="shared" si="64"/>
        <v>84</v>
      </c>
      <c r="AQ92" s="554">
        <f t="shared" si="51"/>
        <v>47396</v>
      </c>
      <c r="AR92" s="555">
        <f t="shared" si="41"/>
        <v>0.13900000000000001</v>
      </c>
      <c r="AS92" s="559">
        <f t="shared" si="52"/>
        <v>0</v>
      </c>
      <c r="AT92" s="546">
        <f t="shared" si="53"/>
        <v>0</v>
      </c>
      <c r="AU92" s="546">
        <f t="shared" si="54"/>
        <v>0</v>
      </c>
      <c r="AV92" s="546">
        <f t="shared" si="55"/>
        <v>0</v>
      </c>
      <c r="AW92" s="559"/>
      <c r="AX92" s="559">
        <v>0</v>
      </c>
      <c r="AY92" s="559">
        <f t="shared" si="71"/>
        <v>0</v>
      </c>
      <c r="AZ92" s="559">
        <f t="shared" si="69"/>
        <v>0</v>
      </c>
      <c r="BA92" s="559">
        <f t="shared" si="68"/>
        <v>0</v>
      </c>
      <c r="BB92" s="559"/>
      <c r="BC92" s="559"/>
      <c r="BD92" s="559"/>
      <c r="BE92" s="559"/>
      <c r="BF92" s="559"/>
      <c r="BG92" s="546">
        <f t="shared" si="56"/>
        <v>0</v>
      </c>
      <c r="BH92" s="108">
        <f t="shared" si="65"/>
        <v>0</v>
      </c>
      <c r="BI92" s="108">
        <f t="shared" si="60"/>
        <v>0</v>
      </c>
      <c r="BJ92" s="22">
        <f t="shared" si="61"/>
        <v>47396</v>
      </c>
      <c r="BK92" s="108">
        <f t="shared" si="4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  <c r="BX92" s="2"/>
      <c r="BY92" s="2"/>
      <c r="BZ92" s="2"/>
      <c r="CA92" s="2"/>
      <c r="CB92" s="2"/>
      <c r="CC92" s="2"/>
      <c r="CD92" s="2"/>
      <c r="CE92" s="2"/>
      <c r="CF92" s="2"/>
    </row>
    <row r="93" spans="1:8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2"/>
        <v>85</v>
      </c>
      <c r="H93" s="111">
        <f t="shared" ref="H93:H108" si="72">IF((OR(DAY($AD$54)=29,DAY($AD$54)=30,DAY($AD$54)=31)),(EDATE($C$9-3,G93)),(IF((OR(DAY($AD$54)=1,DAY($AD$54)=2,DAY($AD$54)=3)),(EDATE($C$9,G93)+3),EDATE($C$9,G93))))</f>
        <v>47427</v>
      </c>
      <c r="I93" s="176">
        <f t="shared" si="44"/>
        <v>4.9000000000000002E-2</v>
      </c>
      <c r="J93" s="24">
        <f t="shared" si="45"/>
        <v>0</v>
      </c>
      <c r="K93" s="24">
        <f t="shared" ref="K93:K108" si="73">IF(G93&gt;$C$10,0,ROUNDUP($S$8*$C$13/12/((1-(1+$C$13/12)^(0-$C$10))),0))</f>
        <v>0</v>
      </c>
      <c r="L93" s="24">
        <f t="shared" si="46"/>
        <v>0</v>
      </c>
      <c r="M93" s="24">
        <f t="shared" ref="M93:M108" si="74">IF(V93=0,0,IF(V93=1,S92,IF(S92+N93+L93&gt;K92,K93-L93-N93,S92)))</f>
        <v>0</v>
      </c>
      <c r="N93" s="24">
        <f t="shared" si="40"/>
        <v>0</v>
      </c>
      <c r="O93" s="24">
        <v>0</v>
      </c>
      <c r="P93" s="24">
        <f t="shared" si="70"/>
        <v>0</v>
      </c>
      <c r="Q93" s="24">
        <f t="shared" si="67"/>
        <v>0</v>
      </c>
      <c r="R93" s="24">
        <f t="shared" si="47"/>
        <v>0</v>
      </c>
      <c r="S93" s="24">
        <f t="shared" si="59"/>
        <v>0</v>
      </c>
      <c r="T93" s="24"/>
      <c r="U93" s="36">
        <f t="shared" si="63"/>
        <v>0</v>
      </c>
      <c r="V93" s="36">
        <f t="shared" si="4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35"/>
        <v>22562</v>
      </c>
      <c r="Y93" s="57">
        <f t="shared" si="34"/>
        <v>63089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37"/>
        <v>23217</v>
      </c>
      <c r="AN93" s="57">
        <f t="shared" si="36"/>
        <v>61629</v>
      </c>
      <c r="AO93" s="130">
        <f t="shared" si="50"/>
        <v>0</v>
      </c>
      <c r="AP93" s="109">
        <f t="shared" si="64"/>
        <v>85</v>
      </c>
      <c r="AQ93" s="110">
        <f t="shared" ref="AQ93:AQ108" si="75">IF((OR(DAY($AD$54)=29,DAY($AD$54)=30,DAY($AD$54)=31)),(EDATE($C$9-3,AP93)),(IF((OR(DAY($AD$54)=1,DAY($AD$54)=2,DAY($AD$54)=3)),(EDATE($C$9,AP93)+3),EDATE($C$9,AP93))))</f>
        <v>47427</v>
      </c>
      <c r="AR93" s="562">
        <f t="shared" si="41"/>
        <v>0.13900000000000001</v>
      </c>
      <c r="AS93" s="105">
        <f t="shared" si="52"/>
        <v>0</v>
      </c>
      <c r="AT93" s="105">
        <f>IF(AND(G93&gt;=$W$9,G93&lt;=$W$9+5),$W$10,IF(AND(BG92+AW93+AU93&gt;AT92,AT92&lt;&gt;0),IF(#REF!="Да",$AL$40,$D$19),IF(BG92=0,0,BG92+AW93+AU93+AU94)))</f>
        <v>0</v>
      </c>
      <c r="AU93" s="105">
        <f t="shared" ref="AU93:AU108" si="76">IF(AND(G93&gt;=$W$9,G93&lt;=$W$9+5),0,IF($C$9&gt;$AF$51,ROUND(BG92*AR93*((AQ93-DATE(YEAR(AQ93),MONTH(AQ93),1)+1)/(DATE(YEAR(AQ93)+1,1,1)-DATE(YEAR(AQ93),1,1))+(EOMONTH(AQ92,0)-AQ92)/(DATE(YEAR(AQ92)+1,1,1)-DATE(YEAR(AQ92),1,1))),2),0))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55"/>
        <v>0</v>
      </c>
      <c r="AW93" s="105">
        <f t="shared" ref="AW93:AW108" si="77">IF(AY93-AZ93&gt;$D$19,$D$19-AU93,IF(BI93=0,0,BA93)+BX127)</f>
        <v>0</v>
      </c>
      <c r="AX93" s="105">
        <v>0</v>
      </c>
      <c r="AY93" s="105">
        <f t="shared" si="71"/>
        <v>0</v>
      </c>
      <c r="AZ93" s="105">
        <f t="shared" si="69"/>
        <v>0</v>
      </c>
      <c r="BA93" s="105">
        <f t="shared" si="68"/>
        <v>0</v>
      </c>
      <c r="BB93" s="105"/>
      <c r="BC93" s="105"/>
      <c r="BD93" s="105"/>
      <c r="BE93" s="105"/>
      <c r="BF93" s="105"/>
      <c r="BG93" s="105">
        <f t="shared" si="56"/>
        <v>0</v>
      </c>
      <c r="BH93" s="108">
        <f t="shared" si="65"/>
        <v>0</v>
      </c>
      <c r="BI93" s="108">
        <f t="shared" si="60"/>
        <v>0</v>
      </c>
      <c r="BJ93" s="22">
        <f t="shared" si="61"/>
        <v>47427</v>
      </c>
      <c r="BK93" s="108">
        <f t="shared" si="4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  <c r="BX93" s="2"/>
      <c r="BY93" s="2"/>
      <c r="BZ93" s="2"/>
      <c r="CA93" s="2"/>
      <c r="CB93" s="2"/>
      <c r="CC93" s="2"/>
      <c r="CD93" s="2"/>
      <c r="CE93" s="2"/>
      <c r="CF93" s="2"/>
    </row>
    <row r="94" spans="1:8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2"/>
        <v>86</v>
      </c>
      <c r="H94" s="111">
        <f t="shared" si="72"/>
        <v>47457</v>
      </c>
      <c r="I94" s="176">
        <f t="shared" si="44"/>
        <v>4.9000000000000002E-2</v>
      </c>
      <c r="J94" s="24">
        <f t="shared" si="45"/>
        <v>0</v>
      </c>
      <c r="K94" s="24">
        <f t="shared" si="73"/>
        <v>0</v>
      </c>
      <c r="L94" s="24">
        <f t="shared" si="46"/>
        <v>0</v>
      </c>
      <c r="M94" s="24">
        <f t="shared" si="74"/>
        <v>0</v>
      </c>
      <c r="N94" s="24">
        <f t="shared" si="40"/>
        <v>0</v>
      </c>
      <c r="O94" s="24">
        <v>0</v>
      </c>
      <c r="P94" s="24">
        <f t="shared" si="70"/>
        <v>0</v>
      </c>
      <c r="Q94" s="24">
        <f t="shared" si="67"/>
        <v>0</v>
      </c>
      <c r="R94" s="24">
        <f t="shared" si="47"/>
        <v>0</v>
      </c>
      <c r="S94" s="24">
        <f t="shared" si="59"/>
        <v>0</v>
      </c>
      <c r="T94" s="24"/>
      <c r="U94" s="36">
        <f t="shared" si="63"/>
        <v>0</v>
      </c>
      <c r="V94" s="36">
        <f t="shared" si="4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35"/>
        <v>22562</v>
      </c>
      <c r="Y94" s="57">
        <f t="shared" si="34"/>
        <v>63454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37"/>
        <v>23217</v>
      </c>
      <c r="AN94" s="57">
        <f t="shared" si="36"/>
        <v>61994</v>
      </c>
      <c r="AO94" s="130">
        <f t="shared" si="50"/>
        <v>0</v>
      </c>
      <c r="AP94" s="109">
        <f t="shared" si="64"/>
        <v>86</v>
      </c>
      <c r="AQ94" s="110">
        <f t="shared" si="75"/>
        <v>47457</v>
      </c>
      <c r="AR94" s="562">
        <f t="shared" si="41"/>
        <v>0.13900000000000001</v>
      </c>
      <c r="AS94" s="105">
        <f t="shared" si="52"/>
        <v>0</v>
      </c>
      <c r="AT94" s="105">
        <f>IF(AND(G94&gt;=$W$9,G94&lt;=$W$9+5),$W$10,IF(AND(BG93+AW94+AU94&gt;AT93,AT93&lt;&gt;0),IF(#REF!="Да",$AL$40,$D$19),IF(BG93=0,0,BG93+AW94+AU94+AU95)))</f>
        <v>0</v>
      </c>
      <c r="AU94" s="105">
        <f t="shared" si="76"/>
        <v>0</v>
      </c>
      <c r="AV94" s="105">
        <f t="shared" si="55"/>
        <v>0</v>
      </c>
      <c r="AW94" s="105">
        <f t="shared" si="77"/>
        <v>0</v>
      </c>
      <c r="AX94" s="105">
        <v>0</v>
      </c>
      <c r="AY94" s="105">
        <f t="shared" si="71"/>
        <v>0</v>
      </c>
      <c r="AZ94" s="105">
        <f t="shared" si="69"/>
        <v>0</v>
      </c>
      <c r="BA94" s="105">
        <f t="shared" si="68"/>
        <v>0</v>
      </c>
      <c r="BB94" s="105"/>
      <c r="BC94" s="105"/>
      <c r="BD94" s="105"/>
      <c r="BE94" s="105"/>
      <c r="BF94" s="105"/>
      <c r="BG94" s="105">
        <f t="shared" si="56"/>
        <v>0</v>
      </c>
      <c r="BH94" s="108">
        <f t="shared" si="65"/>
        <v>0</v>
      </c>
      <c r="BI94" s="108">
        <f t="shared" si="60"/>
        <v>0</v>
      </c>
      <c r="BJ94" s="22">
        <f t="shared" si="61"/>
        <v>47457</v>
      </c>
      <c r="BK94" s="108">
        <f t="shared" si="4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  <c r="BX94" s="2"/>
      <c r="BY94" s="2"/>
      <c r="BZ94" s="2"/>
      <c r="CA94" s="2"/>
      <c r="CB94" s="2"/>
      <c r="CC94" s="2"/>
      <c r="CD94" s="2"/>
      <c r="CE94" s="2"/>
      <c r="CF94" s="2"/>
    </row>
    <row r="95" spans="1:8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2"/>
        <v>87</v>
      </c>
      <c r="H95" s="111">
        <f t="shared" si="72"/>
        <v>47488</v>
      </c>
      <c r="I95" s="176">
        <f t="shared" si="44"/>
        <v>4.9000000000000002E-2</v>
      </c>
      <c r="J95" s="24">
        <f t="shared" si="45"/>
        <v>0</v>
      </c>
      <c r="K95" s="24">
        <f t="shared" si="73"/>
        <v>0</v>
      </c>
      <c r="L95" s="24">
        <f t="shared" si="46"/>
        <v>0</v>
      </c>
      <c r="M95" s="24">
        <f t="shared" si="74"/>
        <v>0</v>
      </c>
      <c r="N95" s="24">
        <f t="shared" si="40"/>
        <v>0</v>
      </c>
      <c r="O95" s="24">
        <v>0</v>
      </c>
      <c r="P95" s="24">
        <f t="shared" si="70"/>
        <v>0</v>
      </c>
      <c r="Q95" s="24">
        <f t="shared" si="67"/>
        <v>0</v>
      </c>
      <c r="R95" s="24">
        <f t="shared" si="47"/>
        <v>0</v>
      </c>
      <c r="S95" s="24">
        <f t="shared" si="59"/>
        <v>0</v>
      </c>
      <c r="T95" s="24"/>
      <c r="U95" s="36">
        <f t="shared" si="63"/>
        <v>0</v>
      </c>
      <c r="V95" s="36">
        <f t="shared" si="4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35"/>
        <v>22562</v>
      </c>
      <c r="Y95" s="57">
        <f t="shared" si="34"/>
        <v>63819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37"/>
        <v>23217</v>
      </c>
      <c r="AN95" s="57">
        <f t="shared" si="36"/>
        <v>62359</v>
      </c>
      <c r="AO95" s="130">
        <f t="shared" si="50"/>
        <v>0</v>
      </c>
      <c r="AP95" s="109">
        <f t="shared" si="64"/>
        <v>87</v>
      </c>
      <c r="AQ95" s="110">
        <f t="shared" si="75"/>
        <v>47488</v>
      </c>
      <c r="AR95" s="562">
        <f t="shared" si="41"/>
        <v>0.13900000000000001</v>
      </c>
      <c r="AS95" s="105">
        <f t="shared" si="52"/>
        <v>0</v>
      </c>
      <c r="AT95" s="105">
        <f>IF(AND(G95&gt;=$W$9,G95&lt;=$W$9+5),$W$10,IF(AND(BG94+AW95+AU95&gt;AT94,AT94&lt;&gt;0),IF(#REF!="Да",$AL$40,$D$19),IF(BG94=0,0,BG94+AW95+AU95+AU96)))</f>
        <v>0</v>
      </c>
      <c r="AU95" s="105">
        <f t="shared" si="76"/>
        <v>0</v>
      </c>
      <c r="AV95" s="105">
        <f t="shared" si="55"/>
        <v>0</v>
      </c>
      <c r="AW95" s="105">
        <f t="shared" si="77"/>
        <v>0</v>
      </c>
      <c r="AX95" s="105">
        <v>0</v>
      </c>
      <c r="AY95" s="105">
        <f t="shared" si="71"/>
        <v>0</v>
      </c>
      <c r="AZ95" s="105">
        <f t="shared" si="69"/>
        <v>0</v>
      </c>
      <c r="BA95" s="105">
        <f t="shared" si="68"/>
        <v>0</v>
      </c>
      <c r="BB95" s="105"/>
      <c r="BC95" s="105"/>
      <c r="BD95" s="105"/>
      <c r="BE95" s="105"/>
      <c r="BF95" s="105"/>
      <c r="BG95" s="105">
        <f t="shared" si="56"/>
        <v>0</v>
      </c>
      <c r="BH95" s="108">
        <f t="shared" si="65"/>
        <v>0</v>
      </c>
      <c r="BI95" s="108">
        <f t="shared" si="60"/>
        <v>0</v>
      </c>
      <c r="BJ95" s="22">
        <f t="shared" si="61"/>
        <v>47488</v>
      </c>
      <c r="BK95" s="108">
        <f t="shared" si="4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  <c r="BX95" s="2"/>
      <c r="BY95" s="2"/>
      <c r="BZ95" s="2"/>
      <c r="CA95" s="2"/>
      <c r="CB95" s="2"/>
      <c r="CC95" s="2"/>
      <c r="CD95" s="2"/>
      <c r="CE95" s="2"/>
      <c r="CF95" s="2"/>
    </row>
    <row r="96" spans="1:8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2"/>
        <v>88</v>
      </c>
      <c r="H96" s="111">
        <f t="shared" si="72"/>
        <v>47519</v>
      </c>
      <c r="I96" s="176">
        <f t="shared" si="44"/>
        <v>4.9000000000000002E-2</v>
      </c>
      <c r="J96" s="24">
        <f t="shared" si="45"/>
        <v>0</v>
      </c>
      <c r="K96" s="24">
        <f t="shared" si="73"/>
        <v>0</v>
      </c>
      <c r="L96" s="24">
        <f t="shared" si="46"/>
        <v>0</v>
      </c>
      <c r="M96" s="24">
        <f t="shared" si="74"/>
        <v>0</v>
      </c>
      <c r="N96" s="24">
        <f t="shared" si="40"/>
        <v>0</v>
      </c>
      <c r="O96" s="24">
        <v>0</v>
      </c>
      <c r="P96" s="24">
        <f t="shared" si="70"/>
        <v>0</v>
      </c>
      <c r="Q96" s="24">
        <f t="shared" si="67"/>
        <v>0</v>
      </c>
      <c r="R96" s="24">
        <f t="shared" si="47"/>
        <v>0</v>
      </c>
      <c r="S96" s="24">
        <f t="shared" si="59"/>
        <v>0</v>
      </c>
      <c r="T96" s="24"/>
      <c r="U96" s="36">
        <f t="shared" si="63"/>
        <v>0</v>
      </c>
      <c r="V96" s="36">
        <f t="shared" si="4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35"/>
        <v>22562</v>
      </c>
      <c r="Y96" s="57">
        <f t="shared" si="34"/>
        <v>64184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37"/>
        <v>23217</v>
      </c>
      <c r="AN96" s="57">
        <f t="shared" si="36"/>
        <v>62724</v>
      </c>
      <c r="AO96" s="130">
        <f t="shared" si="50"/>
        <v>0</v>
      </c>
      <c r="AP96" s="109">
        <f t="shared" si="64"/>
        <v>88</v>
      </c>
      <c r="AQ96" s="110">
        <f t="shared" si="75"/>
        <v>47519</v>
      </c>
      <c r="AR96" s="562">
        <f t="shared" si="41"/>
        <v>0.13900000000000001</v>
      </c>
      <c r="AS96" s="105">
        <f t="shared" si="52"/>
        <v>0</v>
      </c>
      <c r="AT96" s="105">
        <f>IF(AND(G96&gt;=$W$9,G96&lt;=$W$9+5),$W$10,IF(AND(BG95+AW96+AU96&gt;AT95,AT95&lt;&gt;0),IF(#REF!="Да",$AL$40,$D$19),IF(BG95=0,0,BG95+AW96+AU96+AU97)))</f>
        <v>0</v>
      </c>
      <c r="AU96" s="105">
        <f t="shared" si="76"/>
        <v>0</v>
      </c>
      <c r="AV96" s="105">
        <f t="shared" si="55"/>
        <v>0</v>
      </c>
      <c r="AW96" s="105">
        <f t="shared" si="77"/>
        <v>0</v>
      </c>
      <c r="AX96" s="105">
        <v>0</v>
      </c>
      <c r="AY96" s="105">
        <f t="shared" si="71"/>
        <v>0</v>
      </c>
      <c r="AZ96" s="105">
        <f t="shared" si="69"/>
        <v>0</v>
      </c>
      <c r="BA96" s="105">
        <f t="shared" si="68"/>
        <v>0</v>
      </c>
      <c r="BB96" s="105"/>
      <c r="BC96" s="105"/>
      <c r="BD96" s="105"/>
      <c r="BE96" s="105"/>
      <c r="BF96" s="105"/>
      <c r="BG96" s="105">
        <f t="shared" si="56"/>
        <v>0</v>
      </c>
      <c r="BH96" s="108">
        <f t="shared" si="65"/>
        <v>0</v>
      </c>
      <c r="BI96" s="108">
        <f t="shared" si="60"/>
        <v>0</v>
      </c>
      <c r="BJ96" s="22">
        <f t="shared" si="61"/>
        <v>47519</v>
      </c>
      <c r="BK96" s="108">
        <f t="shared" si="4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  <c r="BX96" s="2"/>
      <c r="BY96" s="2"/>
      <c r="BZ96" s="2"/>
      <c r="CA96" s="2"/>
      <c r="CB96" s="2"/>
      <c r="CC96" s="2"/>
      <c r="CD96" s="2"/>
      <c r="CE96" s="2"/>
      <c r="CF96" s="2"/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2"/>
        <v>89</v>
      </c>
      <c r="H97" s="111">
        <f t="shared" si="72"/>
        <v>47547</v>
      </c>
      <c r="I97" s="176">
        <f t="shared" si="44"/>
        <v>4.9000000000000002E-2</v>
      </c>
      <c r="J97" s="24">
        <f t="shared" si="45"/>
        <v>0</v>
      </c>
      <c r="K97" s="24">
        <f t="shared" si="73"/>
        <v>0</v>
      </c>
      <c r="L97" s="24">
        <f t="shared" si="46"/>
        <v>0</v>
      </c>
      <c r="M97" s="24">
        <f t="shared" si="74"/>
        <v>0</v>
      </c>
      <c r="N97" s="24">
        <f t="shared" si="40"/>
        <v>0</v>
      </c>
      <c r="O97" s="24">
        <v>0</v>
      </c>
      <c r="P97" s="24">
        <f t="shared" si="70"/>
        <v>0</v>
      </c>
      <c r="Q97" s="24">
        <f t="shared" si="67"/>
        <v>0</v>
      </c>
      <c r="R97" s="24">
        <f t="shared" si="47"/>
        <v>0</v>
      </c>
      <c r="S97" s="24">
        <f t="shared" si="59"/>
        <v>0</v>
      </c>
      <c r="T97" s="24"/>
      <c r="U97" s="36">
        <f t="shared" si="63"/>
        <v>0</v>
      </c>
      <c r="V97" s="36">
        <f t="shared" si="4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35"/>
        <v>22562</v>
      </c>
      <c r="Y97" s="57">
        <f t="shared" si="34"/>
        <v>64549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37"/>
        <v>23217</v>
      </c>
      <c r="AN97" s="57">
        <f t="shared" si="36"/>
        <v>63089</v>
      </c>
      <c r="AO97" s="130">
        <f t="shared" si="50"/>
        <v>0</v>
      </c>
      <c r="AP97" s="109">
        <f t="shared" si="64"/>
        <v>89</v>
      </c>
      <c r="AQ97" s="110">
        <f t="shared" si="75"/>
        <v>47547</v>
      </c>
      <c r="AR97" s="562">
        <f t="shared" si="41"/>
        <v>0.13900000000000001</v>
      </c>
      <c r="AS97" s="105">
        <f t="shared" si="52"/>
        <v>0</v>
      </c>
      <c r="AT97" s="105">
        <f>IF(AND(G97&gt;=$W$9,G97&lt;=$W$9+5),$W$10,IF(AND(BG96+AW97+AU97&gt;AT96,AT96&lt;&gt;0),IF(#REF!="Да",$AL$40,$D$19),IF(BG96=0,0,BG96+AW97+AU97+AU98)))</f>
        <v>0</v>
      </c>
      <c r="AU97" s="105">
        <f t="shared" si="76"/>
        <v>0</v>
      </c>
      <c r="AV97" s="105">
        <f t="shared" si="55"/>
        <v>0</v>
      </c>
      <c r="AW97" s="105">
        <f t="shared" si="77"/>
        <v>0</v>
      </c>
      <c r="AX97" s="105">
        <v>0</v>
      </c>
      <c r="AY97" s="105">
        <f t="shared" si="71"/>
        <v>0</v>
      </c>
      <c r="AZ97" s="105">
        <f t="shared" si="69"/>
        <v>0</v>
      </c>
      <c r="BA97" s="105">
        <f t="shared" si="68"/>
        <v>0</v>
      </c>
      <c r="BB97" s="105"/>
      <c r="BC97" s="105"/>
      <c r="BD97" s="105"/>
      <c r="BE97" s="105"/>
      <c r="BF97" s="105"/>
      <c r="BG97" s="105">
        <f t="shared" si="56"/>
        <v>0</v>
      </c>
      <c r="BH97" s="108">
        <f t="shared" si="65"/>
        <v>0</v>
      </c>
      <c r="BI97" s="108">
        <f t="shared" si="60"/>
        <v>0</v>
      </c>
      <c r="BJ97" s="22">
        <f t="shared" si="61"/>
        <v>47547</v>
      </c>
      <c r="BK97" s="108">
        <f t="shared" si="4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  <c r="BX97" s="2"/>
      <c r="BY97" s="2"/>
      <c r="BZ97" s="2"/>
      <c r="CA97" s="2"/>
      <c r="CB97" s="2"/>
      <c r="CC97" s="2"/>
      <c r="CD97" s="2"/>
      <c r="CE97" s="2"/>
      <c r="CF97" s="2"/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2"/>
        <v>90</v>
      </c>
      <c r="H98" s="111">
        <f t="shared" si="72"/>
        <v>47578</v>
      </c>
      <c r="I98" s="176">
        <f t="shared" si="44"/>
        <v>4.9000000000000002E-2</v>
      </c>
      <c r="J98" s="24">
        <f t="shared" si="45"/>
        <v>0</v>
      </c>
      <c r="K98" s="24">
        <f t="shared" si="73"/>
        <v>0</v>
      </c>
      <c r="L98" s="24">
        <f t="shared" si="46"/>
        <v>0</v>
      </c>
      <c r="M98" s="24">
        <f t="shared" si="74"/>
        <v>0</v>
      </c>
      <c r="N98" s="24">
        <f t="shared" si="40"/>
        <v>0</v>
      </c>
      <c r="O98" s="24">
        <v>0</v>
      </c>
      <c r="P98" s="24">
        <f t="shared" si="70"/>
        <v>0</v>
      </c>
      <c r="Q98" s="24">
        <f t="shared" si="67"/>
        <v>0</v>
      </c>
      <c r="R98" s="24">
        <f t="shared" si="47"/>
        <v>0</v>
      </c>
      <c r="S98" s="24">
        <f t="shared" si="59"/>
        <v>0</v>
      </c>
      <c r="T98" s="24"/>
      <c r="U98" s="36">
        <f t="shared" si="63"/>
        <v>0</v>
      </c>
      <c r="V98" s="36">
        <f t="shared" si="4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35"/>
        <v>22562</v>
      </c>
      <c r="Y98" s="57">
        <f t="shared" si="34"/>
        <v>64914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37"/>
        <v>23217</v>
      </c>
      <c r="AN98" s="57">
        <f t="shared" si="36"/>
        <v>63454</v>
      </c>
      <c r="AO98" s="130">
        <f t="shared" si="50"/>
        <v>0</v>
      </c>
      <c r="AP98" s="109">
        <f t="shared" si="64"/>
        <v>90</v>
      </c>
      <c r="AQ98" s="110">
        <f t="shared" si="75"/>
        <v>47578</v>
      </c>
      <c r="AR98" s="562">
        <f t="shared" si="41"/>
        <v>0.13900000000000001</v>
      </c>
      <c r="AS98" s="105">
        <f t="shared" si="52"/>
        <v>0</v>
      </c>
      <c r="AT98" s="105">
        <f>IF(AND(G98&gt;=$W$9,G98&lt;=$W$9+5),$W$10,IF(AND(BG97+AW98+AU98&gt;AT97,AT97&lt;&gt;0),IF(#REF!="Да",$AL$40,$D$19),IF(BG97=0,0,BG97+AW98+AU98+AU99)))</f>
        <v>0</v>
      </c>
      <c r="AU98" s="105">
        <f t="shared" si="76"/>
        <v>0</v>
      </c>
      <c r="AV98" s="105">
        <f t="shared" si="55"/>
        <v>0</v>
      </c>
      <c r="AW98" s="105">
        <f t="shared" si="77"/>
        <v>0</v>
      </c>
      <c r="AX98" s="105">
        <v>0</v>
      </c>
      <c r="AY98" s="105">
        <f t="shared" si="71"/>
        <v>0</v>
      </c>
      <c r="AZ98" s="105">
        <f t="shared" si="69"/>
        <v>0</v>
      </c>
      <c r="BA98" s="105">
        <f t="shared" si="68"/>
        <v>0</v>
      </c>
      <c r="BB98" s="105"/>
      <c r="BC98" s="105"/>
      <c r="BD98" s="105"/>
      <c r="BE98" s="105"/>
      <c r="BF98" s="105"/>
      <c r="BG98" s="105">
        <f t="shared" si="56"/>
        <v>0</v>
      </c>
      <c r="BH98" s="108">
        <f t="shared" si="65"/>
        <v>0</v>
      </c>
      <c r="BI98" s="108">
        <f t="shared" si="60"/>
        <v>0</v>
      </c>
      <c r="BJ98" s="22">
        <f t="shared" si="61"/>
        <v>47578</v>
      </c>
      <c r="BK98" s="108">
        <f t="shared" si="4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  <c r="BX98" s="2"/>
      <c r="BY98" s="2"/>
      <c r="BZ98" s="2"/>
      <c r="CA98" s="2"/>
      <c r="CB98" s="2"/>
      <c r="CC98" s="2"/>
      <c r="CD98" s="2"/>
      <c r="CE98" s="2"/>
      <c r="CF98" s="2"/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2"/>
        <v>91</v>
      </c>
      <c r="H99" s="111">
        <f t="shared" si="72"/>
        <v>47608</v>
      </c>
      <c r="I99" s="176">
        <f t="shared" si="44"/>
        <v>4.9000000000000002E-2</v>
      </c>
      <c r="J99" s="24">
        <f t="shared" si="45"/>
        <v>0</v>
      </c>
      <c r="K99" s="24">
        <f t="shared" si="73"/>
        <v>0</v>
      </c>
      <c r="L99" s="24">
        <f t="shared" si="46"/>
        <v>0</v>
      </c>
      <c r="M99" s="24">
        <f t="shared" si="74"/>
        <v>0</v>
      </c>
      <c r="N99" s="24">
        <f t="shared" si="40"/>
        <v>0</v>
      </c>
      <c r="O99" s="24">
        <v>0</v>
      </c>
      <c r="P99" s="24">
        <f t="shared" si="70"/>
        <v>0</v>
      </c>
      <c r="Q99" s="24">
        <f t="shared" si="67"/>
        <v>0</v>
      </c>
      <c r="R99" s="24">
        <f t="shared" si="47"/>
        <v>0</v>
      </c>
      <c r="S99" s="24">
        <f t="shared" si="59"/>
        <v>0</v>
      </c>
      <c r="T99" s="24"/>
      <c r="U99" s="36">
        <f t="shared" si="63"/>
        <v>0</v>
      </c>
      <c r="V99" s="36">
        <f t="shared" si="4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35"/>
        <v>22562</v>
      </c>
      <c r="Y99" s="57">
        <f t="shared" si="34"/>
        <v>65279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37"/>
        <v>23217</v>
      </c>
      <c r="AN99" s="57">
        <f t="shared" si="36"/>
        <v>63819</v>
      </c>
      <c r="AO99" s="130">
        <f t="shared" si="50"/>
        <v>0</v>
      </c>
      <c r="AP99" s="109">
        <f t="shared" si="64"/>
        <v>91</v>
      </c>
      <c r="AQ99" s="110">
        <f t="shared" si="75"/>
        <v>47608</v>
      </c>
      <c r="AR99" s="562">
        <f t="shared" si="41"/>
        <v>0.13900000000000001</v>
      </c>
      <c r="AS99" s="105">
        <f t="shared" si="52"/>
        <v>0</v>
      </c>
      <c r="AT99" s="105">
        <f>IF(AND(G99&gt;=$W$9,G99&lt;=$W$9+5),$W$10,IF(AND(BG98+AW99+AU99&gt;AT98,AT98&lt;&gt;0),IF(#REF!="Да",$AL$40,$D$19),IF(BG98=0,0,BG98+AW99+AU99+AU100)))</f>
        <v>0</v>
      </c>
      <c r="AU99" s="105">
        <f t="shared" si="76"/>
        <v>0</v>
      </c>
      <c r="AV99" s="105">
        <f t="shared" si="55"/>
        <v>0</v>
      </c>
      <c r="AW99" s="105">
        <f t="shared" si="77"/>
        <v>0</v>
      </c>
      <c r="AX99" s="105">
        <v>0</v>
      </c>
      <c r="AY99" s="105">
        <f t="shared" si="71"/>
        <v>0</v>
      </c>
      <c r="AZ99" s="105">
        <f t="shared" si="69"/>
        <v>0</v>
      </c>
      <c r="BA99" s="105">
        <f t="shared" si="68"/>
        <v>0</v>
      </c>
      <c r="BB99" s="105"/>
      <c r="BC99" s="105"/>
      <c r="BD99" s="105"/>
      <c r="BE99" s="105"/>
      <c r="BF99" s="105"/>
      <c r="BG99" s="105">
        <f t="shared" si="56"/>
        <v>0</v>
      </c>
      <c r="BH99" s="108">
        <f t="shared" si="65"/>
        <v>0</v>
      </c>
      <c r="BI99" s="108">
        <f t="shared" si="60"/>
        <v>0</v>
      </c>
      <c r="BJ99" s="22">
        <f t="shared" si="61"/>
        <v>47608</v>
      </c>
      <c r="BK99" s="108">
        <f t="shared" si="4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  <c r="BX99" s="2"/>
      <c r="BY99" s="2"/>
      <c r="BZ99" s="2"/>
      <c r="CA99" s="2"/>
      <c r="CB99" s="2"/>
      <c r="CC99" s="2"/>
      <c r="CD99" s="2"/>
      <c r="CE99" s="2"/>
      <c r="CF99" s="2"/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2"/>
        <v>92</v>
      </c>
      <c r="H100" s="111">
        <f t="shared" si="72"/>
        <v>47639</v>
      </c>
      <c r="I100" s="176">
        <f t="shared" si="44"/>
        <v>4.9000000000000002E-2</v>
      </c>
      <c r="J100" s="24">
        <f t="shared" si="45"/>
        <v>0</v>
      </c>
      <c r="K100" s="24">
        <f t="shared" si="73"/>
        <v>0</v>
      </c>
      <c r="L100" s="24">
        <f t="shared" si="46"/>
        <v>0</v>
      </c>
      <c r="M100" s="24">
        <f t="shared" si="74"/>
        <v>0</v>
      </c>
      <c r="N100" s="24">
        <f t="shared" si="40"/>
        <v>0</v>
      </c>
      <c r="O100" s="24">
        <v>0</v>
      </c>
      <c r="P100" s="24">
        <f t="shared" si="70"/>
        <v>0</v>
      </c>
      <c r="Q100" s="24">
        <f t="shared" si="67"/>
        <v>0</v>
      </c>
      <c r="R100" s="24">
        <f t="shared" si="47"/>
        <v>0</v>
      </c>
      <c r="S100" s="24">
        <f t="shared" si="59"/>
        <v>0</v>
      </c>
      <c r="T100" s="24"/>
      <c r="U100" s="36">
        <f t="shared" si="63"/>
        <v>0</v>
      </c>
      <c r="V100" s="36">
        <f t="shared" si="4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35"/>
        <v>22562</v>
      </c>
      <c r="Y100" s="57">
        <f t="shared" si="34"/>
        <v>65644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37"/>
        <v>23217</v>
      </c>
      <c r="AN100" s="57">
        <f t="shared" si="36"/>
        <v>64184</v>
      </c>
      <c r="AO100" s="130">
        <f t="shared" si="50"/>
        <v>0</v>
      </c>
      <c r="AP100" s="109">
        <f t="shared" si="64"/>
        <v>92</v>
      </c>
      <c r="AQ100" s="110">
        <f t="shared" si="75"/>
        <v>47639</v>
      </c>
      <c r="AR100" s="562">
        <f t="shared" si="41"/>
        <v>0.13900000000000001</v>
      </c>
      <c r="AS100" s="105">
        <f t="shared" si="52"/>
        <v>0</v>
      </c>
      <c r="AT100" s="105">
        <f>IF(AND(G100&gt;=$W$9,G100&lt;=$W$9+5),$W$10,IF(AND(BG99+AW100+AU100&gt;AT99,AT99&lt;&gt;0),IF(#REF!="Да",$AL$40,$D$19),IF(BG99=0,0,BG99+AW100+AU100+AU101)))</f>
        <v>0</v>
      </c>
      <c r="AU100" s="105">
        <f t="shared" si="76"/>
        <v>0</v>
      </c>
      <c r="AV100" s="105">
        <f t="shared" si="55"/>
        <v>0</v>
      </c>
      <c r="AW100" s="105">
        <f t="shared" si="77"/>
        <v>0</v>
      </c>
      <c r="AX100" s="105">
        <v>0</v>
      </c>
      <c r="AY100" s="105">
        <f t="shared" si="71"/>
        <v>0</v>
      </c>
      <c r="AZ100" s="105">
        <f t="shared" si="69"/>
        <v>0</v>
      </c>
      <c r="BA100" s="105">
        <f t="shared" si="68"/>
        <v>0</v>
      </c>
      <c r="BB100" s="105"/>
      <c r="BC100" s="105"/>
      <c r="BD100" s="105"/>
      <c r="BE100" s="105"/>
      <c r="BF100" s="105"/>
      <c r="BG100" s="105">
        <f t="shared" si="56"/>
        <v>0</v>
      </c>
      <c r="BH100" s="108">
        <f t="shared" si="65"/>
        <v>0</v>
      </c>
      <c r="BI100" s="108">
        <f t="shared" si="60"/>
        <v>0</v>
      </c>
      <c r="BJ100" s="22">
        <f t="shared" si="61"/>
        <v>47639</v>
      </c>
      <c r="BK100" s="108">
        <f t="shared" si="4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1217" s="16" customFormat="1" ht="14.25" hidden="1" x14ac:dyDescent="0.3">
      <c r="A101" s="2"/>
      <c r="B101" s="2"/>
      <c r="C101" s="1"/>
      <c r="D101" s="1"/>
      <c r="E101" s="1"/>
      <c r="F101" s="184"/>
      <c r="G101" s="114">
        <f t="shared" si="62"/>
        <v>93</v>
      </c>
      <c r="H101" s="111">
        <f t="shared" si="72"/>
        <v>47669</v>
      </c>
      <c r="I101" s="176">
        <f t="shared" si="44"/>
        <v>4.9000000000000002E-2</v>
      </c>
      <c r="J101" s="24">
        <f t="shared" si="45"/>
        <v>0</v>
      </c>
      <c r="K101" s="24">
        <f t="shared" si="73"/>
        <v>0</v>
      </c>
      <c r="L101" s="24">
        <f t="shared" si="46"/>
        <v>0</v>
      </c>
      <c r="M101" s="24">
        <f t="shared" si="74"/>
        <v>0</v>
      </c>
      <c r="N101" s="24">
        <f t="shared" si="40"/>
        <v>0</v>
      </c>
      <c r="O101" s="24">
        <v>0</v>
      </c>
      <c r="P101" s="24">
        <f t="shared" si="70"/>
        <v>0</v>
      </c>
      <c r="Q101" s="24">
        <f t="shared" si="67"/>
        <v>0</v>
      </c>
      <c r="R101" s="24">
        <f t="shared" si="47"/>
        <v>0</v>
      </c>
      <c r="S101" s="24">
        <f t="shared" si="59"/>
        <v>0</v>
      </c>
      <c r="T101" s="24"/>
      <c r="U101" s="36">
        <f t="shared" si="63"/>
        <v>0</v>
      </c>
      <c r="V101" s="36">
        <f t="shared" si="4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35"/>
        <v>22562</v>
      </c>
      <c r="Y101" s="57">
        <f t="shared" si="34"/>
        <v>66009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37"/>
        <v>23217</v>
      </c>
      <c r="AN101" s="57">
        <f t="shared" si="36"/>
        <v>64549</v>
      </c>
      <c r="AO101" s="130">
        <f t="shared" si="50"/>
        <v>0</v>
      </c>
      <c r="AP101" s="109">
        <f t="shared" si="64"/>
        <v>93</v>
      </c>
      <c r="AQ101" s="110">
        <f t="shared" si="75"/>
        <v>47669</v>
      </c>
      <c r="AR101" s="562">
        <f t="shared" si="41"/>
        <v>0.13900000000000001</v>
      </c>
      <c r="AS101" s="105">
        <f t="shared" si="52"/>
        <v>0</v>
      </c>
      <c r="AT101" s="105">
        <f>IF(AND(G101&gt;=$W$9,G101&lt;=$W$9+5),$W$10,IF(AND(BG100+AW101+AU101&gt;AT100,AT100&lt;&gt;0),IF(#REF!="Да",$AL$40,$D$19),IF(BG100=0,0,BG100+AW101+AU101+AU102)))</f>
        <v>0</v>
      </c>
      <c r="AU101" s="105">
        <f t="shared" si="76"/>
        <v>0</v>
      </c>
      <c r="AV101" s="105">
        <f t="shared" si="55"/>
        <v>0</v>
      </c>
      <c r="AW101" s="105">
        <f t="shared" si="77"/>
        <v>0</v>
      </c>
      <c r="AX101" s="105">
        <v>0</v>
      </c>
      <c r="AY101" s="105">
        <f t="shared" si="71"/>
        <v>0</v>
      </c>
      <c r="AZ101" s="105">
        <f t="shared" si="69"/>
        <v>0</v>
      </c>
      <c r="BA101" s="105">
        <f t="shared" si="68"/>
        <v>0</v>
      </c>
      <c r="BB101" s="105"/>
      <c r="BC101" s="105"/>
      <c r="BD101" s="105"/>
      <c r="BE101" s="105"/>
      <c r="BF101" s="105"/>
      <c r="BG101" s="105">
        <f t="shared" si="56"/>
        <v>0</v>
      </c>
      <c r="BH101" s="108">
        <f t="shared" si="65"/>
        <v>0</v>
      </c>
      <c r="BI101" s="108">
        <f t="shared" si="60"/>
        <v>0</v>
      </c>
      <c r="BJ101" s="22">
        <f t="shared" si="61"/>
        <v>47669</v>
      </c>
      <c r="BK101" s="108">
        <f t="shared" si="4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1217" s="16" customFormat="1" ht="14.25" hidden="1" x14ac:dyDescent="0.3">
      <c r="A102" s="2"/>
      <c r="B102" s="2"/>
      <c r="C102" s="1"/>
      <c r="D102" s="1"/>
      <c r="E102" s="1"/>
      <c r="F102" s="184"/>
      <c r="G102" s="114">
        <f t="shared" si="62"/>
        <v>94</v>
      </c>
      <c r="H102" s="111">
        <f t="shared" si="72"/>
        <v>47700</v>
      </c>
      <c r="I102" s="176">
        <f t="shared" si="44"/>
        <v>4.9000000000000002E-2</v>
      </c>
      <c r="J102" s="24">
        <f t="shared" si="45"/>
        <v>0</v>
      </c>
      <c r="K102" s="24">
        <f t="shared" si="73"/>
        <v>0</v>
      </c>
      <c r="L102" s="24">
        <f t="shared" si="46"/>
        <v>0</v>
      </c>
      <c r="M102" s="24">
        <f t="shared" si="74"/>
        <v>0</v>
      </c>
      <c r="N102" s="24">
        <f t="shared" si="40"/>
        <v>0</v>
      </c>
      <c r="O102" s="24">
        <v>0</v>
      </c>
      <c r="P102" s="24">
        <f t="shared" si="70"/>
        <v>0</v>
      </c>
      <c r="Q102" s="24">
        <f t="shared" si="67"/>
        <v>0</v>
      </c>
      <c r="R102" s="24">
        <f t="shared" si="47"/>
        <v>0</v>
      </c>
      <c r="S102" s="24">
        <f t="shared" si="59"/>
        <v>0</v>
      </c>
      <c r="T102" s="24"/>
      <c r="U102" s="36">
        <f t="shared" si="63"/>
        <v>0</v>
      </c>
      <c r="V102" s="36">
        <f t="shared" si="4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35"/>
        <v>22562</v>
      </c>
      <c r="Y102" s="57">
        <f t="shared" si="34"/>
        <v>66374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37"/>
        <v>23217</v>
      </c>
      <c r="AN102" s="57">
        <f t="shared" si="36"/>
        <v>64914</v>
      </c>
      <c r="AO102" s="130">
        <f t="shared" si="50"/>
        <v>0</v>
      </c>
      <c r="AP102" s="109">
        <f t="shared" si="64"/>
        <v>94</v>
      </c>
      <c r="AQ102" s="110">
        <f t="shared" si="75"/>
        <v>47700</v>
      </c>
      <c r="AR102" s="562">
        <f t="shared" si="41"/>
        <v>0.13900000000000001</v>
      </c>
      <c r="AS102" s="105">
        <f t="shared" si="52"/>
        <v>0</v>
      </c>
      <c r="AT102" s="105">
        <f>IF(AND(G102&gt;=$W$9,G102&lt;=$W$9+5),$W$10,IF(AND(BG101+AW102+AU102&gt;AT101,AT101&lt;&gt;0),IF(#REF!="Да",$AL$40,$D$19),IF(BG101=0,0,BG101+AW102+AU102+AU103)))</f>
        <v>0</v>
      </c>
      <c r="AU102" s="105">
        <f t="shared" si="76"/>
        <v>0</v>
      </c>
      <c r="AV102" s="105">
        <f t="shared" si="55"/>
        <v>0</v>
      </c>
      <c r="AW102" s="105">
        <f t="shared" si="77"/>
        <v>0</v>
      </c>
      <c r="AX102" s="105">
        <v>0</v>
      </c>
      <c r="AY102" s="105">
        <f t="shared" si="71"/>
        <v>0</v>
      </c>
      <c r="AZ102" s="105">
        <f t="shared" si="69"/>
        <v>0</v>
      </c>
      <c r="BA102" s="105">
        <f t="shared" si="68"/>
        <v>0</v>
      </c>
      <c r="BB102" s="105"/>
      <c r="BC102" s="105"/>
      <c r="BD102" s="105"/>
      <c r="BE102" s="105"/>
      <c r="BF102" s="105"/>
      <c r="BG102" s="105">
        <f t="shared" si="56"/>
        <v>0</v>
      </c>
      <c r="BH102" s="108">
        <f t="shared" si="65"/>
        <v>0</v>
      </c>
      <c r="BI102" s="108">
        <f t="shared" si="60"/>
        <v>0</v>
      </c>
      <c r="BJ102" s="22">
        <f t="shared" si="61"/>
        <v>47700</v>
      </c>
      <c r="BK102" s="108">
        <f t="shared" si="4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F103" s="184"/>
      <c r="G103" s="114">
        <f t="shared" si="62"/>
        <v>95</v>
      </c>
      <c r="H103" s="111">
        <f t="shared" si="72"/>
        <v>47731</v>
      </c>
      <c r="I103" s="176">
        <f t="shared" si="44"/>
        <v>4.9000000000000002E-2</v>
      </c>
      <c r="J103" s="24">
        <f t="shared" si="45"/>
        <v>0</v>
      </c>
      <c r="K103" s="24">
        <f t="shared" si="73"/>
        <v>0</v>
      </c>
      <c r="L103" s="24">
        <f t="shared" si="46"/>
        <v>0</v>
      </c>
      <c r="M103" s="24">
        <f t="shared" si="74"/>
        <v>0</v>
      </c>
      <c r="N103" s="24">
        <f t="shared" si="40"/>
        <v>0</v>
      </c>
      <c r="O103" s="24">
        <v>0</v>
      </c>
      <c r="P103" s="24">
        <f t="shared" si="70"/>
        <v>0</v>
      </c>
      <c r="Q103" s="24">
        <f t="shared" si="67"/>
        <v>0</v>
      </c>
      <c r="R103" s="24">
        <f t="shared" si="47"/>
        <v>0</v>
      </c>
      <c r="S103" s="24">
        <f t="shared" si="59"/>
        <v>0</v>
      </c>
      <c r="T103" s="24"/>
      <c r="U103" s="36">
        <f t="shared" si="63"/>
        <v>0</v>
      </c>
      <c r="V103" s="36">
        <f t="shared" si="4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35"/>
        <v>22562</v>
      </c>
      <c r="Y103" s="57">
        <f t="shared" si="34"/>
        <v>66739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37"/>
        <v>23217</v>
      </c>
      <c r="AN103" s="57">
        <f t="shared" si="36"/>
        <v>65279</v>
      </c>
      <c r="AO103" s="130">
        <f t="shared" si="50"/>
        <v>0</v>
      </c>
      <c r="AP103" s="109">
        <f t="shared" si="64"/>
        <v>95</v>
      </c>
      <c r="AQ103" s="110">
        <f t="shared" si="75"/>
        <v>47731</v>
      </c>
      <c r="AR103" s="562">
        <f t="shared" si="41"/>
        <v>0.13900000000000001</v>
      </c>
      <c r="AS103" s="105">
        <f t="shared" si="52"/>
        <v>0</v>
      </c>
      <c r="AT103" s="105">
        <f>IF(AND(G103&gt;=$W$9,G103&lt;=$W$9+5),$W$10,IF(AND(BG102+AW103+AU103&gt;AT102,AT102&lt;&gt;0),IF(#REF!="Да",$AL$40,$D$19),IF(BG102=0,0,BG102+AW103+AU103+AU104)))</f>
        <v>0</v>
      </c>
      <c r="AU103" s="105">
        <f t="shared" si="76"/>
        <v>0</v>
      </c>
      <c r="AV103" s="105">
        <f t="shared" si="55"/>
        <v>0</v>
      </c>
      <c r="AW103" s="105">
        <f t="shared" si="77"/>
        <v>0</v>
      </c>
      <c r="AX103" s="105">
        <v>0</v>
      </c>
      <c r="AY103" s="105">
        <f t="shared" si="71"/>
        <v>0</v>
      </c>
      <c r="AZ103" s="105">
        <f t="shared" si="69"/>
        <v>0</v>
      </c>
      <c r="BA103" s="105">
        <f t="shared" si="68"/>
        <v>0</v>
      </c>
      <c r="BB103" s="105"/>
      <c r="BC103" s="105"/>
      <c r="BD103" s="105"/>
      <c r="BE103" s="105"/>
      <c r="BF103" s="105"/>
      <c r="BG103" s="105">
        <f t="shared" si="56"/>
        <v>0</v>
      </c>
      <c r="BH103" s="108">
        <f t="shared" si="65"/>
        <v>0</v>
      </c>
      <c r="BI103" s="108">
        <f t="shared" si="60"/>
        <v>0</v>
      </c>
      <c r="BJ103" s="22">
        <f t="shared" si="61"/>
        <v>47731</v>
      </c>
      <c r="BK103" s="108">
        <f t="shared" si="4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F104" s="184"/>
      <c r="G104" s="114">
        <f t="shared" si="62"/>
        <v>96</v>
      </c>
      <c r="H104" s="111">
        <f t="shared" si="72"/>
        <v>47761</v>
      </c>
      <c r="I104" s="176">
        <f t="shared" si="44"/>
        <v>4.9000000000000002E-2</v>
      </c>
      <c r="J104" s="24">
        <f t="shared" si="45"/>
        <v>0</v>
      </c>
      <c r="K104" s="24">
        <f t="shared" si="73"/>
        <v>0</v>
      </c>
      <c r="L104" s="24">
        <f t="shared" si="46"/>
        <v>0</v>
      </c>
      <c r="M104" s="24">
        <f t="shared" si="74"/>
        <v>0</v>
      </c>
      <c r="N104" s="24">
        <f t="shared" si="40"/>
        <v>0</v>
      </c>
      <c r="O104" s="24">
        <v>0</v>
      </c>
      <c r="P104" s="24">
        <f t="shared" si="70"/>
        <v>0</v>
      </c>
      <c r="Q104" s="24">
        <f t="shared" si="67"/>
        <v>0</v>
      </c>
      <c r="R104" s="24">
        <f t="shared" si="47"/>
        <v>0</v>
      </c>
      <c r="S104" s="24">
        <f t="shared" si="59"/>
        <v>0</v>
      </c>
      <c r="T104" s="24"/>
      <c r="U104" s="36">
        <f t="shared" si="63"/>
        <v>0</v>
      </c>
      <c r="V104" s="36">
        <f t="shared" si="4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35"/>
        <v>0</v>
      </c>
      <c r="Y104" s="57">
        <f t="shared" si="34"/>
        <v>67104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37"/>
        <v>23217</v>
      </c>
      <c r="AN104" s="57">
        <f t="shared" si="36"/>
        <v>65644</v>
      </c>
      <c r="AO104" s="130">
        <f t="shared" si="50"/>
        <v>0</v>
      </c>
      <c r="AP104" s="109">
        <f t="shared" si="64"/>
        <v>96</v>
      </c>
      <c r="AQ104" s="110">
        <f t="shared" si="75"/>
        <v>47761</v>
      </c>
      <c r="AR104" s="562">
        <f t="shared" si="41"/>
        <v>0.13900000000000001</v>
      </c>
      <c r="AS104" s="105">
        <f t="shared" si="52"/>
        <v>0</v>
      </c>
      <c r="AT104" s="105">
        <f>IF(AND(G104&gt;=$W$9,G104&lt;=$W$9+5),$W$10,IF(AND(BG103+AW104+AU104&gt;AT103,AT103&lt;&gt;0),IF(#REF!="Да",$AL$40,$D$19),IF(BG103=0,0,BG103+AW104+AU104+AU105)))</f>
        <v>0</v>
      </c>
      <c r="AU104" s="105">
        <f t="shared" si="76"/>
        <v>0</v>
      </c>
      <c r="AV104" s="105">
        <f t="shared" si="55"/>
        <v>0</v>
      </c>
      <c r="AW104" s="105">
        <f t="shared" si="77"/>
        <v>0</v>
      </c>
      <c r="AX104" s="105">
        <v>0</v>
      </c>
      <c r="AY104" s="105">
        <f t="shared" si="71"/>
        <v>0</v>
      </c>
      <c r="AZ104" s="105">
        <f t="shared" si="69"/>
        <v>0</v>
      </c>
      <c r="BA104" s="105">
        <f t="shared" si="68"/>
        <v>0</v>
      </c>
      <c r="BB104" s="105"/>
      <c r="BC104" s="105"/>
      <c r="BD104" s="105"/>
      <c r="BE104" s="105"/>
      <c r="BF104" s="105"/>
      <c r="BG104" s="105">
        <f t="shared" si="56"/>
        <v>0</v>
      </c>
      <c r="BH104" s="108">
        <f t="shared" si="65"/>
        <v>0</v>
      </c>
      <c r="BI104" s="108">
        <f t="shared" si="60"/>
        <v>0</v>
      </c>
      <c r="BJ104" s="22">
        <f t="shared" si="61"/>
        <v>47761</v>
      </c>
      <c r="BK104" s="108">
        <f t="shared" si="4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F105" s="184"/>
      <c r="G105" s="114">
        <f t="shared" si="62"/>
        <v>97</v>
      </c>
      <c r="H105" s="111">
        <f t="shared" si="72"/>
        <v>47792</v>
      </c>
      <c r="I105" s="176">
        <f t="shared" si="44"/>
        <v>4.9000000000000002E-2</v>
      </c>
      <c r="J105" s="24">
        <f t="shared" si="45"/>
        <v>0</v>
      </c>
      <c r="K105" s="24">
        <f t="shared" si="73"/>
        <v>0</v>
      </c>
      <c r="L105" s="24">
        <f t="shared" si="46"/>
        <v>0</v>
      </c>
      <c r="M105" s="24">
        <f t="shared" si="74"/>
        <v>0</v>
      </c>
      <c r="N105" s="24">
        <f t="shared" si="40"/>
        <v>0</v>
      </c>
      <c r="O105" s="24">
        <v>0</v>
      </c>
      <c r="P105" s="24">
        <f t="shared" si="70"/>
        <v>0</v>
      </c>
      <c r="Q105" s="24">
        <f t="shared" si="67"/>
        <v>0</v>
      </c>
      <c r="R105" s="24">
        <f t="shared" si="47"/>
        <v>0</v>
      </c>
      <c r="S105" s="24">
        <f t="shared" si="59"/>
        <v>0</v>
      </c>
      <c r="T105" s="24"/>
      <c r="U105" s="36">
        <f t="shared" si="63"/>
        <v>0</v>
      </c>
      <c r="V105" s="36">
        <f t="shared" si="4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35"/>
        <v>0</v>
      </c>
      <c r="Y105" s="57">
        <f t="shared" si="34"/>
        <v>67469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37"/>
        <v>23217</v>
      </c>
      <c r="AN105" s="57">
        <f t="shared" si="36"/>
        <v>66009</v>
      </c>
      <c r="AO105" s="130">
        <f t="shared" si="50"/>
        <v>0</v>
      </c>
      <c r="AP105" s="109">
        <f t="shared" si="64"/>
        <v>97</v>
      </c>
      <c r="AQ105" s="110">
        <f t="shared" si="75"/>
        <v>47792</v>
      </c>
      <c r="AR105" s="562">
        <f t="shared" si="41"/>
        <v>0.13900000000000001</v>
      </c>
      <c r="AS105" s="105">
        <f t="shared" si="52"/>
        <v>0</v>
      </c>
      <c r="AT105" s="105">
        <f>IF(AND(G105&gt;=$W$9,G105&lt;=$W$9+5),$W$10,IF(AND(BG104+AW105+AU105&gt;AT104,AT104&lt;&gt;0),IF(#REF!="Да",$AL$40,$D$19),IF(BG104=0,0,BG104+AW105+AU105+AU106)))</f>
        <v>0</v>
      </c>
      <c r="AU105" s="105">
        <f t="shared" si="76"/>
        <v>0</v>
      </c>
      <c r="AV105" s="105">
        <f t="shared" si="55"/>
        <v>0</v>
      </c>
      <c r="AW105" s="105">
        <f t="shared" si="77"/>
        <v>0</v>
      </c>
      <c r="AX105" s="105">
        <v>0</v>
      </c>
      <c r="AY105" s="105">
        <f t="shared" si="71"/>
        <v>0</v>
      </c>
      <c r="AZ105" s="105">
        <f t="shared" si="69"/>
        <v>0</v>
      </c>
      <c r="BA105" s="105">
        <f t="shared" si="68"/>
        <v>0</v>
      </c>
      <c r="BB105" s="105"/>
      <c r="BC105" s="105"/>
      <c r="BD105" s="105"/>
      <c r="BE105" s="105"/>
      <c r="BF105" s="105"/>
      <c r="BG105" s="105">
        <f t="shared" si="56"/>
        <v>0</v>
      </c>
      <c r="BH105" s="108">
        <f t="shared" si="65"/>
        <v>0</v>
      </c>
      <c r="BI105" s="108">
        <f t="shared" si="60"/>
        <v>0</v>
      </c>
      <c r="BJ105" s="22">
        <f t="shared" si="61"/>
        <v>47792</v>
      </c>
      <c r="BK105" s="108">
        <f t="shared" si="4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F106" s="184"/>
      <c r="G106" s="114">
        <f t="shared" si="62"/>
        <v>98</v>
      </c>
      <c r="H106" s="111">
        <f t="shared" si="72"/>
        <v>47822</v>
      </c>
      <c r="I106" s="176">
        <f t="shared" si="44"/>
        <v>4.9000000000000002E-2</v>
      </c>
      <c r="J106" s="24">
        <f t="shared" si="45"/>
        <v>0</v>
      </c>
      <c r="K106" s="24">
        <f t="shared" si="73"/>
        <v>0</v>
      </c>
      <c r="L106" s="24">
        <f t="shared" si="46"/>
        <v>0</v>
      </c>
      <c r="M106" s="24">
        <f t="shared" si="74"/>
        <v>0</v>
      </c>
      <c r="N106" s="24">
        <f t="shared" si="40"/>
        <v>0</v>
      </c>
      <c r="O106" s="24">
        <v>0</v>
      </c>
      <c r="P106" s="24">
        <f t="shared" si="70"/>
        <v>0</v>
      </c>
      <c r="Q106" s="24">
        <f t="shared" si="67"/>
        <v>0</v>
      </c>
      <c r="R106" s="24">
        <f t="shared" si="47"/>
        <v>0</v>
      </c>
      <c r="S106" s="24">
        <f t="shared" si="59"/>
        <v>0</v>
      </c>
      <c r="T106" s="24"/>
      <c r="U106" s="36">
        <f t="shared" si="63"/>
        <v>0</v>
      </c>
      <c r="V106" s="36">
        <f t="shared" si="4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35"/>
        <v>0</v>
      </c>
      <c r="Y106" s="57">
        <f t="shared" si="34"/>
        <v>67834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37"/>
        <v>23217</v>
      </c>
      <c r="AN106" s="57">
        <f t="shared" si="36"/>
        <v>66374</v>
      </c>
      <c r="AO106" s="130">
        <f t="shared" si="50"/>
        <v>0</v>
      </c>
      <c r="AP106" s="109">
        <f t="shared" si="64"/>
        <v>98</v>
      </c>
      <c r="AQ106" s="110">
        <f t="shared" si="75"/>
        <v>47822</v>
      </c>
      <c r="AR106" s="562">
        <f t="shared" si="41"/>
        <v>0.13900000000000001</v>
      </c>
      <c r="AS106" s="105">
        <f t="shared" si="52"/>
        <v>0</v>
      </c>
      <c r="AT106" s="105">
        <f>IF(AND(G106&gt;=$W$9,G106&lt;=$W$9+5),$W$10,IF(AND(BG105+AW106+AU106&gt;AT105,AT105&lt;&gt;0),IF(#REF!="Да",$AL$40,$D$19),IF(BG105=0,0,BG105+AW106+AU106+AU107)))</f>
        <v>0</v>
      </c>
      <c r="AU106" s="105">
        <f t="shared" si="76"/>
        <v>0</v>
      </c>
      <c r="AV106" s="105">
        <f t="shared" si="55"/>
        <v>0</v>
      </c>
      <c r="AW106" s="105">
        <f t="shared" si="77"/>
        <v>0</v>
      </c>
      <c r="AX106" s="105">
        <v>0</v>
      </c>
      <c r="AY106" s="105">
        <f t="shared" si="71"/>
        <v>0</v>
      </c>
      <c r="AZ106" s="105">
        <f t="shared" si="69"/>
        <v>0</v>
      </c>
      <c r="BA106" s="105">
        <f t="shared" si="68"/>
        <v>0</v>
      </c>
      <c r="BB106" s="105"/>
      <c r="BC106" s="105"/>
      <c r="BD106" s="105"/>
      <c r="BE106" s="105"/>
      <c r="BF106" s="105"/>
      <c r="BG106" s="105">
        <f t="shared" si="56"/>
        <v>0</v>
      </c>
      <c r="BH106" s="108">
        <f t="shared" si="65"/>
        <v>0</v>
      </c>
      <c r="BI106" s="108">
        <f t="shared" si="60"/>
        <v>0</v>
      </c>
      <c r="BJ106" s="22">
        <f t="shared" si="61"/>
        <v>47822</v>
      </c>
      <c r="BK106" s="108">
        <f t="shared" si="4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F107" s="184"/>
      <c r="G107" s="114">
        <f t="shared" si="62"/>
        <v>99</v>
      </c>
      <c r="H107" s="111">
        <f t="shared" si="72"/>
        <v>47853</v>
      </c>
      <c r="I107" s="176">
        <f t="shared" si="44"/>
        <v>4.9000000000000002E-2</v>
      </c>
      <c r="J107" s="24">
        <f t="shared" si="45"/>
        <v>0</v>
      </c>
      <c r="K107" s="24">
        <f t="shared" si="73"/>
        <v>0</v>
      </c>
      <c r="L107" s="24">
        <f t="shared" si="46"/>
        <v>0</v>
      </c>
      <c r="M107" s="24">
        <f t="shared" si="74"/>
        <v>0</v>
      </c>
      <c r="N107" s="24">
        <f t="shared" si="40"/>
        <v>0</v>
      </c>
      <c r="O107" s="24">
        <v>0</v>
      </c>
      <c r="P107" s="24">
        <f t="shared" si="70"/>
        <v>0</v>
      </c>
      <c r="Q107" s="24">
        <f t="shared" si="67"/>
        <v>0</v>
      </c>
      <c r="R107" s="24">
        <f t="shared" si="47"/>
        <v>0</v>
      </c>
      <c r="S107" s="24">
        <f t="shared" si="59"/>
        <v>0</v>
      </c>
      <c r="T107" s="24"/>
      <c r="U107" s="36">
        <f t="shared" si="63"/>
        <v>0</v>
      </c>
      <c r="V107" s="36">
        <f t="shared" si="4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35"/>
        <v>0</v>
      </c>
      <c r="Y107" s="57">
        <f t="shared" si="34"/>
        <v>68199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37"/>
        <v>23217</v>
      </c>
      <c r="AN107" s="57">
        <f t="shared" si="36"/>
        <v>66739</v>
      </c>
      <c r="AO107" s="130">
        <f t="shared" si="50"/>
        <v>0</v>
      </c>
      <c r="AP107" s="109">
        <f t="shared" si="64"/>
        <v>99</v>
      </c>
      <c r="AQ107" s="110">
        <f t="shared" si="75"/>
        <v>47853</v>
      </c>
      <c r="AR107" s="562">
        <f t="shared" si="41"/>
        <v>0.13900000000000001</v>
      </c>
      <c r="AS107" s="105">
        <f t="shared" si="52"/>
        <v>0</v>
      </c>
      <c r="AT107" s="105">
        <f>IF(AND(G107&gt;=$W$9,G107&lt;=$W$9+5),$W$10,IF(AND(BG106+AW107+AU107&gt;AT106,AT106&lt;&gt;0),IF(#REF!="Да",$AL$40,$D$19),IF(BG106=0,0,BG106+AW107+AU107+AU108)))</f>
        <v>0</v>
      </c>
      <c r="AU107" s="105">
        <f t="shared" si="76"/>
        <v>0</v>
      </c>
      <c r="AV107" s="105">
        <f t="shared" si="55"/>
        <v>0</v>
      </c>
      <c r="AW107" s="105">
        <f t="shared" si="77"/>
        <v>0</v>
      </c>
      <c r="AX107" s="105">
        <v>0</v>
      </c>
      <c r="AY107" s="105">
        <f t="shared" si="71"/>
        <v>0</v>
      </c>
      <c r="AZ107" s="105">
        <f t="shared" si="69"/>
        <v>0</v>
      </c>
      <c r="BA107" s="105">
        <f t="shared" si="68"/>
        <v>0</v>
      </c>
      <c r="BB107" s="105"/>
      <c r="BC107" s="105"/>
      <c r="BD107" s="105"/>
      <c r="BE107" s="105"/>
      <c r="BF107" s="105"/>
      <c r="BG107" s="105">
        <f t="shared" si="56"/>
        <v>0</v>
      </c>
      <c r="BH107" s="108">
        <f t="shared" si="65"/>
        <v>0</v>
      </c>
      <c r="BI107" s="108">
        <f t="shared" si="60"/>
        <v>0</v>
      </c>
      <c r="BJ107" s="22">
        <f t="shared" si="61"/>
        <v>47853</v>
      </c>
      <c r="BK107" s="108">
        <f t="shared" si="4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F108" s="184"/>
      <c r="G108" s="114">
        <f t="shared" si="62"/>
        <v>100</v>
      </c>
      <c r="H108" s="111">
        <f t="shared" si="72"/>
        <v>47884</v>
      </c>
      <c r="I108" s="176">
        <f t="shared" si="44"/>
        <v>4.9000000000000002E-2</v>
      </c>
      <c r="J108" s="24">
        <f t="shared" si="45"/>
        <v>0</v>
      </c>
      <c r="K108" s="24">
        <f t="shared" si="73"/>
        <v>0</v>
      </c>
      <c r="L108" s="24">
        <f t="shared" si="46"/>
        <v>0</v>
      </c>
      <c r="M108" s="24">
        <f t="shared" si="74"/>
        <v>0</v>
      </c>
      <c r="N108" s="24">
        <f t="shared" si="40"/>
        <v>0</v>
      </c>
      <c r="O108" s="24">
        <v>0</v>
      </c>
      <c r="P108" s="24">
        <f t="shared" si="70"/>
        <v>0</v>
      </c>
      <c r="Q108" s="24">
        <f t="shared" si="67"/>
        <v>0</v>
      </c>
      <c r="R108" s="24">
        <f t="shared" si="47"/>
        <v>0</v>
      </c>
      <c r="S108" s="24">
        <f t="shared" si="59"/>
        <v>0</v>
      </c>
      <c r="T108" s="24"/>
      <c r="U108" s="36">
        <f t="shared" si="63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35"/>
        <v>0</v>
      </c>
      <c r="Y108" s="57">
        <f t="shared" si="34"/>
        <v>68564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37"/>
        <v>0</v>
      </c>
      <c r="AN108" s="57">
        <f t="shared" si="36"/>
        <v>67104</v>
      </c>
      <c r="AO108" s="130">
        <f t="shared" si="50"/>
        <v>0</v>
      </c>
      <c r="AP108" s="109">
        <f t="shared" si="64"/>
        <v>100</v>
      </c>
      <c r="AQ108" s="110">
        <f t="shared" si="75"/>
        <v>47884</v>
      </c>
      <c r="AR108" s="562">
        <f t="shared" si="41"/>
        <v>0.13900000000000001</v>
      </c>
      <c r="AS108" s="105">
        <f t="shared" si="52"/>
        <v>0</v>
      </c>
      <c r="AT108" s="105">
        <f>IF(AND(G108&gt;=$W$9,G108&lt;=$W$9+5),$W$10,IF(AND(BG107+AW108+AU108&gt;AT107,AT107&lt;&gt;0),IF(#REF!="Да",$AL$40,$D$19),IF(BG107=0,0,BG107+AW108+AU108+AU109)))</f>
        <v>0</v>
      </c>
      <c r="AU108" s="105">
        <f t="shared" si="76"/>
        <v>0</v>
      </c>
      <c r="AV108" s="105">
        <f t="shared" si="55"/>
        <v>0</v>
      </c>
      <c r="AW108" s="105">
        <f t="shared" si="77"/>
        <v>0</v>
      </c>
      <c r="AX108" s="105">
        <v>0</v>
      </c>
      <c r="AY108" s="105">
        <f t="shared" si="71"/>
        <v>0</v>
      </c>
      <c r="AZ108" s="105">
        <f t="shared" si="69"/>
        <v>0</v>
      </c>
      <c r="BA108" s="105">
        <f t="shared" si="68"/>
        <v>0</v>
      </c>
      <c r="BB108" s="105"/>
      <c r="BC108" s="105"/>
      <c r="BD108" s="105"/>
      <c r="BE108" s="105"/>
      <c r="BF108" s="105"/>
      <c r="BG108" s="105">
        <f t="shared" si="56"/>
        <v>0</v>
      </c>
      <c r="BH108" s="108">
        <f t="shared" si="65"/>
        <v>0</v>
      </c>
      <c r="BI108" s="108">
        <f t="shared" si="60"/>
        <v>0</v>
      </c>
      <c r="BJ108" s="22">
        <f t="shared" si="61"/>
        <v>47884</v>
      </c>
      <c r="BK108" s="108">
        <f t="shared" si="4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F109" s="184"/>
      <c r="G109" s="28"/>
      <c r="H109" s="29" t="s">
        <v>7</v>
      </c>
      <c r="I109" s="29"/>
      <c r="J109" s="30" t="e">
        <f>(SUM(J9:J108))</f>
        <v>#REF!</v>
      </c>
      <c r="K109" s="30">
        <f>(SUM(K9:K108)-IF(CODE(C12)=209,AI51,0))</f>
        <v>1353720</v>
      </c>
      <c r="L109" s="30">
        <f t="shared" ref="L109:R109" si="78">SUM(L9:L108)</f>
        <v>155368.76099127252</v>
      </c>
      <c r="M109" s="30">
        <f t="shared" si="78"/>
        <v>1198465.9635666343</v>
      </c>
      <c r="N109" s="31" t="e">
        <f t="shared" si="78"/>
        <v>#REF!</v>
      </c>
      <c r="O109" s="31">
        <f t="shared" si="78"/>
        <v>0</v>
      </c>
      <c r="P109" s="31" t="e">
        <f t="shared" si="78"/>
        <v>#REF!</v>
      </c>
      <c r="Q109" s="31" t="e">
        <f t="shared" si="78"/>
        <v>#REF!</v>
      </c>
      <c r="R109" s="31">
        <f t="shared" si="7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35"/>
        <v>0</v>
      </c>
      <c r="Y109" s="57">
        <f t="shared" ref="Y109:Y143" si="79">Y108+365</f>
        <v>68929</v>
      </c>
      <c r="Z109" s="16"/>
      <c r="AA109" s="16"/>
      <c r="AB109" s="16"/>
      <c r="AC109" s="16"/>
      <c r="AD109" s="16"/>
      <c r="AE109" s="16">
        <f>IF($C$7&lt;=$AD$89,AE89,IF($C$7&lt;=$AD$90,AE90,IF($C$7&lt;=$AD$91,AE91,AE92)))</f>
        <v>4999</v>
      </c>
      <c r="AF109" s="16">
        <f>IF($C$7&lt;=$AD$89,AF89,IF($C$7&lt;=$AD$90,AF90,IF($C$7&lt;=$AD$91,AF91,AF92)))</f>
        <v>6499</v>
      </c>
      <c r="AG109" s="16">
        <f>IF($C$7&lt;=$AD$89,AG89,IF($C$7&lt;=$AD$90,AG90,IF($C$7&lt;=$AD$91,AG91,AG92)))</f>
        <v>8499</v>
      </c>
      <c r="AH109" s="16">
        <f>IF($C$7&lt;=$AD$89,AH89,IF($C$7&lt;=$AD$90,AH90,IF($C$7&lt;=$AD$91,AH91,AH92)))</f>
        <v>9499</v>
      </c>
      <c r="AI109" s="16">
        <f>IF($C$7&lt;=$AD$89,AI89,IF($C$7&lt;=$AD$90,AI90,IF($C$7&lt;=$AD$91,AI91,AI92)))</f>
        <v>10999</v>
      </c>
      <c r="AJ109" s="16">
        <f>IF($C$10&lt;=AE88,AE109,IF($C$10&lt;=AF88,AF109,IF($C$10&lt;=AG88,AG109,IF($C$10&lt;=AH88,AH109,AI109))))</f>
        <v>8499</v>
      </c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37"/>
        <v>0</v>
      </c>
      <c r="AN109" s="57">
        <f t="shared" si="36"/>
        <v>67469</v>
      </c>
      <c r="AO109" s="130"/>
      <c r="AP109" s="28"/>
      <c r="AQ109" s="29" t="s">
        <v>7</v>
      </c>
      <c r="AR109" s="29"/>
      <c r="AS109" s="30" t="e">
        <f>SUM(AS9:AS108)</f>
        <v>#REF!</v>
      </c>
      <c r="AT109" s="30">
        <f>(SUM(AT9:AT108)-IF(CODE(C12)=209,BX43,0))</f>
        <v>1393020</v>
      </c>
      <c r="AU109" s="30">
        <f>SUM(AU9:AU108)</f>
        <v>393442.9467140286</v>
      </c>
      <c r="AV109" s="30">
        <f>SUM(AV9:AV108)</f>
        <v>1000000.0000000002</v>
      </c>
      <c r="AW109" s="30">
        <f>SUM(AW9:AW108)</f>
        <v>0</v>
      </c>
      <c r="AX109" s="31"/>
      <c r="AY109" s="31"/>
      <c r="AZ109" s="30" t="e">
        <f>SUM(AZ9:AZ108)</f>
        <v>#REF!</v>
      </c>
      <c r="BA109" s="31"/>
      <c r="BB109" s="31"/>
      <c r="BC109" s="31"/>
      <c r="BD109" s="31"/>
      <c r="BE109" s="31"/>
      <c r="BF109" s="31"/>
      <c r="BG109" s="31"/>
      <c r="BH109" s="108">
        <f t="shared" si="65"/>
        <v>0</v>
      </c>
      <c r="BI109" s="108">
        <f t="shared" si="60"/>
        <v>0</v>
      </c>
      <c r="BJ109" s="22" t="str">
        <f t="shared" si="61"/>
        <v>Итого</v>
      </c>
      <c r="BK109" s="108">
        <f t="shared" si="42"/>
        <v>1353720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80">IF(K75 &gt; 0, K75, 0)</f>
        <v>0</v>
      </c>
      <c r="Y110" s="57">
        <f t="shared" si="79"/>
        <v>69294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37"/>
        <v>0</v>
      </c>
      <c r="AN110" s="57">
        <f t="shared" si="36"/>
        <v>67834</v>
      </c>
      <c r="AO110" s="130"/>
      <c r="BH110" s="108">
        <f t="shared" si="65"/>
        <v>0</v>
      </c>
      <c r="BI110" s="108">
        <f t="shared" si="60"/>
        <v>0</v>
      </c>
      <c r="BJ110" s="22">
        <f t="shared" si="61"/>
        <v>0</v>
      </c>
      <c r="BK110" s="108">
        <f t="shared" si="4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80"/>
        <v>0</v>
      </c>
      <c r="Y111" s="57">
        <f t="shared" si="79"/>
        <v>69659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37"/>
        <v>0</v>
      </c>
      <c r="AN111" s="57">
        <f t="shared" si="36"/>
        <v>68199</v>
      </c>
      <c r="AO111" s="130"/>
      <c r="BH111" s="108">
        <f t="shared" si="65"/>
        <v>0</v>
      </c>
      <c r="BI111" s="108">
        <f t="shared" si="60"/>
        <v>0</v>
      </c>
      <c r="BJ111" s="22">
        <f t="shared" si="61"/>
        <v>0</v>
      </c>
      <c r="BK111" s="108">
        <f t="shared" si="4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80"/>
        <v>0</v>
      </c>
      <c r="Y112" s="57">
        <f t="shared" si="79"/>
        <v>70024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37"/>
        <v>0</v>
      </c>
      <c r="AN112" s="57">
        <f t="shared" si="36"/>
        <v>68564</v>
      </c>
      <c r="AO112" s="130"/>
      <c r="BH112" s="108">
        <f t="shared" si="65"/>
        <v>0</v>
      </c>
      <c r="BI112" s="108">
        <f t="shared" si="60"/>
        <v>0</v>
      </c>
      <c r="BJ112" s="22">
        <f t="shared" si="61"/>
        <v>0</v>
      </c>
      <c r="BK112" s="108">
        <f t="shared" si="4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80"/>
        <v>0</v>
      </c>
      <c r="Y113" s="57">
        <f t="shared" si="79"/>
        <v>70389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37"/>
        <v>0</v>
      </c>
      <c r="AN113" s="57">
        <f t="shared" ref="AN113:AN147" si="81">AN112+365</f>
        <v>68929</v>
      </c>
      <c r="AO113" s="130"/>
      <c r="BH113" s="108">
        <f t="shared" si="65"/>
        <v>0</v>
      </c>
      <c r="BI113" s="108">
        <f t="shared" si="60"/>
        <v>0</v>
      </c>
      <c r="BJ113" s="22">
        <f t="shared" si="61"/>
        <v>0</v>
      </c>
      <c r="BK113" s="108">
        <f t="shared" si="4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80"/>
        <v>0</v>
      </c>
      <c r="Y114" s="57">
        <f>Y83+365</f>
        <v>59804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82">AT75</f>
        <v>0</v>
      </c>
      <c r="AN114" s="57">
        <f t="shared" si="81"/>
        <v>69294</v>
      </c>
      <c r="AO114" s="130"/>
      <c r="BH114" s="108">
        <f t="shared" si="65"/>
        <v>0</v>
      </c>
      <c r="BI114" s="108">
        <f t="shared" si="60"/>
        <v>0</v>
      </c>
      <c r="BJ114" s="22">
        <f t="shared" si="61"/>
        <v>0</v>
      </c>
      <c r="BK114" s="108">
        <f t="shared" si="4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80"/>
        <v>0</v>
      </c>
      <c r="Y115" s="57">
        <f t="shared" si="79"/>
        <v>60169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82"/>
        <v>0</v>
      </c>
      <c r="AN115" s="57">
        <f t="shared" si="81"/>
        <v>69659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80"/>
        <v>0</v>
      </c>
      <c r="Y116" s="57">
        <f t="shared" si="79"/>
        <v>60534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82"/>
        <v>0</v>
      </c>
      <c r="AN116" s="57">
        <f t="shared" si="81"/>
        <v>70024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80"/>
        <v>0</v>
      </c>
      <c r="Y117" s="57">
        <f t="shared" si="79"/>
        <v>60899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82"/>
        <v>0</v>
      </c>
      <c r="AN117" s="57">
        <f t="shared" si="81"/>
        <v>70389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80"/>
        <v>0</v>
      </c>
      <c r="Y118" s="57">
        <f t="shared" si="79"/>
        <v>61264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82"/>
        <v>0</v>
      </c>
      <c r="AN118" s="57">
        <f>AN87+365</f>
        <v>59804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80"/>
        <v>0</v>
      </c>
      <c r="Y119" s="57">
        <f t="shared" si="79"/>
        <v>61629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82"/>
        <v>0</v>
      </c>
      <c r="AN119" s="57">
        <f t="shared" si="81"/>
        <v>60169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80"/>
        <v>0</v>
      </c>
      <c r="Y120" s="57">
        <f t="shared" si="79"/>
        <v>61994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82"/>
        <v>0</v>
      </c>
      <c r="AN120" s="57">
        <f t="shared" si="81"/>
        <v>60534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80"/>
        <v>0</v>
      </c>
      <c r="Y121" s="57">
        <f t="shared" si="79"/>
        <v>62359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82"/>
        <v>0</v>
      </c>
      <c r="AN121" s="57">
        <f t="shared" si="81"/>
        <v>60899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80"/>
        <v>0</v>
      </c>
      <c r="Y122" s="57">
        <f t="shared" si="79"/>
        <v>62724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82"/>
        <v>0</v>
      </c>
      <c r="AN122" s="57">
        <f t="shared" si="81"/>
        <v>61264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80"/>
        <v>0</v>
      </c>
      <c r="Y123" s="57">
        <f t="shared" si="79"/>
        <v>63089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82"/>
        <v>0</v>
      </c>
      <c r="AN123" s="57">
        <f t="shared" si="81"/>
        <v>61629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80"/>
        <v>0</v>
      </c>
      <c r="Y124" s="57">
        <f t="shared" si="79"/>
        <v>63454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82"/>
        <v>0</v>
      </c>
      <c r="AN124" s="57">
        <f t="shared" si="81"/>
        <v>61994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80"/>
        <v>0</v>
      </c>
      <c r="Y125" s="57">
        <f t="shared" si="79"/>
        <v>63819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82"/>
        <v>0</v>
      </c>
      <c r="AN125" s="57">
        <f t="shared" si="81"/>
        <v>62359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80"/>
        <v>0</v>
      </c>
      <c r="Y126" s="57">
        <f t="shared" si="79"/>
        <v>64184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#VALUE!</v>
      </c>
      <c r="AM126" s="34">
        <f t="shared" si="82"/>
        <v>0</v>
      </c>
      <c r="AN126" s="57">
        <f t="shared" si="81"/>
        <v>62724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80"/>
        <v>0</v>
      </c>
      <c r="Y127" s="57">
        <f t="shared" si="79"/>
        <v>64549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82"/>
        <v>0</v>
      </c>
      <c r="AN127" s="57">
        <f t="shared" si="81"/>
        <v>63089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80"/>
        <v>0</v>
      </c>
      <c r="Y128" s="57">
        <f t="shared" si="79"/>
        <v>64914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82"/>
        <v>0</v>
      </c>
      <c r="AN128" s="57">
        <f t="shared" si="81"/>
        <v>63454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80"/>
        <v>0</v>
      </c>
      <c r="Y129" s="57">
        <f t="shared" si="79"/>
        <v>65279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82"/>
        <v>0</v>
      </c>
      <c r="AN129" s="57">
        <f t="shared" si="81"/>
        <v>63819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80"/>
        <v>0</v>
      </c>
      <c r="Y130" s="57">
        <f t="shared" si="79"/>
        <v>65644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82"/>
        <v>0</v>
      </c>
      <c r="AN130" s="57">
        <f t="shared" si="81"/>
        <v>64184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80"/>
        <v>0</v>
      </c>
      <c r="Y131" s="57">
        <f t="shared" si="79"/>
        <v>66009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82"/>
        <v>0</v>
      </c>
      <c r="AN131" s="57">
        <f t="shared" si="81"/>
        <v>64549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80"/>
        <v>0</v>
      </c>
      <c r="Y132" s="57">
        <f t="shared" si="79"/>
        <v>66374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82"/>
        <v>0</v>
      </c>
      <c r="AN132" s="57">
        <f t="shared" si="81"/>
        <v>64914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80"/>
        <v>0</v>
      </c>
      <c r="Y133" s="57">
        <f t="shared" si="79"/>
        <v>66739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82"/>
        <v>0</v>
      </c>
      <c r="AN133" s="57">
        <f t="shared" si="81"/>
        <v>65279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80"/>
        <v>0</v>
      </c>
      <c r="Y134" s="57">
        <f t="shared" si="79"/>
        <v>67104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82"/>
        <v>0</v>
      </c>
      <c r="AN134" s="57">
        <f t="shared" si="81"/>
        <v>65644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80"/>
        <v>0</v>
      </c>
      <c r="Y135" s="57">
        <f t="shared" si="79"/>
        <v>67469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82"/>
        <v>0</v>
      </c>
      <c r="AN135" s="57">
        <f t="shared" si="81"/>
        <v>66009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80"/>
        <v>0</v>
      </c>
      <c r="Y136" s="57">
        <f t="shared" si="79"/>
        <v>67834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82"/>
        <v>0</v>
      </c>
      <c r="AN136" s="57">
        <f t="shared" si="81"/>
        <v>66374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80"/>
        <v>0</v>
      </c>
      <c r="Y137" s="57">
        <f t="shared" si="79"/>
        <v>68199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82"/>
        <v>0</v>
      </c>
      <c r="AN137" s="57">
        <f t="shared" si="81"/>
        <v>66739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80"/>
        <v>0</v>
      </c>
      <c r="Y138" s="57">
        <f t="shared" si="79"/>
        <v>68564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82"/>
        <v>0</v>
      </c>
      <c r="AN138" s="57">
        <f t="shared" si="81"/>
        <v>67104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80"/>
        <v>0</v>
      </c>
      <c r="Y139" s="57">
        <f t="shared" si="79"/>
        <v>68929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82"/>
        <v>0</v>
      </c>
      <c r="AN139" s="57">
        <f t="shared" si="81"/>
        <v>67469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80"/>
        <v>0</v>
      </c>
      <c r="Y140" s="57">
        <f t="shared" si="79"/>
        <v>69294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82"/>
        <v>0</v>
      </c>
      <c r="AN140" s="57">
        <f t="shared" si="81"/>
        <v>67834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80"/>
        <v>0</v>
      </c>
      <c r="Y141" s="57">
        <f t="shared" si="79"/>
        <v>69659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82"/>
        <v>0</v>
      </c>
      <c r="AN141" s="57">
        <f t="shared" si="81"/>
        <v>68199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80"/>
        <v>0</v>
      </c>
      <c r="Y142" s="57">
        <f t="shared" si="79"/>
        <v>70024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82"/>
        <v>0</v>
      </c>
      <c r="AN142" s="57">
        <f t="shared" si="81"/>
        <v>68564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79"/>
        <v>70389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82"/>
        <v>0</v>
      </c>
      <c r="AN143" s="57">
        <f t="shared" si="81"/>
        <v>68929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1353720</v>
      </c>
      <c r="Y144" s="154">
        <f>XIRR(X42:X143,Y42:Y143)*12</f>
        <v>4.9006140232086187E-2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82"/>
        <v>0</v>
      </c>
      <c r="AN144" s="57">
        <f t="shared" si="81"/>
        <v>69294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82"/>
        <v>0</v>
      </c>
      <c r="AN145" s="57">
        <f t="shared" si="81"/>
        <v>69659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82"/>
        <v>0</v>
      </c>
      <c r="AN146" s="57">
        <f t="shared" si="81"/>
        <v>70024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82"/>
        <v>0</v>
      </c>
      <c r="AN147" s="57">
        <f t="shared" si="81"/>
        <v>70389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1393020</v>
      </c>
      <c r="AN148" s="154">
        <f>XIRR(AM46:AM147,AN46:AN147)*12</f>
        <v>0.13901084661483765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59">
    <mergeCell ref="BN13:BN14"/>
    <mergeCell ref="BO13:BO14"/>
    <mergeCell ref="A14:A15"/>
    <mergeCell ref="AC85:AI85"/>
    <mergeCell ref="A17:C17"/>
    <mergeCell ref="A18:B18"/>
    <mergeCell ref="A19:B19"/>
    <mergeCell ref="A20:B20"/>
    <mergeCell ref="A21:B21"/>
    <mergeCell ref="A22:B22"/>
    <mergeCell ref="A23:E23"/>
    <mergeCell ref="A24:A25"/>
    <mergeCell ref="A26:B26"/>
    <mergeCell ref="A27:B27"/>
    <mergeCell ref="BN33:BN35"/>
    <mergeCell ref="A16:E16"/>
    <mergeCell ref="A9:B9"/>
    <mergeCell ref="C9:D9"/>
    <mergeCell ref="A10:B10"/>
    <mergeCell ref="C10:D10"/>
    <mergeCell ref="A12:B12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L6:L7"/>
    <mergeCell ref="M6:M7"/>
    <mergeCell ref="Q6:Q7"/>
    <mergeCell ref="S6:S7"/>
    <mergeCell ref="T6:T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</mergeCells>
  <dataValidations count="6">
    <dataValidation type="list" allowBlank="1" showInputMessage="1" showErrorMessage="1" sqref="E13">
      <formula1>$F$12:$F$13</formula1>
    </dataValidation>
    <dataValidation type="list" allowBlank="1" showInputMessage="1" showErrorMessage="1" sqref="C11">
      <formula1>$AB$5:$AB$9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8">
      <formula1>$W$29:$W$34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workbookViewId="0">
      <selection activeCell="A13" sqref="A13:D16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832" t="s">
        <v>41</v>
      </c>
      <c r="B1" s="832"/>
      <c r="C1" s="832"/>
      <c r="D1" s="832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32"/>
      <c r="B2" s="832"/>
      <c r="C2" s="832"/>
      <c r="D2" s="832"/>
      <c r="E2" s="2"/>
      <c r="F2" s="607">
        <f>AB81</f>
        <v>900000</v>
      </c>
      <c r="G2" s="607">
        <f>AD81</f>
        <v>900000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T2" s="1029"/>
      <c r="U2" s="1029"/>
      <c r="AB2" s="2"/>
      <c r="AC2" s="2"/>
      <c r="AD2" s="2"/>
      <c r="AE2" s="2"/>
      <c r="AZ2" s="2"/>
    </row>
    <row r="3" spans="1:67" ht="17.25" customHeight="1" x14ac:dyDescent="0.25">
      <c r="A3" s="833" t="s">
        <v>412</v>
      </c>
      <c r="B3" s="833"/>
      <c r="C3" s="833"/>
      <c r="D3" s="833"/>
      <c r="E3" s="834" t="str">
        <f>"График платежей - Максимум + ГС "</f>
        <v xml:space="preserve">График платежей - Максимум + ГС </v>
      </c>
      <c r="F3" s="834"/>
      <c r="G3" s="834"/>
      <c r="H3" s="834"/>
      <c r="I3" s="834"/>
      <c r="J3" s="834"/>
      <c r="K3" s="834"/>
      <c r="L3" s="834"/>
      <c r="M3" s="834"/>
      <c r="N3" s="834"/>
      <c r="O3" s="834"/>
      <c r="P3" s="834"/>
      <c r="Q3" s="834"/>
      <c r="R3" s="834"/>
      <c r="S3" s="146"/>
      <c r="T3" s="63" t="s">
        <v>33</v>
      </c>
      <c r="U3" s="63" t="s">
        <v>485</v>
      </c>
      <c r="V3" s="63" t="s">
        <v>486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1030"/>
      <c r="AD3" s="87"/>
      <c r="AE3" s="87"/>
      <c r="AF3" s="87"/>
      <c r="AG3" s="87"/>
      <c r="AH3" s="87"/>
      <c r="AI3" s="87"/>
      <c r="AJ3" s="63"/>
      <c r="AK3" s="63"/>
      <c r="AL3" s="63"/>
      <c r="AM3" s="835" t="str">
        <f>"График платежей - Оптимум"</f>
        <v>График платежей - Оптимум</v>
      </c>
      <c r="AN3" s="835"/>
      <c r="AO3" s="835"/>
      <c r="AP3" s="835"/>
      <c r="AQ3" s="835"/>
      <c r="AR3" s="835"/>
      <c r="AS3" s="835"/>
      <c r="AT3" s="835"/>
      <c r="AU3" s="835"/>
      <c r="AV3" s="835"/>
      <c r="AW3" s="835"/>
      <c r="AX3" s="835"/>
      <c r="AY3" s="102"/>
      <c r="AZ3" s="102"/>
      <c r="BA3" s="102"/>
      <c r="BD3" s="794" t="s">
        <v>94</v>
      </c>
      <c r="BE3" s="794"/>
      <c r="BF3" s="794"/>
      <c r="BG3" s="794"/>
      <c r="BH3" s="794"/>
      <c r="BI3" s="794"/>
      <c r="BJ3" s="794"/>
    </row>
    <row r="4" spans="1:67" ht="13.5" customHeight="1" x14ac:dyDescent="0.2">
      <c r="A4" s="311"/>
      <c r="B4" s="311"/>
      <c r="C4" s="311"/>
      <c r="D4" s="311"/>
      <c r="E4" s="834"/>
      <c r="F4" s="834"/>
      <c r="G4" s="834"/>
      <c r="H4" s="834"/>
      <c r="I4" s="834"/>
      <c r="J4" s="834"/>
      <c r="K4" s="834"/>
      <c r="L4" s="834"/>
      <c r="M4" s="834"/>
      <c r="N4" s="834"/>
      <c r="O4" s="834"/>
      <c r="P4" s="834"/>
      <c r="Q4" s="834"/>
      <c r="R4" s="834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1031"/>
      <c r="AD4" s="148"/>
      <c r="AE4" s="148"/>
      <c r="AF4" s="148"/>
      <c r="AG4" s="148"/>
      <c r="AH4" s="148"/>
      <c r="AI4" s="148"/>
      <c r="AJ4" s="147"/>
      <c r="AK4" s="147"/>
      <c r="AL4" s="147"/>
      <c r="AM4" s="835"/>
      <c r="AN4" s="835"/>
      <c r="AO4" s="835"/>
      <c r="AP4" s="835"/>
      <c r="AQ4" s="835"/>
      <c r="AR4" s="835"/>
      <c r="AS4" s="835"/>
      <c r="AT4" s="835"/>
      <c r="AU4" s="835"/>
      <c r="AV4" s="835"/>
      <c r="AW4" s="835"/>
      <c r="AX4" s="835"/>
      <c r="AY4" s="102"/>
      <c r="AZ4" s="102"/>
      <c r="BA4" s="102"/>
      <c r="BB4" s="57"/>
    </row>
    <row r="5" spans="1:67" ht="11.25" customHeight="1" thickBot="1" x14ac:dyDescent="0.25">
      <c r="A5" s="830"/>
      <c r="B5" s="830"/>
      <c r="C5" s="1032"/>
      <c r="D5" s="1032"/>
      <c r="E5" s="737"/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1033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737"/>
      <c r="BA5" s="102"/>
      <c r="BB5" s="57"/>
    </row>
    <row r="6" spans="1:67" ht="16.5" customHeight="1" thickBot="1" x14ac:dyDescent="0.25">
      <c r="A6" s="839" t="s">
        <v>413</v>
      </c>
      <c r="B6" s="840"/>
      <c r="C6" s="608" t="s">
        <v>414</v>
      </c>
      <c r="D6" s="608" t="s">
        <v>415</v>
      </c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033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737"/>
      <c r="BA6" s="102"/>
      <c r="BB6" s="57"/>
      <c r="BD6" s="795" t="s">
        <v>95</v>
      </c>
      <c r="BE6" s="795"/>
      <c r="BF6" s="795"/>
      <c r="BG6" s="795"/>
      <c r="BH6" s="795"/>
      <c r="BI6" s="795"/>
      <c r="BJ6" s="795"/>
      <c r="BM6" s="836" t="s">
        <v>416</v>
      </c>
      <c r="BN6" s="837"/>
      <c r="BO6" s="838"/>
    </row>
    <row r="7" spans="1:67" ht="37.5" customHeight="1" thickBot="1" x14ac:dyDescent="0.55000000000000004">
      <c r="A7" s="841" t="s">
        <v>417</v>
      </c>
      <c r="B7" s="842"/>
      <c r="C7" s="610">
        <f>'Автомобильный (с залогом ТС)'!C7</f>
        <v>900000</v>
      </c>
      <c r="D7" s="610">
        <f>C7</f>
        <v>900000</v>
      </c>
      <c r="E7" s="1034" t="s">
        <v>3</v>
      </c>
      <c r="F7" s="1035" t="s">
        <v>4</v>
      </c>
      <c r="G7" s="1035" t="s">
        <v>5</v>
      </c>
      <c r="H7" s="1036" t="s">
        <v>12</v>
      </c>
      <c r="I7" s="1036"/>
      <c r="J7" s="1036"/>
      <c r="K7" s="1036" t="s">
        <v>26</v>
      </c>
      <c r="L7" s="1036" t="s">
        <v>36</v>
      </c>
      <c r="M7" s="1036" t="s">
        <v>39</v>
      </c>
      <c r="N7" s="1036" t="s">
        <v>38</v>
      </c>
      <c r="O7" s="1036" t="s">
        <v>37</v>
      </c>
      <c r="P7" s="1036" t="s">
        <v>40</v>
      </c>
      <c r="Q7" s="1035" t="s">
        <v>6</v>
      </c>
      <c r="R7" s="1037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038" t="s">
        <v>3</v>
      </c>
      <c r="AN7" s="1039" t="s">
        <v>4</v>
      </c>
      <c r="AO7" s="1039" t="s">
        <v>5</v>
      </c>
      <c r="AP7" s="1040" t="s">
        <v>12</v>
      </c>
      <c r="AQ7" s="1040" t="s">
        <v>26</v>
      </c>
      <c r="AR7" s="1040" t="s">
        <v>36</v>
      </c>
      <c r="AS7" s="1040" t="s">
        <v>39</v>
      </c>
      <c r="AT7" s="1040" t="s">
        <v>38</v>
      </c>
      <c r="AU7" s="1040" t="s">
        <v>37</v>
      </c>
      <c r="AV7" s="1040" t="s">
        <v>40</v>
      </c>
      <c r="AW7" s="1039" t="s">
        <v>6</v>
      </c>
      <c r="AX7" s="1041" t="s">
        <v>32</v>
      </c>
      <c r="AY7" s="104" t="s">
        <v>31</v>
      </c>
      <c r="AZ7" s="1042">
        <f>AZ8</f>
        <v>45315</v>
      </c>
      <c r="BA7" s="108">
        <f>G8</f>
        <v>-1083439</v>
      </c>
      <c r="BB7" s="1043"/>
      <c r="BD7" s="784" t="s">
        <v>84</v>
      </c>
      <c r="BE7" s="777" t="s">
        <v>85</v>
      </c>
      <c r="BF7" s="127" t="s">
        <v>86</v>
      </c>
      <c r="BG7" s="124" t="s">
        <v>88</v>
      </c>
      <c r="BH7" s="798" t="s">
        <v>9</v>
      </c>
      <c r="BI7" s="800" t="s">
        <v>89</v>
      </c>
      <c r="BJ7" s="796">
        <v>1</v>
      </c>
      <c r="BM7" s="1044" t="s">
        <v>418</v>
      </c>
      <c r="BN7" s="1045" t="s">
        <v>419</v>
      </c>
      <c r="BO7" s="1045" t="s">
        <v>420</v>
      </c>
    </row>
    <row r="8" spans="1:67" ht="16.5" customHeight="1" thickBot="1" x14ac:dyDescent="0.55000000000000004">
      <c r="A8" s="841" t="s">
        <v>421</v>
      </c>
      <c r="B8" s="842"/>
      <c r="C8" s="610" t="str">
        <f>'Автомобильный (с залогом ТС)'!C8</f>
        <v>АВТО_ПакетБВ+ГС_48</v>
      </c>
      <c r="D8" s="617" t="str">
        <f>IF(C10&lt;48,AB60,AC60)</f>
        <v>АВТО_ПакетБВ_48</v>
      </c>
      <c r="E8" s="1046"/>
      <c r="F8" s="1047">
        <f>C9</f>
        <v>45315</v>
      </c>
      <c r="G8" s="1048">
        <f>-C28</f>
        <v>-1083439</v>
      </c>
      <c r="H8" s="24"/>
      <c r="I8" s="24"/>
      <c r="J8" s="24"/>
      <c r="K8" s="1049"/>
      <c r="L8" s="1049"/>
      <c r="M8" s="1049"/>
      <c r="N8" s="1049"/>
      <c r="O8" s="1049"/>
      <c r="P8" s="1049"/>
      <c r="Q8" s="56">
        <f>C28</f>
        <v>1083439</v>
      </c>
      <c r="R8" s="1049"/>
      <c r="S8" s="36"/>
      <c r="T8" s="15">
        <v>0.22900000000000001</v>
      </c>
      <c r="U8" s="15">
        <v>0.17899999999999999</v>
      </c>
      <c r="V8" s="15">
        <v>0.11899999999999999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1033"/>
      <c r="AD8" s="15"/>
      <c r="AE8" s="15"/>
      <c r="AF8" s="15"/>
      <c r="AG8" s="15"/>
      <c r="AH8" s="15"/>
      <c r="AI8" s="15"/>
      <c r="AJ8" s="15"/>
      <c r="AK8" s="15"/>
      <c r="AL8" s="15"/>
      <c r="AM8" s="1050"/>
      <c r="AN8" s="1051">
        <f>C9</f>
        <v>45315</v>
      </c>
      <c r="AO8" s="1048">
        <f>-D28</f>
        <v>-1038439</v>
      </c>
      <c r="AP8" s="105"/>
      <c r="AQ8" s="1052"/>
      <c r="AR8" s="1052"/>
      <c r="AS8" s="1052"/>
      <c r="AT8" s="1052"/>
      <c r="AU8" s="1052"/>
      <c r="AV8" s="1052"/>
      <c r="AW8" s="107">
        <f>D28</f>
        <v>1038439</v>
      </c>
      <c r="AX8" s="1052"/>
      <c r="AY8" s="108"/>
      <c r="AZ8" s="1047">
        <f t="shared" ref="AZ8:BA39" si="3">F8</f>
        <v>45315</v>
      </c>
      <c r="BA8" s="104">
        <f>$C$32</f>
        <v>127440</v>
      </c>
      <c r="BC8" s="118" t="e">
        <f t="shared" ref="BC8:BC20" si="4">AW7+AR8+AP8</f>
        <v>#VALUE!</v>
      </c>
      <c r="BD8" s="785"/>
      <c r="BE8" s="778"/>
      <c r="BF8" s="739" t="s">
        <v>87</v>
      </c>
      <c r="BG8" s="126" t="s">
        <v>88</v>
      </c>
      <c r="BH8" s="799"/>
      <c r="BI8" s="801"/>
      <c r="BJ8" s="797"/>
      <c r="BM8" s="1053" t="s">
        <v>360</v>
      </c>
      <c r="BN8" s="1054" t="s">
        <v>422</v>
      </c>
      <c r="BO8" s="1054" t="s">
        <v>423</v>
      </c>
    </row>
    <row r="9" spans="1:67" ht="16.5" customHeight="1" thickBot="1" x14ac:dyDescent="0.25">
      <c r="A9" s="841" t="s">
        <v>25</v>
      </c>
      <c r="B9" s="842"/>
      <c r="C9" s="617">
        <f>'Автомобильный (с залогом ТС)'!C9</f>
        <v>45315</v>
      </c>
      <c r="D9" s="617">
        <f>C9</f>
        <v>45315</v>
      </c>
      <c r="E9" s="1055">
        <f>1</f>
        <v>1</v>
      </c>
      <c r="F9" s="1056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67" si="6">IF(AND(E9&gt;=$T$14,E9&lt;=$T$14+5),$T$15,IF(AND(Q8+L9+H9&gt;G8,G8&lt;&gt;0),$C$29,IF(Q8=0,0,Q8+L9+H9+H10)))+IF(AND(E9=$C$10,$C$22&lt;&gt;"Нет"),MIN((I9-I9/$C$19*$C$23),Q8+H9-G8),0)</f>
        <v>21774</v>
      </c>
      <c r="H9" s="24">
        <f t="shared" ref="H9:H72" si="7">IF(AND(E9&gt;=$T$14,E9&lt;=$T$14+5),0,IF($C$9&gt;$AC$52,ROUND(Q8*$C$19*((F9-DATE(YEAR(F9),MONTH(F9),1)+1)/(DATE(YEAR(F9)+1,1,1)-DATE(YEAR(F9),1,1))+(EOMONTH(F8,0)-F8)/(DATE(YEAR(F8)+1,1,1)-DATE(YEAR(F8),1,1))),2),0))</f>
        <v>15508.57</v>
      </c>
      <c r="I9" s="24">
        <f>H9</f>
        <v>15508.57</v>
      </c>
      <c r="J9" s="24"/>
      <c r="K9" s="24">
        <f t="shared" ref="K9:K72" si="8">IF(S9=0,0,IF(S9=1,Q8,IF(Q8+L9+H9&gt;G8,G9-H9-L9,Q8)))</f>
        <v>6265.43</v>
      </c>
      <c r="L9" s="24">
        <f>IF(N9&gt;$C$29,$C$29-H9,IF(S9=0,0,P9)+AF52)</f>
        <v>0</v>
      </c>
      <c r="M9" s="24">
        <f>O8-L8</f>
        <v>0</v>
      </c>
      <c r="N9" s="24">
        <f>H9+O9</f>
        <v>15508.57</v>
      </c>
      <c r="O9" s="24">
        <f>IF(S9=0,0,0)</f>
        <v>0</v>
      </c>
      <c r="P9" s="24">
        <f>IF(S9=0,0,0)</f>
        <v>0</v>
      </c>
      <c r="Q9" s="24">
        <f t="shared" ref="Q9:Q72" si="9">IF(OR(S9=1,Q8=0),0,Q8-K9)</f>
        <v>1077173.57</v>
      </c>
      <c r="R9" s="36">
        <f>C10</f>
        <v>84</v>
      </c>
      <c r="S9" s="36">
        <f t="shared" ref="S9:S72" si="10">IF(ISERR(CEILING(FLOOR(NPER($C$19/12,-$AA$56,Q8),0.1),1))=TRUE,0,CEILING(FLOOR(NPER($C$19/12,-$AA$56,Q8),0.1),1))</f>
        <v>84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1033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57">
        <f>1</f>
        <v>1</v>
      </c>
      <c r="AN9" s="1058">
        <f t="shared" ref="AN9:AN72" si="11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21774</v>
      </c>
      <c r="AP9" s="105">
        <f t="shared" ref="AP9:AP72" si="12">IF(AND(E9&gt;=$T$14,E9&lt;=$T$14+5),0,IF($C$9&gt;$AC$52,ROUND(AW8*$D$19*((AN9-DATE(YEAR(AN9),MONTH(AN9),1)+1)/(DATE(YEAR(AN9)+1,1,1)-DATE(YEAR(AN9),1,1))+(EOMONTH(AN8,0)-AN8)/(DATE(YEAR(AN8)+1,1,1)-DATE(YEAR(AN8),1,1))),2),0))</f>
        <v>15743.98</v>
      </c>
      <c r="AQ9" s="105">
        <f t="shared" ref="AQ9:AQ46" si="13">IF(AY9=0,0,IF(AY9=1,AW8,IF(AW8+AR9+AP9&gt;AO8,AO9-AP9-AR9,AW8)))</f>
        <v>6030.02</v>
      </c>
      <c r="AR9" s="105">
        <f>IF(AT9&gt;$D$29,$D$29-AP9,IF(AY9=0,0,AV9)+BN58)</f>
        <v>0</v>
      </c>
      <c r="AS9" s="105"/>
      <c r="AT9" s="105">
        <f>AP9+AU9</f>
        <v>15743.98</v>
      </c>
      <c r="AU9" s="105">
        <f>IF(AY9=0,0,0)</f>
        <v>0</v>
      </c>
      <c r="AV9" s="105">
        <f>IF(AY9=0,0,0)</f>
        <v>0</v>
      </c>
      <c r="AW9" s="105">
        <f t="shared" ref="AW9:AW46" si="14">IF(OR(AY9=1,AW8=0),0,AW8-AQ9)</f>
        <v>1032408.98</v>
      </c>
      <c r="AX9" s="108">
        <f>C10</f>
        <v>84</v>
      </c>
      <c r="AY9" s="108">
        <f t="shared" ref="AY9:AY72" si="15">IF(ISERR(CEILING(FLOOR(NPER($D$19/12,-$AC$56,AW8),0.1),1))=TRUE,0,CEILING(FLOOR(NPER($D$19/12,-$AC$56,AW8),0.1),1))</f>
        <v>84</v>
      </c>
      <c r="AZ9" s="1047">
        <f t="shared" si="3"/>
        <v>45346</v>
      </c>
      <c r="BA9" s="108">
        <f t="shared" si="3"/>
        <v>21774</v>
      </c>
      <c r="BC9" s="118">
        <f t="shared" si="4"/>
        <v>1054182.98</v>
      </c>
      <c r="BM9" s="1053" t="s">
        <v>424</v>
      </c>
      <c r="BN9" s="1059" t="s">
        <v>425</v>
      </c>
      <c r="BO9" s="1059" t="s">
        <v>426</v>
      </c>
    </row>
    <row r="10" spans="1:67" ht="16.5" customHeight="1" thickBot="1" x14ac:dyDescent="0.25">
      <c r="A10" s="843" t="s">
        <v>1</v>
      </c>
      <c r="B10" s="844"/>
      <c r="C10" s="619">
        <f>'Автомобильный (с залогом ТС)'!C10</f>
        <v>84</v>
      </c>
      <c r="D10" s="619">
        <f>C10</f>
        <v>84</v>
      </c>
      <c r="E10" s="1055">
        <f>E9+1</f>
        <v>2</v>
      </c>
      <c r="F10" s="1056">
        <f t="shared" si="5"/>
        <v>45375</v>
      </c>
      <c r="G10" s="24">
        <f t="shared" si="6"/>
        <v>21774</v>
      </c>
      <c r="H10" s="24">
        <f t="shared" si="7"/>
        <v>14424.12</v>
      </c>
      <c r="I10" s="24">
        <f>H10+I9</f>
        <v>29932.690000000002</v>
      </c>
      <c r="J10" s="24">
        <f t="shared" ref="J10:J67" si="16">IF(E10=$C$10,MIN((I10-I10/$C$19*$C$23),Q9+H10-G9),0)</f>
        <v>0</v>
      </c>
      <c r="K10" s="24">
        <f t="shared" si="8"/>
        <v>7349.8799999999992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14424.12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9"/>
        <v>1069823.6900000002</v>
      </c>
      <c r="R10" s="36">
        <f>IF((R9-1)&lt;0,0,R9-1)</f>
        <v>83</v>
      </c>
      <c r="S10" s="36">
        <f t="shared" si="10"/>
        <v>83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1033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57">
        <f>AM9+1</f>
        <v>2</v>
      </c>
      <c r="AN10" s="1058">
        <f t="shared" si="11"/>
        <v>45375</v>
      </c>
      <c r="AO10" s="105">
        <f>IF(AND(E10&gt;=$T$14,E10&lt;=$T$14+5),$T$15,IF(AND(AW9+AR10+AP10&gt;AO9,AO9&lt;&gt;0),$D$29,IF(AW9=0,0,AW9+AR10+AP10+AP11)))</f>
        <v>21774</v>
      </c>
      <c r="AP10" s="105">
        <f t="shared" si="12"/>
        <v>14642.72</v>
      </c>
      <c r="AQ10" s="105">
        <f t="shared" si="13"/>
        <v>7131.2800000000007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14642.72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4"/>
        <v>1025277.7</v>
      </c>
      <c r="AX10" s="108">
        <f>IF((AX9-1)&lt;0,0,AX9-1)</f>
        <v>83</v>
      </c>
      <c r="AY10" s="108">
        <f t="shared" si="15"/>
        <v>83</v>
      </c>
      <c r="AZ10" s="1047">
        <f t="shared" si="3"/>
        <v>45375</v>
      </c>
      <c r="BA10" s="108">
        <f t="shared" si="3"/>
        <v>21774</v>
      </c>
      <c r="BC10" s="118">
        <f t="shared" si="4"/>
        <v>1047051.7</v>
      </c>
      <c r="BD10" s="784" t="s">
        <v>90</v>
      </c>
      <c r="BE10" s="777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845" t="s">
        <v>427</v>
      </c>
      <c r="B11" s="621" t="s">
        <v>102</v>
      </c>
      <c r="C11" s="619" t="str">
        <f>'Автомобильный (с залогом ТС)'!C14</f>
        <v>Да</v>
      </c>
      <c r="D11" s="619" t="str">
        <f>C11</f>
        <v>Да</v>
      </c>
      <c r="E11" s="1055">
        <f>E10+1</f>
        <v>3</v>
      </c>
      <c r="F11" s="1056">
        <f t="shared" si="5"/>
        <v>45406</v>
      </c>
      <c r="G11" s="24">
        <f t="shared" si="6"/>
        <v>21774</v>
      </c>
      <c r="H11" s="24">
        <f t="shared" si="7"/>
        <v>15313.68</v>
      </c>
      <c r="I11" s="24">
        <f t="shared" ref="I11:I74" si="26">H11+I10</f>
        <v>45246.37</v>
      </c>
      <c r="J11" s="24">
        <f t="shared" si="16"/>
        <v>0</v>
      </c>
      <c r="K11" s="24">
        <f t="shared" si="8"/>
        <v>6460.32</v>
      </c>
      <c r="L11" s="24">
        <f t="shared" si="17"/>
        <v>0</v>
      </c>
      <c r="M11" s="24">
        <f>O10-L10</f>
        <v>0</v>
      </c>
      <c r="N11" s="24">
        <f t="shared" si="18"/>
        <v>15313.68</v>
      </c>
      <c r="O11" s="24">
        <f t="shared" si="19"/>
        <v>0</v>
      </c>
      <c r="P11" s="24">
        <f t="shared" si="20"/>
        <v>0</v>
      </c>
      <c r="Q11" s="24">
        <f t="shared" si="9"/>
        <v>1063363.3700000001</v>
      </c>
      <c r="R11" s="36">
        <f>IF((R10-1)&lt;0,0,R10-1)</f>
        <v>82</v>
      </c>
      <c r="S11" s="36">
        <f t="shared" si="10"/>
        <v>82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1033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57">
        <f>AM10+1</f>
        <v>3</v>
      </c>
      <c r="AN11" s="1058">
        <f t="shared" si="11"/>
        <v>45406</v>
      </c>
      <c r="AO11" s="105">
        <f>IF(AX10=1,AR11+AP11+AQ11,IF(AW10+AR11+AP11&gt;AO10,$D$29,IF(AW10=0,0,AW10+AR11+AP11+AP42)))</f>
        <v>21774</v>
      </c>
      <c r="AP11" s="105">
        <f t="shared" si="12"/>
        <v>15544.44</v>
      </c>
      <c r="AQ11" s="105">
        <f t="shared" si="13"/>
        <v>6229.5599999999995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15544.44</v>
      </c>
      <c r="AU11" s="105">
        <f t="shared" si="24"/>
        <v>0</v>
      </c>
      <c r="AV11" s="105">
        <f t="shared" si="25"/>
        <v>0</v>
      </c>
      <c r="AW11" s="105">
        <f t="shared" si="14"/>
        <v>1019048.1399999999</v>
      </c>
      <c r="AX11" s="108">
        <f>IF((AX10-1)&lt;0,0,AX10-1)</f>
        <v>82</v>
      </c>
      <c r="AY11" s="108">
        <f t="shared" si="15"/>
        <v>82</v>
      </c>
      <c r="AZ11" s="1047">
        <f t="shared" si="3"/>
        <v>45406</v>
      </c>
      <c r="BA11" s="108">
        <f t="shared" si="3"/>
        <v>21774</v>
      </c>
      <c r="BC11" s="118">
        <f t="shared" si="4"/>
        <v>1040822.1399999999</v>
      </c>
      <c r="BD11" s="785"/>
      <c r="BE11" s="778"/>
      <c r="BF11" s="738" t="s">
        <v>91</v>
      </c>
      <c r="BM11" s="1061" t="s">
        <v>428</v>
      </c>
      <c r="BN11" s="1062"/>
      <c r="BO11" s="1063"/>
    </row>
    <row r="12" spans="1:67" ht="16.5" customHeight="1" thickBot="1" x14ac:dyDescent="0.25">
      <c r="A12" s="846"/>
      <c r="B12" s="621" t="s">
        <v>105</v>
      </c>
      <c r="C12" s="619">
        <f>'Автомобильный (с залогом ТС)'!C15</f>
        <v>10999</v>
      </c>
      <c r="D12" s="623">
        <f>C12</f>
        <v>10999</v>
      </c>
      <c r="E12" s="1055">
        <f t="shared" ref="E12:E75" si="28">E11+1</f>
        <v>4</v>
      </c>
      <c r="F12" s="1056">
        <f t="shared" si="5"/>
        <v>45436</v>
      </c>
      <c r="G12" s="24">
        <f t="shared" si="6"/>
        <v>21774</v>
      </c>
      <c r="H12" s="24">
        <f t="shared" si="7"/>
        <v>14730.2</v>
      </c>
      <c r="I12" s="24">
        <f t="shared" si="26"/>
        <v>59976.570000000007</v>
      </c>
      <c r="J12" s="24">
        <f t="shared" si="16"/>
        <v>0</v>
      </c>
      <c r="K12" s="24">
        <f t="shared" si="8"/>
        <v>7043.7999999999993</v>
      </c>
      <c r="L12" s="24">
        <f t="shared" si="17"/>
        <v>0</v>
      </c>
      <c r="M12" s="24">
        <f t="shared" ref="M12:M86" si="29">O11-L11</f>
        <v>0</v>
      </c>
      <c r="N12" s="24">
        <f t="shared" si="18"/>
        <v>14730.2</v>
      </c>
      <c r="O12" s="24">
        <f t="shared" si="19"/>
        <v>0</v>
      </c>
      <c r="P12" s="24">
        <f t="shared" si="20"/>
        <v>0</v>
      </c>
      <c r="Q12" s="24">
        <f t="shared" si="9"/>
        <v>1056319.57</v>
      </c>
      <c r="R12" s="36">
        <f t="shared" ref="R12:R75" si="30">IF((R11-1)&lt;0,0,R11-1)</f>
        <v>81</v>
      </c>
      <c r="S12" s="36">
        <f t="shared" si="10"/>
        <v>81</v>
      </c>
      <c r="T12" s="15">
        <v>0.29899999999999999</v>
      </c>
      <c r="U12" s="15">
        <v>0.23899999999999999</v>
      </c>
      <c r="V12" s="15">
        <v>0.17899999999999999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1033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57">
        <f t="shared" ref="AM12:AM75" si="31">AM11+1</f>
        <v>4</v>
      </c>
      <c r="AN12" s="1058">
        <f t="shared" si="11"/>
        <v>45436</v>
      </c>
      <c r="AO12" s="105">
        <f>IF(AX11=1,AR12+AP12+AQ12,IF(AW11+AR12+AP12&gt;AO11,$D$29,IF(AW11=0,0,AW11+AR12+AP12+AP43)))</f>
        <v>21774</v>
      </c>
      <c r="AP12" s="105">
        <f t="shared" si="12"/>
        <v>14951.61</v>
      </c>
      <c r="AQ12" s="105">
        <f t="shared" si="13"/>
        <v>6822.3899999999994</v>
      </c>
      <c r="AR12" s="105">
        <f t="shared" si="27"/>
        <v>0</v>
      </c>
      <c r="AS12" s="105">
        <f t="shared" si="22"/>
        <v>0</v>
      </c>
      <c r="AT12" s="105">
        <f t="shared" si="23"/>
        <v>14951.61</v>
      </c>
      <c r="AU12" s="105">
        <f t="shared" si="24"/>
        <v>0</v>
      </c>
      <c r="AV12" s="105">
        <f t="shared" si="25"/>
        <v>0</v>
      </c>
      <c r="AW12" s="105">
        <f t="shared" si="14"/>
        <v>1012225.7499999999</v>
      </c>
      <c r="AX12" s="108">
        <f t="shared" ref="AX12:AX75" si="32">IF((AX11-1)&lt;0,0,AX11-1)</f>
        <v>81</v>
      </c>
      <c r="AY12" s="108">
        <f t="shared" si="15"/>
        <v>81</v>
      </c>
      <c r="AZ12" s="1047">
        <f t="shared" si="3"/>
        <v>45436</v>
      </c>
      <c r="BA12" s="108">
        <f t="shared" si="3"/>
        <v>21774</v>
      </c>
      <c r="BC12" s="118">
        <f t="shared" si="4"/>
        <v>1033999.7499999999</v>
      </c>
      <c r="BM12" s="1044" t="s">
        <v>418</v>
      </c>
      <c r="BN12" s="1045" t="s">
        <v>419</v>
      </c>
      <c r="BO12" s="1045" t="s">
        <v>420</v>
      </c>
    </row>
    <row r="13" spans="1:67" ht="16.5" customHeight="1" thickBot="1" x14ac:dyDescent="0.25">
      <c r="A13" s="1093" t="str">
        <f>IF(AND(C8=AF60,C10&gt;47),"Ошибка: при указанном сроке нужна страховка АВТО_ПакетБВ+ГС_48",IF(AND(C8=AG60,C10&lt;48),"Ошибка: при указанном сроке нужна страховка АВТО_ПакетБВ+ГС_36",""))</f>
        <v/>
      </c>
      <c r="B13" s="1093"/>
      <c r="C13" s="1093"/>
      <c r="D13" s="1093"/>
      <c r="E13" s="1055">
        <f>E12+1</f>
        <v>5</v>
      </c>
      <c r="F13" s="1056">
        <f t="shared" si="5"/>
        <v>45467</v>
      </c>
      <c r="G13" s="24">
        <f t="shared" si="6"/>
        <v>21774</v>
      </c>
      <c r="H13" s="24">
        <f t="shared" si="7"/>
        <v>15120.38</v>
      </c>
      <c r="I13" s="24">
        <f t="shared" si="26"/>
        <v>75096.950000000012</v>
      </c>
      <c r="J13" s="24">
        <f t="shared" si="16"/>
        <v>0</v>
      </c>
      <c r="K13" s="24">
        <f t="shared" si="8"/>
        <v>6653.6200000000008</v>
      </c>
      <c r="L13" s="24">
        <f t="shared" si="17"/>
        <v>0</v>
      </c>
      <c r="M13" s="24">
        <f t="shared" si="29"/>
        <v>0</v>
      </c>
      <c r="N13" s="24">
        <f t="shared" si="18"/>
        <v>15120.38</v>
      </c>
      <c r="O13" s="24">
        <f t="shared" si="19"/>
        <v>0</v>
      </c>
      <c r="P13" s="24">
        <f t="shared" si="20"/>
        <v>0</v>
      </c>
      <c r="Q13" s="24">
        <f t="shared" si="9"/>
        <v>1049665.95</v>
      </c>
      <c r="R13" s="36">
        <f>IF((R12-1)&lt;0,0,R12-1)</f>
        <v>80</v>
      </c>
      <c r="S13" s="36">
        <f t="shared" si="10"/>
        <v>80</v>
      </c>
      <c r="T13" s="15"/>
      <c r="U13" s="15">
        <f>IF($C$17=27.9%,U12,IF($C$17=21.9%,U11,IF($C$17=19.9%,U10,U9)))</f>
        <v>0.189</v>
      </c>
      <c r="V13" s="15">
        <f>IF($C$17=27.9%,V12,IF($C$17=21.9%,V11,IF($C$17=19.9%,V10,V9)))</f>
        <v>0.129</v>
      </c>
      <c r="W13" s="15"/>
      <c r="X13" s="15"/>
      <c r="Y13" s="15"/>
      <c r="Z13" s="15"/>
      <c r="AA13" s="62" t="e">
        <f>INDEX(AA4:AA12,MATCH(C17,$T$4:$T$12,0))</f>
        <v>#N/A</v>
      </c>
      <c r="AB13" s="62" t="e">
        <f>INDEX(AB4:AB12,MATCH(D17,$T$4:$T$12,0))</f>
        <v>#N/A</v>
      </c>
      <c r="AC13" s="1033"/>
      <c r="AD13" s="15"/>
      <c r="AE13" s="15"/>
      <c r="AF13" s="15"/>
      <c r="AG13" s="15"/>
      <c r="AH13" s="15"/>
      <c r="AI13" s="15"/>
      <c r="AL13" s="130">
        <f t="shared" si="21"/>
        <v>1</v>
      </c>
      <c r="AM13" s="1064">
        <f>AM12+1</f>
        <v>5</v>
      </c>
      <c r="AN13" s="1065">
        <f t="shared" si="11"/>
        <v>45467</v>
      </c>
      <c r="AO13" s="105">
        <f>IF(AX12=1,AR13+AP13+AQ13,IF(AW12+AR13+AP13&gt;AO12,$D$29,IF(AW12=0,0,AW12+AR13+AP13+AP44)))</f>
        <v>21774</v>
      </c>
      <c r="AP13" s="105">
        <f t="shared" si="12"/>
        <v>15346.56</v>
      </c>
      <c r="AQ13" s="105">
        <f t="shared" si="13"/>
        <v>6427.4400000000005</v>
      </c>
      <c r="AR13" s="105">
        <f t="shared" si="27"/>
        <v>0</v>
      </c>
      <c r="AS13" s="105">
        <f t="shared" si="22"/>
        <v>0</v>
      </c>
      <c r="AT13" s="105">
        <f t="shared" si="23"/>
        <v>15346.56</v>
      </c>
      <c r="AU13" s="105">
        <f t="shared" si="24"/>
        <v>0</v>
      </c>
      <c r="AV13" s="105">
        <f t="shared" si="25"/>
        <v>0</v>
      </c>
      <c r="AW13" s="105">
        <f t="shared" si="14"/>
        <v>1005798.3099999999</v>
      </c>
      <c r="AX13" s="108">
        <f>IF((AX12-1)&lt;0,0,AX12-1)</f>
        <v>80</v>
      </c>
      <c r="AY13" s="108">
        <f t="shared" si="15"/>
        <v>80</v>
      </c>
      <c r="AZ13" s="1047">
        <f t="shared" si="3"/>
        <v>45467</v>
      </c>
      <c r="BA13" s="108">
        <f t="shared" si="3"/>
        <v>21774</v>
      </c>
      <c r="BC13" s="118">
        <f t="shared" si="4"/>
        <v>1027572.3099999999</v>
      </c>
      <c r="BD13" s="784" t="s">
        <v>92</v>
      </c>
      <c r="BE13" s="777" t="s">
        <v>85</v>
      </c>
      <c r="BF13" s="129" t="s">
        <v>90</v>
      </c>
      <c r="BM13" s="1053" t="s">
        <v>360</v>
      </c>
      <c r="BN13" s="1054" t="s">
        <v>423</v>
      </c>
      <c r="BO13" s="1054" t="s">
        <v>429</v>
      </c>
    </row>
    <row r="14" spans="1:67" ht="19.5" customHeight="1" thickBot="1" x14ac:dyDescent="0.25">
      <c r="A14" s="1094"/>
      <c r="B14" s="1094"/>
      <c r="C14" s="1094"/>
      <c r="D14" s="1094"/>
      <c r="E14" s="1055">
        <f>E13+1</f>
        <v>6</v>
      </c>
      <c r="F14" s="1056">
        <f t="shared" si="5"/>
        <v>45497</v>
      </c>
      <c r="G14" s="24">
        <f t="shared" si="6"/>
        <v>21774</v>
      </c>
      <c r="H14" s="24">
        <f t="shared" si="7"/>
        <v>14540.45</v>
      </c>
      <c r="I14" s="24">
        <f t="shared" si="26"/>
        <v>89637.400000000009</v>
      </c>
      <c r="J14" s="24">
        <f t="shared" si="16"/>
        <v>0</v>
      </c>
      <c r="K14" s="24">
        <f t="shared" si="8"/>
        <v>7233.5499999999993</v>
      </c>
      <c r="L14" s="24">
        <f t="shared" si="17"/>
        <v>0</v>
      </c>
      <c r="M14" s="24">
        <f>O13-L13</f>
        <v>0</v>
      </c>
      <c r="N14" s="24">
        <f t="shared" si="18"/>
        <v>14540.45</v>
      </c>
      <c r="O14" s="24">
        <f t="shared" si="19"/>
        <v>0</v>
      </c>
      <c r="P14" s="24">
        <f t="shared" si="20"/>
        <v>0</v>
      </c>
      <c r="Q14" s="24">
        <f t="shared" si="9"/>
        <v>1042432.3999999999</v>
      </c>
      <c r="R14" s="36">
        <f>IF((R13-1)&lt;0,0,R13-1)</f>
        <v>79</v>
      </c>
      <c r="S14" s="36">
        <f t="shared" si="10"/>
        <v>79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0.16899999999999998</v>
      </c>
      <c r="AB14" s="15">
        <f>D19</f>
        <v>0.17899999999999999</v>
      </c>
      <c r="AC14" s="1033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57">
        <f>AM13+1</f>
        <v>6</v>
      </c>
      <c r="AN14" s="1058">
        <f t="shared" si="11"/>
        <v>45497</v>
      </c>
      <c r="AO14" s="105">
        <f>IF(AX13=1,AR14+AP14+AQ14,IF(AW13+AR14+AP14&gt;AO13,$D$29,IF(AW13=0,0,AW13+AR14+AP14+AP45)))</f>
        <v>21774</v>
      </c>
      <c r="AP14" s="105">
        <f t="shared" si="12"/>
        <v>14757.2</v>
      </c>
      <c r="AQ14" s="105">
        <f t="shared" si="13"/>
        <v>7016.7999999999993</v>
      </c>
      <c r="AR14" s="105">
        <f t="shared" si="27"/>
        <v>0</v>
      </c>
      <c r="AS14" s="105">
        <f t="shared" si="22"/>
        <v>0</v>
      </c>
      <c r="AT14" s="105">
        <f t="shared" si="23"/>
        <v>14757.2</v>
      </c>
      <c r="AU14" s="105">
        <f t="shared" si="24"/>
        <v>0</v>
      </c>
      <c r="AV14" s="105">
        <f t="shared" si="25"/>
        <v>0</v>
      </c>
      <c r="AW14" s="105">
        <f t="shared" si="14"/>
        <v>998781.50999999989</v>
      </c>
      <c r="AX14" s="108">
        <f>IF((AX13-1)&lt;0,0,AX13-1)</f>
        <v>79</v>
      </c>
      <c r="AY14" s="108">
        <f t="shared" si="15"/>
        <v>79</v>
      </c>
      <c r="AZ14" s="1047">
        <f t="shared" si="3"/>
        <v>45497</v>
      </c>
      <c r="BA14" s="108">
        <f t="shared" si="3"/>
        <v>21774</v>
      </c>
      <c r="BC14" s="118">
        <f t="shared" si="4"/>
        <v>1020555.5099999999</v>
      </c>
      <c r="BD14" s="785"/>
      <c r="BE14" s="778"/>
      <c r="BF14" s="738" t="s">
        <v>93</v>
      </c>
      <c r="BM14" s="1053" t="s">
        <v>424</v>
      </c>
      <c r="BN14" s="1059" t="s">
        <v>426</v>
      </c>
      <c r="BO14" s="1059" t="s">
        <v>431</v>
      </c>
    </row>
    <row r="15" spans="1:67" ht="33" customHeight="1" thickBot="1" x14ac:dyDescent="0.25">
      <c r="A15" s="1094"/>
      <c r="B15" s="1094"/>
      <c r="C15" s="1094"/>
      <c r="D15" s="1094"/>
      <c r="E15" s="1055">
        <f t="shared" si="28"/>
        <v>7</v>
      </c>
      <c r="F15" s="1056">
        <f t="shared" si="5"/>
        <v>45528</v>
      </c>
      <c r="G15" s="24">
        <f t="shared" si="6"/>
        <v>21774</v>
      </c>
      <c r="H15" s="24">
        <f t="shared" si="7"/>
        <v>14921.59</v>
      </c>
      <c r="I15" s="24">
        <f t="shared" si="26"/>
        <v>104558.99</v>
      </c>
      <c r="J15" s="24">
        <f t="shared" si="16"/>
        <v>0</v>
      </c>
      <c r="K15" s="24">
        <f t="shared" si="8"/>
        <v>6852.41</v>
      </c>
      <c r="L15" s="24">
        <f t="shared" si="17"/>
        <v>0</v>
      </c>
      <c r="M15" s="24">
        <f t="shared" si="29"/>
        <v>0</v>
      </c>
      <c r="N15" s="24">
        <f t="shared" si="18"/>
        <v>14921.59</v>
      </c>
      <c r="O15" s="24">
        <f t="shared" si="19"/>
        <v>0</v>
      </c>
      <c r="P15" s="24">
        <f t="shared" si="20"/>
        <v>0</v>
      </c>
      <c r="Q15" s="24">
        <f t="shared" si="9"/>
        <v>1035579.9899999999</v>
      </c>
      <c r="R15" s="36">
        <f t="shared" si="30"/>
        <v>78</v>
      </c>
      <c r="S15" s="36">
        <f t="shared" si="10"/>
        <v>78</v>
      </c>
      <c r="T15" s="54">
        <f>ROUND(Q8*0.5%,-2)</f>
        <v>5400</v>
      </c>
      <c r="U15" s="54">
        <f>ROUND(Q8*0.5%,0)</f>
        <v>5417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033"/>
      <c r="AD15" s="15"/>
      <c r="AE15" s="15"/>
      <c r="AF15" s="15"/>
      <c r="AG15" s="15"/>
      <c r="AH15" s="15"/>
      <c r="AI15" s="15"/>
      <c r="AL15" s="130">
        <f t="shared" si="21"/>
        <v>1</v>
      </c>
      <c r="AM15" s="1057">
        <f t="shared" si="31"/>
        <v>7</v>
      </c>
      <c r="AN15" s="1058">
        <f t="shared" si="11"/>
        <v>45528</v>
      </c>
      <c r="AO15" s="105">
        <f>IF(AX14=1,AR15+AP15+AQ15,IF(AW14+AR15+AP15&gt;AO14,$D$29,IF(AW14=0,0,AW14+AR15+AP15+AP46)))</f>
        <v>21774</v>
      </c>
      <c r="AP15" s="105">
        <f t="shared" si="12"/>
        <v>15142.73</v>
      </c>
      <c r="AQ15" s="105">
        <f t="shared" si="13"/>
        <v>6631.27</v>
      </c>
      <c r="AR15" s="105">
        <f t="shared" si="27"/>
        <v>0</v>
      </c>
      <c r="AS15" s="105">
        <f t="shared" si="22"/>
        <v>0</v>
      </c>
      <c r="AT15" s="105">
        <f t="shared" si="23"/>
        <v>15142.73</v>
      </c>
      <c r="AU15" s="105">
        <f t="shared" si="24"/>
        <v>0</v>
      </c>
      <c r="AV15" s="105">
        <f t="shared" si="25"/>
        <v>0</v>
      </c>
      <c r="AW15" s="105">
        <f t="shared" si="14"/>
        <v>992150.23999999987</v>
      </c>
      <c r="AX15" s="108">
        <f t="shared" si="32"/>
        <v>78</v>
      </c>
      <c r="AY15" s="108">
        <f t="shared" si="15"/>
        <v>78</v>
      </c>
      <c r="AZ15" s="1047">
        <f t="shared" si="3"/>
        <v>45528</v>
      </c>
      <c r="BA15" s="108">
        <f t="shared" si="3"/>
        <v>21774</v>
      </c>
      <c r="BC15" s="118">
        <f t="shared" si="4"/>
        <v>1013924.2399999999</v>
      </c>
      <c r="BM15" s="620"/>
      <c r="BN15" s="620"/>
      <c r="BO15" s="620"/>
    </row>
    <row r="16" spans="1:67" ht="16.5" customHeight="1" thickBot="1" x14ac:dyDescent="0.25">
      <c r="A16" s="1066"/>
      <c r="B16" s="1066"/>
      <c r="C16" s="1066"/>
      <c r="D16" s="1066"/>
      <c r="E16" s="1055">
        <f t="shared" si="28"/>
        <v>8</v>
      </c>
      <c r="F16" s="1056">
        <f t="shared" si="5"/>
        <v>45559</v>
      </c>
      <c r="G16" s="24">
        <f t="shared" si="6"/>
        <v>21774</v>
      </c>
      <c r="H16" s="24">
        <f t="shared" si="7"/>
        <v>14823.51</v>
      </c>
      <c r="I16" s="24">
        <f t="shared" si="26"/>
        <v>119382.5</v>
      </c>
      <c r="J16" s="24">
        <f t="shared" si="16"/>
        <v>0</v>
      </c>
      <c r="K16" s="24">
        <f t="shared" si="8"/>
        <v>6950.49</v>
      </c>
      <c r="L16" s="24">
        <f t="shared" si="17"/>
        <v>0</v>
      </c>
      <c r="M16" s="24">
        <f t="shared" si="29"/>
        <v>0</v>
      </c>
      <c r="N16" s="24">
        <f t="shared" si="18"/>
        <v>14823.51</v>
      </c>
      <c r="O16" s="24">
        <f t="shared" si="19"/>
        <v>0</v>
      </c>
      <c r="P16" s="24">
        <f t="shared" si="20"/>
        <v>0</v>
      </c>
      <c r="Q16" s="24">
        <f t="shared" si="9"/>
        <v>1028629.4999999999</v>
      </c>
      <c r="R16" s="36">
        <f t="shared" si="30"/>
        <v>77</v>
      </c>
      <c r="S16" s="36">
        <f t="shared" si="10"/>
        <v>77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033"/>
      <c r="AD16" s="15"/>
      <c r="AE16" s="15"/>
      <c r="AF16" s="15"/>
      <c r="AG16" s="15"/>
      <c r="AH16" s="15"/>
      <c r="AI16" s="15"/>
      <c r="AL16" s="130">
        <f t="shared" si="21"/>
        <v>1</v>
      </c>
      <c r="AM16" s="1057">
        <f t="shared" si="31"/>
        <v>8</v>
      </c>
      <c r="AN16" s="1058">
        <f t="shared" si="11"/>
        <v>45559</v>
      </c>
      <c r="AO16" s="105">
        <f t="shared" ref="AO16:AO36" si="33">IF(AX15=1,AR16+AP16+AQ16,IF(AW15+AR16+AP16&gt;AO15,$D$29,IF(AW15=0,0,AW15+AR16+AP16+AP48)))</f>
        <v>21774</v>
      </c>
      <c r="AP16" s="105">
        <f t="shared" si="12"/>
        <v>15042.19</v>
      </c>
      <c r="AQ16" s="105">
        <f t="shared" si="13"/>
        <v>6731.8099999999995</v>
      </c>
      <c r="AR16" s="105">
        <f t="shared" si="27"/>
        <v>0</v>
      </c>
      <c r="AS16" s="105">
        <f t="shared" si="22"/>
        <v>0</v>
      </c>
      <c r="AT16" s="105">
        <f t="shared" si="23"/>
        <v>15042.19</v>
      </c>
      <c r="AU16" s="105">
        <f t="shared" si="24"/>
        <v>0</v>
      </c>
      <c r="AV16" s="105">
        <f t="shared" si="25"/>
        <v>0</v>
      </c>
      <c r="AW16" s="105">
        <f t="shared" si="14"/>
        <v>985418.42999999982</v>
      </c>
      <c r="AX16" s="108">
        <f t="shared" si="32"/>
        <v>77</v>
      </c>
      <c r="AY16" s="108">
        <f t="shared" si="15"/>
        <v>77</v>
      </c>
      <c r="AZ16" s="1047">
        <f t="shared" si="3"/>
        <v>45559</v>
      </c>
      <c r="BA16" s="108">
        <f t="shared" si="3"/>
        <v>21774</v>
      </c>
      <c r="BC16" s="118">
        <f t="shared" si="4"/>
        <v>1007192.4299999998</v>
      </c>
      <c r="BD16" s="575" t="s">
        <v>368</v>
      </c>
      <c r="BE16" s="571" t="s">
        <v>369</v>
      </c>
      <c r="BF16" s="576" t="s">
        <v>370</v>
      </c>
      <c r="BM16" s="1061" t="s">
        <v>432</v>
      </c>
      <c r="BN16" s="1062"/>
      <c r="BO16" s="1063"/>
    </row>
    <row r="17" spans="1:383" ht="16.5" customHeight="1" thickBot="1" x14ac:dyDescent="0.25">
      <c r="A17" s="851" t="s">
        <v>433</v>
      </c>
      <c r="B17" s="852"/>
      <c r="C17" s="630">
        <f>'Автомобильный (с залогом ТС)'!C11</f>
        <v>0.22899999999999998</v>
      </c>
      <c r="D17" s="630">
        <f>C17</f>
        <v>0.22899999999999998</v>
      </c>
      <c r="E17" s="1055">
        <f t="shared" si="28"/>
        <v>9</v>
      </c>
      <c r="F17" s="1056">
        <f t="shared" si="5"/>
        <v>45589</v>
      </c>
      <c r="G17" s="24">
        <f t="shared" si="6"/>
        <v>21774</v>
      </c>
      <c r="H17" s="24">
        <f t="shared" si="7"/>
        <v>14249.05</v>
      </c>
      <c r="I17" s="24">
        <f t="shared" si="26"/>
        <v>133631.54999999999</v>
      </c>
      <c r="J17" s="24">
        <f t="shared" si="16"/>
        <v>0</v>
      </c>
      <c r="K17" s="24">
        <f t="shared" si="8"/>
        <v>7524.9500000000007</v>
      </c>
      <c r="L17" s="24">
        <f t="shared" si="17"/>
        <v>0</v>
      </c>
      <c r="M17" s="24">
        <f t="shared" si="29"/>
        <v>0</v>
      </c>
      <c r="N17" s="24">
        <f t="shared" si="18"/>
        <v>14249.05</v>
      </c>
      <c r="O17" s="24">
        <f t="shared" si="19"/>
        <v>0</v>
      </c>
      <c r="P17" s="24">
        <f t="shared" si="20"/>
        <v>0</v>
      </c>
      <c r="Q17" s="24">
        <f t="shared" si="9"/>
        <v>1021104.5499999999</v>
      </c>
      <c r="R17" s="36">
        <f t="shared" si="30"/>
        <v>76</v>
      </c>
      <c r="S17" s="36">
        <f t="shared" si="10"/>
        <v>76</v>
      </c>
      <c r="T17" s="64">
        <f>Z81/100</f>
        <v>9000</v>
      </c>
      <c r="U17" s="15"/>
      <c r="V17" s="15"/>
      <c r="W17" s="15"/>
      <c r="X17" s="15"/>
      <c r="Y17" s="15"/>
      <c r="Z17" s="15"/>
      <c r="AA17" s="15"/>
      <c r="AB17" s="15"/>
      <c r="AC17" s="1033"/>
      <c r="AD17" s="15"/>
      <c r="AE17" s="15"/>
      <c r="AF17" s="15"/>
      <c r="AG17" s="15"/>
      <c r="AH17" s="15"/>
      <c r="AI17" s="15"/>
      <c r="AL17" s="130">
        <f t="shared" si="21"/>
        <v>1</v>
      </c>
      <c r="AM17" s="1057">
        <f t="shared" si="31"/>
        <v>9</v>
      </c>
      <c r="AN17" s="1058">
        <f t="shared" si="11"/>
        <v>45589</v>
      </c>
      <c r="AO17" s="105">
        <f t="shared" si="33"/>
        <v>21774</v>
      </c>
      <c r="AP17" s="105">
        <f t="shared" si="12"/>
        <v>14458.19</v>
      </c>
      <c r="AQ17" s="105">
        <f t="shared" si="13"/>
        <v>7315.8099999999995</v>
      </c>
      <c r="AR17" s="105">
        <f t="shared" si="27"/>
        <v>0</v>
      </c>
      <c r="AS17" s="105">
        <f t="shared" si="22"/>
        <v>0</v>
      </c>
      <c r="AT17" s="105">
        <f t="shared" si="23"/>
        <v>14458.19</v>
      </c>
      <c r="AU17" s="105">
        <f t="shared" si="24"/>
        <v>0</v>
      </c>
      <c r="AV17" s="105">
        <f t="shared" si="25"/>
        <v>0</v>
      </c>
      <c r="AW17" s="105">
        <f t="shared" si="14"/>
        <v>978102.61999999976</v>
      </c>
      <c r="AX17" s="108">
        <f t="shared" si="32"/>
        <v>76</v>
      </c>
      <c r="AY17" s="108">
        <f t="shared" si="15"/>
        <v>76</v>
      </c>
      <c r="AZ17" s="1047">
        <f t="shared" si="3"/>
        <v>45589</v>
      </c>
      <c r="BA17" s="108">
        <f t="shared" si="3"/>
        <v>21774</v>
      </c>
      <c r="BC17" s="118">
        <f t="shared" si="4"/>
        <v>999876.61999999976</v>
      </c>
      <c r="BD17" s="583" t="s">
        <v>434</v>
      </c>
      <c r="BE17" s="572" t="s">
        <v>371</v>
      </c>
      <c r="BF17" s="573">
        <v>1.2E-2</v>
      </c>
      <c r="BM17" s="1044" t="s">
        <v>418</v>
      </c>
      <c r="BN17" s="1045" t="s">
        <v>419</v>
      </c>
      <c r="BO17" s="1045" t="s">
        <v>435</v>
      </c>
    </row>
    <row r="18" spans="1:383" ht="16.5" customHeight="1" thickBot="1" x14ac:dyDescent="0.25">
      <c r="A18" s="853" t="s">
        <v>436</v>
      </c>
      <c r="B18" s="854"/>
      <c r="C18" s="632" t="s">
        <v>33</v>
      </c>
      <c r="D18" s="632" t="str">
        <f>C18</f>
        <v>Базовый</v>
      </c>
      <c r="E18" s="1055">
        <f t="shared" si="28"/>
        <v>10</v>
      </c>
      <c r="F18" s="1056">
        <f t="shared" si="5"/>
        <v>45620</v>
      </c>
      <c r="G18" s="24">
        <f t="shared" si="6"/>
        <v>21774</v>
      </c>
      <c r="H18" s="24">
        <f t="shared" si="7"/>
        <v>14616.3</v>
      </c>
      <c r="I18" s="24">
        <f t="shared" si="26"/>
        <v>148247.84999999998</v>
      </c>
      <c r="J18" s="24">
        <f t="shared" si="16"/>
        <v>0</v>
      </c>
      <c r="K18" s="24">
        <f t="shared" si="8"/>
        <v>7157.7000000000007</v>
      </c>
      <c r="L18" s="24">
        <f t="shared" si="17"/>
        <v>0</v>
      </c>
      <c r="M18" s="24">
        <f t="shared" si="29"/>
        <v>0</v>
      </c>
      <c r="N18" s="24">
        <f t="shared" si="18"/>
        <v>14616.3</v>
      </c>
      <c r="O18" s="24">
        <f t="shared" si="19"/>
        <v>0</v>
      </c>
      <c r="P18" s="24">
        <f t="shared" si="20"/>
        <v>0</v>
      </c>
      <c r="Q18" s="24">
        <f t="shared" si="9"/>
        <v>1013946.85</v>
      </c>
      <c r="R18" s="36">
        <f t="shared" si="30"/>
        <v>75</v>
      </c>
      <c r="S18" s="36">
        <f t="shared" si="10"/>
        <v>75</v>
      </c>
      <c r="T18" s="15"/>
      <c r="U18" s="15"/>
      <c r="V18" s="15"/>
      <c r="W18" s="15"/>
      <c r="X18" s="15"/>
      <c r="Y18" s="15"/>
      <c r="Z18" s="15"/>
      <c r="AA18" s="15"/>
      <c r="AB18" s="15"/>
      <c r="AC18" s="1033"/>
      <c r="AD18" s="15"/>
      <c r="AE18" s="15"/>
      <c r="AF18" s="15"/>
      <c r="AG18" s="15"/>
      <c r="AH18" s="15"/>
      <c r="AI18" s="15"/>
      <c r="AL18" s="130">
        <f t="shared" si="21"/>
        <v>1</v>
      </c>
      <c r="AM18" s="1057">
        <f t="shared" si="31"/>
        <v>10</v>
      </c>
      <c r="AN18" s="1058">
        <f t="shared" si="11"/>
        <v>45620</v>
      </c>
      <c r="AO18" s="105">
        <f t="shared" si="33"/>
        <v>21774</v>
      </c>
      <c r="AP18" s="105">
        <f t="shared" si="12"/>
        <v>14829.21</v>
      </c>
      <c r="AQ18" s="105">
        <f t="shared" si="13"/>
        <v>6944.7900000000009</v>
      </c>
      <c r="AR18" s="105">
        <f t="shared" si="27"/>
        <v>0</v>
      </c>
      <c r="AS18" s="105">
        <f t="shared" si="22"/>
        <v>0</v>
      </c>
      <c r="AT18" s="105">
        <f t="shared" si="23"/>
        <v>14829.21</v>
      </c>
      <c r="AU18" s="105">
        <f t="shared" si="24"/>
        <v>0</v>
      </c>
      <c r="AV18" s="105">
        <f t="shared" si="25"/>
        <v>0</v>
      </c>
      <c r="AW18" s="105">
        <f t="shared" si="14"/>
        <v>971157.82999999973</v>
      </c>
      <c r="AX18" s="108">
        <f t="shared" si="32"/>
        <v>75</v>
      </c>
      <c r="AY18" s="108">
        <f t="shared" si="15"/>
        <v>75</v>
      </c>
      <c r="AZ18" s="1047">
        <f t="shared" si="3"/>
        <v>45620</v>
      </c>
      <c r="BA18" s="108">
        <f t="shared" si="3"/>
        <v>21774</v>
      </c>
      <c r="BC18" s="118">
        <f t="shared" si="4"/>
        <v>992931.82999999973</v>
      </c>
      <c r="BD18" s="574" t="s">
        <v>114</v>
      </c>
      <c r="BE18" s="572" t="s">
        <v>372</v>
      </c>
      <c r="BF18" s="573">
        <v>1.2E-2</v>
      </c>
      <c r="BM18" s="1053" t="s">
        <v>360</v>
      </c>
      <c r="BN18" s="1054" t="s">
        <v>423</v>
      </c>
      <c r="BO18" s="1054" t="s">
        <v>429</v>
      </c>
    </row>
    <row r="19" spans="1:383" ht="12.75" customHeight="1" thickBot="1" x14ac:dyDescent="0.25">
      <c r="A19" s="855" t="s">
        <v>437</v>
      </c>
      <c r="B19" s="856"/>
      <c r="C19" s="630">
        <f>IF(C8&lt;&gt;"Нет",C17-6%,C17)</f>
        <v>0.16899999999999998</v>
      </c>
      <c r="D19" s="630">
        <f>D17-5%</f>
        <v>0.17899999999999999</v>
      </c>
      <c r="E19" s="1055">
        <f>E18+1</f>
        <v>11</v>
      </c>
      <c r="F19" s="1056">
        <f t="shared" si="5"/>
        <v>45650</v>
      </c>
      <c r="G19" s="24">
        <f t="shared" si="6"/>
        <v>21774</v>
      </c>
      <c r="H19" s="24">
        <f t="shared" si="7"/>
        <v>14045.66</v>
      </c>
      <c r="I19" s="24">
        <f t="shared" si="26"/>
        <v>162293.50999999998</v>
      </c>
      <c r="J19" s="24">
        <f t="shared" si="16"/>
        <v>0</v>
      </c>
      <c r="K19" s="24">
        <f t="shared" si="8"/>
        <v>7728.34</v>
      </c>
      <c r="L19" s="24">
        <f t="shared" si="17"/>
        <v>0</v>
      </c>
      <c r="M19" s="24">
        <f>O18-L18</f>
        <v>0</v>
      </c>
      <c r="N19" s="24">
        <f t="shared" si="18"/>
        <v>14045.66</v>
      </c>
      <c r="O19" s="24">
        <f t="shared" si="19"/>
        <v>0</v>
      </c>
      <c r="P19" s="24">
        <f t="shared" si="20"/>
        <v>0</v>
      </c>
      <c r="Q19" s="24">
        <f t="shared" si="9"/>
        <v>1006218.51</v>
      </c>
      <c r="R19" s="36">
        <f>IF((R18-1)&lt;0,0,R18-1)</f>
        <v>74</v>
      </c>
      <c r="S19" s="36">
        <f t="shared" si="10"/>
        <v>75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033"/>
      <c r="AD19" s="15"/>
      <c r="AE19" s="15"/>
      <c r="AF19" s="15"/>
      <c r="AG19" s="15"/>
      <c r="AH19" s="15"/>
      <c r="AI19" s="15"/>
      <c r="AL19" s="130">
        <f t="shared" si="21"/>
        <v>1</v>
      </c>
      <c r="AM19" s="1057">
        <f>AM18+1</f>
        <v>11</v>
      </c>
      <c r="AN19" s="1058">
        <f t="shared" si="11"/>
        <v>45650</v>
      </c>
      <c r="AO19" s="105">
        <f t="shared" si="33"/>
        <v>21774</v>
      </c>
      <c r="AP19" s="105">
        <f t="shared" si="12"/>
        <v>14248.96</v>
      </c>
      <c r="AQ19" s="105">
        <f t="shared" si="13"/>
        <v>7525.0400000000009</v>
      </c>
      <c r="AR19" s="105">
        <f t="shared" si="27"/>
        <v>0</v>
      </c>
      <c r="AS19" s="105">
        <f t="shared" si="22"/>
        <v>0</v>
      </c>
      <c r="AT19" s="105">
        <f t="shared" si="23"/>
        <v>14248.96</v>
      </c>
      <c r="AU19" s="105">
        <f t="shared" si="24"/>
        <v>0</v>
      </c>
      <c r="AV19" s="105">
        <f t="shared" si="25"/>
        <v>0</v>
      </c>
      <c r="AW19" s="105">
        <f t="shared" si="14"/>
        <v>963632.78999999969</v>
      </c>
      <c r="AX19" s="108">
        <f t="shared" si="32"/>
        <v>74</v>
      </c>
      <c r="AY19" s="108">
        <f t="shared" si="15"/>
        <v>74</v>
      </c>
      <c r="AZ19" s="1047">
        <f t="shared" si="3"/>
        <v>45650</v>
      </c>
      <c r="BA19" s="108">
        <f t="shared" si="3"/>
        <v>21774</v>
      </c>
      <c r="BC19" s="118">
        <f t="shared" si="4"/>
        <v>985406.78999999969</v>
      </c>
      <c r="BD19" s="574" t="s">
        <v>360</v>
      </c>
      <c r="BE19" s="572" t="s">
        <v>372</v>
      </c>
      <c r="BF19" s="573">
        <v>1.14E-2</v>
      </c>
      <c r="BM19" s="1053" t="s">
        <v>424</v>
      </c>
      <c r="BN19" s="1059" t="s">
        <v>426</v>
      </c>
      <c r="BO19" s="1059" t="s">
        <v>431</v>
      </c>
    </row>
    <row r="20" spans="1:383" ht="21.75" customHeight="1" thickBot="1" x14ac:dyDescent="0.25">
      <c r="A20" s="857" t="s">
        <v>421</v>
      </c>
      <c r="B20" s="858"/>
      <c r="C20" s="630" t="str">
        <f>C8</f>
        <v>АВТО_ПакетБВ+ГС_48</v>
      </c>
      <c r="D20" s="630" t="str">
        <f>D8</f>
        <v>АВТО_ПакетБВ_48</v>
      </c>
      <c r="E20" s="1055">
        <f>E19+1</f>
        <v>12</v>
      </c>
      <c r="F20" s="1056">
        <f t="shared" si="5"/>
        <v>45681</v>
      </c>
      <c r="G20" s="24">
        <f t="shared" si="6"/>
        <v>21774</v>
      </c>
      <c r="H20" s="24">
        <f t="shared" si="7"/>
        <v>14433.77</v>
      </c>
      <c r="I20" s="24">
        <f t="shared" si="26"/>
        <v>176727.27999999997</v>
      </c>
      <c r="J20" s="24">
        <f t="shared" si="16"/>
        <v>0</v>
      </c>
      <c r="K20" s="24">
        <f t="shared" si="8"/>
        <v>7340.23</v>
      </c>
      <c r="L20" s="24">
        <f t="shared" si="17"/>
        <v>0</v>
      </c>
      <c r="M20" s="24">
        <f>O19-L19</f>
        <v>0</v>
      </c>
      <c r="N20" s="24">
        <f t="shared" si="18"/>
        <v>14433.77</v>
      </c>
      <c r="O20" s="24">
        <f t="shared" si="19"/>
        <v>0</v>
      </c>
      <c r="P20" s="24">
        <f t="shared" si="20"/>
        <v>0</v>
      </c>
      <c r="Q20" s="24">
        <f t="shared" si="9"/>
        <v>998878.28</v>
      </c>
      <c r="R20" s="36">
        <f>IF((R19-1)&lt;0,0,R19-1)</f>
        <v>73</v>
      </c>
      <c r="S20" s="36">
        <f t="shared" si="10"/>
        <v>74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067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064">
        <f>AM19+1</f>
        <v>12</v>
      </c>
      <c r="AN20" s="1065">
        <f t="shared" si="11"/>
        <v>45681</v>
      </c>
      <c r="AO20" s="105">
        <f t="shared" si="33"/>
        <v>21774</v>
      </c>
      <c r="AP20" s="105">
        <f t="shared" si="12"/>
        <v>14640.82</v>
      </c>
      <c r="AQ20" s="105">
        <f t="shared" si="13"/>
        <v>7133.18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14640.82</v>
      </c>
      <c r="AU20" s="105">
        <f t="shared" si="24"/>
        <v>0</v>
      </c>
      <c r="AV20" s="105">
        <f t="shared" si="25"/>
        <v>0</v>
      </c>
      <c r="AW20" s="105">
        <f t="shared" si="14"/>
        <v>956499.60999999964</v>
      </c>
      <c r="AX20" s="108">
        <f t="shared" si="32"/>
        <v>73</v>
      </c>
      <c r="AY20" s="108">
        <f t="shared" si="15"/>
        <v>73</v>
      </c>
      <c r="AZ20" s="1047">
        <f t="shared" si="3"/>
        <v>45681</v>
      </c>
      <c r="BA20" s="108">
        <f t="shared" si="3"/>
        <v>21774</v>
      </c>
      <c r="BC20" s="118">
        <f t="shared" si="4"/>
        <v>978273.60999999964</v>
      </c>
      <c r="BF20" s="62"/>
      <c r="BM20" s="620"/>
      <c r="BN20" s="620"/>
      <c r="BO20" s="620"/>
    </row>
    <row r="21" spans="1:383" ht="16.5" customHeight="1" thickBot="1" x14ac:dyDescent="0.25">
      <c r="A21" s="855" t="s">
        <v>438</v>
      </c>
      <c r="B21" s="859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055">
        <f t="shared" si="28"/>
        <v>13</v>
      </c>
      <c r="F21" s="1056">
        <f t="shared" si="5"/>
        <v>45712</v>
      </c>
      <c r="G21" s="24">
        <f t="shared" si="6"/>
        <v>21774</v>
      </c>
      <c r="H21" s="24">
        <f t="shared" si="7"/>
        <v>14337.32</v>
      </c>
      <c r="I21" s="24">
        <f t="shared" si="26"/>
        <v>191064.59999999998</v>
      </c>
      <c r="J21" s="24">
        <f t="shared" si="16"/>
        <v>0</v>
      </c>
      <c r="K21" s="24">
        <f t="shared" si="8"/>
        <v>7436.68</v>
      </c>
      <c r="L21" s="24">
        <f t="shared" si="17"/>
        <v>0</v>
      </c>
      <c r="M21" s="24">
        <f t="shared" si="29"/>
        <v>0</v>
      </c>
      <c r="N21" s="24">
        <f t="shared" si="18"/>
        <v>14337.32</v>
      </c>
      <c r="O21" s="24">
        <f t="shared" si="19"/>
        <v>0</v>
      </c>
      <c r="P21" s="24">
        <f t="shared" si="20"/>
        <v>0</v>
      </c>
      <c r="Q21" s="24">
        <f t="shared" si="9"/>
        <v>991441.6</v>
      </c>
      <c r="R21" s="36">
        <f t="shared" si="30"/>
        <v>72</v>
      </c>
      <c r="S21" s="36">
        <f t="shared" si="10"/>
        <v>73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57">
        <f t="shared" si="31"/>
        <v>13</v>
      </c>
      <c r="AN21" s="1058">
        <f t="shared" si="11"/>
        <v>45712</v>
      </c>
      <c r="AO21" s="105">
        <f t="shared" si="33"/>
        <v>21774</v>
      </c>
      <c r="AP21" s="105">
        <f t="shared" si="12"/>
        <v>14541.41</v>
      </c>
      <c r="AQ21" s="105">
        <f t="shared" si="13"/>
        <v>7232.59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14541.41</v>
      </c>
      <c r="AU21" s="105">
        <f t="shared" si="24"/>
        <v>0</v>
      </c>
      <c r="AV21" s="105">
        <f t="shared" si="25"/>
        <v>0</v>
      </c>
      <c r="AW21" s="105">
        <f t="shared" si="14"/>
        <v>949267.01999999967</v>
      </c>
      <c r="AX21" s="108">
        <f t="shared" si="32"/>
        <v>72</v>
      </c>
      <c r="AY21" s="108">
        <f t="shared" si="15"/>
        <v>72</v>
      </c>
      <c r="AZ21" s="1047">
        <f t="shared" si="3"/>
        <v>45712</v>
      </c>
      <c r="BA21" s="108">
        <f t="shared" si="3"/>
        <v>21774</v>
      </c>
      <c r="BD21" s="2" t="s">
        <v>377</v>
      </c>
      <c r="BK21" s="116"/>
      <c r="BM21" s="1061" t="s">
        <v>439</v>
      </c>
      <c r="BN21" s="1062"/>
      <c r="BO21" s="1063"/>
    </row>
    <row r="22" spans="1:383" ht="16.5" customHeight="1" thickBot="1" x14ac:dyDescent="0.25">
      <c r="A22" s="847" t="s">
        <v>76</v>
      </c>
      <c r="B22" s="634" t="s">
        <v>102</v>
      </c>
      <c r="C22" s="619" t="str">
        <f>'Автомобильный (с залогом ТС)'!C16</f>
        <v>Да</v>
      </c>
      <c r="D22" s="1068" t="s">
        <v>35</v>
      </c>
      <c r="E22" s="1055">
        <f t="shared" si="28"/>
        <v>14</v>
      </c>
      <c r="F22" s="1056">
        <f t="shared" si="5"/>
        <v>45740</v>
      </c>
      <c r="G22" s="24">
        <f t="shared" si="6"/>
        <v>21774</v>
      </c>
      <c r="H22" s="24">
        <f t="shared" si="7"/>
        <v>12853.43</v>
      </c>
      <c r="I22" s="24">
        <f t="shared" si="26"/>
        <v>203918.02999999997</v>
      </c>
      <c r="J22" s="24">
        <f t="shared" si="16"/>
        <v>0</v>
      </c>
      <c r="K22" s="24">
        <f t="shared" si="8"/>
        <v>8920.57</v>
      </c>
      <c r="L22" s="24">
        <f t="shared" si="17"/>
        <v>0</v>
      </c>
      <c r="M22" s="24">
        <f t="shared" si="29"/>
        <v>0</v>
      </c>
      <c r="N22" s="24">
        <f t="shared" si="18"/>
        <v>12853.43</v>
      </c>
      <c r="O22" s="24">
        <f t="shared" si="19"/>
        <v>0</v>
      </c>
      <c r="P22" s="24">
        <f t="shared" si="20"/>
        <v>0</v>
      </c>
      <c r="Q22" s="24">
        <f t="shared" si="9"/>
        <v>982521.03</v>
      </c>
      <c r="R22" s="36">
        <f t="shared" si="30"/>
        <v>71</v>
      </c>
      <c r="S22" s="36">
        <f t="shared" si="10"/>
        <v>72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2.9000000000000001E-2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 t="str">
        <f>IF($D$17=W4,W23,IF($D$17=W5,W23,IF($D$17=W6,W23,IF($D$17=W7,W23,IF($D$17=W8,W24,IF($D$17=W9,W24,IF($D$17=W10,W25,IF($D$17=W11,W26,IF($D$17=W12,W26,"")))))))))</f>
        <v/>
      </c>
      <c r="X22" s="101" t="str">
        <f>IF($D$17=X4,X23,IF($D$17=X5,X23,IF($D$17=X6,X23,IF($D$17=X7,X23,IF($D$17=X8,X24,IF($D$17=X9,X24,IF($D$17=X10,X25,IF($D$17=X11,X26,IF($D$17=X12,X26,"")))))))))</f>
        <v/>
      </c>
      <c r="Y22" s="1033"/>
      <c r="Z22" s="1033"/>
      <c r="AA22" s="1033"/>
      <c r="AB22" s="1033"/>
      <c r="AC22" s="1033"/>
      <c r="AD22" s="1033"/>
      <c r="AE22" s="1033"/>
      <c r="AF22" s="1033"/>
      <c r="AG22" s="1033"/>
      <c r="AH22" s="1033"/>
      <c r="AI22" s="1033"/>
      <c r="AL22" s="130">
        <f t="shared" si="21"/>
        <v>1</v>
      </c>
      <c r="AM22" s="1057">
        <f t="shared" si="31"/>
        <v>14</v>
      </c>
      <c r="AN22" s="1058">
        <f t="shared" si="11"/>
        <v>45740</v>
      </c>
      <c r="AO22" s="105">
        <f t="shared" si="33"/>
        <v>21774</v>
      </c>
      <c r="AP22" s="105">
        <f t="shared" si="12"/>
        <v>13034.87</v>
      </c>
      <c r="AQ22" s="105">
        <f t="shared" si="13"/>
        <v>8739.1299999999992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13034.87</v>
      </c>
      <c r="AU22" s="105">
        <f t="shared" si="24"/>
        <v>0</v>
      </c>
      <c r="AV22" s="105">
        <f t="shared" si="25"/>
        <v>0</v>
      </c>
      <c r="AW22" s="105">
        <f t="shared" si="14"/>
        <v>940527.88999999966</v>
      </c>
      <c r="AX22" s="108">
        <f t="shared" si="32"/>
        <v>71</v>
      </c>
      <c r="AY22" s="108">
        <f t="shared" si="15"/>
        <v>71</v>
      </c>
      <c r="AZ22" s="1047">
        <f t="shared" si="3"/>
        <v>45740</v>
      </c>
      <c r="BA22" s="108">
        <f t="shared" si="3"/>
        <v>21774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1044" t="s">
        <v>418</v>
      </c>
      <c r="BN22" s="1045" t="s">
        <v>419</v>
      </c>
      <c r="BO22" s="1045" t="s">
        <v>435</v>
      </c>
    </row>
    <row r="23" spans="1:383" ht="13.5" thickBot="1" x14ac:dyDescent="0.25">
      <c r="A23" s="847"/>
      <c r="B23" s="634" t="s">
        <v>440</v>
      </c>
      <c r="C23" s="636">
        <f>IF(C22="Нет",$X$60,IF(C8&lt;&gt;"Нет",$V$13,$U$13))</f>
        <v>0.129</v>
      </c>
      <c r="D23" s="636" t="str">
        <f>IF(D22="Нет",$X$60,IF(D8="Максимум",$V$13,$U$13))</f>
        <v>Услуга не подключается</v>
      </c>
      <c r="E23" s="1055">
        <f t="shared" si="28"/>
        <v>15</v>
      </c>
      <c r="F23" s="1056">
        <f t="shared" si="5"/>
        <v>45771</v>
      </c>
      <c r="G23" s="24">
        <f t="shared" si="6"/>
        <v>21774</v>
      </c>
      <c r="H23" s="24">
        <f t="shared" si="7"/>
        <v>14102.54</v>
      </c>
      <c r="I23" s="24">
        <f t="shared" si="26"/>
        <v>218020.56999999998</v>
      </c>
      <c r="J23" s="24">
        <f t="shared" si="16"/>
        <v>0</v>
      </c>
      <c r="K23" s="24">
        <f t="shared" si="8"/>
        <v>7671.4599999999991</v>
      </c>
      <c r="L23" s="24">
        <f t="shared" si="17"/>
        <v>0</v>
      </c>
      <c r="M23" s="24">
        <f t="shared" si="29"/>
        <v>0</v>
      </c>
      <c r="N23" s="24">
        <f t="shared" si="18"/>
        <v>14102.54</v>
      </c>
      <c r="O23" s="24">
        <f t="shared" si="19"/>
        <v>0</v>
      </c>
      <c r="P23" s="24">
        <f t="shared" si="20"/>
        <v>0</v>
      </c>
      <c r="Q23" s="24">
        <f t="shared" si="9"/>
        <v>974849.57000000007</v>
      </c>
      <c r="R23" s="36">
        <f t="shared" si="30"/>
        <v>70</v>
      </c>
      <c r="S23" s="36">
        <f t="shared" si="10"/>
        <v>71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033"/>
      <c r="Z23" s="1033"/>
      <c r="AA23" s="1033"/>
      <c r="AB23" s="1033"/>
      <c r="AC23" s="1033"/>
      <c r="AD23" s="1033"/>
      <c r="AE23" s="1033"/>
      <c r="AF23" s="1033"/>
      <c r="AG23" s="1033"/>
      <c r="AH23" s="1033"/>
      <c r="AI23" s="1033"/>
      <c r="AL23" s="130">
        <f t="shared" si="21"/>
        <v>1</v>
      </c>
      <c r="AM23" s="1057">
        <f t="shared" si="31"/>
        <v>15</v>
      </c>
      <c r="AN23" s="1058">
        <f t="shared" si="11"/>
        <v>45771</v>
      </c>
      <c r="AO23" s="105">
        <f t="shared" si="33"/>
        <v>21774</v>
      </c>
      <c r="AP23" s="105">
        <f t="shared" si="12"/>
        <v>14298.6</v>
      </c>
      <c r="AQ23" s="105">
        <f t="shared" si="13"/>
        <v>7475.4</v>
      </c>
      <c r="AR23" s="105">
        <f t="shared" si="34"/>
        <v>0</v>
      </c>
      <c r="AS23" s="105">
        <f t="shared" si="22"/>
        <v>0</v>
      </c>
      <c r="AT23" s="105">
        <f t="shared" si="23"/>
        <v>14298.6</v>
      </c>
      <c r="AU23" s="105">
        <f t="shared" si="24"/>
        <v>0</v>
      </c>
      <c r="AV23" s="105">
        <f t="shared" si="25"/>
        <v>0</v>
      </c>
      <c r="AW23" s="105">
        <f t="shared" si="14"/>
        <v>933052.48999999964</v>
      </c>
      <c r="AX23" s="108">
        <f t="shared" si="32"/>
        <v>70</v>
      </c>
      <c r="AY23" s="108">
        <f t="shared" si="15"/>
        <v>70</v>
      </c>
      <c r="AZ23" s="1047">
        <f t="shared" si="3"/>
        <v>45771</v>
      </c>
      <c r="BA23" s="108">
        <f t="shared" si="3"/>
        <v>21774</v>
      </c>
      <c r="BD23" s="16" t="s">
        <v>373</v>
      </c>
      <c r="BE23" s="637">
        <f>(C7+C12+C25)/(1-BF17*BE22)</f>
        <v>1086362.5</v>
      </c>
      <c r="BF23" s="16"/>
      <c r="BG23" s="16"/>
      <c r="BH23" s="16" t="s">
        <v>373</v>
      </c>
      <c r="BI23" s="143">
        <f>(C7+C12)/(1-BF19*BI22)</f>
        <v>990001.08672027814</v>
      </c>
      <c r="BM23" s="1053" t="s">
        <v>360</v>
      </c>
      <c r="BN23" s="1054" t="s">
        <v>423</v>
      </c>
      <c r="BO23" s="1054" t="s">
        <v>429</v>
      </c>
    </row>
    <row r="24" spans="1:383" ht="16.5" customHeight="1" thickBot="1" x14ac:dyDescent="0.25">
      <c r="A24" s="847"/>
      <c r="B24" s="634" t="s">
        <v>441</v>
      </c>
      <c r="C24" s="638">
        <v>0.05</v>
      </c>
      <c r="D24" s="638"/>
      <c r="E24" s="1055">
        <f t="shared" si="28"/>
        <v>16</v>
      </c>
      <c r="F24" s="1056">
        <f t="shared" si="5"/>
        <v>45801</v>
      </c>
      <c r="G24" s="24">
        <f t="shared" si="6"/>
        <v>21774</v>
      </c>
      <c r="H24" s="24">
        <f t="shared" si="7"/>
        <v>13541.06</v>
      </c>
      <c r="I24" s="24">
        <f t="shared" si="26"/>
        <v>231561.62999999998</v>
      </c>
      <c r="J24" s="24">
        <f t="shared" si="16"/>
        <v>0</v>
      </c>
      <c r="K24" s="24">
        <f t="shared" si="8"/>
        <v>8232.94</v>
      </c>
      <c r="L24" s="24">
        <f t="shared" si="17"/>
        <v>0</v>
      </c>
      <c r="M24" s="24">
        <f t="shared" si="29"/>
        <v>0</v>
      </c>
      <c r="N24" s="24">
        <f t="shared" si="18"/>
        <v>13541.06</v>
      </c>
      <c r="O24" s="24">
        <f t="shared" si="19"/>
        <v>0</v>
      </c>
      <c r="P24" s="24">
        <f t="shared" si="20"/>
        <v>0</v>
      </c>
      <c r="Q24" s="24">
        <f t="shared" si="9"/>
        <v>966616.63000000012</v>
      </c>
      <c r="R24" s="36">
        <f t="shared" si="30"/>
        <v>69</v>
      </c>
      <c r="S24" s="36">
        <f t="shared" si="10"/>
        <v>70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57">
        <f t="shared" si="31"/>
        <v>16</v>
      </c>
      <c r="AN24" s="1058">
        <f t="shared" si="11"/>
        <v>45801</v>
      </c>
      <c r="AO24" s="105">
        <f t="shared" si="33"/>
        <v>21774</v>
      </c>
      <c r="AP24" s="105">
        <f t="shared" si="12"/>
        <v>13727.37</v>
      </c>
      <c r="AQ24" s="105">
        <f t="shared" si="13"/>
        <v>8046.6299999999992</v>
      </c>
      <c r="AR24" s="105">
        <f t="shared" si="34"/>
        <v>0</v>
      </c>
      <c r="AS24" s="105">
        <f t="shared" si="22"/>
        <v>0</v>
      </c>
      <c r="AT24" s="105">
        <f t="shared" si="23"/>
        <v>13727.37</v>
      </c>
      <c r="AU24" s="105">
        <f t="shared" si="24"/>
        <v>0</v>
      </c>
      <c r="AV24" s="105">
        <f t="shared" si="25"/>
        <v>0</v>
      </c>
      <c r="AW24" s="105">
        <f t="shared" si="14"/>
        <v>925005.85999999964</v>
      </c>
      <c r="AX24" s="108">
        <f t="shared" si="32"/>
        <v>69</v>
      </c>
      <c r="AY24" s="108">
        <f t="shared" si="15"/>
        <v>69</v>
      </c>
      <c r="AZ24" s="1047">
        <f t="shared" si="3"/>
        <v>45801</v>
      </c>
      <c r="BA24" s="108">
        <f t="shared" si="3"/>
        <v>21774</v>
      </c>
      <c r="BD24" s="16" t="s">
        <v>374</v>
      </c>
      <c r="BE24" s="143">
        <f>BE23*BF17*BE22</f>
        <v>130363.5</v>
      </c>
      <c r="BF24" s="16"/>
      <c r="BG24" s="16"/>
      <c r="BH24" s="16" t="s">
        <v>374</v>
      </c>
      <c r="BI24" s="143">
        <f>BI23*BF19*BI22</f>
        <v>79002.086720278196</v>
      </c>
      <c r="BM24" s="1053" t="s">
        <v>424</v>
      </c>
      <c r="BN24" s="1059" t="s">
        <v>426</v>
      </c>
      <c r="BO24" s="1059" t="s">
        <v>431</v>
      </c>
    </row>
    <row r="25" spans="1:383" ht="16.5" customHeight="1" x14ac:dyDescent="0.2">
      <c r="A25" s="847"/>
      <c r="B25" s="634" t="s">
        <v>442</v>
      </c>
      <c r="C25" s="639">
        <f>IF(C23&lt;&gt;X60,IF(C22="Нет",0,ROUND($C$7*C24,2)),0)</f>
        <v>45000</v>
      </c>
      <c r="D25" s="639"/>
      <c r="E25" s="1055">
        <f t="shared" si="28"/>
        <v>17</v>
      </c>
      <c r="F25" s="1056">
        <f t="shared" si="5"/>
        <v>45832</v>
      </c>
      <c r="G25" s="24">
        <f t="shared" si="6"/>
        <v>21774</v>
      </c>
      <c r="H25" s="24">
        <f t="shared" si="7"/>
        <v>13874.26</v>
      </c>
      <c r="I25" s="24">
        <f t="shared" si="26"/>
        <v>245435.88999999998</v>
      </c>
      <c r="J25" s="24">
        <f t="shared" si="16"/>
        <v>0</v>
      </c>
      <c r="K25" s="24">
        <f t="shared" si="8"/>
        <v>7899.74</v>
      </c>
      <c r="L25" s="24">
        <f t="shared" si="17"/>
        <v>0</v>
      </c>
      <c r="M25" s="24">
        <f t="shared" si="29"/>
        <v>0</v>
      </c>
      <c r="N25" s="24">
        <f t="shared" si="18"/>
        <v>13874.26</v>
      </c>
      <c r="O25" s="24">
        <f t="shared" si="19"/>
        <v>0</v>
      </c>
      <c r="P25" s="24">
        <f t="shared" si="20"/>
        <v>0</v>
      </c>
      <c r="Q25" s="24">
        <f t="shared" si="9"/>
        <v>958716.89000000013</v>
      </c>
      <c r="R25" s="36">
        <f t="shared" si="30"/>
        <v>68</v>
      </c>
      <c r="S25" s="36">
        <f t="shared" si="10"/>
        <v>69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069"/>
      <c r="Z25" s="1069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16"/>
      <c r="AK25" s="116"/>
      <c r="AL25" s="130">
        <f t="shared" si="21"/>
        <v>1</v>
      </c>
      <c r="AM25" s="1070">
        <f t="shared" si="31"/>
        <v>17</v>
      </c>
      <c r="AN25" s="1065">
        <f t="shared" si="11"/>
        <v>45832</v>
      </c>
      <c r="AO25" s="105">
        <f t="shared" si="33"/>
        <v>21774</v>
      </c>
      <c r="AP25" s="105">
        <f t="shared" si="12"/>
        <v>14062.62</v>
      </c>
      <c r="AQ25" s="105">
        <f t="shared" si="13"/>
        <v>7711.3799999999992</v>
      </c>
      <c r="AR25" s="105">
        <f t="shared" si="34"/>
        <v>0</v>
      </c>
      <c r="AS25" s="105">
        <f t="shared" si="22"/>
        <v>0</v>
      </c>
      <c r="AT25" s="105">
        <f t="shared" si="23"/>
        <v>14062.62</v>
      </c>
      <c r="AU25" s="105">
        <f t="shared" si="24"/>
        <v>0</v>
      </c>
      <c r="AV25" s="105">
        <f t="shared" si="25"/>
        <v>0</v>
      </c>
      <c r="AW25" s="105">
        <f t="shared" si="14"/>
        <v>917294.47999999963</v>
      </c>
      <c r="AX25" s="108">
        <f t="shared" si="32"/>
        <v>68</v>
      </c>
      <c r="AY25" s="108">
        <f t="shared" si="15"/>
        <v>68</v>
      </c>
      <c r="AZ25" s="1047">
        <f t="shared" si="3"/>
        <v>45832</v>
      </c>
      <c r="BA25" s="108">
        <f t="shared" si="3"/>
        <v>21774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47"/>
      <c r="B26" s="634" t="s">
        <v>443</v>
      </c>
      <c r="C26" s="639">
        <f>IF(AND($C$23&lt;&gt;X60,C22="Да"),H160-H160/C19*C23,0)</f>
        <v>187676.01420118334</v>
      </c>
      <c r="D26" s="640"/>
      <c r="E26" s="1055">
        <f t="shared" si="28"/>
        <v>18</v>
      </c>
      <c r="F26" s="1056">
        <f t="shared" si="5"/>
        <v>45862</v>
      </c>
      <c r="G26" s="24">
        <f t="shared" si="6"/>
        <v>21774</v>
      </c>
      <c r="H26" s="24">
        <f t="shared" si="7"/>
        <v>13316.97</v>
      </c>
      <c r="I26" s="24">
        <f t="shared" si="26"/>
        <v>258752.86</v>
      </c>
      <c r="J26" s="24">
        <f t="shared" si="16"/>
        <v>0</v>
      </c>
      <c r="K26" s="24">
        <f t="shared" si="8"/>
        <v>8457.0300000000007</v>
      </c>
      <c r="L26" s="24">
        <f t="shared" si="17"/>
        <v>0</v>
      </c>
      <c r="M26" s="24">
        <f t="shared" si="29"/>
        <v>0</v>
      </c>
      <c r="N26" s="24">
        <f t="shared" si="18"/>
        <v>13316.97</v>
      </c>
      <c r="O26" s="24">
        <f t="shared" si="19"/>
        <v>0</v>
      </c>
      <c r="P26" s="24">
        <f t="shared" si="20"/>
        <v>0</v>
      </c>
      <c r="Q26" s="24">
        <f t="shared" si="9"/>
        <v>950259.8600000001</v>
      </c>
      <c r="R26" s="36">
        <f t="shared" si="30"/>
        <v>67</v>
      </c>
      <c r="S26" s="36">
        <f t="shared" si="10"/>
        <v>68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L26" s="130">
        <f t="shared" si="21"/>
        <v>1</v>
      </c>
      <c r="AM26" s="1057">
        <f t="shared" si="31"/>
        <v>18</v>
      </c>
      <c r="AN26" s="1058">
        <f t="shared" si="11"/>
        <v>45862</v>
      </c>
      <c r="AO26" s="105">
        <f t="shared" si="33"/>
        <v>21774</v>
      </c>
      <c r="AP26" s="105">
        <f t="shared" si="12"/>
        <v>13495.54</v>
      </c>
      <c r="AQ26" s="105">
        <f t="shared" si="13"/>
        <v>8278.4599999999991</v>
      </c>
      <c r="AR26" s="105">
        <f t="shared" si="34"/>
        <v>0</v>
      </c>
      <c r="AS26" s="105">
        <f t="shared" si="22"/>
        <v>0</v>
      </c>
      <c r="AT26" s="105">
        <f t="shared" si="23"/>
        <v>13495.54</v>
      </c>
      <c r="AU26" s="105">
        <f t="shared" si="24"/>
        <v>0</v>
      </c>
      <c r="AV26" s="105">
        <f t="shared" si="25"/>
        <v>0</v>
      </c>
      <c r="AW26" s="105">
        <f t="shared" si="14"/>
        <v>909016.01999999967</v>
      </c>
      <c r="AX26" s="108">
        <f t="shared" si="32"/>
        <v>67</v>
      </c>
      <c r="AY26" s="108">
        <f t="shared" si="15"/>
        <v>67</v>
      </c>
      <c r="AZ26" s="1047">
        <f t="shared" si="3"/>
        <v>45862</v>
      </c>
      <c r="BA26" s="108">
        <f t="shared" si="3"/>
        <v>21774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47"/>
      <c r="B27" s="641" t="s">
        <v>444</v>
      </c>
      <c r="C27" s="642">
        <f>IF(AND($C$23&lt;&gt;X60,J160&gt;0),C26-J160,C26)</f>
        <v>140321.85420118351</v>
      </c>
      <c r="D27" s="643"/>
      <c r="E27" s="1055">
        <f t="shared" si="28"/>
        <v>19</v>
      </c>
      <c r="F27" s="1056">
        <f t="shared" si="5"/>
        <v>45893</v>
      </c>
      <c r="G27" s="24">
        <f t="shared" si="6"/>
        <v>21774</v>
      </c>
      <c r="H27" s="24">
        <f t="shared" si="7"/>
        <v>13639.48</v>
      </c>
      <c r="I27" s="24">
        <f t="shared" si="26"/>
        <v>272392.33999999997</v>
      </c>
      <c r="J27" s="24">
        <f t="shared" si="16"/>
        <v>0</v>
      </c>
      <c r="K27" s="24">
        <f t="shared" si="8"/>
        <v>8134.52</v>
      </c>
      <c r="L27" s="24">
        <f t="shared" si="17"/>
        <v>0</v>
      </c>
      <c r="M27" s="24">
        <f t="shared" si="29"/>
        <v>0</v>
      </c>
      <c r="N27" s="24">
        <f t="shared" si="18"/>
        <v>13639.48</v>
      </c>
      <c r="O27" s="24">
        <f t="shared" si="19"/>
        <v>0</v>
      </c>
      <c r="P27" s="24">
        <f t="shared" si="20"/>
        <v>0</v>
      </c>
      <c r="Q27" s="24">
        <f t="shared" si="9"/>
        <v>942125.34000000008</v>
      </c>
      <c r="R27" s="36">
        <f t="shared" si="30"/>
        <v>66</v>
      </c>
      <c r="S27" s="36">
        <f t="shared" si="10"/>
        <v>67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L27" s="130">
        <f t="shared" si="21"/>
        <v>1</v>
      </c>
      <c r="AM27" s="1057">
        <f t="shared" si="31"/>
        <v>19</v>
      </c>
      <c r="AN27" s="1058">
        <f t="shared" si="11"/>
        <v>45893</v>
      </c>
      <c r="AO27" s="105">
        <f t="shared" si="33"/>
        <v>21774</v>
      </c>
      <c r="AP27" s="105">
        <f t="shared" si="12"/>
        <v>13819.53</v>
      </c>
      <c r="AQ27" s="105">
        <f t="shared" si="13"/>
        <v>7954.4699999999993</v>
      </c>
      <c r="AR27" s="105">
        <f t="shared" si="34"/>
        <v>0</v>
      </c>
      <c r="AS27" s="105">
        <f t="shared" si="22"/>
        <v>0</v>
      </c>
      <c r="AT27" s="105">
        <f t="shared" si="23"/>
        <v>13819.53</v>
      </c>
      <c r="AU27" s="105">
        <f t="shared" si="24"/>
        <v>0</v>
      </c>
      <c r="AV27" s="105">
        <f t="shared" si="25"/>
        <v>0</v>
      </c>
      <c r="AW27" s="105">
        <f t="shared" si="14"/>
        <v>901061.5499999997</v>
      </c>
      <c r="AX27" s="108">
        <f t="shared" si="32"/>
        <v>66</v>
      </c>
      <c r="AY27" s="108">
        <f t="shared" si="15"/>
        <v>66</v>
      </c>
      <c r="AZ27" s="1047">
        <f t="shared" si="3"/>
        <v>45893</v>
      </c>
      <c r="BA27" s="108">
        <f t="shared" si="3"/>
        <v>21774</v>
      </c>
      <c r="BF27" s="16"/>
      <c r="BG27" s="16"/>
      <c r="BJ27" s="16"/>
    </row>
    <row r="28" spans="1:383" ht="22.5" customHeight="1" x14ac:dyDescent="0.2">
      <c r="A28" s="861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862"/>
      <c r="C28" s="644">
        <f>C7+C32+IF(C22="Да",C25,0)+IF(C11="Да",C12,0)</f>
        <v>1083439</v>
      </c>
      <c r="D28" s="644">
        <f>D7+D32+IF(D11="Да",D12,0)</f>
        <v>1038439</v>
      </c>
      <c r="E28" s="1055">
        <f t="shared" si="28"/>
        <v>20</v>
      </c>
      <c r="F28" s="1056">
        <f t="shared" si="5"/>
        <v>45924</v>
      </c>
      <c r="G28" s="24">
        <f t="shared" si="6"/>
        <v>21774</v>
      </c>
      <c r="H28" s="24">
        <f t="shared" si="7"/>
        <v>13522.73</v>
      </c>
      <c r="I28" s="24">
        <f t="shared" si="26"/>
        <v>285915.06999999995</v>
      </c>
      <c r="J28" s="24">
        <f t="shared" si="16"/>
        <v>0</v>
      </c>
      <c r="K28" s="24">
        <f t="shared" si="8"/>
        <v>8251.27</v>
      </c>
      <c r="L28" s="24">
        <f t="shared" si="17"/>
        <v>0</v>
      </c>
      <c r="M28" s="24">
        <f t="shared" si="29"/>
        <v>0</v>
      </c>
      <c r="N28" s="24">
        <f t="shared" si="18"/>
        <v>13522.73</v>
      </c>
      <c r="O28" s="24">
        <f t="shared" si="19"/>
        <v>0</v>
      </c>
      <c r="P28" s="24">
        <f t="shared" si="20"/>
        <v>0</v>
      </c>
      <c r="Q28" s="24">
        <f t="shared" si="9"/>
        <v>933874.07000000007</v>
      </c>
      <c r="R28" s="36">
        <f t="shared" si="30"/>
        <v>65</v>
      </c>
      <c r="S28" s="36">
        <f t="shared" si="10"/>
        <v>66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57">
        <f t="shared" si="31"/>
        <v>20</v>
      </c>
      <c r="AN28" s="1058">
        <f t="shared" si="11"/>
        <v>45924</v>
      </c>
      <c r="AO28" s="105">
        <f t="shared" si="33"/>
        <v>21774</v>
      </c>
      <c r="AP28" s="105">
        <f t="shared" si="12"/>
        <v>13698.6</v>
      </c>
      <c r="AQ28" s="105">
        <f t="shared" si="13"/>
        <v>8075.4</v>
      </c>
      <c r="AR28" s="105">
        <f t="shared" si="34"/>
        <v>0</v>
      </c>
      <c r="AS28" s="105">
        <f t="shared" si="22"/>
        <v>0</v>
      </c>
      <c r="AT28" s="105">
        <f t="shared" si="23"/>
        <v>13698.6</v>
      </c>
      <c r="AU28" s="105">
        <f t="shared" si="24"/>
        <v>0</v>
      </c>
      <c r="AV28" s="105">
        <f t="shared" si="25"/>
        <v>0</v>
      </c>
      <c r="AW28" s="105">
        <f t="shared" si="14"/>
        <v>892986.14999999967</v>
      </c>
      <c r="AX28" s="108">
        <f t="shared" si="32"/>
        <v>65</v>
      </c>
      <c r="AY28" s="108">
        <f t="shared" si="15"/>
        <v>65</v>
      </c>
      <c r="AZ28" s="1047">
        <f t="shared" si="3"/>
        <v>45924</v>
      </c>
      <c r="BA28" s="108">
        <f t="shared" si="3"/>
        <v>21774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61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862"/>
      <c r="C29" s="645">
        <f>IF(AND(C8="Нет",C22="Нет"),ROUNDUP(AB55/$AE$47,0)*$AE$47,D29)</f>
        <v>21774</v>
      </c>
      <c r="D29" s="646">
        <f>ROUNDUP(AD$55/$AE$47,0)*$AE$47</f>
        <v>21774</v>
      </c>
      <c r="E29" s="1055">
        <f t="shared" si="28"/>
        <v>21</v>
      </c>
      <c r="F29" s="1056">
        <f t="shared" si="5"/>
        <v>45954</v>
      </c>
      <c r="G29" s="24">
        <f t="shared" si="6"/>
        <v>21774</v>
      </c>
      <c r="H29" s="24">
        <f t="shared" si="7"/>
        <v>12971.89</v>
      </c>
      <c r="I29" s="24">
        <f t="shared" si="26"/>
        <v>298886.95999999996</v>
      </c>
      <c r="J29" s="24">
        <f t="shared" si="16"/>
        <v>0</v>
      </c>
      <c r="K29" s="24">
        <f t="shared" si="8"/>
        <v>8802.11</v>
      </c>
      <c r="L29" s="24">
        <f t="shared" si="17"/>
        <v>0</v>
      </c>
      <c r="M29" s="24">
        <f t="shared" si="29"/>
        <v>0</v>
      </c>
      <c r="N29" s="24">
        <f t="shared" si="18"/>
        <v>12971.89</v>
      </c>
      <c r="O29" s="24">
        <f t="shared" si="19"/>
        <v>0</v>
      </c>
      <c r="P29" s="24">
        <f t="shared" si="20"/>
        <v>0</v>
      </c>
      <c r="Q29" s="24">
        <f t="shared" si="9"/>
        <v>925071.96000000008</v>
      </c>
      <c r="R29" s="36">
        <f t="shared" si="30"/>
        <v>64</v>
      </c>
      <c r="S29" s="36">
        <f t="shared" si="10"/>
        <v>65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57">
        <f t="shared" si="31"/>
        <v>21</v>
      </c>
      <c r="AN29" s="1058">
        <f t="shared" si="11"/>
        <v>45954</v>
      </c>
      <c r="AO29" s="105">
        <f t="shared" si="33"/>
        <v>21774</v>
      </c>
      <c r="AP29" s="105">
        <f t="shared" si="12"/>
        <v>13137.91</v>
      </c>
      <c r="AQ29" s="105">
        <f t="shared" si="13"/>
        <v>8636.09</v>
      </c>
      <c r="AR29" s="105">
        <f t="shared" si="34"/>
        <v>0</v>
      </c>
      <c r="AS29" s="105">
        <f t="shared" si="22"/>
        <v>0</v>
      </c>
      <c r="AT29" s="105">
        <f t="shared" si="23"/>
        <v>13137.91</v>
      </c>
      <c r="AU29" s="105">
        <f t="shared" si="24"/>
        <v>0</v>
      </c>
      <c r="AV29" s="105">
        <f t="shared" si="25"/>
        <v>0</v>
      </c>
      <c r="AW29" s="105">
        <f t="shared" si="14"/>
        <v>884350.05999999971</v>
      </c>
      <c r="AX29" s="108">
        <f t="shared" si="32"/>
        <v>64</v>
      </c>
      <c r="AY29" s="108">
        <f t="shared" si="15"/>
        <v>64</v>
      </c>
      <c r="AZ29" s="1047">
        <f t="shared" si="3"/>
        <v>45954</v>
      </c>
      <c r="BA29" s="108">
        <f t="shared" si="3"/>
        <v>21774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41" t="s">
        <v>445</v>
      </c>
      <c r="B30" s="863"/>
      <c r="C30" s="647">
        <v>12</v>
      </c>
      <c r="D30" s="647">
        <f>IF(D8="нет",0,12)</f>
        <v>12</v>
      </c>
      <c r="E30" s="1055">
        <f t="shared" si="28"/>
        <v>22</v>
      </c>
      <c r="F30" s="1056">
        <f t="shared" si="5"/>
        <v>45985</v>
      </c>
      <c r="G30" s="24">
        <f t="shared" si="6"/>
        <v>21774</v>
      </c>
      <c r="H30" s="24">
        <f t="shared" si="7"/>
        <v>13277.95</v>
      </c>
      <c r="I30" s="24">
        <f t="shared" si="26"/>
        <v>312164.90999999997</v>
      </c>
      <c r="J30" s="24">
        <f t="shared" si="16"/>
        <v>0</v>
      </c>
      <c r="K30" s="24">
        <f t="shared" si="8"/>
        <v>8496.0499999999993</v>
      </c>
      <c r="L30" s="24">
        <f t="shared" si="17"/>
        <v>0</v>
      </c>
      <c r="M30" s="24">
        <f t="shared" si="29"/>
        <v>0</v>
      </c>
      <c r="N30" s="24">
        <f t="shared" si="18"/>
        <v>13277.95</v>
      </c>
      <c r="O30" s="24">
        <f t="shared" si="19"/>
        <v>0</v>
      </c>
      <c r="P30" s="24">
        <f t="shared" si="20"/>
        <v>0</v>
      </c>
      <c r="Q30" s="24">
        <f t="shared" si="9"/>
        <v>916575.91</v>
      </c>
      <c r="R30" s="36">
        <f t="shared" si="30"/>
        <v>63</v>
      </c>
      <c r="S30" s="36">
        <f t="shared" si="10"/>
        <v>64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57">
        <f t="shared" si="31"/>
        <v>22</v>
      </c>
      <c r="AN30" s="1058">
        <f t="shared" si="11"/>
        <v>45985</v>
      </c>
      <c r="AO30" s="105">
        <f t="shared" si="33"/>
        <v>21774</v>
      </c>
      <c r="AP30" s="105">
        <f t="shared" si="12"/>
        <v>13444.54</v>
      </c>
      <c r="AQ30" s="105">
        <f t="shared" si="13"/>
        <v>8329.4599999999991</v>
      </c>
      <c r="AR30" s="105">
        <f t="shared" si="34"/>
        <v>0</v>
      </c>
      <c r="AS30" s="105">
        <f t="shared" si="22"/>
        <v>0</v>
      </c>
      <c r="AT30" s="105">
        <f t="shared" si="23"/>
        <v>13444.54</v>
      </c>
      <c r="AU30" s="105">
        <f t="shared" si="24"/>
        <v>0</v>
      </c>
      <c r="AV30" s="105">
        <f t="shared" si="25"/>
        <v>0</v>
      </c>
      <c r="AW30" s="105">
        <f t="shared" si="14"/>
        <v>876020.59999999974</v>
      </c>
      <c r="AX30" s="108">
        <f t="shared" si="32"/>
        <v>63</v>
      </c>
      <c r="AY30" s="108">
        <f t="shared" si="15"/>
        <v>63</v>
      </c>
      <c r="AZ30" s="1047">
        <f t="shared" si="3"/>
        <v>45985</v>
      </c>
      <c r="BA30" s="108">
        <f t="shared" si="3"/>
        <v>21774</v>
      </c>
    </row>
    <row r="31" spans="1:383" ht="21" customHeight="1" x14ac:dyDescent="0.2">
      <c r="A31" s="841" t="s">
        <v>100</v>
      </c>
      <c r="B31" s="842"/>
      <c r="C31" s="649">
        <f>AH66</f>
        <v>1.18E-2</v>
      </c>
      <c r="D31" s="649"/>
      <c r="E31" s="1055">
        <f t="shared" si="28"/>
        <v>23</v>
      </c>
      <c r="F31" s="1056">
        <f t="shared" si="5"/>
        <v>46015</v>
      </c>
      <c r="G31" s="24">
        <f t="shared" si="6"/>
        <v>21774</v>
      </c>
      <c r="H31" s="24">
        <f t="shared" si="7"/>
        <v>12731.62</v>
      </c>
      <c r="I31" s="24">
        <f t="shared" si="26"/>
        <v>324896.52999999997</v>
      </c>
      <c r="J31" s="24">
        <f t="shared" si="16"/>
        <v>0</v>
      </c>
      <c r="K31" s="24">
        <f t="shared" si="8"/>
        <v>9042.3799999999992</v>
      </c>
      <c r="L31" s="24">
        <f t="shared" si="17"/>
        <v>0</v>
      </c>
      <c r="M31" s="24">
        <f t="shared" si="29"/>
        <v>0</v>
      </c>
      <c r="N31" s="24">
        <f t="shared" si="18"/>
        <v>12731.62</v>
      </c>
      <c r="O31" s="24">
        <f t="shared" si="19"/>
        <v>0</v>
      </c>
      <c r="P31" s="24">
        <f t="shared" si="20"/>
        <v>0</v>
      </c>
      <c r="Q31" s="24">
        <f t="shared" si="9"/>
        <v>907533.53</v>
      </c>
      <c r="R31" s="36">
        <f t="shared" si="30"/>
        <v>62</v>
      </c>
      <c r="S31" s="36">
        <f t="shared" si="10"/>
        <v>63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57">
        <f t="shared" si="31"/>
        <v>23</v>
      </c>
      <c r="AN31" s="1058">
        <f t="shared" si="11"/>
        <v>46015</v>
      </c>
      <c r="AO31" s="105">
        <f t="shared" si="33"/>
        <v>21774</v>
      </c>
      <c r="AP31" s="105">
        <f t="shared" si="12"/>
        <v>12888.3</v>
      </c>
      <c r="AQ31" s="105">
        <f t="shared" si="13"/>
        <v>8885.7000000000007</v>
      </c>
      <c r="AR31" s="105">
        <f t="shared" si="34"/>
        <v>0</v>
      </c>
      <c r="AS31" s="105">
        <f t="shared" si="22"/>
        <v>0</v>
      </c>
      <c r="AT31" s="105">
        <f t="shared" si="23"/>
        <v>12888.3</v>
      </c>
      <c r="AU31" s="105">
        <f t="shared" si="24"/>
        <v>0</v>
      </c>
      <c r="AV31" s="105">
        <f t="shared" si="25"/>
        <v>0</v>
      </c>
      <c r="AW31" s="105">
        <f t="shared" si="14"/>
        <v>867134.89999999979</v>
      </c>
      <c r="AX31" s="108">
        <f t="shared" si="32"/>
        <v>62</v>
      </c>
      <c r="AY31" s="108">
        <f t="shared" si="15"/>
        <v>62</v>
      </c>
      <c r="AZ31" s="1047">
        <f t="shared" si="3"/>
        <v>46015</v>
      </c>
      <c r="BA31" s="108">
        <f t="shared" si="3"/>
        <v>21774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41" t="s">
        <v>446</v>
      </c>
      <c r="B32" s="842"/>
      <c r="C32" s="650">
        <f>IF(C8="нет",0,AH67)</f>
        <v>127440</v>
      </c>
      <c r="D32" s="650">
        <f>AH67</f>
        <v>127440</v>
      </c>
      <c r="E32" s="1055">
        <f t="shared" si="28"/>
        <v>24</v>
      </c>
      <c r="F32" s="1056">
        <f t="shared" si="5"/>
        <v>46046</v>
      </c>
      <c r="G32" s="24">
        <f t="shared" si="6"/>
        <v>21774</v>
      </c>
      <c r="H32" s="24">
        <f t="shared" si="7"/>
        <v>13026.21</v>
      </c>
      <c r="I32" s="24">
        <f t="shared" si="26"/>
        <v>337922.74</v>
      </c>
      <c r="J32" s="24">
        <f t="shared" si="16"/>
        <v>0</v>
      </c>
      <c r="K32" s="24">
        <f t="shared" si="8"/>
        <v>8747.7900000000009</v>
      </c>
      <c r="L32" s="24">
        <f t="shared" si="17"/>
        <v>0</v>
      </c>
      <c r="M32" s="24">
        <f t="shared" si="29"/>
        <v>0</v>
      </c>
      <c r="N32" s="24">
        <f t="shared" si="18"/>
        <v>13026.21</v>
      </c>
      <c r="O32" s="24">
        <f t="shared" si="19"/>
        <v>0</v>
      </c>
      <c r="P32" s="24">
        <f t="shared" si="20"/>
        <v>0</v>
      </c>
      <c r="Q32" s="24">
        <f t="shared" si="9"/>
        <v>898785.74</v>
      </c>
      <c r="R32" s="36">
        <f t="shared" si="30"/>
        <v>61</v>
      </c>
      <c r="S32" s="36">
        <f t="shared" si="10"/>
        <v>62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2.9000000000000001E-2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57">
        <f t="shared" si="31"/>
        <v>24</v>
      </c>
      <c r="AN32" s="1058">
        <f t="shared" si="11"/>
        <v>46046</v>
      </c>
      <c r="AO32" s="105">
        <f t="shared" si="33"/>
        <v>21774</v>
      </c>
      <c r="AP32" s="105">
        <f t="shared" si="12"/>
        <v>13182.83</v>
      </c>
      <c r="AQ32" s="105">
        <f t="shared" si="13"/>
        <v>8591.17</v>
      </c>
      <c r="AR32" s="105">
        <f t="shared" si="34"/>
        <v>0</v>
      </c>
      <c r="AS32" s="105">
        <f t="shared" si="22"/>
        <v>0</v>
      </c>
      <c r="AT32" s="105">
        <f t="shared" si="23"/>
        <v>13182.83</v>
      </c>
      <c r="AU32" s="105">
        <f t="shared" si="24"/>
        <v>0</v>
      </c>
      <c r="AV32" s="105">
        <f t="shared" si="25"/>
        <v>0</v>
      </c>
      <c r="AW32" s="105">
        <f t="shared" si="14"/>
        <v>858543.72999999975</v>
      </c>
      <c r="AX32" s="108">
        <f t="shared" si="32"/>
        <v>61</v>
      </c>
      <c r="AY32" s="108">
        <f t="shared" si="15"/>
        <v>61</v>
      </c>
      <c r="AZ32" s="1047">
        <f t="shared" si="3"/>
        <v>46046</v>
      </c>
      <c r="BA32" s="108">
        <f t="shared" si="3"/>
        <v>21774</v>
      </c>
    </row>
    <row r="33" spans="1:1207" ht="19.5" customHeight="1" x14ac:dyDescent="0.2">
      <c r="A33" s="2" t="s">
        <v>447</v>
      </c>
      <c r="B33" s="1060" t="s">
        <v>35</v>
      </c>
      <c r="C33" s="2"/>
      <c r="D33" s="2"/>
      <c r="E33" s="1055">
        <f t="shared" si="28"/>
        <v>25</v>
      </c>
      <c r="F33" s="1056">
        <f t="shared" si="5"/>
        <v>46077</v>
      </c>
      <c r="G33" s="24">
        <f t="shared" si="6"/>
        <v>21774</v>
      </c>
      <c r="H33" s="24">
        <f t="shared" si="7"/>
        <v>12900.65</v>
      </c>
      <c r="I33" s="24">
        <f t="shared" si="26"/>
        <v>350823.39</v>
      </c>
      <c r="J33" s="24">
        <f t="shared" si="16"/>
        <v>0</v>
      </c>
      <c r="K33" s="24">
        <f t="shared" si="8"/>
        <v>8873.35</v>
      </c>
      <c r="L33" s="24">
        <f t="shared" si="17"/>
        <v>0</v>
      </c>
      <c r="M33" s="24">
        <f t="shared" si="29"/>
        <v>0</v>
      </c>
      <c r="N33" s="24">
        <f t="shared" si="18"/>
        <v>12900.65</v>
      </c>
      <c r="O33" s="24">
        <f t="shared" si="19"/>
        <v>0</v>
      </c>
      <c r="P33" s="24">
        <f t="shared" si="20"/>
        <v>0</v>
      </c>
      <c r="Q33" s="24">
        <f t="shared" si="9"/>
        <v>889912.39</v>
      </c>
      <c r="R33" s="36">
        <f t="shared" si="30"/>
        <v>60</v>
      </c>
      <c r="S33" s="36">
        <f t="shared" si="10"/>
        <v>61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57">
        <f t="shared" si="31"/>
        <v>25</v>
      </c>
      <c r="AN33" s="1058">
        <f t="shared" si="11"/>
        <v>46077</v>
      </c>
      <c r="AO33" s="105">
        <f t="shared" si="33"/>
        <v>21774</v>
      </c>
      <c r="AP33" s="105">
        <f t="shared" si="12"/>
        <v>13052.22</v>
      </c>
      <c r="AQ33" s="105">
        <f t="shared" si="13"/>
        <v>8721.7800000000007</v>
      </c>
      <c r="AR33" s="105">
        <f t="shared" si="34"/>
        <v>0</v>
      </c>
      <c r="AS33" s="105">
        <f t="shared" si="22"/>
        <v>0</v>
      </c>
      <c r="AT33" s="105">
        <f t="shared" si="23"/>
        <v>13052.22</v>
      </c>
      <c r="AU33" s="105">
        <f t="shared" si="24"/>
        <v>0</v>
      </c>
      <c r="AV33" s="105">
        <f t="shared" si="25"/>
        <v>0</v>
      </c>
      <c r="AW33" s="105">
        <f t="shared" si="14"/>
        <v>849821.94999999972</v>
      </c>
      <c r="AX33" s="108">
        <f t="shared" si="32"/>
        <v>60</v>
      </c>
      <c r="AY33" s="108">
        <f t="shared" si="15"/>
        <v>60</v>
      </c>
      <c r="AZ33" s="1047">
        <f t="shared" si="3"/>
        <v>46077</v>
      </c>
      <c r="BA33" s="108">
        <f t="shared" si="3"/>
        <v>21774</v>
      </c>
      <c r="BD33" s="782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1060" t="s">
        <v>47</v>
      </c>
      <c r="C34" s="16"/>
      <c r="D34" s="16"/>
      <c r="E34" s="1055">
        <f t="shared" si="28"/>
        <v>26</v>
      </c>
      <c r="F34" s="1056">
        <f t="shared" si="5"/>
        <v>46105</v>
      </c>
      <c r="G34" s="24">
        <f t="shared" si="6"/>
        <v>21774</v>
      </c>
      <c r="H34" s="24">
        <f t="shared" si="7"/>
        <v>11537.17</v>
      </c>
      <c r="I34" s="24">
        <f t="shared" si="26"/>
        <v>362360.56</v>
      </c>
      <c r="J34" s="24">
        <f t="shared" si="16"/>
        <v>0</v>
      </c>
      <c r="K34" s="24">
        <f t="shared" si="8"/>
        <v>10236.83</v>
      </c>
      <c r="L34" s="24">
        <f t="shared" si="17"/>
        <v>0</v>
      </c>
      <c r="M34" s="24">
        <f t="shared" si="29"/>
        <v>0</v>
      </c>
      <c r="N34" s="24">
        <f t="shared" si="18"/>
        <v>11537.17</v>
      </c>
      <c r="O34" s="24">
        <f t="shared" si="19"/>
        <v>0</v>
      </c>
      <c r="P34" s="24">
        <f t="shared" si="20"/>
        <v>0</v>
      </c>
      <c r="Q34" s="24">
        <f t="shared" si="9"/>
        <v>879675.56</v>
      </c>
      <c r="R34" s="36">
        <f t="shared" si="30"/>
        <v>59</v>
      </c>
      <c r="S34" s="36">
        <f t="shared" si="10"/>
        <v>60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57">
        <f t="shared" si="31"/>
        <v>26</v>
      </c>
      <c r="AN34" s="1058">
        <f t="shared" si="11"/>
        <v>46105</v>
      </c>
      <c r="AO34" s="105">
        <f t="shared" si="33"/>
        <v>21774</v>
      </c>
      <c r="AP34" s="105">
        <f t="shared" si="12"/>
        <v>11669.34</v>
      </c>
      <c r="AQ34" s="105">
        <f t="shared" si="13"/>
        <v>10104.66</v>
      </c>
      <c r="AR34" s="105">
        <f t="shared" si="34"/>
        <v>0</v>
      </c>
      <c r="AS34" s="105">
        <f t="shared" si="22"/>
        <v>0</v>
      </c>
      <c r="AT34" s="105">
        <f t="shared" si="23"/>
        <v>11669.34</v>
      </c>
      <c r="AU34" s="105">
        <f t="shared" si="24"/>
        <v>0</v>
      </c>
      <c r="AV34" s="105">
        <f t="shared" si="25"/>
        <v>0</v>
      </c>
      <c r="AW34" s="105">
        <f t="shared" si="14"/>
        <v>839717.28999999969</v>
      </c>
      <c r="AX34" s="108">
        <f t="shared" si="32"/>
        <v>59</v>
      </c>
      <c r="AY34" s="108">
        <f t="shared" si="15"/>
        <v>59</v>
      </c>
      <c r="AZ34" s="1047">
        <f t="shared" si="3"/>
        <v>46105</v>
      </c>
      <c r="BA34" s="108">
        <f t="shared" si="3"/>
        <v>21774</v>
      </c>
      <c r="BD34" s="782"/>
    </row>
    <row r="35" spans="1:1207" ht="25.5" customHeight="1" x14ac:dyDescent="0.25">
      <c r="A35" s="2" t="s">
        <v>451</v>
      </c>
      <c r="B35" s="1060" t="s">
        <v>47</v>
      </c>
      <c r="C35" s="16"/>
      <c r="D35" s="16"/>
      <c r="E35" s="1055">
        <f t="shared" si="28"/>
        <v>27</v>
      </c>
      <c r="F35" s="1056">
        <f t="shared" si="5"/>
        <v>46136</v>
      </c>
      <c r="G35" s="24">
        <f t="shared" si="6"/>
        <v>21774</v>
      </c>
      <c r="H35" s="24">
        <f t="shared" si="7"/>
        <v>12626.36</v>
      </c>
      <c r="I35" s="24">
        <f t="shared" si="26"/>
        <v>374986.92</v>
      </c>
      <c r="J35" s="24">
        <f t="shared" si="16"/>
        <v>0</v>
      </c>
      <c r="K35" s="24">
        <f t="shared" si="8"/>
        <v>9147.64</v>
      </c>
      <c r="L35" s="24">
        <f t="shared" si="17"/>
        <v>0</v>
      </c>
      <c r="M35" s="24">
        <f t="shared" si="29"/>
        <v>0</v>
      </c>
      <c r="N35" s="24">
        <f t="shared" si="18"/>
        <v>12626.36</v>
      </c>
      <c r="O35" s="24">
        <f t="shared" si="19"/>
        <v>0</v>
      </c>
      <c r="P35" s="24">
        <f t="shared" si="20"/>
        <v>0</v>
      </c>
      <c r="Q35" s="24">
        <f t="shared" si="9"/>
        <v>870527.92</v>
      </c>
      <c r="R35" s="36">
        <f t="shared" si="30"/>
        <v>58</v>
      </c>
      <c r="S35" s="36">
        <f t="shared" si="10"/>
        <v>59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57">
        <f t="shared" si="31"/>
        <v>27</v>
      </c>
      <c r="AN35" s="1058">
        <f t="shared" si="11"/>
        <v>46136</v>
      </c>
      <c r="AO35" s="105">
        <f t="shared" si="33"/>
        <v>21774</v>
      </c>
      <c r="AP35" s="105">
        <f t="shared" si="12"/>
        <v>12766</v>
      </c>
      <c r="AQ35" s="105">
        <f t="shared" si="13"/>
        <v>9008</v>
      </c>
      <c r="AR35" s="105">
        <f t="shared" si="34"/>
        <v>0</v>
      </c>
      <c r="AS35" s="105">
        <f t="shared" si="22"/>
        <v>0</v>
      </c>
      <c r="AT35" s="105">
        <f t="shared" si="23"/>
        <v>12766</v>
      </c>
      <c r="AU35" s="105">
        <f t="shared" si="24"/>
        <v>0</v>
      </c>
      <c r="AV35" s="105">
        <f t="shared" si="25"/>
        <v>0</v>
      </c>
      <c r="AW35" s="105">
        <f t="shared" si="14"/>
        <v>830709.28999999969</v>
      </c>
      <c r="AX35" s="108">
        <f t="shared" si="32"/>
        <v>58</v>
      </c>
      <c r="AY35" s="108">
        <f t="shared" si="15"/>
        <v>58</v>
      </c>
      <c r="AZ35" s="1047">
        <f t="shared" si="3"/>
        <v>46136</v>
      </c>
      <c r="BA35" s="108">
        <f t="shared" si="3"/>
        <v>21774</v>
      </c>
      <c r="BD35" s="782"/>
    </row>
    <row r="36" spans="1:1207" ht="16.5" customHeight="1" x14ac:dyDescent="0.2">
      <c r="B36" s="16"/>
      <c r="C36" s="15"/>
      <c r="D36" s="15"/>
      <c r="E36" s="1055">
        <f t="shared" si="28"/>
        <v>28</v>
      </c>
      <c r="F36" s="1056">
        <f t="shared" si="5"/>
        <v>46166</v>
      </c>
      <c r="G36" s="24">
        <f t="shared" si="6"/>
        <v>21774</v>
      </c>
      <c r="H36" s="24">
        <f t="shared" si="7"/>
        <v>12091.99</v>
      </c>
      <c r="I36" s="24">
        <f t="shared" si="26"/>
        <v>387078.91</v>
      </c>
      <c r="J36" s="24">
        <f t="shared" si="16"/>
        <v>0</v>
      </c>
      <c r="K36" s="24">
        <f t="shared" si="8"/>
        <v>9682.01</v>
      </c>
      <c r="L36" s="24">
        <f t="shared" si="17"/>
        <v>0</v>
      </c>
      <c r="M36" s="24">
        <f t="shared" si="29"/>
        <v>0</v>
      </c>
      <c r="N36" s="24">
        <f t="shared" si="18"/>
        <v>12091.99</v>
      </c>
      <c r="O36" s="24">
        <f t="shared" si="19"/>
        <v>0</v>
      </c>
      <c r="P36" s="24">
        <f t="shared" si="20"/>
        <v>0</v>
      </c>
      <c r="Q36" s="24">
        <f t="shared" si="9"/>
        <v>860845.91</v>
      </c>
      <c r="R36" s="36">
        <f t="shared" si="30"/>
        <v>57</v>
      </c>
      <c r="S36" s="36">
        <f t="shared" si="10"/>
        <v>58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57">
        <f t="shared" si="31"/>
        <v>28</v>
      </c>
      <c r="AN36" s="1058">
        <f t="shared" si="11"/>
        <v>46166</v>
      </c>
      <c r="AO36" s="105">
        <f t="shared" si="33"/>
        <v>21774</v>
      </c>
      <c r="AP36" s="105">
        <f t="shared" si="12"/>
        <v>12221.67</v>
      </c>
      <c r="AQ36" s="105">
        <f t="shared" si="13"/>
        <v>9552.33</v>
      </c>
      <c r="AR36" s="105">
        <f t="shared" si="34"/>
        <v>0</v>
      </c>
      <c r="AS36" s="105">
        <f t="shared" si="22"/>
        <v>0</v>
      </c>
      <c r="AT36" s="105">
        <f t="shared" si="23"/>
        <v>12221.67</v>
      </c>
      <c r="AU36" s="105">
        <f t="shared" si="24"/>
        <v>0</v>
      </c>
      <c r="AV36" s="105">
        <f t="shared" si="25"/>
        <v>0</v>
      </c>
      <c r="AW36" s="105">
        <f t="shared" si="14"/>
        <v>821156.95999999973</v>
      </c>
      <c r="AX36" s="108">
        <f t="shared" si="32"/>
        <v>57</v>
      </c>
      <c r="AY36" s="108">
        <f t="shared" si="15"/>
        <v>57</v>
      </c>
      <c r="AZ36" s="1047">
        <f t="shared" si="3"/>
        <v>46166</v>
      </c>
      <c r="BA36" s="108">
        <f t="shared" si="3"/>
        <v>21774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055">
        <f t="shared" si="28"/>
        <v>29</v>
      </c>
      <c r="F37" s="1056">
        <f t="shared" si="5"/>
        <v>46197</v>
      </c>
      <c r="G37" s="24">
        <f t="shared" si="6"/>
        <v>21774</v>
      </c>
      <c r="H37" s="24">
        <f t="shared" si="7"/>
        <v>12356.09</v>
      </c>
      <c r="I37" s="24">
        <f t="shared" si="26"/>
        <v>399435</v>
      </c>
      <c r="J37" s="24">
        <f t="shared" si="16"/>
        <v>0</v>
      </c>
      <c r="K37" s="24">
        <f t="shared" si="8"/>
        <v>9417.91</v>
      </c>
      <c r="L37" s="24">
        <f t="shared" si="17"/>
        <v>0</v>
      </c>
      <c r="M37" s="24">
        <f t="shared" si="29"/>
        <v>0</v>
      </c>
      <c r="N37" s="24">
        <f t="shared" si="18"/>
        <v>12356.09</v>
      </c>
      <c r="O37" s="24">
        <f t="shared" si="19"/>
        <v>0</v>
      </c>
      <c r="P37" s="24">
        <f t="shared" si="20"/>
        <v>0</v>
      </c>
      <c r="Q37" s="24">
        <f t="shared" si="9"/>
        <v>851428</v>
      </c>
      <c r="R37" s="36">
        <f t="shared" si="30"/>
        <v>56</v>
      </c>
      <c r="S37" s="36">
        <f t="shared" si="10"/>
        <v>57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57">
        <f t="shared" si="31"/>
        <v>29</v>
      </c>
      <c r="AN37" s="1058">
        <f t="shared" si="11"/>
        <v>46197</v>
      </c>
      <c r="AO37" s="105">
        <f>IF(AX36=1,AR37+AP37+AQ37,IF(AW36+AR37+AP37&gt;AO36,$D$29,IF(AW36=0,0,AW36+AR37+AP37+AP69)))</f>
        <v>21774</v>
      </c>
      <c r="AP37" s="105">
        <f t="shared" si="12"/>
        <v>12483.84</v>
      </c>
      <c r="AQ37" s="105">
        <f t="shared" si="13"/>
        <v>9290.16</v>
      </c>
      <c r="AR37" s="105">
        <f t="shared" si="34"/>
        <v>0</v>
      </c>
      <c r="AS37" s="105">
        <f t="shared" si="22"/>
        <v>0</v>
      </c>
      <c r="AT37" s="105">
        <f t="shared" si="23"/>
        <v>12483.84</v>
      </c>
      <c r="AU37" s="105">
        <f t="shared" si="24"/>
        <v>0</v>
      </c>
      <c r="AV37" s="105">
        <f t="shared" si="25"/>
        <v>0</v>
      </c>
      <c r="AW37" s="105">
        <f t="shared" si="14"/>
        <v>811866.7999999997</v>
      </c>
      <c r="AX37" s="108">
        <f t="shared" si="32"/>
        <v>56</v>
      </c>
      <c r="AY37" s="108">
        <f t="shared" si="15"/>
        <v>56</v>
      </c>
      <c r="AZ37" s="1047">
        <f t="shared" si="3"/>
        <v>46197</v>
      </c>
      <c r="BA37" s="108">
        <f t="shared" si="3"/>
        <v>21774</v>
      </c>
    </row>
    <row r="38" spans="1:1207" s="16" customFormat="1" ht="16.5" customHeight="1" x14ac:dyDescent="0.2">
      <c r="A38" s="2"/>
      <c r="B38" s="2"/>
      <c r="C38" s="2"/>
      <c r="D38" s="2"/>
      <c r="E38" s="1055">
        <f t="shared" si="28"/>
        <v>30</v>
      </c>
      <c r="F38" s="1056">
        <f t="shared" si="5"/>
        <v>46227</v>
      </c>
      <c r="G38" s="24">
        <f t="shared" si="6"/>
        <v>21774</v>
      </c>
      <c r="H38" s="24">
        <f t="shared" si="7"/>
        <v>11826.68</v>
      </c>
      <c r="I38" s="24">
        <f t="shared" si="26"/>
        <v>411261.68</v>
      </c>
      <c r="J38" s="24">
        <f t="shared" si="16"/>
        <v>0</v>
      </c>
      <c r="K38" s="24">
        <f t="shared" si="8"/>
        <v>9947.32</v>
      </c>
      <c r="L38" s="24">
        <f t="shared" si="17"/>
        <v>0</v>
      </c>
      <c r="M38" s="24">
        <f t="shared" si="29"/>
        <v>0</v>
      </c>
      <c r="N38" s="24">
        <f t="shared" si="18"/>
        <v>11826.68</v>
      </c>
      <c r="O38" s="24">
        <f t="shared" si="19"/>
        <v>0</v>
      </c>
      <c r="P38" s="24">
        <f t="shared" si="20"/>
        <v>0</v>
      </c>
      <c r="Q38" s="24">
        <f t="shared" si="9"/>
        <v>841480.68</v>
      </c>
      <c r="R38" s="36">
        <f t="shared" si="30"/>
        <v>55</v>
      </c>
      <c r="S38" s="36">
        <f t="shared" si="10"/>
        <v>56</v>
      </c>
      <c r="T38" s="142">
        <v>199001</v>
      </c>
      <c r="U38" s="1071">
        <v>500000</v>
      </c>
      <c r="V38" s="142">
        <v>3499</v>
      </c>
      <c r="W38" s="1071">
        <v>4999</v>
      </c>
      <c r="X38" s="1071">
        <v>6999</v>
      </c>
      <c r="Y38" s="1071"/>
      <c r="Z38" s="1071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57">
        <f t="shared" si="31"/>
        <v>30</v>
      </c>
      <c r="AN38" s="1058">
        <f t="shared" si="11"/>
        <v>46227</v>
      </c>
      <c r="AO38" s="105">
        <f>IF(AX37=1,AR38+AP38+AQ38,IF(AW37+AR38+AP38&gt;AO37,$D$29,IF(AW37=0,0,AW37+AR38+AP38+AP70)))</f>
        <v>21774</v>
      </c>
      <c r="AP38" s="105">
        <f t="shared" si="12"/>
        <v>11944.45</v>
      </c>
      <c r="AQ38" s="105">
        <f t="shared" si="13"/>
        <v>9829.5499999999993</v>
      </c>
      <c r="AR38" s="105">
        <f t="shared" si="34"/>
        <v>0</v>
      </c>
      <c r="AS38" s="105">
        <f t="shared" si="22"/>
        <v>0</v>
      </c>
      <c r="AT38" s="105">
        <f t="shared" si="23"/>
        <v>11944.45</v>
      </c>
      <c r="AU38" s="105">
        <f t="shared" si="24"/>
        <v>0</v>
      </c>
      <c r="AV38" s="105">
        <f t="shared" si="25"/>
        <v>0</v>
      </c>
      <c r="AW38" s="105">
        <f t="shared" si="14"/>
        <v>802037.24999999965</v>
      </c>
      <c r="AX38" s="108">
        <f t="shared" si="32"/>
        <v>55</v>
      </c>
      <c r="AY38" s="108">
        <f t="shared" si="15"/>
        <v>55</v>
      </c>
      <c r="AZ38" s="1047">
        <f t="shared" si="3"/>
        <v>46227</v>
      </c>
      <c r="BA38" s="108">
        <f t="shared" si="3"/>
        <v>21774</v>
      </c>
    </row>
    <row r="39" spans="1:1207" s="16" customFormat="1" x14ac:dyDescent="0.2">
      <c r="A39" s="2"/>
      <c r="B39" s="2"/>
      <c r="C39" s="2"/>
      <c r="D39" s="2"/>
      <c r="E39" s="1055">
        <f t="shared" si="28"/>
        <v>31</v>
      </c>
      <c r="F39" s="1056">
        <f t="shared" si="5"/>
        <v>46258</v>
      </c>
      <c r="G39" s="24">
        <f t="shared" si="6"/>
        <v>21774</v>
      </c>
      <c r="H39" s="24">
        <f t="shared" si="7"/>
        <v>12078.13</v>
      </c>
      <c r="I39" s="24">
        <f t="shared" si="26"/>
        <v>423339.81</v>
      </c>
      <c r="J39" s="24">
        <f t="shared" si="16"/>
        <v>0</v>
      </c>
      <c r="K39" s="24">
        <f t="shared" si="8"/>
        <v>9695.8700000000008</v>
      </c>
      <c r="L39" s="24">
        <f t="shared" si="17"/>
        <v>0</v>
      </c>
      <c r="M39" s="24">
        <f t="shared" si="29"/>
        <v>0</v>
      </c>
      <c r="N39" s="24">
        <f t="shared" si="18"/>
        <v>12078.13</v>
      </c>
      <c r="O39" s="24">
        <f t="shared" si="19"/>
        <v>0</v>
      </c>
      <c r="P39" s="24">
        <f t="shared" si="20"/>
        <v>0</v>
      </c>
      <c r="Q39" s="24">
        <f t="shared" si="9"/>
        <v>831784.81</v>
      </c>
      <c r="R39" s="36">
        <f t="shared" si="30"/>
        <v>54</v>
      </c>
      <c r="S39" s="36">
        <f t="shared" si="10"/>
        <v>55</v>
      </c>
      <c r="T39" s="1071">
        <v>500001</v>
      </c>
      <c r="U39" s="142">
        <v>1000000</v>
      </c>
      <c r="V39" s="1071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57">
        <f t="shared" si="31"/>
        <v>31</v>
      </c>
      <c r="AN39" s="1058">
        <f t="shared" si="11"/>
        <v>46258</v>
      </c>
      <c r="AO39" s="105">
        <f t="shared" ref="AO39:AO102" si="35">IF(AX38=1,AR39+AP39+AQ39,IF(AW38+AR39+AP39&gt;AO38,$D$29,IF(AW38=0,0,AW38+AR39+AP39+AP71)))</f>
        <v>21774</v>
      </c>
      <c r="AP39" s="105">
        <f t="shared" si="12"/>
        <v>12193.16</v>
      </c>
      <c r="AQ39" s="105">
        <f t="shared" si="13"/>
        <v>9580.84</v>
      </c>
      <c r="AR39" s="105">
        <f t="shared" si="34"/>
        <v>0</v>
      </c>
      <c r="AS39" s="105">
        <f t="shared" si="22"/>
        <v>0</v>
      </c>
      <c r="AT39" s="105">
        <f t="shared" si="23"/>
        <v>12193.16</v>
      </c>
      <c r="AU39" s="105">
        <f t="shared" si="24"/>
        <v>0</v>
      </c>
      <c r="AV39" s="105">
        <f t="shared" si="25"/>
        <v>0</v>
      </c>
      <c r="AW39" s="105">
        <f t="shared" si="14"/>
        <v>792456.40999999968</v>
      </c>
      <c r="AX39" s="108">
        <f t="shared" si="32"/>
        <v>54</v>
      </c>
      <c r="AY39" s="108">
        <f t="shared" si="15"/>
        <v>54</v>
      </c>
      <c r="AZ39" s="1047">
        <f t="shared" si="3"/>
        <v>46258</v>
      </c>
      <c r="BA39" s="108">
        <f t="shared" si="3"/>
        <v>21774</v>
      </c>
    </row>
    <row r="40" spans="1:1207" s="16" customFormat="1" x14ac:dyDescent="0.2">
      <c r="A40" s="2"/>
      <c r="B40" s="2"/>
      <c r="C40" s="2"/>
      <c r="D40" s="2"/>
      <c r="E40" s="1055">
        <f t="shared" si="28"/>
        <v>32</v>
      </c>
      <c r="F40" s="1056">
        <f t="shared" si="5"/>
        <v>46289</v>
      </c>
      <c r="G40" s="24">
        <f t="shared" si="6"/>
        <v>21774</v>
      </c>
      <c r="H40" s="24">
        <f t="shared" si="7"/>
        <v>11938.96</v>
      </c>
      <c r="I40" s="24">
        <f t="shared" si="26"/>
        <v>435278.77</v>
      </c>
      <c r="J40" s="24">
        <f t="shared" si="16"/>
        <v>0</v>
      </c>
      <c r="K40" s="24">
        <f t="shared" si="8"/>
        <v>9835.0400000000009</v>
      </c>
      <c r="L40" s="24">
        <f t="shared" si="17"/>
        <v>0</v>
      </c>
      <c r="M40" s="24">
        <f t="shared" si="29"/>
        <v>0</v>
      </c>
      <c r="N40" s="24">
        <f t="shared" si="18"/>
        <v>11938.96</v>
      </c>
      <c r="O40" s="24">
        <f t="shared" si="19"/>
        <v>0</v>
      </c>
      <c r="P40" s="24">
        <f t="shared" si="20"/>
        <v>0</v>
      </c>
      <c r="Q40" s="24">
        <f t="shared" si="9"/>
        <v>821949.77</v>
      </c>
      <c r="R40" s="36">
        <f t="shared" si="30"/>
        <v>53</v>
      </c>
      <c r="S40" s="36">
        <f t="shared" si="10"/>
        <v>54</v>
      </c>
      <c r="T40" s="142">
        <v>1000001</v>
      </c>
      <c r="U40" s="1071">
        <v>5000000</v>
      </c>
      <c r="V40" s="142">
        <v>6499</v>
      </c>
      <c r="W40" s="142">
        <v>8499</v>
      </c>
      <c r="X40" s="1071">
        <v>9999</v>
      </c>
      <c r="Y40" s="1071">
        <v>10999</v>
      </c>
      <c r="Z40" s="1071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57">
        <f t="shared" si="31"/>
        <v>32</v>
      </c>
      <c r="AN40" s="1058">
        <f t="shared" si="11"/>
        <v>46289</v>
      </c>
      <c r="AO40" s="105">
        <f t="shared" si="35"/>
        <v>21774</v>
      </c>
      <c r="AP40" s="105">
        <f t="shared" si="12"/>
        <v>12047.51</v>
      </c>
      <c r="AQ40" s="105">
        <f t="shared" si="13"/>
        <v>9726.49</v>
      </c>
      <c r="AR40" s="105">
        <f t="shared" si="34"/>
        <v>0</v>
      </c>
      <c r="AS40" s="105">
        <f t="shared" si="22"/>
        <v>0</v>
      </c>
      <c r="AT40" s="105">
        <f t="shared" si="23"/>
        <v>12047.51</v>
      </c>
      <c r="AU40" s="105">
        <f t="shared" si="24"/>
        <v>0</v>
      </c>
      <c r="AV40" s="105">
        <f t="shared" si="25"/>
        <v>0</v>
      </c>
      <c r="AW40" s="105">
        <f t="shared" si="14"/>
        <v>782729.91999999969</v>
      </c>
      <c r="AX40" s="108">
        <f t="shared" si="32"/>
        <v>53</v>
      </c>
      <c r="AY40" s="108">
        <f t="shared" si="15"/>
        <v>53</v>
      </c>
      <c r="AZ40" s="1047">
        <f t="shared" ref="AZ40:BA71" si="36">F40</f>
        <v>46289</v>
      </c>
      <c r="BA40" s="108">
        <f t="shared" si="36"/>
        <v>21774</v>
      </c>
    </row>
    <row r="41" spans="1:1207" s="16" customFormat="1" ht="28.5" customHeight="1" x14ac:dyDescent="0.2">
      <c r="A41" s="2"/>
      <c r="B41" s="2"/>
      <c r="C41" s="2"/>
      <c r="D41" s="2"/>
      <c r="E41" s="1055">
        <f t="shared" si="28"/>
        <v>33</v>
      </c>
      <c r="F41" s="1056">
        <f t="shared" si="5"/>
        <v>46319</v>
      </c>
      <c r="G41" s="24">
        <f t="shared" si="6"/>
        <v>21774</v>
      </c>
      <c r="H41" s="24">
        <f t="shared" si="7"/>
        <v>11417.22</v>
      </c>
      <c r="I41" s="24">
        <f t="shared" si="26"/>
        <v>446695.99</v>
      </c>
      <c r="J41" s="24">
        <f t="shared" si="16"/>
        <v>0</v>
      </c>
      <c r="K41" s="24">
        <f t="shared" si="8"/>
        <v>10356.780000000001</v>
      </c>
      <c r="L41" s="24">
        <f t="shared" si="17"/>
        <v>0</v>
      </c>
      <c r="M41" s="24">
        <f t="shared" si="29"/>
        <v>0</v>
      </c>
      <c r="N41" s="24">
        <f t="shared" si="18"/>
        <v>11417.22</v>
      </c>
      <c r="O41" s="24">
        <f t="shared" si="19"/>
        <v>0</v>
      </c>
      <c r="P41" s="24">
        <f t="shared" si="20"/>
        <v>0</v>
      </c>
      <c r="Q41" s="24">
        <f t="shared" si="9"/>
        <v>811592.99</v>
      </c>
      <c r="R41" s="36">
        <f t="shared" si="30"/>
        <v>52</v>
      </c>
      <c r="S41" s="36">
        <f t="shared" si="10"/>
        <v>53</v>
      </c>
      <c r="T41" s="2">
        <f>IF(C11="Да",IF($C$10&gt;=Z35,Z41,IF($C$10&gt;=Y35,Y41,IF($C$10&gt;=X35,X41,IF($C$10&gt;=W35,W41,IF($C$10&gt;=W35,W41,V41))))),"")</f>
        <v>10999</v>
      </c>
      <c r="U41" s="2"/>
      <c r="V41" s="2">
        <f>IF($C$7&lt;$U$37,V37,IF($C$7&lt;$U$38,V38,IF($C$7&lt;$U$39,V39,V40)))</f>
        <v>4999</v>
      </c>
      <c r="W41" s="2">
        <f>IF($C$7&lt;$U$37,W37,IF($C$7&lt;$U$38,W38,IF($C$7&lt;$U$39,W39,W40)))</f>
        <v>6499</v>
      </c>
      <c r="X41" s="2">
        <f>IF($C$7&lt;$U$37,X37,IF($C$7&lt;$U$38,X38,IF($C$7&lt;$U$39,X39,X40)))</f>
        <v>8499</v>
      </c>
      <c r="Y41" s="2">
        <f>IF($C$7&lt;$U$37,Y37,IF($C$7&lt;$U$38,Y38,IF($C$7&lt;$U$39,Y39,Y40)))</f>
        <v>9499</v>
      </c>
      <c r="Z41" s="2">
        <f>IF($C$7&lt;$U$37,Z37,IF($C$7&lt;$U$38,Z38,IF($C$7&lt;$U$39,Z39,Z40)))</f>
        <v>10999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57">
        <f t="shared" si="31"/>
        <v>33</v>
      </c>
      <c r="AN41" s="1058">
        <f t="shared" si="11"/>
        <v>46319</v>
      </c>
      <c r="AO41" s="105">
        <f t="shared" si="35"/>
        <v>21774</v>
      </c>
      <c r="AP41" s="105">
        <f t="shared" si="12"/>
        <v>11515.78</v>
      </c>
      <c r="AQ41" s="105">
        <f t="shared" si="13"/>
        <v>10258.219999999999</v>
      </c>
      <c r="AR41" s="105">
        <f t="shared" si="34"/>
        <v>0</v>
      </c>
      <c r="AS41" s="105">
        <f t="shared" si="22"/>
        <v>0</v>
      </c>
      <c r="AT41" s="105">
        <f t="shared" si="23"/>
        <v>11515.78</v>
      </c>
      <c r="AU41" s="105">
        <f t="shared" si="24"/>
        <v>0</v>
      </c>
      <c r="AV41" s="105">
        <f t="shared" si="25"/>
        <v>0</v>
      </c>
      <c r="AW41" s="105">
        <f t="shared" si="14"/>
        <v>772471.69999999972</v>
      </c>
      <c r="AX41" s="108">
        <f t="shared" si="32"/>
        <v>52</v>
      </c>
      <c r="AY41" s="108">
        <f t="shared" si="15"/>
        <v>52</v>
      </c>
      <c r="AZ41" s="1047">
        <f t="shared" si="36"/>
        <v>46319</v>
      </c>
      <c r="BA41" s="108">
        <f t="shared" si="36"/>
        <v>21774</v>
      </c>
    </row>
    <row r="42" spans="1:1207" s="16" customFormat="1" ht="12" x14ac:dyDescent="0.2">
      <c r="A42" s="2"/>
      <c r="B42" s="2"/>
      <c r="C42" s="130"/>
      <c r="D42" s="2"/>
      <c r="E42" s="1055">
        <f t="shared" si="28"/>
        <v>34</v>
      </c>
      <c r="F42" s="1056">
        <f t="shared" si="5"/>
        <v>46350</v>
      </c>
      <c r="G42" s="24">
        <f t="shared" si="6"/>
        <v>21774</v>
      </c>
      <c r="H42" s="24">
        <f t="shared" si="7"/>
        <v>11649.14</v>
      </c>
      <c r="I42" s="24">
        <f t="shared" si="26"/>
        <v>458345.13</v>
      </c>
      <c r="J42" s="24">
        <f t="shared" si="16"/>
        <v>0</v>
      </c>
      <c r="K42" s="24">
        <f t="shared" si="8"/>
        <v>10124.86</v>
      </c>
      <c r="L42" s="24">
        <f t="shared" si="17"/>
        <v>0</v>
      </c>
      <c r="M42" s="24">
        <f t="shared" si="29"/>
        <v>0</v>
      </c>
      <c r="N42" s="24">
        <f t="shared" si="18"/>
        <v>11649.14</v>
      </c>
      <c r="O42" s="24">
        <f t="shared" si="19"/>
        <v>0</v>
      </c>
      <c r="P42" s="24">
        <f t="shared" si="20"/>
        <v>0</v>
      </c>
      <c r="Q42" s="24">
        <f t="shared" si="9"/>
        <v>801468.13</v>
      </c>
      <c r="R42" s="36">
        <f t="shared" si="30"/>
        <v>51</v>
      </c>
      <c r="S42" s="36">
        <f t="shared" si="10"/>
        <v>52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57">
        <f t="shared" si="31"/>
        <v>34</v>
      </c>
      <c r="AN42" s="1058">
        <f t="shared" si="11"/>
        <v>46350</v>
      </c>
      <c r="AO42" s="105">
        <f t="shared" si="35"/>
        <v>21774</v>
      </c>
      <c r="AP42" s="105">
        <f t="shared" si="12"/>
        <v>11743.69</v>
      </c>
      <c r="AQ42" s="105">
        <f t="shared" si="13"/>
        <v>10030.31</v>
      </c>
      <c r="AR42" s="105">
        <f t="shared" si="34"/>
        <v>0</v>
      </c>
      <c r="AS42" s="105">
        <f t="shared" si="22"/>
        <v>0</v>
      </c>
      <c r="AT42" s="105">
        <f t="shared" si="23"/>
        <v>11743.69</v>
      </c>
      <c r="AU42" s="105">
        <f t="shared" si="24"/>
        <v>0</v>
      </c>
      <c r="AV42" s="105">
        <f t="shared" si="25"/>
        <v>0</v>
      </c>
      <c r="AW42" s="105">
        <f t="shared" si="14"/>
        <v>762441.38999999966</v>
      </c>
      <c r="AX42" s="108">
        <f t="shared" si="32"/>
        <v>51</v>
      </c>
      <c r="AY42" s="108">
        <f t="shared" si="15"/>
        <v>51</v>
      </c>
      <c r="AZ42" s="1047">
        <f t="shared" si="36"/>
        <v>46350</v>
      </c>
      <c r="BA42" s="108">
        <f t="shared" si="36"/>
        <v>21774</v>
      </c>
    </row>
    <row r="43" spans="1:1207" s="16" customFormat="1" ht="12" x14ac:dyDescent="0.2">
      <c r="A43" s="2"/>
      <c r="B43" s="2"/>
      <c r="C43" s="2"/>
      <c r="D43" s="2"/>
      <c r="E43" s="1055">
        <f t="shared" si="28"/>
        <v>35</v>
      </c>
      <c r="F43" s="1056">
        <f t="shared" si="5"/>
        <v>46380</v>
      </c>
      <c r="G43" s="24">
        <f t="shared" si="6"/>
        <v>21774</v>
      </c>
      <c r="H43" s="24">
        <f t="shared" si="7"/>
        <v>11132.72</v>
      </c>
      <c r="I43" s="24">
        <f t="shared" si="26"/>
        <v>469477.85</v>
      </c>
      <c r="J43" s="24">
        <f t="shared" si="16"/>
        <v>0</v>
      </c>
      <c r="K43" s="24">
        <f t="shared" si="8"/>
        <v>10641.28</v>
      </c>
      <c r="L43" s="24">
        <f t="shared" si="17"/>
        <v>0</v>
      </c>
      <c r="M43" s="24">
        <f t="shared" si="29"/>
        <v>0</v>
      </c>
      <c r="N43" s="24">
        <f t="shared" si="18"/>
        <v>11132.72</v>
      </c>
      <c r="O43" s="24">
        <f t="shared" si="19"/>
        <v>0</v>
      </c>
      <c r="P43" s="24">
        <f t="shared" si="20"/>
        <v>0</v>
      </c>
      <c r="Q43" s="24">
        <f t="shared" si="9"/>
        <v>790826.85</v>
      </c>
      <c r="R43" s="36">
        <f t="shared" si="30"/>
        <v>50</v>
      </c>
      <c r="S43" s="36">
        <f t="shared" si="10"/>
        <v>51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57">
        <f t="shared" si="31"/>
        <v>35</v>
      </c>
      <c r="AN43" s="1058">
        <f t="shared" si="11"/>
        <v>46380</v>
      </c>
      <c r="AO43" s="105">
        <f t="shared" si="35"/>
        <v>21774</v>
      </c>
      <c r="AP43" s="105">
        <f t="shared" si="12"/>
        <v>11217.29</v>
      </c>
      <c r="AQ43" s="105">
        <f t="shared" si="13"/>
        <v>10556.71</v>
      </c>
      <c r="AR43" s="105">
        <f t="shared" si="34"/>
        <v>0</v>
      </c>
      <c r="AS43" s="105">
        <f t="shared" si="22"/>
        <v>0</v>
      </c>
      <c r="AT43" s="105">
        <f t="shared" si="23"/>
        <v>11217.29</v>
      </c>
      <c r="AU43" s="105">
        <f t="shared" si="24"/>
        <v>0</v>
      </c>
      <c r="AV43" s="105">
        <f t="shared" si="25"/>
        <v>0</v>
      </c>
      <c r="AW43" s="105">
        <f t="shared" si="14"/>
        <v>751884.6799999997</v>
      </c>
      <c r="AX43" s="108">
        <f t="shared" si="32"/>
        <v>50</v>
      </c>
      <c r="AY43" s="108">
        <f t="shared" si="15"/>
        <v>50</v>
      </c>
      <c r="AZ43" s="1047">
        <f t="shared" si="36"/>
        <v>46380</v>
      </c>
      <c r="BA43" s="108">
        <f t="shared" si="36"/>
        <v>21774</v>
      </c>
    </row>
    <row r="44" spans="1:1207" s="16" customFormat="1" x14ac:dyDescent="0.2">
      <c r="A44" s="2"/>
      <c r="B44" s="2"/>
      <c r="C44" s="13"/>
      <c r="D44" s="13"/>
      <c r="E44" s="1055">
        <f t="shared" si="28"/>
        <v>36</v>
      </c>
      <c r="F44" s="1056">
        <f t="shared" si="5"/>
        <v>46411</v>
      </c>
      <c r="G44" s="24">
        <f t="shared" si="6"/>
        <v>21774</v>
      </c>
      <c r="H44" s="24">
        <f t="shared" si="7"/>
        <v>11351.07</v>
      </c>
      <c r="I44" s="24">
        <f t="shared" si="26"/>
        <v>480828.92</v>
      </c>
      <c r="J44" s="24">
        <f t="shared" si="16"/>
        <v>0</v>
      </c>
      <c r="K44" s="24">
        <f t="shared" si="8"/>
        <v>10422.93</v>
      </c>
      <c r="L44" s="24">
        <f t="shared" si="17"/>
        <v>0</v>
      </c>
      <c r="M44" s="24">
        <f t="shared" si="29"/>
        <v>0</v>
      </c>
      <c r="N44" s="24">
        <f t="shared" si="18"/>
        <v>11351.07</v>
      </c>
      <c r="O44" s="24">
        <f t="shared" si="19"/>
        <v>0</v>
      </c>
      <c r="P44" s="24">
        <f t="shared" si="20"/>
        <v>0</v>
      </c>
      <c r="Q44" s="24">
        <f t="shared" si="9"/>
        <v>780403.91999999993</v>
      </c>
      <c r="R44" s="36">
        <f t="shared" si="30"/>
        <v>49</v>
      </c>
      <c r="S44" s="36">
        <f t="shared" si="10"/>
        <v>50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57">
        <f t="shared" si="31"/>
        <v>36</v>
      </c>
      <c r="AN44" s="1058">
        <f t="shared" si="11"/>
        <v>46411</v>
      </c>
      <c r="AO44" s="105">
        <f t="shared" si="35"/>
        <v>21774</v>
      </c>
      <c r="AP44" s="105">
        <f t="shared" si="12"/>
        <v>11430.71</v>
      </c>
      <c r="AQ44" s="105">
        <f t="shared" si="13"/>
        <v>10343.290000000001</v>
      </c>
      <c r="AR44" s="105">
        <f t="shared" si="34"/>
        <v>0</v>
      </c>
      <c r="AS44" s="105">
        <f t="shared" si="22"/>
        <v>0</v>
      </c>
      <c r="AT44" s="105">
        <f t="shared" si="23"/>
        <v>11430.71</v>
      </c>
      <c r="AU44" s="105">
        <f t="shared" si="24"/>
        <v>0</v>
      </c>
      <c r="AV44" s="105">
        <f t="shared" si="25"/>
        <v>0</v>
      </c>
      <c r="AW44" s="105">
        <f t="shared" si="14"/>
        <v>741541.38999999966</v>
      </c>
      <c r="AX44" s="108">
        <f t="shared" si="32"/>
        <v>49</v>
      </c>
      <c r="AY44" s="108">
        <f t="shared" si="15"/>
        <v>49</v>
      </c>
      <c r="AZ44" s="1047">
        <f t="shared" si="36"/>
        <v>46411</v>
      </c>
      <c r="BA44" s="108">
        <f t="shared" si="36"/>
        <v>21774</v>
      </c>
    </row>
    <row r="45" spans="1:1207" s="16" customFormat="1" x14ac:dyDescent="0.2">
      <c r="A45" s="2"/>
      <c r="B45" s="46"/>
      <c r="C45" s="13"/>
      <c r="D45" s="13"/>
      <c r="E45" s="1055">
        <f t="shared" si="28"/>
        <v>37</v>
      </c>
      <c r="F45" s="1056">
        <f t="shared" si="5"/>
        <v>46442</v>
      </c>
      <c r="G45" s="24">
        <f t="shared" si="6"/>
        <v>21774</v>
      </c>
      <c r="H45" s="24">
        <f t="shared" si="7"/>
        <v>11201.47</v>
      </c>
      <c r="I45" s="24">
        <f t="shared" si="26"/>
        <v>492030.38999999996</v>
      </c>
      <c r="J45" s="24">
        <f t="shared" si="16"/>
        <v>0</v>
      </c>
      <c r="K45" s="24">
        <f t="shared" si="8"/>
        <v>10572.53</v>
      </c>
      <c r="L45" s="24">
        <f t="shared" si="17"/>
        <v>0</v>
      </c>
      <c r="M45" s="24">
        <f t="shared" si="29"/>
        <v>0</v>
      </c>
      <c r="N45" s="24">
        <f t="shared" si="18"/>
        <v>11201.47</v>
      </c>
      <c r="O45" s="24">
        <f t="shared" si="19"/>
        <v>0</v>
      </c>
      <c r="P45" s="24">
        <f t="shared" si="20"/>
        <v>0</v>
      </c>
      <c r="Q45" s="24">
        <f t="shared" si="9"/>
        <v>769831.3899999999</v>
      </c>
      <c r="R45" s="36">
        <f t="shared" si="30"/>
        <v>48</v>
      </c>
      <c r="S45" s="36">
        <f t="shared" si="10"/>
        <v>50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57">
        <f t="shared" si="31"/>
        <v>37</v>
      </c>
      <c r="AN45" s="1058">
        <f t="shared" si="11"/>
        <v>46442</v>
      </c>
      <c r="AO45" s="105">
        <f t="shared" si="35"/>
        <v>21774</v>
      </c>
      <c r="AP45" s="105">
        <f t="shared" si="12"/>
        <v>11273.46</v>
      </c>
      <c r="AQ45" s="105">
        <f t="shared" si="13"/>
        <v>10500.54</v>
      </c>
      <c r="AR45" s="105">
        <f t="shared" si="34"/>
        <v>0</v>
      </c>
      <c r="AS45" s="105">
        <f t="shared" si="22"/>
        <v>0</v>
      </c>
      <c r="AT45" s="105">
        <f t="shared" si="23"/>
        <v>11273.46</v>
      </c>
      <c r="AU45" s="105">
        <f t="shared" si="24"/>
        <v>0</v>
      </c>
      <c r="AV45" s="105">
        <f t="shared" si="25"/>
        <v>0</v>
      </c>
      <c r="AW45" s="105">
        <f t="shared" si="14"/>
        <v>731040.84999999963</v>
      </c>
      <c r="AX45" s="108">
        <f t="shared" si="32"/>
        <v>48</v>
      </c>
      <c r="AY45" s="108">
        <f t="shared" si="15"/>
        <v>48</v>
      </c>
      <c r="AZ45" s="1047">
        <f t="shared" si="36"/>
        <v>46442</v>
      </c>
      <c r="BA45" s="108">
        <f t="shared" si="36"/>
        <v>21774</v>
      </c>
    </row>
    <row r="46" spans="1:1207" s="16" customFormat="1" x14ac:dyDescent="0.2">
      <c r="A46" s="2"/>
      <c r="B46" s="607"/>
      <c r="C46" s="13"/>
      <c r="D46" s="13"/>
      <c r="E46" s="1055">
        <f t="shared" si="28"/>
        <v>38</v>
      </c>
      <c r="F46" s="1056">
        <f t="shared" si="5"/>
        <v>46470</v>
      </c>
      <c r="G46" s="24">
        <f t="shared" si="6"/>
        <v>21774</v>
      </c>
      <c r="H46" s="24">
        <f t="shared" si="7"/>
        <v>9980.39</v>
      </c>
      <c r="I46" s="24">
        <f t="shared" si="26"/>
        <v>502010.77999999997</v>
      </c>
      <c r="J46" s="24">
        <f t="shared" si="16"/>
        <v>0</v>
      </c>
      <c r="K46" s="24">
        <f t="shared" si="8"/>
        <v>11793.61</v>
      </c>
      <c r="L46" s="24">
        <f t="shared" si="17"/>
        <v>0</v>
      </c>
      <c r="M46" s="24">
        <f t="shared" si="29"/>
        <v>0</v>
      </c>
      <c r="N46" s="24">
        <f t="shared" si="18"/>
        <v>9980.39</v>
      </c>
      <c r="O46" s="24">
        <f t="shared" si="19"/>
        <v>0</v>
      </c>
      <c r="P46" s="24">
        <f t="shared" si="20"/>
        <v>0</v>
      </c>
      <c r="Q46" s="24">
        <f t="shared" si="9"/>
        <v>758037.77999999991</v>
      </c>
      <c r="R46" s="36">
        <f t="shared" si="30"/>
        <v>47</v>
      </c>
      <c r="S46" s="36">
        <f t="shared" si="10"/>
        <v>49</v>
      </c>
      <c r="T46" s="62">
        <f>IF(C23&lt;&gt;X60, C23,AA14)</f>
        <v>0.129</v>
      </c>
      <c r="U46" s="2">
        <f>IF(OR($C$26=0,B34="Нет"),0,-$C$26)</f>
        <v>-187676.01420118334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0.17899999999999999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57">
        <f t="shared" si="31"/>
        <v>38</v>
      </c>
      <c r="AN46" s="1058">
        <f t="shared" si="11"/>
        <v>46470</v>
      </c>
      <c r="AO46" s="105">
        <f t="shared" si="35"/>
        <v>21774</v>
      </c>
      <c r="AP46" s="105">
        <f t="shared" si="12"/>
        <v>10038.290000000001</v>
      </c>
      <c r="AQ46" s="105">
        <f t="shared" si="13"/>
        <v>11735.71</v>
      </c>
      <c r="AR46" s="105">
        <f t="shared" si="34"/>
        <v>0</v>
      </c>
      <c r="AS46" s="105">
        <f t="shared" si="22"/>
        <v>0</v>
      </c>
      <c r="AT46" s="105">
        <f t="shared" si="23"/>
        <v>10038.290000000001</v>
      </c>
      <c r="AU46" s="105">
        <f t="shared" si="24"/>
        <v>0</v>
      </c>
      <c r="AV46" s="105">
        <f t="shared" si="25"/>
        <v>0</v>
      </c>
      <c r="AW46" s="105">
        <f t="shared" si="14"/>
        <v>719305.13999999966</v>
      </c>
      <c r="AX46" s="108">
        <f t="shared" si="32"/>
        <v>47</v>
      </c>
      <c r="AY46" s="108">
        <f t="shared" si="15"/>
        <v>47</v>
      </c>
      <c r="AZ46" s="1047">
        <f t="shared" si="36"/>
        <v>46470</v>
      </c>
      <c r="BA46" s="108">
        <f t="shared" si="36"/>
        <v>21774</v>
      </c>
    </row>
    <row r="47" spans="1:1207" s="16" customFormat="1" x14ac:dyDescent="0.2">
      <c r="A47" s="2"/>
      <c r="B47" s="2"/>
      <c r="C47" s="2"/>
      <c r="D47" s="2"/>
      <c r="E47" s="1055">
        <f t="shared" si="28"/>
        <v>39</v>
      </c>
      <c r="F47" s="1056">
        <f t="shared" si="5"/>
        <v>46501</v>
      </c>
      <c r="G47" s="24">
        <f t="shared" si="6"/>
        <v>21774</v>
      </c>
      <c r="H47" s="24">
        <f t="shared" si="7"/>
        <v>10880.44</v>
      </c>
      <c r="I47" s="24">
        <f t="shared" si="26"/>
        <v>512891.22</v>
      </c>
      <c r="J47" s="24">
        <f t="shared" si="16"/>
        <v>0</v>
      </c>
      <c r="K47" s="24">
        <f t="shared" si="8"/>
        <v>10893.56</v>
      </c>
      <c r="L47" s="24">
        <f t="shared" si="17"/>
        <v>0</v>
      </c>
      <c r="M47" s="24">
        <f>O46-L46</f>
        <v>0</v>
      </c>
      <c r="N47" s="24">
        <f>H47+O47</f>
        <v>10880.44</v>
      </c>
      <c r="O47" s="24">
        <f>IF(S47=0,0,0)</f>
        <v>0</v>
      </c>
      <c r="P47" s="24">
        <f>IF(S47=0,0,0)</f>
        <v>0</v>
      </c>
      <c r="Q47" s="24">
        <f t="shared" si="9"/>
        <v>747144.21999999986</v>
      </c>
      <c r="R47" s="36">
        <f t="shared" si="30"/>
        <v>46</v>
      </c>
      <c r="S47" s="36">
        <f t="shared" si="10"/>
        <v>48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57">
        <f t="shared" si="31"/>
        <v>39</v>
      </c>
      <c r="AN47" s="1058">
        <f t="shared" si="11"/>
        <v>46501</v>
      </c>
      <c r="AO47" s="105">
        <f t="shared" si="35"/>
        <v>21774</v>
      </c>
      <c r="AP47" s="105">
        <f t="shared" si="12"/>
        <v>10935.41</v>
      </c>
      <c r="AQ47" s="105">
        <f>IF(AY47=0,0,IF(AY47=1,AW46,IF(AW46+AR47+AP47&gt;AO46,AO47-AP47-AR47,AW46)))</f>
        <v>10838.59</v>
      </c>
      <c r="AR47" s="105">
        <f t="shared" si="34"/>
        <v>0</v>
      </c>
      <c r="AS47" s="105">
        <f>AU46-AR46</f>
        <v>0</v>
      </c>
      <c r="AT47" s="105">
        <f>AP47+AU47</f>
        <v>10935.41</v>
      </c>
      <c r="AU47" s="105">
        <f>IF(AY47=0,0,0)</f>
        <v>0</v>
      </c>
      <c r="AV47" s="105">
        <f>IF(AY47=0,0,0)</f>
        <v>0</v>
      </c>
      <c r="AW47" s="105">
        <f>IF(OR(AY47=1,AW46=0),0,AW46-AQ47)</f>
        <v>708466.5499999997</v>
      </c>
      <c r="AX47" s="108">
        <f t="shared" si="32"/>
        <v>46</v>
      </c>
      <c r="AY47" s="108">
        <f t="shared" si="15"/>
        <v>46</v>
      </c>
      <c r="AZ47" s="1047">
        <f t="shared" si="36"/>
        <v>46501</v>
      </c>
      <c r="BA47" s="108">
        <f t="shared" si="36"/>
        <v>21774</v>
      </c>
    </row>
    <row r="48" spans="1:1207" s="16" customFormat="1" ht="12" customHeight="1" x14ac:dyDescent="0.2">
      <c r="A48" s="2"/>
      <c r="B48" s="2"/>
      <c r="C48" s="2"/>
      <c r="D48" s="13"/>
      <c r="E48" s="1055">
        <f t="shared" si="28"/>
        <v>40</v>
      </c>
      <c r="F48" s="1056">
        <f t="shared" si="5"/>
        <v>46531</v>
      </c>
      <c r="G48" s="24">
        <f t="shared" si="6"/>
        <v>21774</v>
      </c>
      <c r="H48" s="24">
        <f t="shared" si="7"/>
        <v>10378.14</v>
      </c>
      <c r="I48" s="24">
        <f t="shared" si="26"/>
        <v>523269.36</v>
      </c>
      <c r="J48" s="24">
        <f t="shared" si="16"/>
        <v>0</v>
      </c>
      <c r="K48" s="24">
        <f t="shared" si="8"/>
        <v>11395.86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10378.14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9"/>
        <v>735748.35999999987</v>
      </c>
      <c r="R48" s="36">
        <f t="shared" si="30"/>
        <v>45</v>
      </c>
      <c r="S48" s="36">
        <f t="shared" si="10"/>
        <v>47</v>
      </c>
      <c r="T48" s="2"/>
      <c r="U48" s="18">
        <f>G8</f>
        <v>-1083439</v>
      </c>
      <c r="V48" s="57">
        <f>F8</f>
        <v>45315</v>
      </c>
      <c r="W48" s="2"/>
      <c r="X48" s="2"/>
      <c r="Y48" s="1072"/>
      <c r="Z48" s="1073">
        <v>0</v>
      </c>
      <c r="AA48" s="1074" t="s">
        <v>20</v>
      </c>
      <c r="AB48" s="1075" t="s">
        <v>15</v>
      </c>
      <c r="AC48" s="1075"/>
      <c r="AD48" s="1075">
        <v>10</v>
      </c>
      <c r="AE48" s="1076">
        <v>41274</v>
      </c>
      <c r="AF48" s="2">
        <v>6</v>
      </c>
      <c r="AG48" s="2"/>
      <c r="AH48" s="2"/>
      <c r="AI48" s="2"/>
      <c r="AJ48" s="18">
        <f>AO8</f>
        <v>-1038439</v>
      </c>
      <c r="AK48" s="57">
        <f>AN8</f>
        <v>45315</v>
      </c>
      <c r="AL48" s="130">
        <f t="shared" si="21"/>
        <v>1</v>
      </c>
      <c r="AM48" s="1057">
        <f t="shared" si="31"/>
        <v>40</v>
      </c>
      <c r="AN48" s="1058">
        <f t="shared" si="11"/>
        <v>46531</v>
      </c>
      <c r="AO48" s="105">
        <f t="shared" si="35"/>
        <v>21774</v>
      </c>
      <c r="AP48" s="105">
        <f t="shared" si="12"/>
        <v>10423.19</v>
      </c>
      <c r="AQ48" s="105">
        <f t="shared" ref="AQ48:AQ111" si="41">IF(AY48=0,0,IF(AY48=1,AW47,IF(AW47+AR48+AP48&gt;AO47,AO48-AP48-AR48,AW47)))</f>
        <v>11350.81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10423.19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697115.73999999964</v>
      </c>
      <c r="AX48" s="108">
        <f t="shared" si="32"/>
        <v>45</v>
      </c>
      <c r="AY48" s="108">
        <f t="shared" si="15"/>
        <v>45</v>
      </c>
      <c r="AZ48" s="1047">
        <f t="shared" si="36"/>
        <v>46531</v>
      </c>
      <c r="BA48" s="108">
        <f t="shared" si="36"/>
        <v>21774</v>
      </c>
    </row>
    <row r="49" spans="1:54" s="16" customFormat="1" ht="12" customHeight="1" x14ac:dyDescent="0.2">
      <c r="A49" s="2"/>
      <c r="B49" s="2"/>
      <c r="C49" s="2"/>
      <c r="D49" s="2"/>
      <c r="E49" s="1055">
        <f t="shared" si="28"/>
        <v>41</v>
      </c>
      <c r="F49" s="1056">
        <f t="shared" si="5"/>
        <v>46562</v>
      </c>
      <c r="G49" s="24">
        <f t="shared" si="6"/>
        <v>21774</v>
      </c>
      <c r="H49" s="24">
        <f t="shared" si="7"/>
        <v>10560.51</v>
      </c>
      <c r="I49" s="24">
        <f t="shared" si="26"/>
        <v>533829.87</v>
      </c>
      <c r="J49" s="24">
        <f t="shared" si="16"/>
        <v>0</v>
      </c>
      <c r="K49" s="24">
        <f t="shared" si="8"/>
        <v>11213.49</v>
      </c>
      <c r="L49" s="24">
        <f t="shared" si="17"/>
        <v>0</v>
      </c>
      <c r="M49" s="24">
        <f t="shared" si="37"/>
        <v>0</v>
      </c>
      <c r="N49" s="24">
        <f t="shared" si="38"/>
        <v>10560.51</v>
      </c>
      <c r="O49" s="24">
        <f t="shared" si="39"/>
        <v>0</v>
      </c>
      <c r="P49" s="24">
        <f t="shared" si="40"/>
        <v>0</v>
      </c>
      <c r="Q49" s="24">
        <f t="shared" si="9"/>
        <v>724534.86999999988</v>
      </c>
      <c r="R49" s="36">
        <f t="shared" si="30"/>
        <v>44</v>
      </c>
      <c r="S49" s="36">
        <f t="shared" si="10"/>
        <v>46</v>
      </c>
      <c r="U49" s="34">
        <f>IF(B35="Да",C32,0)+IF(AND(C22="Да",B34="Да"),C25,0)</f>
        <v>172440</v>
      </c>
      <c r="V49" s="57">
        <f>F8</f>
        <v>45315</v>
      </c>
      <c r="X49" s="1077" t="s">
        <v>11</v>
      </c>
      <c r="Y49" s="1072"/>
      <c r="Z49" s="1078">
        <f>C7*(1-Z48)</f>
        <v>900000</v>
      </c>
      <c r="AA49" s="107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138439</v>
      </c>
      <c r="AK49" s="57">
        <f>AN8</f>
        <v>45315</v>
      </c>
      <c r="AL49" s="130">
        <f t="shared" si="21"/>
        <v>1</v>
      </c>
      <c r="AM49" s="1057">
        <f t="shared" si="31"/>
        <v>41</v>
      </c>
      <c r="AN49" s="1058">
        <f t="shared" si="11"/>
        <v>46562</v>
      </c>
      <c r="AO49" s="105">
        <f t="shared" si="35"/>
        <v>21774</v>
      </c>
      <c r="AP49" s="105">
        <f t="shared" si="12"/>
        <v>10598.07</v>
      </c>
      <c r="AQ49" s="105">
        <f t="shared" si="41"/>
        <v>11175.93</v>
      </c>
      <c r="AR49" s="105">
        <f t="shared" si="34"/>
        <v>0</v>
      </c>
      <c r="AS49" s="105">
        <f t="shared" si="42"/>
        <v>0</v>
      </c>
      <c r="AT49" s="105">
        <f t="shared" si="43"/>
        <v>10598.07</v>
      </c>
      <c r="AU49" s="105">
        <f t="shared" si="44"/>
        <v>0</v>
      </c>
      <c r="AV49" s="105">
        <f t="shared" si="45"/>
        <v>0</v>
      </c>
      <c r="AW49" s="105">
        <f t="shared" si="46"/>
        <v>685939.80999999959</v>
      </c>
      <c r="AX49" s="108">
        <f t="shared" si="32"/>
        <v>44</v>
      </c>
      <c r="AY49" s="108">
        <f t="shared" si="15"/>
        <v>44</v>
      </c>
      <c r="AZ49" s="1047">
        <f t="shared" si="36"/>
        <v>46562</v>
      </c>
      <c r="BA49" s="108">
        <f t="shared" si="36"/>
        <v>21774</v>
      </c>
    </row>
    <row r="50" spans="1:54" s="16" customFormat="1" ht="12" customHeight="1" x14ac:dyDescent="0.2">
      <c r="A50" s="2"/>
      <c r="B50" s="2"/>
      <c r="C50" s="2"/>
      <c r="D50" s="2"/>
      <c r="E50" s="1055">
        <f t="shared" si="28"/>
        <v>42</v>
      </c>
      <c r="F50" s="1056">
        <f t="shared" si="5"/>
        <v>46592</v>
      </c>
      <c r="G50" s="24">
        <f t="shared" si="6"/>
        <v>21774</v>
      </c>
      <c r="H50" s="24">
        <f t="shared" si="7"/>
        <v>10064.09</v>
      </c>
      <c r="I50" s="24">
        <f t="shared" si="26"/>
        <v>543893.96</v>
      </c>
      <c r="J50" s="24">
        <f t="shared" si="16"/>
        <v>0</v>
      </c>
      <c r="K50" s="24">
        <f t="shared" si="8"/>
        <v>11709.91</v>
      </c>
      <c r="L50" s="24">
        <f t="shared" si="17"/>
        <v>0</v>
      </c>
      <c r="M50" s="24">
        <f t="shared" si="37"/>
        <v>0</v>
      </c>
      <c r="N50" s="24">
        <f t="shared" si="38"/>
        <v>10064.09</v>
      </c>
      <c r="O50" s="24">
        <f t="shared" si="39"/>
        <v>0</v>
      </c>
      <c r="P50" s="24">
        <f t="shared" si="40"/>
        <v>0</v>
      </c>
      <c r="Q50" s="24">
        <f t="shared" si="9"/>
        <v>712824.95999999985</v>
      </c>
      <c r="R50" s="36">
        <f t="shared" si="30"/>
        <v>43</v>
      </c>
      <c r="S50" s="36">
        <f t="shared" si="10"/>
        <v>45</v>
      </c>
      <c r="T50" s="2">
        <f t="shared" ref="T50:T113" si="47">IF(AND(E9&gt;=$T$14,E9&lt;=$T$14+5),0,IF($C$9&gt;$AC$52,ROUND(Q8*$T$46/(DATEVALUE(CONCATENATE("01/01/",YEAR(F9)+1))-DATEVALUE(CONCATENATE("01/01/",YEAR(F9))))*(F9-F8),2),0))</f>
        <v>11837.9</v>
      </c>
      <c r="U50" s="34">
        <f t="shared" ref="U50:U108" si="48">IF(U49&lt;0,0,IF(T50=0,IF(T49=0,0,$U$46),G9)-IF(AND(T50&gt;0,T51=0),$C$26,0))</f>
        <v>21774</v>
      </c>
      <c r="V50" s="57">
        <f>V49+365</f>
        <v>45680</v>
      </c>
      <c r="W50" s="16">
        <v>1</v>
      </c>
      <c r="X50" s="1080" t="s">
        <v>10</v>
      </c>
      <c r="Y50" s="1072"/>
      <c r="Z50" s="108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22130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15743.98</v>
      </c>
      <c r="AJ50" s="34">
        <f t="shared" ref="AJ50:AJ69" si="50">IF(AI50=0,IF(AI49=0,0,$AJ$46),AO9)</f>
        <v>21774</v>
      </c>
      <c r="AK50" s="57">
        <f>AK49+365</f>
        <v>45680</v>
      </c>
      <c r="AL50" s="130">
        <f t="shared" si="21"/>
        <v>1</v>
      </c>
      <c r="AM50" s="1057">
        <f t="shared" si="31"/>
        <v>42</v>
      </c>
      <c r="AN50" s="1058">
        <f t="shared" si="11"/>
        <v>46592</v>
      </c>
      <c r="AO50" s="105">
        <f t="shared" si="35"/>
        <v>21774</v>
      </c>
      <c r="AP50" s="105">
        <f t="shared" si="12"/>
        <v>10091.77</v>
      </c>
      <c r="AQ50" s="105">
        <f t="shared" si="41"/>
        <v>11682.23</v>
      </c>
      <c r="AR50" s="105">
        <f t="shared" si="34"/>
        <v>0</v>
      </c>
      <c r="AS50" s="105">
        <f t="shared" si="42"/>
        <v>0</v>
      </c>
      <c r="AT50" s="105">
        <f t="shared" si="43"/>
        <v>10091.77</v>
      </c>
      <c r="AU50" s="105">
        <f t="shared" si="44"/>
        <v>0</v>
      </c>
      <c r="AV50" s="105">
        <f t="shared" si="45"/>
        <v>0</v>
      </c>
      <c r="AW50" s="105">
        <f t="shared" si="46"/>
        <v>674257.57999999961</v>
      </c>
      <c r="AX50" s="108">
        <f t="shared" si="32"/>
        <v>43</v>
      </c>
      <c r="AY50" s="108">
        <f t="shared" si="15"/>
        <v>43</v>
      </c>
      <c r="AZ50" s="1047">
        <f t="shared" si="36"/>
        <v>46592</v>
      </c>
      <c r="BA50" s="108">
        <f t="shared" si="36"/>
        <v>21774</v>
      </c>
    </row>
    <row r="51" spans="1:54" s="16" customFormat="1" ht="12.75" customHeight="1" thickBot="1" x14ac:dyDescent="0.25">
      <c r="A51" s="2"/>
      <c r="B51" s="2"/>
      <c r="C51" s="2"/>
      <c r="D51" s="2"/>
      <c r="E51" s="1055">
        <f t="shared" si="28"/>
        <v>43</v>
      </c>
      <c r="F51" s="1056">
        <f t="shared" si="5"/>
        <v>46623</v>
      </c>
      <c r="G51" s="24">
        <f t="shared" si="6"/>
        <v>21774</v>
      </c>
      <c r="H51" s="24">
        <f t="shared" si="7"/>
        <v>10231.48</v>
      </c>
      <c r="I51" s="24">
        <f t="shared" si="26"/>
        <v>554125.43999999994</v>
      </c>
      <c r="J51" s="24">
        <f t="shared" si="16"/>
        <v>0</v>
      </c>
      <c r="K51" s="24">
        <f t="shared" si="8"/>
        <v>11542.52</v>
      </c>
      <c r="L51" s="24">
        <f t="shared" si="17"/>
        <v>0</v>
      </c>
      <c r="M51" s="24">
        <f t="shared" si="37"/>
        <v>0</v>
      </c>
      <c r="N51" s="24">
        <f t="shared" si="38"/>
        <v>10231.48</v>
      </c>
      <c r="O51" s="24">
        <f t="shared" si="39"/>
        <v>0</v>
      </c>
      <c r="P51" s="24">
        <f t="shared" si="40"/>
        <v>0</v>
      </c>
      <c r="Q51" s="24">
        <f t="shared" si="9"/>
        <v>701282.43999999983</v>
      </c>
      <c r="R51" s="36">
        <f t="shared" si="30"/>
        <v>42</v>
      </c>
      <c r="S51" s="36">
        <f t="shared" si="10"/>
        <v>44</v>
      </c>
      <c r="T51" s="2">
        <f t="shared" si="47"/>
        <v>11010.13</v>
      </c>
      <c r="U51" s="34">
        <f t="shared" si="48"/>
        <v>21774</v>
      </c>
      <c r="V51" s="57">
        <f t="shared" ref="V51:V114" si="51">IF(T51=0,V50,V50+365)</f>
        <v>46045</v>
      </c>
      <c r="W51" s="16">
        <f>W50+1</f>
        <v>2</v>
      </c>
      <c r="X51" s="1080" t="s">
        <v>8</v>
      </c>
      <c r="Y51" s="1082"/>
      <c r="Z51" s="1083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49"/>
        <v>14642.72</v>
      </c>
      <c r="AJ51" s="34">
        <f t="shared" si="50"/>
        <v>21774</v>
      </c>
      <c r="AK51" s="57">
        <f t="shared" ref="AK51:AK108" si="52">IF(AI51=0,AK50,AK50+365)</f>
        <v>46045</v>
      </c>
      <c r="AL51" s="130">
        <f t="shared" si="21"/>
        <v>1</v>
      </c>
      <c r="AM51" s="1057">
        <f t="shared" si="31"/>
        <v>43</v>
      </c>
      <c r="AN51" s="1058">
        <f t="shared" si="11"/>
        <v>46623</v>
      </c>
      <c r="AO51" s="105">
        <f t="shared" si="35"/>
        <v>21774</v>
      </c>
      <c r="AP51" s="105">
        <f t="shared" si="12"/>
        <v>10250.56</v>
      </c>
      <c r="AQ51" s="105">
        <f t="shared" si="41"/>
        <v>11523.44</v>
      </c>
      <c r="AR51" s="105">
        <f t="shared" si="34"/>
        <v>0</v>
      </c>
      <c r="AS51" s="105">
        <f t="shared" si="42"/>
        <v>0</v>
      </c>
      <c r="AT51" s="105">
        <f t="shared" si="43"/>
        <v>10250.56</v>
      </c>
      <c r="AU51" s="105">
        <f t="shared" si="44"/>
        <v>0</v>
      </c>
      <c r="AV51" s="105">
        <f t="shared" si="45"/>
        <v>0</v>
      </c>
      <c r="AW51" s="105">
        <f t="shared" si="46"/>
        <v>662734.13999999966</v>
      </c>
      <c r="AX51" s="108">
        <f t="shared" si="32"/>
        <v>42</v>
      </c>
      <c r="AY51" s="108">
        <f t="shared" si="15"/>
        <v>42</v>
      </c>
      <c r="AZ51" s="1047">
        <f t="shared" si="36"/>
        <v>46623</v>
      </c>
      <c r="BA51" s="108">
        <f t="shared" si="36"/>
        <v>21774</v>
      </c>
    </row>
    <row r="52" spans="1:54" s="16" customFormat="1" ht="12.75" customHeight="1" x14ac:dyDescent="0.2">
      <c r="A52" s="2"/>
      <c r="B52" s="2"/>
      <c r="C52" s="2"/>
      <c r="D52" s="2"/>
      <c r="E52" s="1055">
        <f t="shared" si="28"/>
        <v>44</v>
      </c>
      <c r="F52" s="1056">
        <f t="shared" si="5"/>
        <v>46654</v>
      </c>
      <c r="G52" s="24">
        <f t="shared" si="6"/>
        <v>21774</v>
      </c>
      <c r="H52" s="24">
        <f t="shared" si="7"/>
        <v>10065.799999999999</v>
      </c>
      <c r="I52" s="24">
        <f t="shared" si="26"/>
        <v>564191.24</v>
      </c>
      <c r="J52" s="24">
        <f t="shared" si="16"/>
        <v>0</v>
      </c>
      <c r="K52" s="24">
        <f t="shared" si="8"/>
        <v>11708.2</v>
      </c>
      <c r="L52" s="24">
        <f t="shared" si="17"/>
        <v>0</v>
      </c>
      <c r="M52" s="24">
        <f t="shared" si="37"/>
        <v>0</v>
      </c>
      <c r="N52" s="24">
        <f t="shared" si="38"/>
        <v>10065.799999999999</v>
      </c>
      <c r="O52" s="24">
        <f t="shared" si="39"/>
        <v>0</v>
      </c>
      <c r="P52" s="24">
        <f t="shared" si="40"/>
        <v>0</v>
      </c>
      <c r="Q52" s="24">
        <f t="shared" si="9"/>
        <v>689574.23999999987</v>
      </c>
      <c r="R52" s="36">
        <f t="shared" si="30"/>
        <v>41</v>
      </c>
      <c r="S52" s="36">
        <f t="shared" si="10"/>
        <v>43</v>
      </c>
      <c r="T52" s="2">
        <f t="shared" si="47"/>
        <v>11689.14</v>
      </c>
      <c r="U52" s="34">
        <f t="shared" si="48"/>
        <v>21774</v>
      </c>
      <c r="V52" s="57">
        <f t="shared" si="51"/>
        <v>46410</v>
      </c>
      <c r="W52" s="16">
        <f t="shared" ref="W52:W115" si="53">W51+1</f>
        <v>3</v>
      </c>
      <c r="X52" s="1077" t="s">
        <v>1</v>
      </c>
      <c r="Y52" s="17" t="e">
        <f>Z52/C7</f>
        <v>#REF!</v>
      </c>
      <c r="Z52" s="1083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15544.44</v>
      </c>
      <c r="AJ52" s="34">
        <f t="shared" si="50"/>
        <v>21774</v>
      </c>
      <c r="AK52" s="57">
        <f t="shared" si="52"/>
        <v>46410</v>
      </c>
      <c r="AL52" s="130">
        <f t="shared" si="21"/>
        <v>1</v>
      </c>
      <c r="AM52" s="1057">
        <f t="shared" si="31"/>
        <v>44</v>
      </c>
      <c r="AN52" s="1058">
        <f t="shared" si="11"/>
        <v>46654</v>
      </c>
      <c r="AO52" s="105">
        <f t="shared" si="35"/>
        <v>21774</v>
      </c>
      <c r="AP52" s="105">
        <f t="shared" si="12"/>
        <v>10075.370000000001</v>
      </c>
      <c r="AQ52" s="105">
        <f t="shared" si="41"/>
        <v>11698.63</v>
      </c>
      <c r="AR52" s="105">
        <f t="shared" si="34"/>
        <v>0</v>
      </c>
      <c r="AS52" s="105">
        <f t="shared" si="42"/>
        <v>0</v>
      </c>
      <c r="AT52" s="105">
        <f t="shared" si="43"/>
        <v>10075.370000000001</v>
      </c>
      <c r="AU52" s="105">
        <f t="shared" si="44"/>
        <v>0</v>
      </c>
      <c r="AV52" s="105">
        <f t="shared" si="45"/>
        <v>0</v>
      </c>
      <c r="AW52" s="105">
        <f t="shared" si="46"/>
        <v>651035.50999999966</v>
      </c>
      <c r="AX52" s="108">
        <f t="shared" si="32"/>
        <v>41</v>
      </c>
      <c r="AY52" s="108">
        <f t="shared" si="15"/>
        <v>41</v>
      </c>
      <c r="AZ52" s="1047">
        <f t="shared" si="36"/>
        <v>46654</v>
      </c>
      <c r="BA52" s="108">
        <f t="shared" si="36"/>
        <v>21774</v>
      </c>
    </row>
    <row r="53" spans="1:54" s="16" customFormat="1" ht="12.75" customHeight="1" x14ac:dyDescent="0.2">
      <c r="A53" s="2"/>
      <c r="B53" s="2"/>
      <c r="C53" s="2"/>
      <c r="D53" s="2"/>
      <c r="E53" s="1055">
        <f t="shared" si="28"/>
        <v>45</v>
      </c>
      <c r="F53" s="1056">
        <f t="shared" si="5"/>
        <v>46684</v>
      </c>
      <c r="G53" s="24">
        <f t="shared" si="6"/>
        <v>21774</v>
      </c>
      <c r="H53" s="24">
        <f t="shared" si="7"/>
        <v>9578.4699999999993</v>
      </c>
      <c r="I53" s="24">
        <f t="shared" si="26"/>
        <v>573769.71</v>
      </c>
      <c r="J53" s="24">
        <f t="shared" si="16"/>
        <v>0</v>
      </c>
      <c r="K53" s="24">
        <f t="shared" si="8"/>
        <v>12195.53</v>
      </c>
      <c r="L53" s="24">
        <f t="shared" si="17"/>
        <v>0</v>
      </c>
      <c r="M53" s="24">
        <f t="shared" si="37"/>
        <v>0</v>
      </c>
      <c r="N53" s="24">
        <f t="shared" si="38"/>
        <v>9578.4699999999993</v>
      </c>
      <c r="O53" s="24">
        <f t="shared" si="39"/>
        <v>0</v>
      </c>
      <c r="P53" s="24">
        <f t="shared" si="40"/>
        <v>0</v>
      </c>
      <c r="Q53" s="24">
        <f t="shared" si="9"/>
        <v>677378.70999999985</v>
      </c>
      <c r="R53" s="36">
        <f t="shared" si="30"/>
        <v>40</v>
      </c>
      <c r="S53" s="36">
        <f t="shared" si="10"/>
        <v>42</v>
      </c>
      <c r="T53" s="2">
        <f t="shared" si="47"/>
        <v>11243.76</v>
      </c>
      <c r="U53" s="34">
        <f t="shared" si="48"/>
        <v>21774</v>
      </c>
      <c r="V53" s="57">
        <f t="shared" si="51"/>
        <v>46775</v>
      </c>
      <c r="W53" s="16">
        <f t="shared" si="53"/>
        <v>4</v>
      </c>
      <c r="X53" s="1077" t="s">
        <v>42</v>
      </c>
      <c r="Y53" s="17">
        <f>IF(C8=AA60,AA66,IF(C8=AD60,AB66,IF(C8=AF60,AD66,IF(C8=AG60,AE66,IF(C8=AE60,AC66,IF(C8=#REF!,AF66,IF(C8=AH60,AG66,IF(C8=#REF!,AH66,V28))))))))</f>
        <v>1.1900000000000001E-2</v>
      </c>
      <c r="Z53" s="1083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14951.61</v>
      </c>
      <c r="AJ53" s="34">
        <f t="shared" si="50"/>
        <v>21774</v>
      </c>
      <c r="AK53" s="57">
        <f t="shared" si="52"/>
        <v>46775</v>
      </c>
      <c r="AL53" s="130">
        <f t="shared" si="21"/>
        <v>1</v>
      </c>
      <c r="AM53" s="1057">
        <f t="shared" si="31"/>
        <v>45</v>
      </c>
      <c r="AN53" s="1058">
        <f t="shared" si="11"/>
        <v>46684</v>
      </c>
      <c r="AO53" s="105">
        <f t="shared" si="35"/>
        <v>21774</v>
      </c>
      <c r="AP53" s="105">
        <f t="shared" si="12"/>
        <v>9578.25</v>
      </c>
      <c r="AQ53" s="105">
        <f t="shared" si="41"/>
        <v>12195.75</v>
      </c>
      <c r="AR53" s="105">
        <f t="shared" si="34"/>
        <v>0</v>
      </c>
      <c r="AS53" s="105">
        <f t="shared" si="42"/>
        <v>0</v>
      </c>
      <c r="AT53" s="105">
        <f t="shared" si="43"/>
        <v>9578.25</v>
      </c>
      <c r="AU53" s="105">
        <f t="shared" si="44"/>
        <v>0</v>
      </c>
      <c r="AV53" s="105">
        <f t="shared" si="45"/>
        <v>0</v>
      </c>
      <c r="AW53" s="105">
        <f t="shared" si="46"/>
        <v>638839.75999999966</v>
      </c>
      <c r="AX53" s="108">
        <f t="shared" si="32"/>
        <v>40</v>
      </c>
      <c r="AY53" s="108">
        <f t="shared" si="15"/>
        <v>40</v>
      </c>
      <c r="AZ53" s="1047">
        <f t="shared" si="36"/>
        <v>46684</v>
      </c>
      <c r="BA53" s="108">
        <f t="shared" si="36"/>
        <v>21774</v>
      </c>
    </row>
    <row r="54" spans="1:54" s="16" customFormat="1" ht="12" customHeight="1" x14ac:dyDescent="0.2">
      <c r="A54" s="2"/>
      <c r="B54" s="2"/>
      <c r="C54" s="2"/>
      <c r="D54" s="2"/>
      <c r="E54" s="1055">
        <f t="shared" si="28"/>
        <v>46</v>
      </c>
      <c r="F54" s="1056">
        <f t="shared" si="5"/>
        <v>46715</v>
      </c>
      <c r="G54" s="24">
        <f t="shared" si="6"/>
        <v>21774</v>
      </c>
      <c r="H54" s="24">
        <f t="shared" si="7"/>
        <v>9722.7000000000007</v>
      </c>
      <c r="I54" s="24">
        <f t="shared" si="26"/>
        <v>583492.40999999992</v>
      </c>
      <c r="J54" s="24">
        <f t="shared" si="16"/>
        <v>0</v>
      </c>
      <c r="K54" s="24">
        <f t="shared" si="8"/>
        <v>12051.3</v>
      </c>
      <c r="L54" s="24">
        <f t="shared" si="17"/>
        <v>0</v>
      </c>
      <c r="M54" s="24">
        <f t="shared" si="37"/>
        <v>0</v>
      </c>
      <c r="N54" s="24">
        <f t="shared" si="38"/>
        <v>9722.7000000000007</v>
      </c>
      <c r="O54" s="24">
        <f t="shared" si="39"/>
        <v>0</v>
      </c>
      <c r="P54" s="24">
        <f t="shared" si="40"/>
        <v>0</v>
      </c>
      <c r="Q54" s="24">
        <f t="shared" si="9"/>
        <v>665327.4099999998</v>
      </c>
      <c r="R54" s="36">
        <f t="shared" si="30"/>
        <v>39</v>
      </c>
      <c r="S54" s="36">
        <f t="shared" si="10"/>
        <v>41</v>
      </c>
      <c r="T54" s="2">
        <f t="shared" si="47"/>
        <v>11541.59</v>
      </c>
      <c r="U54" s="34">
        <f t="shared" si="48"/>
        <v>21774</v>
      </c>
      <c r="V54" s="57">
        <f t="shared" si="51"/>
        <v>47140</v>
      </c>
      <c r="W54" s="16">
        <f t="shared" si="53"/>
        <v>5</v>
      </c>
      <c r="X54" s="1077"/>
      <c r="Y54" s="15" t="e">
        <f>IF(D8=AA60,AA66,IF(D8=AD60,AB66,IF(D8=AF60,AD66,IF(D8=AG60,AE66,IF(D8=AE60,AC66,IF(D8=#REF!,AF66,IF(D8=AH60,AG66,V28)))))))</f>
        <v>#REF!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15346.56</v>
      </c>
      <c r="AJ54" s="34">
        <f t="shared" si="50"/>
        <v>21774</v>
      </c>
      <c r="AK54" s="57">
        <f t="shared" si="52"/>
        <v>47140</v>
      </c>
      <c r="AL54" s="130">
        <f t="shared" si="21"/>
        <v>1</v>
      </c>
      <c r="AM54" s="1057">
        <f t="shared" si="31"/>
        <v>46</v>
      </c>
      <c r="AN54" s="1058">
        <f t="shared" si="11"/>
        <v>46715</v>
      </c>
      <c r="AO54" s="105">
        <f t="shared" si="35"/>
        <v>21774</v>
      </c>
      <c r="AP54" s="105">
        <f t="shared" si="12"/>
        <v>9712.11</v>
      </c>
      <c r="AQ54" s="105">
        <f t="shared" si="41"/>
        <v>12061.89</v>
      </c>
      <c r="AR54" s="105">
        <f t="shared" si="34"/>
        <v>0</v>
      </c>
      <c r="AS54" s="105">
        <f t="shared" si="42"/>
        <v>0</v>
      </c>
      <c r="AT54" s="105">
        <f t="shared" si="43"/>
        <v>9712.11</v>
      </c>
      <c r="AU54" s="105">
        <f t="shared" si="44"/>
        <v>0</v>
      </c>
      <c r="AV54" s="105">
        <f t="shared" si="45"/>
        <v>0</v>
      </c>
      <c r="AW54" s="105">
        <f t="shared" si="46"/>
        <v>626777.86999999965</v>
      </c>
      <c r="AX54" s="108">
        <f t="shared" si="32"/>
        <v>39</v>
      </c>
      <c r="AY54" s="108">
        <f t="shared" si="15"/>
        <v>39</v>
      </c>
      <c r="AZ54" s="1047">
        <f t="shared" si="36"/>
        <v>46715</v>
      </c>
      <c r="BA54" s="108">
        <f t="shared" si="36"/>
        <v>21774</v>
      </c>
    </row>
    <row r="55" spans="1:54" s="16" customFormat="1" ht="12" customHeight="1" x14ac:dyDescent="0.2">
      <c r="A55" s="2"/>
      <c r="B55" s="2"/>
      <c r="C55" s="2"/>
      <c r="D55" s="2"/>
      <c r="E55" s="1055">
        <f t="shared" si="28"/>
        <v>47</v>
      </c>
      <c r="F55" s="1056">
        <f t="shared" si="5"/>
        <v>46745</v>
      </c>
      <c r="G55" s="24">
        <f t="shared" si="6"/>
        <v>21774</v>
      </c>
      <c r="H55" s="24">
        <f t="shared" si="7"/>
        <v>9241.67</v>
      </c>
      <c r="I55" s="24">
        <f t="shared" si="26"/>
        <v>592734.07999999996</v>
      </c>
      <c r="J55" s="24">
        <f t="shared" si="16"/>
        <v>0</v>
      </c>
      <c r="K55" s="24">
        <f t="shared" si="8"/>
        <v>12532.33</v>
      </c>
      <c r="L55" s="24">
        <f t="shared" si="17"/>
        <v>0</v>
      </c>
      <c r="M55" s="24">
        <f t="shared" si="37"/>
        <v>0</v>
      </c>
      <c r="N55" s="24">
        <f t="shared" si="38"/>
        <v>9241.67</v>
      </c>
      <c r="O55" s="24">
        <f t="shared" si="39"/>
        <v>0</v>
      </c>
      <c r="P55" s="24">
        <f t="shared" si="40"/>
        <v>0</v>
      </c>
      <c r="Q55" s="24">
        <f t="shared" si="9"/>
        <v>652795.07999999984</v>
      </c>
      <c r="R55" s="36">
        <f t="shared" si="30"/>
        <v>38</v>
      </c>
      <c r="S55" s="36">
        <f t="shared" si="10"/>
        <v>40</v>
      </c>
      <c r="T55" s="2">
        <f t="shared" si="47"/>
        <v>11098.93</v>
      </c>
      <c r="U55" s="34">
        <f t="shared" si="48"/>
        <v>21774</v>
      </c>
      <c r="V55" s="57">
        <f t="shared" si="51"/>
        <v>47505</v>
      </c>
      <c r="W55" s="16">
        <f t="shared" si="53"/>
        <v>6</v>
      </c>
      <c r="X55" s="2"/>
      <c r="Y55" s="1075"/>
      <c r="Z55" s="1"/>
      <c r="AA55" s="1084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22124.155138801485</v>
      </c>
      <c r="AC55" s="2"/>
      <c r="AD55" s="47">
        <f>IF(DAY(C9)&lt;29,AD56,AD57)</f>
        <v>21773.693617036755</v>
      </c>
      <c r="AE55" s="2"/>
      <c r="AF55" s="2"/>
      <c r="AG55" s="2"/>
      <c r="AH55" s="2"/>
      <c r="AI55" s="2">
        <f t="shared" si="49"/>
        <v>14757.2</v>
      </c>
      <c r="AJ55" s="34">
        <f t="shared" si="50"/>
        <v>21774</v>
      </c>
      <c r="AK55" s="57">
        <f t="shared" si="52"/>
        <v>47505</v>
      </c>
      <c r="AL55" s="130">
        <f t="shared" si="21"/>
        <v>1</v>
      </c>
      <c r="AM55" s="1057">
        <f t="shared" si="31"/>
        <v>47</v>
      </c>
      <c r="AN55" s="1058">
        <f t="shared" si="11"/>
        <v>46745</v>
      </c>
      <c r="AO55" s="105">
        <f t="shared" si="35"/>
        <v>21774</v>
      </c>
      <c r="AP55" s="105">
        <f t="shared" si="12"/>
        <v>9221.36</v>
      </c>
      <c r="AQ55" s="105">
        <f t="shared" si="41"/>
        <v>12552.64</v>
      </c>
      <c r="AR55" s="105">
        <f t="shared" si="34"/>
        <v>0</v>
      </c>
      <c r="AS55" s="105">
        <f t="shared" si="42"/>
        <v>0</v>
      </c>
      <c r="AT55" s="105">
        <f t="shared" si="43"/>
        <v>9221.36</v>
      </c>
      <c r="AU55" s="105">
        <f t="shared" si="44"/>
        <v>0</v>
      </c>
      <c r="AV55" s="105">
        <f t="shared" si="45"/>
        <v>0</v>
      </c>
      <c r="AW55" s="105">
        <f t="shared" si="46"/>
        <v>614225.22999999963</v>
      </c>
      <c r="AX55" s="108">
        <f t="shared" si="32"/>
        <v>38</v>
      </c>
      <c r="AY55" s="108">
        <f t="shared" si="15"/>
        <v>38</v>
      </c>
      <c r="AZ55" s="1047">
        <f t="shared" si="36"/>
        <v>46745</v>
      </c>
      <c r="BA55" s="108">
        <f t="shared" si="36"/>
        <v>21774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055">
        <f t="shared" si="28"/>
        <v>48</v>
      </c>
      <c r="F56" s="1056">
        <f t="shared" si="5"/>
        <v>46776</v>
      </c>
      <c r="G56" s="24">
        <f t="shared" si="6"/>
        <v>21774</v>
      </c>
      <c r="H56" s="24">
        <f t="shared" si="7"/>
        <v>9350.0300000000007</v>
      </c>
      <c r="I56" s="24">
        <f t="shared" si="26"/>
        <v>602084.11</v>
      </c>
      <c r="J56" s="24">
        <f t="shared" si="16"/>
        <v>0</v>
      </c>
      <c r="K56" s="24">
        <f t="shared" si="8"/>
        <v>12423.97</v>
      </c>
      <c r="L56" s="24">
        <f t="shared" si="17"/>
        <v>0</v>
      </c>
      <c r="M56" s="24">
        <f t="shared" si="37"/>
        <v>0</v>
      </c>
      <c r="N56" s="24">
        <f t="shared" si="38"/>
        <v>9350.0300000000007</v>
      </c>
      <c r="O56" s="24">
        <f t="shared" si="39"/>
        <v>0</v>
      </c>
      <c r="P56" s="24">
        <f t="shared" si="40"/>
        <v>0</v>
      </c>
      <c r="Q56" s="24">
        <f t="shared" si="9"/>
        <v>640371.10999999987</v>
      </c>
      <c r="R56" s="36">
        <f t="shared" si="30"/>
        <v>37</v>
      </c>
      <c r="S56" s="36">
        <f t="shared" si="10"/>
        <v>39</v>
      </c>
      <c r="T56" s="2">
        <f t="shared" si="47"/>
        <v>11389.86</v>
      </c>
      <c r="U56" s="34">
        <f t="shared" si="48"/>
        <v>21774</v>
      </c>
      <c r="V56" s="57">
        <f t="shared" si="51"/>
        <v>47870</v>
      </c>
      <c r="W56" s="16">
        <f t="shared" si="53"/>
        <v>7</v>
      </c>
      <c r="X56" s="1075" t="s">
        <v>0</v>
      </c>
      <c r="Y56" s="1085"/>
      <c r="Z56" s="10"/>
      <c r="AA56" s="13">
        <f>AB56</f>
        <v>22124.155138801485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22124.155138801485</v>
      </c>
      <c r="AC56" s="13">
        <f>IF(DAY(C9)&lt;4,AD55,IF(DAY(C9)&gt;28,AD57,AD56))</f>
        <v>21773.693617036755</v>
      </c>
      <c r="AD56" s="47">
        <f>(D28)*AB14/12*(1+AB14/12)^(D10)/((1+AB14/12)^(D10)-1)+D28/10000*IF(C10&lt;11,20,IF(C10&lt;34,0.7,IF(C10&lt;64,0.3,IF(C10&lt;261,0.1,-0.02))))*IF(AA14&lt;0.3,AA14/0.2,AA14/0.1)</f>
        <v>21773.693617036755</v>
      </c>
      <c r="AE56" s="2"/>
      <c r="AF56" s="2"/>
      <c r="AG56" s="2"/>
      <c r="AH56" s="2"/>
      <c r="AI56" s="2">
        <f t="shared" si="49"/>
        <v>15142.73</v>
      </c>
      <c r="AJ56" s="34">
        <f t="shared" si="50"/>
        <v>21774</v>
      </c>
      <c r="AK56" s="57">
        <f t="shared" si="52"/>
        <v>47870</v>
      </c>
      <c r="AL56" s="130">
        <f t="shared" si="21"/>
        <v>1</v>
      </c>
      <c r="AM56" s="1057">
        <f t="shared" si="31"/>
        <v>48</v>
      </c>
      <c r="AN56" s="1058">
        <f t="shared" si="11"/>
        <v>46776</v>
      </c>
      <c r="AO56" s="105">
        <f t="shared" si="35"/>
        <v>21774</v>
      </c>
      <c r="AP56" s="105">
        <f t="shared" si="12"/>
        <v>9318.15</v>
      </c>
      <c r="AQ56" s="105">
        <f t="shared" si="41"/>
        <v>12455.85</v>
      </c>
      <c r="AR56" s="105">
        <f t="shared" si="34"/>
        <v>0</v>
      </c>
      <c r="AS56" s="105">
        <f t="shared" si="42"/>
        <v>0</v>
      </c>
      <c r="AT56" s="105">
        <f t="shared" si="43"/>
        <v>9318.15</v>
      </c>
      <c r="AU56" s="105">
        <f t="shared" si="44"/>
        <v>0</v>
      </c>
      <c r="AV56" s="105">
        <f t="shared" si="45"/>
        <v>0</v>
      </c>
      <c r="AW56" s="105">
        <f t="shared" si="46"/>
        <v>601769.37999999966</v>
      </c>
      <c r="AX56" s="108">
        <f t="shared" si="32"/>
        <v>37</v>
      </c>
      <c r="AY56" s="108">
        <f t="shared" si="15"/>
        <v>37</v>
      </c>
      <c r="AZ56" s="1047">
        <f t="shared" si="36"/>
        <v>46776</v>
      </c>
      <c r="BA56" s="108">
        <f t="shared" si="36"/>
        <v>21774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055">
        <f t="shared" si="28"/>
        <v>49</v>
      </c>
      <c r="F57" s="1056">
        <f t="shared" si="5"/>
        <v>46807</v>
      </c>
      <c r="G57" s="24">
        <f t="shared" si="6"/>
        <v>21774</v>
      </c>
      <c r="H57" s="24">
        <f t="shared" si="7"/>
        <v>9166.41</v>
      </c>
      <c r="I57" s="24">
        <f t="shared" si="26"/>
        <v>611250.52</v>
      </c>
      <c r="J57" s="24">
        <f t="shared" si="16"/>
        <v>0</v>
      </c>
      <c r="K57" s="24">
        <f t="shared" si="8"/>
        <v>12607.59</v>
      </c>
      <c r="L57" s="24">
        <f t="shared" si="17"/>
        <v>0</v>
      </c>
      <c r="M57" s="24">
        <f t="shared" si="37"/>
        <v>0</v>
      </c>
      <c r="N57" s="24">
        <f t="shared" si="38"/>
        <v>9166.41</v>
      </c>
      <c r="O57" s="24">
        <f t="shared" si="39"/>
        <v>0</v>
      </c>
      <c r="P57" s="24">
        <f t="shared" si="40"/>
        <v>0</v>
      </c>
      <c r="Q57" s="24">
        <f t="shared" si="9"/>
        <v>627763.5199999999</v>
      </c>
      <c r="R57" s="36">
        <f t="shared" si="30"/>
        <v>36</v>
      </c>
      <c r="S57" s="36">
        <f t="shared" si="10"/>
        <v>38</v>
      </c>
      <c r="T57" s="2">
        <f t="shared" si="47"/>
        <v>11314.98</v>
      </c>
      <c r="U57" s="34">
        <f t="shared" si="48"/>
        <v>21774</v>
      </c>
      <c r="V57" s="57">
        <f t="shared" si="51"/>
        <v>48235</v>
      </c>
      <c r="W57" s="16">
        <f t="shared" si="53"/>
        <v>8</v>
      </c>
      <c r="X57" s="1085" t="s">
        <v>18</v>
      </c>
      <c r="Y57" s="3"/>
      <c r="Z57" s="118">
        <f>ROUNDUP(AA57/AD48,0)*AD48</f>
        <v>23190</v>
      </c>
      <c r="AA57" s="13">
        <f>(C28+AF52)*Z58/12*(1+Z58/12)^(C10+AA58)/((1+Z58/12)^(C10+AA58)-1)+10*C28/100000*IF(C10+AA58&lt;24,4,IF(C10+AA58&lt;36,3,IF(C10+AA58&lt;48,2,IF(C10+AA58&lt;60,1.5,1))))*Z58/0.2</f>
        <v>23186.022344282468</v>
      </c>
      <c r="AB57" s="157">
        <f>(C28+AF52)*AA14/12*(1+AA14/12)^(C10)/((1+AA14/12)^(C10)-1)+C28/10000*IF(C10&lt;11,20,IF(C10&lt;34,0.7,IF(C10&lt;48,0.3,0)))*IF(AA14&lt;0.3,AA14/0.2,AA14/0.1)</f>
        <v>22078.379841051486</v>
      </c>
      <c r="AC57" s="13">
        <f>(D28+AF52)*AC58/12*(1+AC58/12)^(C10+AA58)/((1+AC58/12)^(C10+AA58)-1)+10*D28/100000*IF(C10+AA58&lt;24,4,IF(C10+AA58&lt;36,3,IF(C10+AA58&lt;48,2,IF(C10+AA58&lt;60,1.5,1))))*AC58/0.2</f>
        <v>22223.004578175922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21808.792855236756</v>
      </c>
      <c r="AE57" s="2"/>
      <c r="AF57" s="2"/>
      <c r="AG57" s="2"/>
      <c r="AH57" s="2"/>
      <c r="AI57" s="2">
        <f t="shared" si="49"/>
        <v>15042.19</v>
      </c>
      <c r="AJ57" s="34">
        <f t="shared" si="50"/>
        <v>21774</v>
      </c>
      <c r="AK57" s="57">
        <f t="shared" si="52"/>
        <v>48235</v>
      </c>
      <c r="AL57" s="130">
        <f t="shared" si="21"/>
        <v>1</v>
      </c>
      <c r="AM57" s="1057">
        <f t="shared" si="31"/>
        <v>49</v>
      </c>
      <c r="AN57" s="1058">
        <f t="shared" si="11"/>
        <v>46807</v>
      </c>
      <c r="AO57" s="105">
        <f t="shared" si="35"/>
        <v>21774</v>
      </c>
      <c r="AP57" s="105">
        <f t="shared" si="12"/>
        <v>9123.5499999999993</v>
      </c>
      <c r="AQ57" s="105">
        <f t="shared" si="41"/>
        <v>12650.45</v>
      </c>
      <c r="AR57" s="105">
        <f t="shared" si="34"/>
        <v>0</v>
      </c>
      <c r="AS57" s="105">
        <f t="shared" si="42"/>
        <v>0</v>
      </c>
      <c r="AT57" s="105">
        <f t="shared" si="43"/>
        <v>9123.5499999999993</v>
      </c>
      <c r="AU57" s="105">
        <f t="shared" si="44"/>
        <v>0</v>
      </c>
      <c r="AV57" s="105">
        <f t="shared" si="45"/>
        <v>0</v>
      </c>
      <c r="AW57" s="105">
        <f t="shared" si="46"/>
        <v>589118.9299999997</v>
      </c>
      <c r="AX57" s="108">
        <f t="shared" si="32"/>
        <v>36</v>
      </c>
      <c r="AY57" s="108">
        <f t="shared" si="15"/>
        <v>36</v>
      </c>
      <c r="AZ57" s="1047">
        <f t="shared" si="36"/>
        <v>46807</v>
      </c>
      <c r="BA57" s="108">
        <f t="shared" si="36"/>
        <v>21774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055">
        <f t="shared" si="28"/>
        <v>50</v>
      </c>
      <c r="F58" s="1056">
        <f t="shared" si="5"/>
        <v>46836</v>
      </c>
      <c r="G58" s="24">
        <f t="shared" si="6"/>
        <v>21774</v>
      </c>
      <c r="H58" s="24">
        <f t="shared" si="7"/>
        <v>8406.2000000000007</v>
      </c>
      <c r="I58" s="24">
        <f t="shared" si="26"/>
        <v>619656.72</v>
      </c>
      <c r="J58" s="24">
        <f t="shared" si="16"/>
        <v>0</v>
      </c>
      <c r="K58" s="24">
        <f t="shared" si="8"/>
        <v>13367.8</v>
      </c>
      <c r="L58" s="24">
        <f t="shared" si="17"/>
        <v>0</v>
      </c>
      <c r="M58" s="24">
        <f t="shared" si="37"/>
        <v>0</v>
      </c>
      <c r="N58" s="24">
        <f t="shared" si="38"/>
        <v>8406.2000000000007</v>
      </c>
      <c r="O58" s="24">
        <f t="shared" si="39"/>
        <v>0</v>
      </c>
      <c r="P58" s="24">
        <f t="shared" si="40"/>
        <v>0</v>
      </c>
      <c r="Q58" s="24">
        <f t="shared" si="9"/>
        <v>614395.71999999986</v>
      </c>
      <c r="R58" s="36">
        <f t="shared" si="30"/>
        <v>35</v>
      </c>
      <c r="S58" s="36">
        <f t="shared" si="10"/>
        <v>37</v>
      </c>
      <c r="T58" s="2">
        <f t="shared" si="47"/>
        <v>10876.49</v>
      </c>
      <c r="U58" s="34">
        <f t="shared" si="48"/>
        <v>21774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0.22899999999999998</v>
      </c>
      <c r="AA58" s="2">
        <f xml:space="preserve"> IF(C9&gt;AE49,36,24)</f>
        <v>36</v>
      </c>
      <c r="AB58" s="44">
        <f>(C28+AF52)*AA14/12*(1+AA14/12)^(C10)/((1+AA14/12)^(C10)-1)</f>
        <v>22078.379841051486</v>
      </c>
      <c r="AC58" s="15">
        <f>IF(C9&gt;AE49,D17,D17+0.05)</f>
        <v>0.22899999999999998</v>
      </c>
      <c r="AD58" s="47">
        <f>(D28)*AB14/12*(1+AB14/12)^(C10)/((1+AB14/12)^(C10)-1)</f>
        <v>21764.918807486756</v>
      </c>
      <c r="AE58" s="2"/>
      <c r="AF58" s="2"/>
      <c r="AG58" s="2"/>
      <c r="AH58" s="2"/>
      <c r="AI58" s="2">
        <f t="shared" si="49"/>
        <v>14458.19</v>
      </c>
      <c r="AJ58" s="34">
        <f t="shared" si="50"/>
        <v>21774</v>
      </c>
      <c r="AK58" s="57">
        <f t="shared" si="52"/>
        <v>48600</v>
      </c>
      <c r="AL58" s="130">
        <f t="shared" si="21"/>
        <v>1</v>
      </c>
      <c r="AM58" s="1057">
        <f t="shared" si="31"/>
        <v>50</v>
      </c>
      <c r="AN58" s="1058">
        <f t="shared" si="11"/>
        <v>46836</v>
      </c>
      <c r="AO58" s="105">
        <f t="shared" si="35"/>
        <v>21774</v>
      </c>
      <c r="AP58" s="105">
        <f t="shared" si="12"/>
        <v>8355.51</v>
      </c>
      <c r="AQ58" s="105">
        <f t="shared" si="41"/>
        <v>13418.49</v>
      </c>
      <c r="AR58" s="105">
        <f t="shared" si="34"/>
        <v>0</v>
      </c>
      <c r="AS58" s="105">
        <f t="shared" si="42"/>
        <v>0</v>
      </c>
      <c r="AT58" s="105">
        <f t="shared" si="43"/>
        <v>8355.51</v>
      </c>
      <c r="AU58" s="105">
        <f t="shared" si="44"/>
        <v>0</v>
      </c>
      <c r="AV58" s="105">
        <f t="shared" si="45"/>
        <v>0</v>
      </c>
      <c r="AW58" s="105">
        <f t="shared" si="46"/>
        <v>575700.43999999971</v>
      </c>
      <c r="AX58" s="108">
        <f t="shared" si="32"/>
        <v>35</v>
      </c>
      <c r="AY58" s="108">
        <f t="shared" si="15"/>
        <v>35</v>
      </c>
      <c r="AZ58" s="1047">
        <f t="shared" si="36"/>
        <v>46836</v>
      </c>
      <c r="BA58" s="108">
        <f t="shared" si="36"/>
        <v>21774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055">
        <f t="shared" si="28"/>
        <v>51</v>
      </c>
      <c r="F59" s="1056">
        <f t="shared" si="5"/>
        <v>46867</v>
      </c>
      <c r="G59" s="24">
        <f t="shared" si="6"/>
        <v>21774</v>
      </c>
      <c r="H59" s="24">
        <f t="shared" si="7"/>
        <v>8794.59</v>
      </c>
      <c r="I59" s="24">
        <f t="shared" si="26"/>
        <v>628451.30999999994</v>
      </c>
      <c r="J59" s="24">
        <f t="shared" si="16"/>
        <v>0</v>
      </c>
      <c r="K59" s="24">
        <f t="shared" si="8"/>
        <v>12979.41</v>
      </c>
      <c r="L59" s="24">
        <f t="shared" si="17"/>
        <v>0</v>
      </c>
      <c r="M59" s="24">
        <f t="shared" si="37"/>
        <v>0</v>
      </c>
      <c r="N59" s="24">
        <f t="shared" si="38"/>
        <v>8794.59</v>
      </c>
      <c r="O59" s="24">
        <f t="shared" si="39"/>
        <v>0</v>
      </c>
      <c r="P59" s="24">
        <f t="shared" si="40"/>
        <v>0</v>
      </c>
      <c r="Q59" s="24">
        <f t="shared" si="9"/>
        <v>601416.30999999982</v>
      </c>
      <c r="R59" s="36">
        <f t="shared" si="30"/>
        <v>34</v>
      </c>
      <c r="S59" s="36">
        <f t="shared" si="10"/>
        <v>36</v>
      </c>
      <c r="T59" s="2">
        <f t="shared" si="47"/>
        <v>11156.82</v>
      </c>
      <c r="U59" s="34">
        <f t="shared" si="48"/>
        <v>21774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49"/>
        <v>14829.21</v>
      </c>
      <c r="AJ59" s="34">
        <f t="shared" si="50"/>
        <v>21774</v>
      </c>
      <c r="AK59" s="57">
        <f t="shared" si="52"/>
        <v>48965</v>
      </c>
      <c r="AL59" s="130">
        <f t="shared" si="21"/>
        <v>1</v>
      </c>
      <c r="AM59" s="1057">
        <f t="shared" si="31"/>
        <v>51</v>
      </c>
      <c r="AN59" s="1058">
        <f t="shared" si="11"/>
        <v>46867</v>
      </c>
      <c r="AO59" s="105">
        <f t="shared" si="35"/>
        <v>21774</v>
      </c>
      <c r="AP59" s="105">
        <f t="shared" si="12"/>
        <v>8728.31</v>
      </c>
      <c r="AQ59" s="105">
        <f t="shared" si="41"/>
        <v>13045.69</v>
      </c>
      <c r="AR59" s="105">
        <f t="shared" si="34"/>
        <v>0</v>
      </c>
      <c r="AS59" s="105">
        <f t="shared" si="42"/>
        <v>0</v>
      </c>
      <c r="AT59" s="105">
        <f t="shared" si="43"/>
        <v>8728.31</v>
      </c>
      <c r="AU59" s="105">
        <f t="shared" si="44"/>
        <v>0</v>
      </c>
      <c r="AV59" s="105">
        <f t="shared" si="45"/>
        <v>0</v>
      </c>
      <c r="AW59" s="105">
        <f t="shared" si="46"/>
        <v>562654.74999999977</v>
      </c>
      <c r="AX59" s="108">
        <f t="shared" si="32"/>
        <v>34</v>
      </c>
      <c r="AY59" s="108">
        <f t="shared" si="15"/>
        <v>34</v>
      </c>
      <c r="AZ59" s="1047">
        <f t="shared" si="36"/>
        <v>46867</v>
      </c>
      <c r="BA59" s="108">
        <f t="shared" si="36"/>
        <v>21774</v>
      </c>
      <c r="BB59" s="2" t="e">
        <f t="shared" si="54"/>
        <v>#VALUE!</v>
      </c>
    </row>
    <row r="60" spans="1:54" s="16" customFormat="1" ht="12" x14ac:dyDescent="0.2">
      <c r="A60" s="2"/>
      <c r="B60" s="2"/>
      <c r="C60" s="2"/>
      <c r="D60" s="2"/>
      <c r="E60" s="1055">
        <f t="shared" si="28"/>
        <v>52</v>
      </c>
      <c r="F60" s="1056">
        <f t="shared" si="5"/>
        <v>46897</v>
      </c>
      <c r="G60" s="24">
        <f t="shared" si="6"/>
        <v>21774</v>
      </c>
      <c r="H60" s="24">
        <f t="shared" si="7"/>
        <v>8331.09</v>
      </c>
      <c r="I60" s="24">
        <f t="shared" si="26"/>
        <v>636782.39999999991</v>
      </c>
      <c r="J60" s="24">
        <f t="shared" si="16"/>
        <v>0</v>
      </c>
      <c r="K60" s="24">
        <f t="shared" si="8"/>
        <v>13442.91</v>
      </c>
      <c r="L60" s="24">
        <f t="shared" si="17"/>
        <v>0</v>
      </c>
      <c r="M60" s="24">
        <f t="shared" si="37"/>
        <v>0</v>
      </c>
      <c r="N60" s="24">
        <f t="shared" si="38"/>
        <v>8331.09</v>
      </c>
      <c r="O60" s="24">
        <f t="shared" si="39"/>
        <v>0</v>
      </c>
      <c r="P60" s="24">
        <f t="shared" si="40"/>
        <v>0</v>
      </c>
      <c r="Q60" s="24">
        <f t="shared" si="9"/>
        <v>587973.39999999979</v>
      </c>
      <c r="R60" s="36">
        <f t="shared" si="30"/>
        <v>33</v>
      </c>
      <c r="S60" s="36">
        <f t="shared" si="10"/>
        <v>35</v>
      </c>
      <c r="T60" s="2">
        <f t="shared" si="47"/>
        <v>10721.24</v>
      </c>
      <c r="U60" s="34">
        <f t="shared" si="48"/>
        <v>21774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489</v>
      </c>
      <c r="AA60" s="145" t="s">
        <v>488</v>
      </c>
      <c r="AB60" s="145" t="s">
        <v>490</v>
      </c>
      <c r="AC60" s="145" t="s">
        <v>491</v>
      </c>
      <c r="AD60" s="145" t="s">
        <v>492</v>
      </c>
      <c r="AE60" s="145" t="s">
        <v>487</v>
      </c>
      <c r="AF60" s="145" t="s">
        <v>493</v>
      </c>
      <c r="AG60" s="145" t="s">
        <v>494</v>
      </c>
      <c r="AH60" s="2" t="s">
        <v>35</v>
      </c>
      <c r="AI60" s="2">
        <f t="shared" si="49"/>
        <v>14248.96</v>
      </c>
      <c r="AJ60" s="34">
        <f t="shared" si="50"/>
        <v>21774</v>
      </c>
      <c r="AK60" s="57">
        <f>IF(AI60=0,AK59,AK59+365)</f>
        <v>49330</v>
      </c>
      <c r="AL60" s="130">
        <f t="shared" si="21"/>
        <v>1</v>
      </c>
      <c r="AM60" s="1057">
        <f t="shared" si="31"/>
        <v>52</v>
      </c>
      <c r="AN60" s="1058">
        <f t="shared" si="11"/>
        <v>46897</v>
      </c>
      <c r="AO60" s="105">
        <f t="shared" si="35"/>
        <v>21774</v>
      </c>
      <c r="AP60" s="105">
        <f t="shared" si="12"/>
        <v>8255.34</v>
      </c>
      <c r="AQ60" s="105">
        <f t="shared" si="41"/>
        <v>13518.66</v>
      </c>
      <c r="AR60" s="105">
        <f t="shared" si="34"/>
        <v>0</v>
      </c>
      <c r="AS60" s="105">
        <f t="shared" si="42"/>
        <v>0</v>
      </c>
      <c r="AT60" s="105">
        <f t="shared" si="43"/>
        <v>8255.34</v>
      </c>
      <c r="AU60" s="105">
        <f t="shared" si="44"/>
        <v>0</v>
      </c>
      <c r="AV60" s="105">
        <f t="shared" si="45"/>
        <v>0</v>
      </c>
      <c r="AW60" s="105">
        <f t="shared" si="46"/>
        <v>549136.08999999973</v>
      </c>
      <c r="AX60" s="108">
        <f t="shared" si="32"/>
        <v>33</v>
      </c>
      <c r="AY60" s="108">
        <f t="shared" si="15"/>
        <v>33</v>
      </c>
      <c r="AZ60" s="1047">
        <f t="shared" si="36"/>
        <v>46897</v>
      </c>
      <c r="BA60" s="108">
        <f t="shared" si="36"/>
        <v>21774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055">
        <f t="shared" si="28"/>
        <v>53</v>
      </c>
      <c r="F61" s="1056">
        <f t="shared" si="5"/>
        <v>46928</v>
      </c>
      <c r="G61" s="24">
        <f t="shared" si="6"/>
        <v>21774</v>
      </c>
      <c r="H61" s="24">
        <f t="shared" si="7"/>
        <v>8416.3700000000008</v>
      </c>
      <c r="I61" s="24">
        <f t="shared" si="26"/>
        <v>645198.7699999999</v>
      </c>
      <c r="J61" s="24">
        <f t="shared" si="16"/>
        <v>0</v>
      </c>
      <c r="K61" s="24">
        <f t="shared" si="8"/>
        <v>13357.63</v>
      </c>
      <c r="L61" s="24">
        <f t="shared" si="17"/>
        <v>0</v>
      </c>
      <c r="M61" s="24">
        <f t="shared" si="37"/>
        <v>0</v>
      </c>
      <c r="N61" s="24">
        <f t="shared" si="38"/>
        <v>8416.3700000000008</v>
      </c>
      <c r="O61" s="24">
        <f t="shared" si="39"/>
        <v>0</v>
      </c>
      <c r="P61" s="24">
        <f t="shared" si="40"/>
        <v>0</v>
      </c>
      <c r="Q61" s="24">
        <f t="shared" si="9"/>
        <v>574615.76999999979</v>
      </c>
      <c r="R61" s="36">
        <f t="shared" si="30"/>
        <v>32</v>
      </c>
      <c r="S61" s="36">
        <f t="shared" si="10"/>
        <v>34</v>
      </c>
      <c r="T61" s="2">
        <f t="shared" si="47"/>
        <v>11024.3</v>
      </c>
      <c r="U61" s="34">
        <f t="shared" si="48"/>
        <v>21774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49"/>
        <v>14649.86</v>
      </c>
      <c r="AJ61" s="34">
        <f t="shared" si="50"/>
        <v>21774</v>
      </c>
      <c r="AK61" s="57">
        <f t="shared" si="52"/>
        <v>49695</v>
      </c>
      <c r="AL61" s="130">
        <f t="shared" si="21"/>
        <v>1</v>
      </c>
      <c r="AM61" s="1057">
        <f t="shared" si="31"/>
        <v>53</v>
      </c>
      <c r="AN61" s="1058">
        <f t="shared" si="11"/>
        <v>46928</v>
      </c>
      <c r="AO61" s="105">
        <f t="shared" si="35"/>
        <v>21774</v>
      </c>
      <c r="AP61" s="105">
        <f t="shared" si="12"/>
        <v>8325.56</v>
      </c>
      <c r="AQ61" s="105">
        <f t="shared" si="41"/>
        <v>13448.44</v>
      </c>
      <c r="AR61" s="105">
        <f t="shared" si="34"/>
        <v>0</v>
      </c>
      <c r="AS61" s="105">
        <f t="shared" si="42"/>
        <v>0</v>
      </c>
      <c r="AT61" s="105">
        <f t="shared" si="43"/>
        <v>8325.56</v>
      </c>
      <c r="AU61" s="105">
        <f t="shared" si="44"/>
        <v>0</v>
      </c>
      <c r="AV61" s="105">
        <f t="shared" si="45"/>
        <v>0</v>
      </c>
      <c r="AW61" s="105">
        <f t="shared" si="46"/>
        <v>535687.64999999979</v>
      </c>
      <c r="AX61" s="108">
        <f t="shared" si="32"/>
        <v>32</v>
      </c>
      <c r="AY61" s="108">
        <f t="shared" si="15"/>
        <v>32</v>
      </c>
      <c r="AZ61" s="1047">
        <f t="shared" si="36"/>
        <v>46928</v>
      </c>
      <c r="BA61" s="108">
        <f t="shared" si="36"/>
        <v>21774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055">
        <f t="shared" si="28"/>
        <v>54</v>
      </c>
      <c r="F62" s="1056">
        <f t="shared" si="5"/>
        <v>46958</v>
      </c>
      <c r="G62" s="24">
        <f t="shared" si="6"/>
        <v>21774</v>
      </c>
      <c r="H62" s="24">
        <f t="shared" si="7"/>
        <v>7959.84</v>
      </c>
      <c r="I62" s="24">
        <f t="shared" si="26"/>
        <v>653158.60999999987</v>
      </c>
      <c r="J62" s="24">
        <f t="shared" si="16"/>
        <v>0</v>
      </c>
      <c r="K62" s="24">
        <f t="shared" si="8"/>
        <v>13814.16</v>
      </c>
      <c r="L62" s="24">
        <f t="shared" si="17"/>
        <v>0</v>
      </c>
      <c r="M62" s="24">
        <f t="shared" si="37"/>
        <v>0</v>
      </c>
      <c r="N62" s="24">
        <f t="shared" si="38"/>
        <v>7959.84</v>
      </c>
      <c r="O62" s="24">
        <f t="shared" si="39"/>
        <v>0</v>
      </c>
      <c r="P62" s="24">
        <f t="shared" si="40"/>
        <v>0</v>
      </c>
      <c r="Q62" s="24">
        <f t="shared" si="9"/>
        <v>560801.60999999975</v>
      </c>
      <c r="R62" s="36">
        <f t="shared" si="30"/>
        <v>31</v>
      </c>
      <c r="S62" s="36">
        <f t="shared" si="10"/>
        <v>33</v>
      </c>
      <c r="T62" s="2">
        <f t="shared" si="47"/>
        <v>10943.87</v>
      </c>
      <c r="U62" s="34">
        <f t="shared" si="48"/>
        <v>21774</v>
      </c>
      <c r="V62" s="57">
        <f t="shared" si="51"/>
        <v>50060</v>
      </c>
      <c r="W62" s="16">
        <f t="shared" si="53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49"/>
        <v>14541.41</v>
      </c>
      <c r="AJ62" s="34">
        <f t="shared" si="50"/>
        <v>21774</v>
      </c>
      <c r="AK62" s="57">
        <f t="shared" si="52"/>
        <v>50060</v>
      </c>
      <c r="AL62" s="130">
        <f t="shared" si="21"/>
        <v>1</v>
      </c>
      <c r="AM62" s="1057">
        <f t="shared" si="31"/>
        <v>54</v>
      </c>
      <c r="AN62" s="1058">
        <f t="shared" si="11"/>
        <v>46958</v>
      </c>
      <c r="AO62" s="105">
        <f t="shared" si="35"/>
        <v>21774</v>
      </c>
      <c r="AP62" s="105">
        <f t="shared" si="12"/>
        <v>7859.68</v>
      </c>
      <c r="AQ62" s="105">
        <f t="shared" si="41"/>
        <v>13914.32</v>
      </c>
      <c r="AR62" s="105">
        <f t="shared" si="34"/>
        <v>0</v>
      </c>
      <c r="AS62" s="105">
        <f t="shared" si="42"/>
        <v>0</v>
      </c>
      <c r="AT62" s="105">
        <f t="shared" si="43"/>
        <v>7859.68</v>
      </c>
      <c r="AU62" s="105">
        <f t="shared" si="44"/>
        <v>0</v>
      </c>
      <c r="AV62" s="105">
        <f t="shared" si="45"/>
        <v>0</v>
      </c>
      <c r="AW62" s="105">
        <f t="shared" si="46"/>
        <v>521773.32999999978</v>
      </c>
      <c r="AX62" s="108">
        <f t="shared" si="32"/>
        <v>31</v>
      </c>
      <c r="AY62" s="108">
        <f t="shared" si="15"/>
        <v>31</v>
      </c>
      <c r="AZ62" s="1047">
        <f t="shared" si="36"/>
        <v>46958</v>
      </c>
      <c r="BA62" s="108">
        <f t="shared" si="36"/>
        <v>21774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055">
        <f t="shared" si="28"/>
        <v>55</v>
      </c>
      <c r="F63" s="1056">
        <f t="shared" si="5"/>
        <v>46989</v>
      </c>
      <c r="G63" s="24">
        <f t="shared" si="6"/>
        <v>21774</v>
      </c>
      <c r="H63" s="24">
        <f t="shared" si="7"/>
        <v>8027.43</v>
      </c>
      <c r="I63" s="24">
        <f t="shared" si="26"/>
        <v>661186.03999999992</v>
      </c>
      <c r="J63" s="24">
        <f t="shared" si="16"/>
        <v>0</v>
      </c>
      <c r="K63" s="24">
        <f t="shared" si="8"/>
        <v>13746.57</v>
      </c>
      <c r="L63" s="24">
        <f t="shared" si="17"/>
        <v>0</v>
      </c>
      <c r="M63" s="24">
        <f t="shared" si="37"/>
        <v>0</v>
      </c>
      <c r="N63" s="24">
        <f t="shared" si="38"/>
        <v>8027.43</v>
      </c>
      <c r="O63" s="24">
        <f t="shared" si="39"/>
        <v>0</v>
      </c>
      <c r="P63" s="24">
        <f t="shared" si="40"/>
        <v>0</v>
      </c>
      <c r="Q63" s="24">
        <f t="shared" si="9"/>
        <v>547055.0399999998</v>
      </c>
      <c r="R63" s="36">
        <f t="shared" si="30"/>
        <v>30</v>
      </c>
      <c r="S63" s="36">
        <f t="shared" si="10"/>
        <v>32</v>
      </c>
      <c r="T63" s="2">
        <f t="shared" si="47"/>
        <v>9811.2000000000007</v>
      </c>
      <c r="U63" s="34">
        <f t="shared" si="48"/>
        <v>21774</v>
      </c>
      <c r="V63" s="57">
        <f t="shared" si="51"/>
        <v>50425</v>
      </c>
      <c r="W63" s="16">
        <f t="shared" si="53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49"/>
        <v>13034.87</v>
      </c>
      <c r="AJ63" s="34">
        <f t="shared" si="50"/>
        <v>21774</v>
      </c>
      <c r="AK63" s="57">
        <f t="shared" si="52"/>
        <v>50425</v>
      </c>
      <c r="AL63" s="130">
        <f t="shared" si="21"/>
        <v>1</v>
      </c>
      <c r="AM63" s="1057">
        <f t="shared" si="31"/>
        <v>55</v>
      </c>
      <c r="AN63" s="1058">
        <f t="shared" si="11"/>
        <v>46989</v>
      </c>
      <c r="AO63" s="105">
        <f t="shared" si="35"/>
        <v>21774</v>
      </c>
      <c r="AP63" s="105">
        <f t="shared" si="12"/>
        <v>7910.71</v>
      </c>
      <c r="AQ63" s="105">
        <f t="shared" si="41"/>
        <v>13863.29</v>
      </c>
      <c r="AR63" s="105">
        <f t="shared" si="34"/>
        <v>0</v>
      </c>
      <c r="AS63" s="105">
        <f t="shared" si="42"/>
        <v>0</v>
      </c>
      <c r="AT63" s="105">
        <f t="shared" si="43"/>
        <v>7910.71</v>
      </c>
      <c r="AU63" s="105">
        <f t="shared" si="44"/>
        <v>0</v>
      </c>
      <c r="AV63" s="105">
        <f t="shared" si="45"/>
        <v>0</v>
      </c>
      <c r="AW63" s="105">
        <f t="shared" si="46"/>
        <v>507910.0399999998</v>
      </c>
      <c r="AX63" s="108">
        <f t="shared" si="32"/>
        <v>30</v>
      </c>
      <c r="AY63" s="108">
        <f t="shared" si="15"/>
        <v>30</v>
      </c>
      <c r="AZ63" s="1047">
        <f t="shared" si="36"/>
        <v>46989</v>
      </c>
      <c r="BA63" s="108">
        <f t="shared" si="36"/>
        <v>21774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055">
        <f t="shared" si="28"/>
        <v>56</v>
      </c>
      <c r="F64" s="1056">
        <f t="shared" si="5"/>
        <v>47020</v>
      </c>
      <c r="G64" s="24">
        <f t="shared" si="6"/>
        <v>21774</v>
      </c>
      <c r="H64" s="24">
        <f t="shared" si="7"/>
        <v>7830.66</v>
      </c>
      <c r="I64" s="24">
        <f t="shared" si="26"/>
        <v>669016.69999999995</v>
      </c>
      <c r="J64" s="24">
        <f t="shared" si="16"/>
        <v>0</v>
      </c>
      <c r="K64" s="24">
        <f t="shared" si="8"/>
        <v>13943.34</v>
      </c>
      <c r="L64" s="24">
        <f t="shared" si="17"/>
        <v>0</v>
      </c>
      <c r="M64" s="24">
        <f t="shared" si="29"/>
        <v>0</v>
      </c>
      <c r="N64" s="24">
        <f t="shared" si="18"/>
        <v>7830.66</v>
      </c>
      <c r="O64" s="24">
        <f t="shared" si="19"/>
        <v>0</v>
      </c>
      <c r="P64" s="24">
        <f t="shared" si="20"/>
        <v>0</v>
      </c>
      <c r="Q64" s="24">
        <f t="shared" si="9"/>
        <v>533111.69999999984</v>
      </c>
      <c r="R64" s="36">
        <f t="shared" si="30"/>
        <v>29</v>
      </c>
      <c r="S64" s="36">
        <f t="shared" si="10"/>
        <v>31</v>
      </c>
      <c r="T64" s="2">
        <f t="shared" si="47"/>
        <v>10764.66</v>
      </c>
      <c r="U64" s="34">
        <f t="shared" si="48"/>
        <v>21774</v>
      </c>
      <c r="V64" s="57">
        <f t="shared" si="51"/>
        <v>50790</v>
      </c>
      <c r="W64" s="16">
        <f t="shared" si="53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49"/>
        <v>14298.6</v>
      </c>
      <c r="AJ64" s="34">
        <f t="shared" si="50"/>
        <v>21774</v>
      </c>
      <c r="AK64" s="57">
        <f t="shared" si="52"/>
        <v>50790</v>
      </c>
      <c r="AL64" s="130">
        <f t="shared" si="21"/>
        <v>1</v>
      </c>
      <c r="AM64" s="1057">
        <f t="shared" si="31"/>
        <v>56</v>
      </c>
      <c r="AN64" s="1058">
        <f t="shared" si="11"/>
        <v>47020</v>
      </c>
      <c r="AO64" s="105">
        <f t="shared" si="35"/>
        <v>21774</v>
      </c>
      <c r="AP64" s="105">
        <f t="shared" si="12"/>
        <v>7700.53</v>
      </c>
      <c r="AQ64" s="105">
        <f t="shared" si="41"/>
        <v>14073.470000000001</v>
      </c>
      <c r="AR64" s="105">
        <f t="shared" si="34"/>
        <v>0</v>
      </c>
      <c r="AS64" s="105">
        <f t="shared" si="42"/>
        <v>0</v>
      </c>
      <c r="AT64" s="105">
        <f t="shared" si="43"/>
        <v>7700.53</v>
      </c>
      <c r="AU64" s="105">
        <f t="shared" si="44"/>
        <v>0</v>
      </c>
      <c r="AV64" s="105">
        <f t="shared" si="45"/>
        <v>0</v>
      </c>
      <c r="AW64" s="105">
        <f t="shared" si="46"/>
        <v>493836.56999999983</v>
      </c>
      <c r="AX64" s="108">
        <f t="shared" si="32"/>
        <v>29</v>
      </c>
      <c r="AY64" s="108">
        <f t="shared" si="15"/>
        <v>29</v>
      </c>
      <c r="AZ64" s="1047">
        <f t="shared" si="36"/>
        <v>47020</v>
      </c>
      <c r="BA64" s="108">
        <f t="shared" si="36"/>
        <v>21774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055">
        <f t="shared" si="28"/>
        <v>57</v>
      </c>
      <c r="F65" s="1056">
        <f t="shared" si="5"/>
        <v>47050</v>
      </c>
      <c r="G65" s="24">
        <f t="shared" si="6"/>
        <v>21774</v>
      </c>
      <c r="H65" s="24">
        <f t="shared" si="7"/>
        <v>7384.91</v>
      </c>
      <c r="I65" s="24">
        <f t="shared" si="26"/>
        <v>676401.61</v>
      </c>
      <c r="J65" s="24">
        <f t="shared" si="16"/>
        <v>0</v>
      </c>
      <c r="K65" s="24">
        <f t="shared" si="8"/>
        <v>14389.09</v>
      </c>
      <c r="L65" s="24">
        <f t="shared" si="17"/>
        <v>0</v>
      </c>
      <c r="M65" s="24">
        <f t="shared" si="29"/>
        <v>0</v>
      </c>
      <c r="N65" s="24">
        <f t="shared" si="18"/>
        <v>7384.91</v>
      </c>
      <c r="O65" s="24">
        <f t="shared" si="19"/>
        <v>0</v>
      </c>
      <c r="P65" s="24">
        <f t="shared" si="20"/>
        <v>0</v>
      </c>
      <c r="Q65" s="24">
        <f t="shared" si="9"/>
        <v>518722.60999999981</v>
      </c>
      <c r="R65" s="36">
        <f t="shared" si="30"/>
        <v>28</v>
      </c>
      <c r="S65" s="36">
        <f t="shared" si="10"/>
        <v>30</v>
      </c>
      <c r="T65" s="2">
        <f t="shared" si="47"/>
        <v>10336.08</v>
      </c>
      <c r="U65" s="34">
        <f t="shared" si="48"/>
        <v>21774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49"/>
        <v>13727.37</v>
      </c>
      <c r="AJ65" s="34">
        <f t="shared" si="50"/>
        <v>21774</v>
      </c>
      <c r="AK65" s="57">
        <f t="shared" si="52"/>
        <v>51155</v>
      </c>
      <c r="AL65" s="130">
        <f t="shared" si="21"/>
        <v>1</v>
      </c>
      <c r="AM65" s="1057">
        <f t="shared" si="31"/>
        <v>57</v>
      </c>
      <c r="AN65" s="1058">
        <f t="shared" si="11"/>
        <v>47050</v>
      </c>
      <c r="AO65" s="105">
        <f t="shared" si="35"/>
        <v>21774</v>
      </c>
      <c r="AP65" s="105">
        <f t="shared" si="12"/>
        <v>7245.63</v>
      </c>
      <c r="AQ65" s="105">
        <f t="shared" si="41"/>
        <v>14528.369999999999</v>
      </c>
      <c r="AR65" s="105">
        <f t="shared" si="34"/>
        <v>0</v>
      </c>
      <c r="AS65" s="105">
        <f t="shared" si="42"/>
        <v>0</v>
      </c>
      <c r="AT65" s="105">
        <f t="shared" si="43"/>
        <v>7245.63</v>
      </c>
      <c r="AU65" s="105">
        <f t="shared" si="44"/>
        <v>0</v>
      </c>
      <c r="AV65" s="105">
        <f t="shared" si="45"/>
        <v>0</v>
      </c>
      <c r="AW65" s="105">
        <f t="shared" si="46"/>
        <v>479308.19999999984</v>
      </c>
      <c r="AX65" s="108">
        <f t="shared" si="32"/>
        <v>28</v>
      </c>
      <c r="AY65" s="108">
        <f t="shared" si="15"/>
        <v>28</v>
      </c>
      <c r="AZ65" s="1047">
        <f t="shared" si="36"/>
        <v>47050</v>
      </c>
      <c r="BA65" s="108">
        <f t="shared" si="36"/>
        <v>21774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055">
        <f t="shared" si="28"/>
        <v>58</v>
      </c>
      <c r="F66" s="1056">
        <f t="shared" si="5"/>
        <v>47081</v>
      </c>
      <c r="G66" s="24">
        <f t="shared" si="6"/>
        <v>21774</v>
      </c>
      <c r="H66" s="24">
        <f t="shared" si="7"/>
        <v>7425.1</v>
      </c>
      <c r="I66" s="24">
        <f t="shared" si="26"/>
        <v>683826.71</v>
      </c>
      <c r="J66" s="24">
        <f t="shared" si="16"/>
        <v>0</v>
      </c>
      <c r="K66" s="24">
        <f t="shared" si="8"/>
        <v>14348.9</v>
      </c>
      <c r="L66" s="24">
        <f t="shared" si="17"/>
        <v>0</v>
      </c>
      <c r="M66" s="24">
        <f t="shared" si="29"/>
        <v>0</v>
      </c>
      <c r="N66" s="24">
        <f t="shared" si="18"/>
        <v>7425.1</v>
      </c>
      <c r="O66" s="24">
        <f t="shared" si="19"/>
        <v>0</v>
      </c>
      <c r="P66" s="24">
        <f t="shared" si="20"/>
        <v>0</v>
      </c>
      <c r="Q66" s="24">
        <f t="shared" si="9"/>
        <v>504373.70999999979</v>
      </c>
      <c r="R66" s="36">
        <f t="shared" si="30"/>
        <v>27</v>
      </c>
      <c r="S66" s="36">
        <f t="shared" si="10"/>
        <v>29</v>
      </c>
      <c r="T66" s="2">
        <f t="shared" si="47"/>
        <v>10590.41</v>
      </c>
      <c r="U66" s="34">
        <f t="shared" si="48"/>
        <v>21774</v>
      </c>
      <c r="V66" s="57">
        <f t="shared" si="51"/>
        <v>51520</v>
      </c>
      <c r="W66" s="16">
        <f t="shared" si="53"/>
        <v>17</v>
      </c>
      <c r="X66" s="171"/>
      <c r="Y66" s="172"/>
      <c r="Z66" s="133">
        <f>IF($C$7&lt;=$Y$62,Z62,IF($C$7&lt;=$Y$63,Z63,IF($C$7&lt;=$Y$64,Z64,Z65)))</f>
        <v>9.2999999999999992E-3</v>
      </c>
      <c r="AA66" s="133">
        <f t="shared" ref="AA66:AF66" si="55">IF($C$7&lt;=$Y$62,AA62,IF($C$7&lt;=$Y$63,AA63,IF($C$7&lt;=$Y$64,AA64,AA65)))</f>
        <v>1.1900000000000001E-2</v>
      </c>
      <c r="AB66" s="133">
        <f t="shared" si="55"/>
        <v>7.9000000000000008E-3</v>
      </c>
      <c r="AC66" s="133">
        <f t="shared" si="55"/>
        <v>1.18E-2</v>
      </c>
      <c r="AD66" s="133">
        <f t="shared" si="55"/>
        <v>9.2999999999999992E-3</v>
      </c>
      <c r="AE66" s="133">
        <f t="shared" si="55"/>
        <v>1.1900000000000001E-2</v>
      </c>
      <c r="AF66" s="133">
        <f t="shared" si="55"/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1.18E-2</v>
      </c>
      <c r="AI66" s="2">
        <f t="shared" si="49"/>
        <v>14062.62</v>
      </c>
      <c r="AJ66" s="34">
        <f t="shared" si="50"/>
        <v>21774</v>
      </c>
      <c r="AK66" s="57">
        <f t="shared" si="52"/>
        <v>51520</v>
      </c>
      <c r="AL66" s="130">
        <f t="shared" si="21"/>
        <v>1</v>
      </c>
      <c r="AM66" s="1057">
        <f t="shared" si="31"/>
        <v>58</v>
      </c>
      <c r="AN66" s="1058">
        <f t="shared" si="11"/>
        <v>47081</v>
      </c>
      <c r="AO66" s="105">
        <f t="shared" si="35"/>
        <v>21774</v>
      </c>
      <c r="AP66" s="105">
        <f t="shared" si="12"/>
        <v>7266.89</v>
      </c>
      <c r="AQ66" s="105">
        <f t="shared" si="41"/>
        <v>14507.11</v>
      </c>
      <c r="AR66" s="105">
        <f t="shared" si="34"/>
        <v>0</v>
      </c>
      <c r="AS66" s="105">
        <f t="shared" si="42"/>
        <v>0</v>
      </c>
      <c r="AT66" s="105">
        <f t="shared" si="43"/>
        <v>7266.89</v>
      </c>
      <c r="AU66" s="105">
        <f t="shared" si="44"/>
        <v>0</v>
      </c>
      <c r="AV66" s="105">
        <f t="shared" si="45"/>
        <v>0</v>
      </c>
      <c r="AW66" s="105">
        <f t="shared" si="46"/>
        <v>464801.08999999985</v>
      </c>
      <c r="AX66" s="108">
        <f t="shared" si="32"/>
        <v>27</v>
      </c>
      <c r="AY66" s="108">
        <f t="shared" si="15"/>
        <v>27</v>
      </c>
      <c r="AZ66" s="1047">
        <f t="shared" si="36"/>
        <v>47081</v>
      </c>
      <c r="BA66" s="108">
        <f t="shared" si="36"/>
        <v>21774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055">
        <f t="shared" si="28"/>
        <v>59</v>
      </c>
      <c r="F67" s="1056">
        <f t="shared" si="5"/>
        <v>47111</v>
      </c>
      <c r="G67" s="24">
        <f t="shared" si="6"/>
        <v>21774</v>
      </c>
      <c r="H67" s="24">
        <f t="shared" si="7"/>
        <v>6986.82</v>
      </c>
      <c r="I67" s="24">
        <f t="shared" si="26"/>
        <v>690813.52999999991</v>
      </c>
      <c r="J67" s="24">
        <f t="shared" si="16"/>
        <v>0</v>
      </c>
      <c r="K67" s="24">
        <f t="shared" si="8"/>
        <v>14787.18</v>
      </c>
      <c r="L67" s="24">
        <f t="shared" si="17"/>
        <v>0</v>
      </c>
      <c r="M67" s="24">
        <f t="shared" si="29"/>
        <v>0</v>
      </c>
      <c r="N67" s="24">
        <f t="shared" si="18"/>
        <v>6986.82</v>
      </c>
      <c r="O67" s="24">
        <f t="shared" si="19"/>
        <v>0</v>
      </c>
      <c r="P67" s="24">
        <f t="shared" si="20"/>
        <v>0</v>
      </c>
      <c r="Q67" s="24">
        <f t="shared" si="9"/>
        <v>489586.5299999998</v>
      </c>
      <c r="R67" s="36">
        <f t="shared" si="30"/>
        <v>26</v>
      </c>
      <c r="S67" s="36">
        <f t="shared" si="10"/>
        <v>28</v>
      </c>
      <c r="T67" s="2">
        <f t="shared" si="47"/>
        <v>10165.030000000001</v>
      </c>
      <c r="U67" s="34">
        <f t="shared" si="48"/>
        <v>21774</v>
      </c>
      <c r="V67" s="57">
        <f t="shared" si="51"/>
        <v>51885</v>
      </c>
      <c r="W67" s="16">
        <f t="shared" si="53"/>
        <v>18</v>
      </c>
      <c r="Z67" s="143">
        <f t="shared" ref="Z67" si="56">Z66*Z81*$C$30</f>
        <v>100440</v>
      </c>
      <c r="AA67" s="143">
        <f>AA66*AA81*$C$30</f>
        <v>128520</v>
      </c>
      <c r="AB67" s="143">
        <f t="shared" ref="AB67:AD67" si="57">AB66*AB81*$C$30</f>
        <v>85320.000000000015</v>
      </c>
      <c r="AC67" s="143">
        <f t="shared" si="57"/>
        <v>127440</v>
      </c>
      <c r="AD67" s="143">
        <f t="shared" si="57"/>
        <v>100440</v>
      </c>
      <c r="AE67" s="143">
        <f>AE66*AE81*$C$30</f>
        <v>128520</v>
      </c>
      <c r="AF67" s="143">
        <f>AF66*AF81*$C$30</f>
        <v>85320.000000000015</v>
      </c>
      <c r="AG67" s="143">
        <f>AG66*AG81*$C$30</f>
        <v>127440</v>
      </c>
      <c r="AH67" s="2">
        <f>IF($D$8=$Z$60,Z67,IF($D$8=$AA$60,AA67,IF($D$8=$AB$60,AB67,AC67)))</f>
        <v>127440</v>
      </c>
      <c r="AI67" s="2">
        <f t="shared" si="49"/>
        <v>13495.54</v>
      </c>
      <c r="AJ67" s="34">
        <f t="shared" si="50"/>
        <v>21774</v>
      </c>
      <c r="AK67" s="57">
        <f t="shared" si="52"/>
        <v>51885</v>
      </c>
      <c r="AL67" s="130">
        <f t="shared" si="21"/>
        <v>1</v>
      </c>
      <c r="AM67" s="1057">
        <f t="shared" si="31"/>
        <v>59</v>
      </c>
      <c r="AN67" s="1058">
        <f t="shared" si="11"/>
        <v>47111</v>
      </c>
      <c r="AO67" s="105">
        <f t="shared" si="35"/>
        <v>21774</v>
      </c>
      <c r="AP67" s="105">
        <f t="shared" si="12"/>
        <v>6819.62</v>
      </c>
      <c r="AQ67" s="105">
        <f t="shared" si="41"/>
        <v>14954.380000000001</v>
      </c>
      <c r="AR67" s="105">
        <f t="shared" si="34"/>
        <v>0</v>
      </c>
      <c r="AS67" s="105">
        <f t="shared" si="42"/>
        <v>0</v>
      </c>
      <c r="AT67" s="105">
        <f t="shared" si="43"/>
        <v>6819.62</v>
      </c>
      <c r="AU67" s="105">
        <f t="shared" si="44"/>
        <v>0</v>
      </c>
      <c r="AV67" s="105">
        <f t="shared" si="45"/>
        <v>0</v>
      </c>
      <c r="AW67" s="105">
        <f t="shared" si="46"/>
        <v>449846.70999999985</v>
      </c>
      <c r="AX67" s="108">
        <f t="shared" si="32"/>
        <v>26</v>
      </c>
      <c r="AY67" s="108">
        <f t="shared" si="15"/>
        <v>26</v>
      </c>
      <c r="AZ67" s="1047">
        <f t="shared" si="36"/>
        <v>47111</v>
      </c>
      <c r="BA67" s="108">
        <f t="shared" si="36"/>
        <v>21774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055">
        <f t="shared" si="28"/>
        <v>60</v>
      </c>
      <c r="F68" s="1056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21774</v>
      </c>
      <c r="H68" s="24">
        <f t="shared" si="7"/>
        <v>7022.91</v>
      </c>
      <c r="I68" s="24">
        <f t="shared" si="26"/>
        <v>697836.44</v>
      </c>
      <c r="J68" s="24">
        <f>IF(AND(E68=$C$10,$C$22&lt;&gt;"Нет"),MIN((I68-I68/$C$19*$C$23),Q67+H68-G67),0)</f>
        <v>0</v>
      </c>
      <c r="K68" s="24">
        <f t="shared" si="8"/>
        <v>14751.09</v>
      </c>
      <c r="L68" s="24">
        <f t="shared" si="17"/>
        <v>0</v>
      </c>
      <c r="M68" s="24">
        <f t="shared" si="29"/>
        <v>0</v>
      </c>
      <c r="N68" s="24">
        <f t="shared" si="18"/>
        <v>7022.91</v>
      </c>
      <c r="O68" s="24">
        <f t="shared" si="19"/>
        <v>0</v>
      </c>
      <c r="P68" s="24">
        <f t="shared" si="20"/>
        <v>0</v>
      </c>
      <c r="Q68" s="24">
        <f t="shared" si="9"/>
        <v>474835.43999999977</v>
      </c>
      <c r="R68" s="36">
        <f t="shared" si="30"/>
        <v>25</v>
      </c>
      <c r="S68" s="36">
        <f t="shared" si="10"/>
        <v>27</v>
      </c>
      <c r="T68" s="2">
        <f t="shared" si="47"/>
        <v>10411.200000000001</v>
      </c>
      <c r="U68" s="34">
        <f t="shared" si="48"/>
        <v>21774</v>
      </c>
      <c r="V68" s="57">
        <f t="shared" si="51"/>
        <v>52250</v>
      </c>
      <c r="W68" s="16">
        <f t="shared" si="53"/>
        <v>19</v>
      </c>
      <c r="Z68" s="143">
        <f t="shared" ref="Z68:AD68" si="58">V67</f>
        <v>51885</v>
      </c>
      <c r="AA68" s="143">
        <f t="shared" si="58"/>
        <v>18</v>
      </c>
      <c r="AB68" s="143">
        <f t="shared" si="58"/>
        <v>0</v>
      </c>
      <c r="AC68" s="143">
        <f t="shared" si="58"/>
        <v>0</v>
      </c>
      <c r="AD68" s="143">
        <f t="shared" si="58"/>
        <v>100440</v>
      </c>
      <c r="AE68" s="143">
        <f>AA67</f>
        <v>128520</v>
      </c>
      <c r="AF68" s="143">
        <f>AA67</f>
        <v>128520</v>
      </c>
      <c r="AG68" s="143">
        <f>AB67</f>
        <v>85320.000000000015</v>
      </c>
      <c r="AH68" s="143">
        <f>AH67-AE67</f>
        <v>-1080</v>
      </c>
      <c r="AI68" s="2">
        <f t="shared" si="49"/>
        <v>13819.53</v>
      </c>
      <c r="AJ68" s="34">
        <f t="shared" si="50"/>
        <v>21774</v>
      </c>
      <c r="AK68" s="57">
        <f t="shared" si="52"/>
        <v>52250</v>
      </c>
      <c r="AL68" s="130">
        <f t="shared" si="21"/>
        <v>1</v>
      </c>
      <c r="AM68" s="1057">
        <f t="shared" si="31"/>
        <v>60</v>
      </c>
      <c r="AN68" s="1058">
        <f t="shared" si="11"/>
        <v>47142</v>
      </c>
      <c r="AO68" s="105">
        <f>IF(AX67=1,AR68+AP68+AQ68,IF(AW67+AR68+AP68&gt;AO67,$D$29,IF(AW67=0,0,AW67+AR68+AP68+AP100)))</f>
        <v>21774</v>
      </c>
      <c r="AP68" s="105">
        <f t="shared" si="12"/>
        <v>6834.68</v>
      </c>
      <c r="AQ68" s="105">
        <f>IF(AY68=0,0,IF(AY68=1,AW67,IF(AW67+AR68+AP68&gt;AO67,AO68-AP68-AR68,AW67)))</f>
        <v>14939.32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6834.68</v>
      </c>
      <c r="AU68" s="105">
        <f>IF(AY68=0,0,0)</f>
        <v>0</v>
      </c>
      <c r="AV68" s="105">
        <f>IF(AY68=0,0,0)</f>
        <v>0</v>
      </c>
      <c r="AW68" s="105">
        <f>IF(OR(AY68=1,AW67=0),0,AW67-AQ68)</f>
        <v>434907.38999999984</v>
      </c>
      <c r="AX68" s="108">
        <f t="shared" si="32"/>
        <v>25</v>
      </c>
      <c r="AY68" s="108">
        <f t="shared" si="15"/>
        <v>25</v>
      </c>
      <c r="AZ68" s="1047">
        <f t="shared" si="36"/>
        <v>47142</v>
      </c>
      <c r="BA68" s="108">
        <f t="shared" si="36"/>
        <v>21774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055">
        <f t="shared" si="28"/>
        <v>61</v>
      </c>
      <c r="F69" s="1056">
        <f t="shared" si="5"/>
        <v>47173</v>
      </c>
      <c r="G69" s="24">
        <f t="shared" ref="G69:G132" si="59">IF(AND(E69&gt;=$T$14,E69&lt;=$T$14+5),$T$15,IF(AND(Q68+L69+H69&gt;G68,G68&lt;&gt;0),$C$29,IF(Q68=0,0,Q68+L69+H69+H70)))+IF(AND(E69=$C$10,$C$22&lt;&gt;"Нет"),MIN((I69-I69/$C$19*$C$23),Q68+H69-G68),0)</f>
        <v>21774</v>
      </c>
      <c r="H69" s="24">
        <f t="shared" si="7"/>
        <v>6815.51</v>
      </c>
      <c r="I69" s="24">
        <f t="shared" si="26"/>
        <v>704651.95</v>
      </c>
      <c r="J69" s="24">
        <f t="shared" ref="J69:J132" si="60">IF(AND(E69=$C$10,$C$22&lt;&gt;"Нет"),MIN((I69-I69/$C$19*$C$23),Q68+H69-G68),0)</f>
        <v>0</v>
      </c>
      <c r="K69" s="24">
        <f t="shared" si="8"/>
        <v>14958.49</v>
      </c>
      <c r="L69" s="24">
        <f t="shared" si="17"/>
        <v>0</v>
      </c>
      <c r="M69" s="24">
        <f t="shared" si="29"/>
        <v>0</v>
      </c>
      <c r="N69" s="24">
        <f t="shared" si="18"/>
        <v>6815.51</v>
      </c>
      <c r="O69" s="24">
        <f t="shared" si="19"/>
        <v>0</v>
      </c>
      <c r="P69" s="24">
        <f t="shared" si="20"/>
        <v>0</v>
      </c>
      <c r="Q69" s="24">
        <f t="shared" si="9"/>
        <v>459876.94999999978</v>
      </c>
      <c r="R69" s="36">
        <f t="shared" si="30"/>
        <v>24</v>
      </c>
      <c r="S69" s="36">
        <f t="shared" si="10"/>
        <v>26</v>
      </c>
      <c r="T69" s="2">
        <f t="shared" si="47"/>
        <v>10322.08</v>
      </c>
      <c r="U69" s="34">
        <f t="shared" si="48"/>
        <v>21774</v>
      </c>
      <c r="V69" s="57">
        <f t="shared" si="51"/>
        <v>52615</v>
      </c>
      <c r="W69" s="16">
        <f t="shared" si="53"/>
        <v>20</v>
      </c>
      <c r="X69" s="1086"/>
      <c r="AH69" s="16">
        <f>104000+2900+5616+18532</f>
        <v>131048</v>
      </c>
      <c r="AI69" s="2">
        <f t="shared" si="49"/>
        <v>13698.6</v>
      </c>
      <c r="AJ69" s="34">
        <f t="shared" si="50"/>
        <v>21774</v>
      </c>
      <c r="AK69" s="57">
        <f>IF(AI69=0,AK68,AK68+365)</f>
        <v>52615</v>
      </c>
      <c r="AL69" s="130">
        <f t="shared" si="21"/>
        <v>1</v>
      </c>
      <c r="AM69" s="1057">
        <f t="shared" si="31"/>
        <v>61</v>
      </c>
      <c r="AN69" s="1058">
        <f t="shared" si="11"/>
        <v>47173</v>
      </c>
      <c r="AO69" s="105">
        <f>IF(AX68=1,AR69+AP69+AQ69,IF(AW68+AR69+AP69&gt;AO68,$D$29,IF(AW68=0,0,AW68+AR69+AP69+AP101)))</f>
        <v>21774</v>
      </c>
      <c r="AP69" s="105">
        <f t="shared" si="12"/>
        <v>6611.78</v>
      </c>
      <c r="AQ69" s="105">
        <f>IF(AY69=0,0,IF(AY69=1,AW68,IF(AW68+AR69+AP69&gt;AO68,AO69-AP69-AR69,AW68)))</f>
        <v>15162.220000000001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6611.78</v>
      </c>
      <c r="AU69" s="105">
        <f>IF(AY69=0,0,0)</f>
        <v>0</v>
      </c>
      <c r="AV69" s="105">
        <f>IF(AY69=0,0,0)</f>
        <v>0</v>
      </c>
      <c r="AW69" s="105">
        <f>IF(OR(AY69=1,AW68=0),0,AW68-AQ69)</f>
        <v>419745.16999999981</v>
      </c>
      <c r="AX69" s="108">
        <f t="shared" si="32"/>
        <v>24</v>
      </c>
      <c r="AY69" s="108">
        <f t="shared" si="15"/>
        <v>24</v>
      </c>
      <c r="AZ69" s="1047">
        <f t="shared" si="36"/>
        <v>47173</v>
      </c>
      <c r="BA69" s="108">
        <f t="shared" si="36"/>
        <v>21774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055">
        <f t="shared" si="28"/>
        <v>62</v>
      </c>
      <c r="F70" s="1056">
        <f t="shared" si="5"/>
        <v>47201</v>
      </c>
      <c r="G70" s="24">
        <f t="shared" si="59"/>
        <v>21774</v>
      </c>
      <c r="H70" s="24">
        <f t="shared" si="7"/>
        <v>5962.02</v>
      </c>
      <c r="I70" s="24">
        <f t="shared" si="26"/>
        <v>710613.97</v>
      </c>
      <c r="J70" s="24">
        <f t="shared" si="60"/>
        <v>0</v>
      </c>
      <c r="K70" s="24">
        <f t="shared" si="8"/>
        <v>15811.98</v>
      </c>
      <c r="L70" s="24">
        <f t="shared" si="17"/>
        <v>0</v>
      </c>
      <c r="M70" s="24">
        <f t="shared" si="29"/>
        <v>0</v>
      </c>
      <c r="N70" s="24">
        <f t="shared" si="18"/>
        <v>5962.02</v>
      </c>
      <c r="O70" s="24">
        <f t="shared" si="19"/>
        <v>0</v>
      </c>
      <c r="P70" s="24">
        <f t="shared" si="20"/>
        <v>0</v>
      </c>
      <c r="Q70" s="24">
        <f t="shared" si="9"/>
        <v>444064.9699999998</v>
      </c>
      <c r="R70" s="36">
        <f t="shared" si="30"/>
        <v>23</v>
      </c>
      <c r="S70" s="36">
        <f t="shared" si="10"/>
        <v>25</v>
      </c>
      <c r="T70" s="2">
        <f t="shared" si="47"/>
        <v>9901.6200000000008</v>
      </c>
      <c r="U70" s="34">
        <f t="shared" si="48"/>
        <v>21774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49"/>
        <v>13137.91</v>
      </c>
      <c r="AJ70" s="34">
        <f>IF(AI70=0,IF(AI69=0,0,$AJ$46),AO29)</f>
        <v>21774</v>
      </c>
      <c r="AK70" s="57">
        <f t="shared" si="52"/>
        <v>52980</v>
      </c>
      <c r="AL70" s="130">
        <f t="shared" si="21"/>
        <v>1</v>
      </c>
      <c r="AM70" s="1057">
        <f t="shared" si="31"/>
        <v>62</v>
      </c>
      <c r="AN70" s="1058">
        <f t="shared" si="11"/>
        <v>47201</v>
      </c>
      <c r="AO70" s="105">
        <f t="shared" si="35"/>
        <v>21774</v>
      </c>
      <c r="AP70" s="105">
        <f t="shared" si="12"/>
        <v>5763.73</v>
      </c>
      <c r="AQ70" s="105">
        <f t="shared" si="41"/>
        <v>16010.27</v>
      </c>
      <c r="AR70" s="105">
        <f t="shared" si="34"/>
        <v>0</v>
      </c>
      <c r="AS70" s="105">
        <f t="shared" si="42"/>
        <v>0</v>
      </c>
      <c r="AT70" s="105">
        <f t="shared" si="43"/>
        <v>5763.73</v>
      </c>
      <c r="AU70" s="105">
        <f t="shared" si="44"/>
        <v>0</v>
      </c>
      <c r="AV70" s="105">
        <f t="shared" si="45"/>
        <v>0</v>
      </c>
      <c r="AW70" s="105">
        <f t="shared" si="46"/>
        <v>403734.89999999979</v>
      </c>
      <c r="AX70" s="108">
        <f t="shared" si="32"/>
        <v>23</v>
      </c>
      <c r="AY70" s="108">
        <f t="shared" si="15"/>
        <v>23</v>
      </c>
      <c r="AZ70" s="1047">
        <f t="shared" si="36"/>
        <v>47201</v>
      </c>
      <c r="BA70" s="108">
        <f t="shared" si="36"/>
        <v>21774</v>
      </c>
      <c r="BB70" s="2" t="e">
        <f t="shared" si="54"/>
        <v>#VALUE!</v>
      </c>
    </row>
    <row r="71" spans="1:54" s="16" customFormat="1" ht="12" x14ac:dyDescent="0.2">
      <c r="A71" s="2"/>
      <c r="B71" s="2"/>
      <c r="C71" s="2"/>
      <c r="D71" s="2"/>
      <c r="E71" s="1055">
        <f t="shared" si="28"/>
        <v>63</v>
      </c>
      <c r="F71" s="1056">
        <f t="shared" si="5"/>
        <v>47232</v>
      </c>
      <c r="G71" s="24">
        <f t="shared" si="59"/>
        <v>21774</v>
      </c>
      <c r="H71" s="24">
        <f t="shared" si="7"/>
        <v>6373.85</v>
      </c>
      <c r="I71" s="24">
        <f t="shared" si="26"/>
        <v>716987.82</v>
      </c>
      <c r="J71" s="24">
        <f t="shared" si="60"/>
        <v>0</v>
      </c>
      <c r="K71" s="24">
        <f t="shared" si="8"/>
        <v>15400.15</v>
      </c>
      <c r="L71" s="24">
        <f t="shared" si="17"/>
        <v>0</v>
      </c>
      <c r="M71" s="24">
        <f t="shared" si="29"/>
        <v>0</v>
      </c>
      <c r="N71" s="24">
        <f t="shared" si="18"/>
        <v>6373.85</v>
      </c>
      <c r="O71" s="24">
        <f t="shared" si="19"/>
        <v>0</v>
      </c>
      <c r="P71" s="24">
        <f t="shared" si="20"/>
        <v>0</v>
      </c>
      <c r="Q71" s="24">
        <f t="shared" si="9"/>
        <v>428664.81999999977</v>
      </c>
      <c r="R71" s="36">
        <f t="shared" si="30"/>
        <v>22</v>
      </c>
      <c r="S71" s="36">
        <f t="shared" si="10"/>
        <v>24</v>
      </c>
      <c r="T71" s="2">
        <f t="shared" si="47"/>
        <v>10135.24</v>
      </c>
      <c r="U71" s="34">
        <f t="shared" si="48"/>
        <v>21774</v>
      </c>
      <c r="V71" s="57">
        <f t="shared" si="51"/>
        <v>53345</v>
      </c>
      <c r="W71" s="16">
        <f t="shared" si="53"/>
        <v>22</v>
      </c>
      <c r="Y71" s="15"/>
      <c r="Z71" s="145" t="s">
        <v>489</v>
      </c>
      <c r="AA71" s="145" t="s">
        <v>488</v>
      </c>
      <c r="AB71" s="145" t="s">
        <v>490</v>
      </c>
      <c r="AC71" s="145" t="s">
        <v>491</v>
      </c>
      <c r="AD71" s="145" t="s">
        <v>492</v>
      </c>
      <c r="AE71" s="145" t="s">
        <v>487</v>
      </c>
      <c r="AF71" s="145" t="s">
        <v>493</v>
      </c>
      <c r="AG71" s="145" t="s">
        <v>494</v>
      </c>
      <c r="AH71" s="63"/>
      <c r="AI71" s="2">
        <f t="shared" si="49"/>
        <v>13444.54</v>
      </c>
      <c r="AJ71" s="34">
        <f t="shared" ref="AJ71:AJ82" si="61">IF(AI71=0,IF(AI70=0,0,$AJ$46),AO30)</f>
        <v>21774</v>
      </c>
      <c r="AK71" s="57">
        <f>IF(AI71=0,AK70,AK70+365)</f>
        <v>53345</v>
      </c>
      <c r="AL71" s="130">
        <f t="shared" si="21"/>
        <v>1</v>
      </c>
      <c r="AM71" s="1057">
        <f t="shared" si="31"/>
        <v>63</v>
      </c>
      <c r="AN71" s="1058">
        <f t="shared" si="11"/>
        <v>47232</v>
      </c>
      <c r="AO71" s="105">
        <f t="shared" si="35"/>
        <v>21774</v>
      </c>
      <c r="AP71" s="105">
        <f t="shared" si="12"/>
        <v>6137.88</v>
      </c>
      <c r="AQ71" s="105">
        <f t="shared" si="41"/>
        <v>15636.119999999999</v>
      </c>
      <c r="AR71" s="105">
        <f t="shared" si="34"/>
        <v>0</v>
      </c>
      <c r="AS71" s="105">
        <f t="shared" si="42"/>
        <v>0</v>
      </c>
      <c r="AT71" s="105">
        <f t="shared" si="43"/>
        <v>6137.88</v>
      </c>
      <c r="AU71" s="105">
        <f t="shared" si="44"/>
        <v>0</v>
      </c>
      <c r="AV71" s="105">
        <f t="shared" si="45"/>
        <v>0</v>
      </c>
      <c r="AW71" s="105">
        <f t="shared" si="46"/>
        <v>388098.7799999998</v>
      </c>
      <c r="AX71" s="108">
        <f t="shared" si="32"/>
        <v>22</v>
      </c>
      <c r="AY71" s="108">
        <f t="shared" si="15"/>
        <v>22</v>
      </c>
      <c r="AZ71" s="1047">
        <f t="shared" si="36"/>
        <v>47232</v>
      </c>
      <c r="BA71" s="108">
        <f t="shared" si="36"/>
        <v>21774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055">
        <f t="shared" si="28"/>
        <v>64</v>
      </c>
      <c r="F72" s="1056">
        <f t="shared" si="5"/>
        <v>47262</v>
      </c>
      <c r="G72" s="24">
        <f t="shared" si="59"/>
        <v>21774</v>
      </c>
      <c r="H72" s="24">
        <f t="shared" si="7"/>
        <v>5954.33</v>
      </c>
      <c r="I72" s="24">
        <f t="shared" si="26"/>
        <v>722942.14999999991</v>
      </c>
      <c r="J72" s="24">
        <f t="shared" si="60"/>
        <v>0</v>
      </c>
      <c r="K72" s="24">
        <f t="shared" si="8"/>
        <v>15819.67</v>
      </c>
      <c r="L72" s="24">
        <f t="shared" si="17"/>
        <v>0</v>
      </c>
      <c r="M72" s="24">
        <f t="shared" si="29"/>
        <v>0</v>
      </c>
      <c r="N72" s="24">
        <f t="shared" si="18"/>
        <v>5954.33</v>
      </c>
      <c r="O72" s="24">
        <f t="shared" si="19"/>
        <v>0</v>
      </c>
      <c r="P72" s="24">
        <f t="shared" si="20"/>
        <v>0</v>
      </c>
      <c r="Q72" s="24">
        <f t="shared" si="9"/>
        <v>412845.14999999979</v>
      </c>
      <c r="R72" s="36">
        <f t="shared" si="30"/>
        <v>21</v>
      </c>
      <c r="S72" s="36">
        <f t="shared" si="10"/>
        <v>23</v>
      </c>
      <c r="T72" s="2">
        <f t="shared" si="47"/>
        <v>9718.2199999999993</v>
      </c>
      <c r="U72" s="34">
        <f t="shared" si="48"/>
        <v>21774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028"/>
      <c r="AA72" s="133" t="s">
        <v>98</v>
      </c>
      <c r="AB72" s="1028"/>
      <c r="AC72" s="1028"/>
      <c r="AD72" s="1028"/>
      <c r="AE72" s="1028"/>
      <c r="AF72" s="1028"/>
      <c r="AG72" s="1028"/>
      <c r="AH72" s="63"/>
      <c r="AI72" s="2">
        <f t="shared" si="49"/>
        <v>12888.3</v>
      </c>
      <c r="AJ72" s="34">
        <f t="shared" si="61"/>
        <v>21774</v>
      </c>
      <c r="AK72" s="57">
        <f t="shared" si="52"/>
        <v>53710</v>
      </c>
      <c r="AL72" s="130">
        <f t="shared" si="21"/>
        <v>1</v>
      </c>
      <c r="AM72" s="1057">
        <f t="shared" si="31"/>
        <v>64</v>
      </c>
      <c r="AN72" s="1058">
        <f t="shared" si="11"/>
        <v>47262</v>
      </c>
      <c r="AO72" s="105">
        <f t="shared" si="35"/>
        <v>21774</v>
      </c>
      <c r="AP72" s="105">
        <f t="shared" si="12"/>
        <v>5709.84</v>
      </c>
      <c r="AQ72" s="105">
        <f t="shared" si="41"/>
        <v>16064.16</v>
      </c>
      <c r="AR72" s="105">
        <f t="shared" si="34"/>
        <v>0</v>
      </c>
      <c r="AS72" s="105">
        <f t="shared" si="42"/>
        <v>0</v>
      </c>
      <c r="AT72" s="105">
        <f t="shared" si="43"/>
        <v>5709.84</v>
      </c>
      <c r="AU72" s="105">
        <f t="shared" si="44"/>
        <v>0</v>
      </c>
      <c r="AV72" s="105">
        <f t="shared" si="45"/>
        <v>0</v>
      </c>
      <c r="AW72" s="105">
        <f t="shared" si="46"/>
        <v>372034.61999999982</v>
      </c>
      <c r="AX72" s="108">
        <f t="shared" si="32"/>
        <v>21</v>
      </c>
      <c r="AY72" s="108">
        <f t="shared" si="15"/>
        <v>21</v>
      </c>
      <c r="AZ72" s="1047">
        <f t="shared" ref="AZ72:BA107" si="62">F72</f>
        <v>47262</v>
      </c>
      <c r="BA72" s="108">
        <f t="shared" si="62"/>
        <v>21774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055">
        <f t="shared" si="28"/>
        <v>65</v>
      </c>
      <c r="F73" s="1056">
        <f t="shared" ref="F73:F136" si="63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59"/>
        <v>21774</v>
      </c>
      <c r="H73" s="24">
        <f t="shared" ref="H73:H136" si="64">IF(AND(E73&gt;=$T$14,E73&lt;=$T$14+5),0,IF($C$9&gt;$AC$52,ROUND(Q72*$C$19*((F73-DATE(YEAR(F73),MONTH(F73),1)+1)/(DATE(YEAR(F73)+1,1,1)-DATE(YEAR(F73),1,1))+(EOMONTH(F72,0)-F72)/(DATE(YEAR(F72)+1,1,1)-DATE(YEAR(F72),1,1))),2),0))</f>
        <v>5925.74</v>
      </c>
      <c r="I73" s="24">
        <f t="shared" si="26"/>
        <v>728867.8899999999</v>
      </c>
      <c r="J73" s="24">
        <f t="shared" si="60"/>
        <v>0</v>
      </c>
      <c r="K73" s="24">
        <f t="shared" ref="K73:K136" si="65">IF(S73=0,0,IF(S73=1,Q72,IF(Q72+L73+H73&gt;G72,G73-H73-L73,Q72)))</f>
        <v>15848.26</v>
      </c>
      <c r="L73" s="24">
        <f t="shared" si="17"/>
        <v>0</v>
      </c>
      <c r="M73" s="24">
        <f t="shared" si="29"/>
        <v>0</v>
      </c>
      <c r="N73" s="24">
        <f t="shared" si="18"/>
        <v>5925.74</v>
      </c>
      <c r="O73" s="24">
        <f t="shared" si="19"/>
        <v>0</v>
      </c>
      <c r="P73" s="24">
        <f t="shared" si="20"/>
        <v>0</v>
      </c>
      <c r="Q73" s="24">
        <f t="shared" ref="Q73:Q136" si="66">IF(OR(S73=1,Q72=0),0,Q72-K73)</f>
        <v>396996.88999999978</v>
      </c>
      <c r="R73" s="36">
        <f t="shared" si="30"/>
        <v>20</v>
      </c>
      <c r="S73" s="36">
        <f t="shared" ref="S73:S136" si="67">IF(ISERR(CEILING(FLOOR(NPER($C$19/12,-$AA$56,Q72),0.1),1))=TRUE,0,CEILING(FLOOR(NPER($C$19/12,-$AA$56,Q72),0.1),1))</f>
        <v>22</v>
      </c>
      <c r="T73" s="2">
        <f t="shared" si="47"/>
        <v>9943.09</v>
      </c>
      <c r="U73" s="34">
        <f t="shared" si="48"/>
        <v>21774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028">
        <v>1</v>
      </c>
      <c r="AA73" s="1028">
        <v>1</v>
      </c>
      <c r="AB73" s="1028">
        <v>1</v>
      </c>
      <c r="AC73" s="1028">
        <v>1</v>
      </c>
      <c r="AD73" s="1028">
        <v>1</v>
      </c>
      <c r="AE73" s="1028">
        <v>1</v>
      </c>
      <c r="AF73" s="1028">
        <v>1</v>
      </c>
      <c r="AG73" s="1028">
        <v>1</v>
      </c>
      <c r="AH73" s="63"/>
      <c r="AI73" s="2">
        <f t="shared" si="49"/>
        <v>13182.83</v>
      </c>
      <c r="AJ73" s="34">
        <f t="shared" si="61"/>
        <v>21774</v>
      </c>
      <c r="AK73" s="57">
        <f t="shared" si="52"/>
        <v>54075</v>
      </c>
      <c r="AL73" s="130">
        <f t="shared" si="21"/>
        <v>1</v>
      </c>
      <c r="AM73" s="1057">
        <f t="shared" si="31"/>
        <v>65</v>
      </c>
      <c r="AN73" s="1058">
        <f t="shared" ref="AN73:AN129" si="68">IF((OR(DAY($AA$55)=29,DAY($AA$55)=30,DAY($AA$55)=31)),(EDATE($C$9-3,AM73)),(IF((OR(DAY($AA$55)=1,DAY($AA$55)=2,DAY($AA$55)=3)),(EDATE($C$9,AM73)+3),EDATE($C$9,AM73))))</f>
        <v>47293</v>
      </c>
      <c r="AO73" s="105">
        <f t="shared" si="35"/>
        <v>21774</v>
      </c>
      <c r="AP73" s="105">
        <f t="shared" ref="AP73:AP129" si="69">IF(AND(E73&gt;=$T$14,E73&lt;=$T$14+5),0,IF($C$9&gt;$AC$52,ROUND(AW72*$D$19*((AN73-DATE(YEAR(AN73),MONTH(AN73),1)+1)/(DATE(YEAR(AN73)+1,1,1)-DATE(YEAR(AN73),1,1))+(EOMONTH(AN72,0)-AN72)/(DATE(YEAR(AN72)+1,1,1)-DATE(YEAR(AN72),1,1))),2),0))</f>
        <v>5655.95</v>
      </c>
      <c r="AQ73" s="105">
        <f t="shared" si="41"/>
        <v>16118.05</v>
      </c>
      <c r="AR73" s="105">
        <f t="shared" si="34"/>
        <v>0</v>
      </c>
      <c r="AS73" s="105">
        <f t="shared" si="42"/>
        <v>0</v>
      </c>
      <c r="AT73" s="105">
        <f t="shared" si="43"/>
        <v>5655.95</v>
      </c>
      <c r="AU73" s="105">
        <f t="shared" si="44"/>
        <v>0</v>
      </c>
      <c r="AV73" s="105">
        <f t="shared" si="45"/>
        <v>0</v>
      </c>
      <c r="AW73" s="105">
        <f t="shared" si="46"/>
        <v>355916.56999999983</v>
      </c>
      <c r="AX73" s="108">
        <f t="shared" si="32"/>
        <v>20</v>
      </c>
      <c r="AY73" s="108">
        <f t="shared" ref="AY73:AY129" si="70">IF(ISERR(CEILING(FLOOR(NPER($D$19/12,-$AC$56,AW72),0.1),1))=TRUE,0,CEILING(FLOOR(NPER($D$19/12,-$AC$56,AW72),0.1),1))</f>
        <v>20</v>
      </c>
      <c r="AZ73" s="1047">
        <f t="shared" si="62"/>
        <v>47293</v>
      </c>
      <c r="BA73" s="108">
        <f t="shared" si="62"/>
        <v>21774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055">
        <f t="shared" si="28"/>
        <v>66</v>
      </c>
      <c r="F74" s="1056">
        <f t="shared" si="63"/>
        <v>47323</v>
      </c>
      <c r="G74" s="24">
        <f t="shared" si="59"/>
        <v>21774</v>
      </c>
      <c r="H74" s="24">
        <f t="shared" si="64"/>
        <v>5514.45</v>
      </c>
      <c r="I74" s="24">
        <f t="shared" si="26"/>
        <v>734382.33999999985</v>
      </c>
      <c r="J74" s="24">
        <f t="shared" si="60"/>
        <v>0</v>
      </c>
      <c r="K74" s="24">
        <f t="shared" si="65"/>
        <v>16259.55</v>
      </c>
      <c r="L74" s="24">
        <f t="shared" ref="L74:L137" si="71">IF(N74&gt;$C$29,$C$29-H74,IF(S74=0,0,O74))</f>
        <v>0</v>
      </c>
      <c r="M74" s="24">
        <f t="shared" si="29"/>
        <v>0</v>
      </c>
      <c r="N74" s="24">
        <f t="shared" si="18"/>
        <v>5514.45</v>
      </c>
      <c r="O74" s="24">
        <f t="shared" ref="O74:O137" si="72">IF(S74=0,0,0)</f>
        <v>0</v>
      </c>
      <c r="P74" s="24">
        <f t="shared" ref="P74:P137" si="73">IF(S74=0,0,0)</f>
        <v>0</v>
      </c>
      <c r="Q74" s="24">
        <f t="shared" si="66"/>
        <v>380737.33999999979</v>
      </c>
      <c r="R74" s="36">
        <f t="shared" si="30"/>
        <v>19</v>
      </c>
      <c r="S74" s="36">
        <f t="shared" si="67"/>
        <v>21</v>
      </c>
      <c r="T74" s="2">
        <f t="shared" si="47"/>
        <v>9847.24</v>
      </c>
      <c r="U74" s="34">
        <f t="shared" si="48"/>
        <v>21774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028">
        <v>1</v>
      </c>
      <c r="AA74" s="1028">
        <v>1</v>
      </c>
      <c r="AB74" s="1028">
        <v>1</v>
      </c>
      <c r="AC74" s="1028">
        <v>1</v>
      </c>
      <c r="AD74" s="1028">
        <v>1</v>
      </c>
      <c r="AE74" s="1028">
        <v>1</v>
      </c>
      <c r="AF74" s="1028">
        <v>1</v>
      </c>
      <c r="AG74" s="1028">
        <v>1</v>
      </c>
      <c r="AH74" s="63"/>
      <c r="AI74" s="2">
        <f t="shared" si="49"/>
        <v>13052.22</v>
      </c>
      <c r="AJ74" s="34">
        <f t="shared" si="61"/>
        <v>21774</v>
      </c>
      <c r="AK74" s="57">
        <f t="shared" si="52"/>
        <v>54440</v>
      </c>
      <c r="AL74" s="130">
        <f t="shared" si="21"/>
        <v>1</v>
      </c>
      <c r="AM74" s="1057">
        <f t="shared" si="31"/>
        <v>66</v>
      </c>
      <c r="AN74" s="1058">
        <f t="shared" si="68"/>
        <v>47323</v>
      </c>
      <c r="AO74" s="105">
        <f t="shared" si="35"/>
        <v>21774</v>
      </c>
      <c r="AP74" s="105">
        <f t="shared" si="69"/>
        <v>5236.3599999999997</v>
      </c>
      <c r="AQ74" s="105">
        <f t="shared" si="41"/>
        <v>16537.64</v>
      </c>
      <c r="AR74" s="105">
        <f t="shared" si="34"/>
        <v>0</v>
      </c>
      <c r="AS74" s="105">
        <f t="shared" si="42"/>
        <v>0</v>
      </c>
      <c r="AT74" s="105">
        <f t="shared" si="43"/>
        <v>5236.3599999999997</v>
      </c>
      <c r="AU74" s="105">
        <f t="shared" si="44"/>
        <v>0</v>
      </c>
      <c r="AV74" s="105">
        <f t="shared" si="45"/>
        <v>0</v>
      </c>
      <c r="AW74" s="105">
        <f t="shared" si="46"/>
        <v>339378.92999999982</v>
      </c>
      <c r="AX74" s="108">
        <f t="shared" si="32"/>
        <v>19</v>
      </c>
      <c r="AY74" s="108">
        <f t="shared" si="70"/>
        <v>19</v>
      </c>
      <c r="AZ74" s="1047">
        <f t="shared" si="62"/>
        <v>47323</v>
      </c>
      <c r="BA74" s="108">
        <f t="shared" si="62"/>
        <v>21774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055">
        <f t="shared" si="28"/>
        <v>67</v>
      </c>
      <c r="F75" s="1056">
        <f t="shared" si="63"/>
        <v>47354</v>
      </c>
      <c r="G75" s="24">
        <f t="shared" si="59"/>
        <v>21774</v>
      </c>
      <c r="H75" s="24">
        <f t="shared" si="64"/>
        <v>5464.88</v>
      </c>
      <c r="I75" s="24">
        <f t="shared" ref="I75:I138" si="74">H75+I74</f>
        <v>739847.21999999986</v>
      </c>
      <c r="J75" s="24">
        <f t="shared" si="60"/>
        <v>0</v>
      </c>
      <c r="K75" s="24">
        <f t="shared" si="65"/>
        <v>16309.119999999999</v>
      </c>
      <c r="L75" s="24">
        <f t="shared" si="71"/>
        <v>0</v>
      </c>
      <c r="M75" s="24">
        <f t="shared" si="29"/>
        <v>0</v>
      </c>
      <c r="N75" s="24">
        <f t="shared" si="18"/>
        <v>5464.88</v>
      </c>
      <c r="O75" s="24">
        <f t="shared" si="72"/>
        <v>0</v>
      </c>
      <c r="P75" s="24">
        <f t="shared" si="73"/>
        <v>0</v>
      </c>
      <c r="Q75" s="24">
        <f t="shared" si="66"/>
        <v>364428.2199999998</v>
      </c>
      <c r="R75" s="36">
        <f t="shared" si="30"/>
        <v>18</v>
      </c>
      <c r="S75" s="36">
        <f t="shared" si="67"/>
        <v>20</v>
      </c>
      <c r="T75" s="2">
        <f t="shared" si="47"/>
        <v>8806.48</v>
      </c>
      <c r="U75" s="34">
        <f t="shared" si="48"/>
        <v>21774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028">
        <v>1</v>
      </c>
      <c r="AA75" s="1028">
        <v>1</v>
      </c>
      <c r="AB75" s="1028">
        <v>1</v>
      </c>
      <c r="AC75" s="1028">
        <v>1</v>
      </c>
      <c r="AD75" s="1028">
        <v>1</v>
      </c>
      <c r="AE75" s="1028">
        <v>1</v>
      </c>
      <c r="AF75" s="1028">
        <v>1</v>
      </c>
      <c r="AG75" s="1028">
        <v>1</v>
      </c>
      <c r="AH75" s="63"/>
      <c r="AI75" s="2">
        <f t="shared" si="49"/>
        <v>11669.34</v>
      </c>
      <c r="AJ75" s="34">
        <f t="shared" si="61"/>
        <v>21774</v>
      </c>
      <c r="AK75" s="57">
        <f t="shared" si="52"/>
        <v>54805</v>
      </c>
      <c r="AL75" s="130">
        <f t="shared" ref="AL75:AL109" si="75">IF(OR(AO75="",AO75=0),0,1)</f>
        <v>1</v>
      </c>
      <c r="AM75" s="1057">
        <f t="shared" si="31"/>
        <v>67</v>
      </c>
      <c r="AN75" s="1058">
        <f t="shared" si="68"/>
        <v>47354</v>
      </c>
      <c r="AO75" s="105">
        <f t="shared" si="35"/>
        <v>21774</v>
      </c>
      <c r="AP75" s="105">
        <f t="shared" si="69"/>
        <v>5159.49</v>
      </c>
      <c r="AQ75" s="105">
        <f t="shared" si="41"/>
        <v>16614.510000000002</v>
      </c>
      <c r="AR75" s="105">
        <f t="shared" si="34"/>
        <v>0</v>
      </c>
      <c r="AS75" s="105">
        <f t="shared" si="42"/>
        <v>0</v>
      </c>
      <c r="AT75" s="105">
        <f t="shared" si="43"/>
        <v>5159.49</v>
      </c>
      <c r="AU75" s="105">
        <f t="shared" si="44"/>
        <v>0</v>
      </c>
      <c r="AV75" s="105">
        <f t="shared" si="45"/>
        <v>0</v>
      </c>
      <c r="AW75" s="105">
        <f t="shared" si="46"/>
        <v>322764.41999999981</v>
      </c>
      <c r="AX75" s="108">
        <f t="shared" si="32"/>
        <v>18</v>
      </c>
      <c r="AY75" s="108">
        <f t="shared" si="70"/>
        <v>18</v>
      </c>
      <c r="AZ75" s="1047">
        <f t="shared" si="62"/>
        <v>47354</v>
      </c>
      <c r="BA75" s="108">
        <f t="shared" si="62"/>
        <v>21774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055">
        <f t="shared" ref="E76:E139" si="76">E75+1</f>
        <v>68</v>
      </c>
      <c r="F76" s="1056">
        <f t="shared" si="63"/>
        <v>47385</v>
      </c>
      <c r="G76" s="24">
        <f t="shared" si="59"/>
        <v>21774</v>
      </c>
      <c r="H76" s="24">
        <f t="shared" si="64"/>
        <v>5230.79</v>
      </c>
      <c r="I76" s="24">
        <f t="shared" si="74"/>
        <v>745078.00999999989</v>
      </c>
      <c r="J76" s="24">
        <f t="shared" si="60"/>
        <v>0</v>
      </c>
      <c r="K76" s="24">
        <f t="shared" si="65"/>
        <v>16543.21</v>
      </c>
      <c r="L76" s="24">
        <f t="shared" si="71"/>
        <v>0</v>
      </c>
      <c r="M76" s="24">
        <f t="shared" si="29"/>
        <v>0</v>
      </c>
      <c r="N76" s="24">
        <f t="shared" si="18"/>
        <v>5230.79</v>
      </c>
      <c r="O76" s="24">
        <f t="shared" si="72"/>
        <v>0</v>
      </c>
      <c r="P76" s="24">
        <f t="shared" si="73"/>
        <v>0</v>
      </c>
      <c r="Q76" s="24">
        <f t="shared" si="66"/>
        <v>347885.00999999978</v>
      </c>
      <c r="R76" s="36">
        <f t="shared" ref="R76" si="77">IF((R75-1)&lt;0,0,R75-1)</f>
        <v>17</v>
      </c>
      <c r="S76" s="36">
        <f t="shared" si="67"/>
        <v>19</v>
      </c>
      <c r="T76" s="2">
        <f t="shared" si="47"/>
        <v>9637.8700000000008</v>
      </c>
      <c r="U76" s="34">
        <f t="shared" si="48"/>
        <v>21774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028">
        <v>1</v>
      </c>
      <c r="AA76" s="1028">
        <v>1</v>
      </c>
      <c r="AB76" s="1028">
        <v>1</v>
      </c>
      <c r="AC76" s="1028">
        <v>1</v>
      </c>
      <c r="AD76" s="1028">
        <v>1</v>
      </c>
      <c r="AE76" s="1028">
        <v>1</v>
      </c>
      <c r="AF76" s="1028">
        <v>1</v>
      </c>
      <c r="AG76" s="1028">
        <v>1</v>
      </c>
      <c r="AH76" s="63"/>
      <c r="AI76" s="2">
        <f t="shared" si="49"/>
        <v>12766</v>
      </c>
      <c r="AJ76" s="34">
        <f t="shared" si="61"/>
        <v>21774</v>
      </c>
      <c r="AK76" s="57">
        <f t="shared" si="52"/>
        <v>55170</v>
      </c>
      <c r="AL76" s="130">
        <f t="shared" si="75"/>
        <v>1</v>
      </c>
      <c r="AM76" s="1057">
        <f t="shared" ref="AM76:AM129" si="78">AM75+1</f>
        <v>68</v>
      </c>
      <c r="AN76" s="1058">
        <f t="shared" si="68"/>
        <v>47385</v>
      </c>
      <c r="AO76" s="105">
        <f t="shared" si="35"/>
        <v>21774</v>
      </c>
      <c r="AP76" s="105">
        <f t="shared" si="69"/>
        <v>4906.8999999999996</v>
      </c>
      <c r="AQ76" s="105">
        <f t="shared" si="41"/>
        <v>16867.099999999999</v>
      </c>
      <c r="AR76" s="105">
        <f t="shared" si="34"/>
        <v>0</v>
      </c>
      <c r="AS76" s="105">
        <f t="shared" si="42"/>
        <v>0</v>
      </c>
      <c r="AT76" s="105">
        <f t="shared" si="43"/>
        <v>4906.8999999999996</v>
      </c>
      <c r="AU76" s="105">
        <f t="shared" si="44"/>
        <v>0</v>
      </c>
      <c r="AV76" s="105">
        <f t="shared" si="45"/>
        <v>0</v>
      </c>
      <c r="AW76" s="105">
        <f t="shared" si="46"/>
        <v>305897.31999999983</v>
      </c>
      <c r="AX76" s="108">
        <f t="shared" ref="AX76:AX129" si="79">IF((AX75-1)&lt;0,0,AX75-1)</f>
        <v>17</v>
      </c>
      <c r="AY76" s="108">
        <f t="shared" si="70"/>
        <v>17</v>
      </c>
      <c r="AZ76" s="1047">
        <f t="shared" si="62"/>
        <v>47385</v>
      </c>
      <c r="BA76" s="108">
        <f t="shared" si="62"/>
        <v>21774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055">
        <f t="shared" si="76"/>
        <v>69</v>
      </c>
      <c r="F77" s="1056">
        <f t="shared" si="63"/>
        <v>47415</v>
      </c>
      <c r="G77" s="24">
        <f t="shared" si="59"/>
        <v>21774</v>
      </c>
      <c r="H77" s="24">
        <f t="shared" si="64"/>
        <v>4832.2700000000004</v>
      </c>
      <c r="I77" s="24">
        <f t="shared" si="74"/>
        <v>749910.27999999991</v>
      </c>
      <c r="J77" s="24">
        <f t="shared" si="60"/>
        <v>0</v>
      </c>
      <c r="K77" s="24">
        <f t="shared" si="65"/>
        <v>16941.73</v>
      </c>
      <c r="L77" s="24">
        <f t="shared" si="71"/>
        <v>0</v>
      </c>
      <c r="M77" s="24">
        <f t="shared" si="29"/>
        <v>0</v>
      </c>
      <c r="N77" s="24">
        <f t="shared" si="18"/>
        <v>4832.2700000000004</v>
      </c>
      <c r="O77" s="24">
        <f t="shared" si="72"/>
        <v>0</v>
      </c>
      <c r="P77" s="24">
        <f t="shared" si="73"/>
        <v>0</v>
      </c>
      <c r="Q77" s="24">
        <f t="shared" si="66"/>
        <v>330943.2799999998</v>
      </c>
      <c r="R77" s="36">
        <f>IF((R76-1)&lt;0,0,R76-1)</f>
        <v>16</v>
      </c>
      <c r="S77" s="36">
        <f t="shared" si="67"/>
        <v>18</v>
      </c>
      <c r="T77" s="2">
        <f t="shared" si="47"/>
        <v>9229.98</v>
      </c>
      <c r="U77" s="34">
        <f t="shared" si="48"/>
        <v>21774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028">
        <v>1</v>
      </c>
      <c r="AA77" s="1028">
        <v>1</v>
      </c>
      <c r="AB77" s="1028">
        <v>1</v>
      </c>
      <c r="AC77" s="1028">
        <v>1</v>
      </c>
      <c r="AD77" s="1028">
        <v>1</v>
      </c>
      <c r="AE77" s="1028">
        <v>1</v>
      </c>
      <c r="AF77" s="1028">
        <v>1</v>
      </c>
      <c r="AG77" s="1028">
        <v>1</v>
      </c>
      <c r="AH77" s="63"/>
      <c r="AI77" s="2">
        <f t="shared" si="49"/>
        <v>12221.67</v>
      </c>
      <c r="AJ77" s="34">
        <f t="shared" si="61"/>
        <v>21774</v>
      </c>
      <c r="AK77" s="57">
        <f t="shared" si="52"/>
        <v>55535</v>
      </c>
      <c r="AL77" s="130">
        <f t="shared" si="75"/>
        <v>1</v>
      </c>
      <c r="AM77" s="1057">
        <f t="shared" si="78"/>
        <v>69</v>
      </c>
      <c r="AN77" s="1058">
        <f t="shared" si="68"/>
        <v>47415</v>
      </c>
      <c r="AO77" s="105">
        <f t="shared" si="35"/>
        <v>21774</v>
      </c>
      <c r="AP77" s="105">
        <f t="shared" si="69"/>
        <v>4500.46</v>
      </c>
      <c r="AQ77" s="105">
        <f t="shared" si="41"/>
        <v>17273.54</v>
      </c>
      <c r="AR77" s="105">
        <f t="shared" si="34"/>
        <v>0</v>
      </c>
      <c r="AS77" s="105">
        <f t="shared" si="42"/>
        <v>0</v>
      </c>
      <c r="AT77" s="105">
        <f t="shared" si="43"/>
        <v>4500.46</v>
      </c>
      <c r="AU77" s="105">
        <f t="shared" si="44"/>
        <v>0</v>
      </c>
      <c r="AV77" s="105">
        <f t="shared" si="45"/>
        <v>0</v>
      </c>
      <c r="AW77" s="105">
        <f t="shared" si="46"/>
        <v>288623.77999999985</v>
      </c>
      <c r="AX77" s="108">
        <f t="shared" si="79"/>
        <v>16</v>
      </c>
      <c r="AY77" s="108">
        <f t="shared" si="70"/>
        <v>16</v>
      </c>
      <c r="AZ77" s="1047">
        <f t="shared" si="62"/>
        <v>47415</v>
      </c>
      <c r="BA77" s="108">
        <f t="shared" si="62"/>
        <v>21774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055">
        <f t="shared" si="76"/>
        <v>70</v>
      </c>
      <c r="F78" s="1056">
        <f t="shared" si="63"/>
        <v>47446</v>
      </c>
      <c r="G78" s="24">
        <f t="shared" si="59"/>
        <v>21774</v>
      </c>
      <c r="H78" s="24">
        <f t="shared" si="64"/>
        <v>4750.17</v>
      </c>
      <c r="I78" s="24">
        <f t="shared" si="74"/>
        <v>754660.45</v>
      </c>
      <c r="J78" s="24">
        <f t="shared" si="60"/>
        <v>0</v>
      </c>
      <c r="K78" s="24">
        <f t="shared" si="65"/>
        <v>17023.830000000002</v>
      </c>
      <c r="L78" s="24">
        <f t="shared" si="71"/>
        <v>0</v>
      </c>
      <c r="M78" s="24">
        <f t="shared" si="29"/>
        <v>0</v>
      </c>
      <c r="N78" s="24">
        <f t="shared" si="18"/>
        <v>4750.17</v>
      </c>
      <c r="O78" s="24">
        <f t="shared" si="72"/>
        <v>0</v>
      </c>
      <c r="P78" s="24">
        <f t="shared" si="73"/>
        <v>0</v>
      </c>
      <c r="Q78" s="24">
        <f t="shared" si="66"/>
        <v>313919.44999999978</v>
      </c>
      <c r="R78" s="36">
        <f t="shared" ref="R78:R141" si="80">IF((R77-1)&lt;0,0,R77-1)</f>
        <v>15</v>
      </c>
      <c r="S78" s="36">
        <f t="shared" si="67"/>
        <v>17</v>
      </c>
      <c r="T78" s="2">
        <f t="shared" si="47"/>
        <v>9431.57</v>
      </c>
      <c r="U78" s="34">
        <f t="shared" si="48"/>
        <v>21774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028">
        <v>1</v>
      </c>
      <c r="AA78" s="1028">
        <v>1</v>
      </c>
      <c r="AB78" s="1028">
        <v>1</v>
      </c>
      <c r="AC78" s="1028">
        <v>1</v>
      </c>
      <c r="AD78" s="1028">
        <v>1</v>
      </c>
      <c r="AE78" s="1028">
        <v>1</v>
      </c>
      <c r="AF78" s="1028">
        <v>1</v>
      </c>
      <c r="AG78" s="1028">
        <v>1</v>
      </c>
      <c r="AH78" s="63"/>
      <c r="AI78" s="2">
        <f t="shared" si="49"/>
        <v>12483.84</v>
      </c>
      <c r="AJ78" s="34">
        <f t="shared" si="61"/>
        <v>21774</v>
      </c>
      <c r="AK78" s="57">
        <f t="shared" si="52"/>
        <v>55900</v>
      </c>
      <c r="AL78" s="130">
        <f t="shared" si="75"/>
        <v>1</v>
      </c>
      <c r="AM78" s="1057">
        <f t="shared" si="78"/>
        <v>70</v>
      </c>
      <c r="AN78" s="1058">
        <f t="shared" si="68"/>
        <v>47446</v>
      </c>
      <c r="AO78" s="105">
        <f t="shared" si="35"/>
        <v>21774</v>
      </c>
      <c r="AP78" s="105">
        <f t="shared" si="69"/>
        <v>4387.87</v>
      </c>
      <c r="AQ78" s="105">
        <f t="shared" si="41"/>
        <v>17386.13</v>
      </c>
      <c r="AR78" s="105">
        <f t="shared" si="34"/>
        <v>0</v>
      </c>
      <c r="AS78" s="105">
        <f t="shared" si="42"/>
        <v>0</v>
      </c>
      <c r="AT78" s="105">
        <f t="shared" si="43"/>
        <v>4387.87</v>
      </c>
      <c r="AU78" s="105">
        <f t="shared" si="44"/>
        <v>0</v>
      </c>
      <c r="AV78" s="105">
        <f t="shared" si="45"/>
        <v>0</v>
      </c>
      <c r="AW78" s="105">
        <f t="shared" si="46"/>
        <v>271237.64999999985</v>
      </c>
      <c r="AX78" s="108">
        <f t="shared" si="79"/>
        <v>15</v>
      </c>
      <c r="AY78" s="108">
        <f t="shared" si="70"/>
        <v>15</v>
      </c>
      <c r="AZ78" s="1047">
        <f t="shared" si="62"/>
        <v>47446</v>
      </c>
      <c r="BA78" s="108">
        <f t="shared" si="62"/>
        <v>21774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055">
        <f t="shared" si="76"/>
        <v>71</v>
      </c>
      <c r="F79" s="1056">
        <f t="shared" si="63"/>
        <v>47476</v>
      </c>
      <c r="G79" s="24">
        <f t="shared" si="59"/>
        <v>21774</v>
      </c>
      <c r="H79" s="24">
        <f t="shared" si="64"/>
        <v>4360.47</v>
      </c>
      <c r="I79" s="24">
        <f t="shared" si="74"/>
        <v>759020.91999999993</v>
      </c>
      <c r="J79" s="24">
        <f t="shared" si="60"/>
        <v>0</v>
      </c>
      <c r="K79" s="24">
        <f t="shared" si="65"/>
        <v>17413.53</v>
      </c>
      <c r="L79" s="24">
        <f t="shared" si="71"/>
        <v>0</v>
      </c>
      <c r="M79" s="24">
        <f t="shared" si="29"/>
        <v>0</v>
      </c>
      <c r="N79" s="24">
        <f t="shared" si="18"/>
        <v>4360.47</v>
      </c>
      <c r="O79" s="24">
        <f t="shared" si="72"/>
        <v>0</v>
      </c>
      <c r="P79" s="24">
        <f t="shared" si="73"/>
        <v>0</v>
      </c>
      <c r="Q79" s="24">
        <f t="shared" si="66"/>
        <v>296505.91999999981</v>
      </c>
      <c r="R79" s="36">
        <f t="shared" si="80"/>
        <v>14</v>
      </c>
      <c r="S79" s="36">
        <f t="shared" si="67"/>
        <v>16</v>
      </c>
      <c r="T79" s="2">
        <f t="shared" si="47"/>
        <v>9027.4699999999993</v>
      </c>
      <c r="U79" s="34">
        <f t="shared" si="48"/>
        <v>21774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49"/>
        <v>11944.45</v>
      </c>
      <c r="AJ79" s="34">
        <f t="shared" si="61"/>
        <v>21774</v>
      </c>
      <c r="AK79" s="57">
        <f t="shared" si="52"/>
        <v>56265</v>
      </c>
      <c r="AL79" s="130">
        <f t="shared" si="75"/>
        <v>1</v>
      </c>
      <c r="AM79" s="1057">
        <f t="shared" si="78"/>
        <v>71</v>
      </c>
      <c r="AN79" s="1058">
        <f t="shared" si="68"/>
        <v>47476</v>
      </c>
      <c r="AO79" s="105">
        <f t="shared" si="35"/>
        <v>21774</v>
      </c>
      <c r="AP79" s="105">
        <f t="shared" si="69"/>
        <v>3990.54</v>
      </c>
      <c r="AQ79" s="105">
        <f t="shared" si="41"/>
        <v>17783.46</v>
      </c>
      <c r="AR79" s="105">
        <f t="shared" si="34"/>
        <v>0</v>
      </c>
      <c r="AS79" s="105">
        <f t="shared" si="42"/>
        <v>0</v>
      </c>
      <c r="AT79" s="105">
        <f t="shared" si="43"/>
        <v>3990.54</v>
      </c>
      <c r="AU79" s="105">
        <f t="shared" si="44"/>
        <v>0</v>
      </c>
      <c r="AV79" s="105">
        <f t="shared" si="45"/>
        <v>0</v>
      </c>
      <c r="AW79" s="105">
        <f t="shared" si="46"/>
        <v>253454.18999999986</v>
      </c>
      <c r="AX79" s="108">
        <f t="shared" si="79"/>
        <v>14</v>
      </c>
      <c r="AY79" s="108">
        <f t="shared" si="70"/>
        <v>14</v>
      </c>
      <c r="AZ79" s="1047">
        <f t="shared" si="62"/>
        <v>47476</v>
      </c>
      <c r="BA79" s="108">
        <f t="shared" si="62"/>
        <v>21774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055">
        <f t="shared" si="76"/>
        <v>72</v>
      </c>
      <c r="F80" s="1056">
        <f t="shared" si="63"/>
        <v>47507</v>
      </c>
      <c r="G80" s="24">
        <f t="shared" si="59"/>
        <v>21774</v>
      </c>
      <c r="H80" s="24">
        <f t="shared" si="64"/>
        <v>4255.88</v>
      </c>
      <c r="I80" s="24">
        <f t="shared" si="74"/>
        <v>763276.79999999993</v>
      </c>
      <c r="J80" s="24">
        <f t="shared" si="60"/>
        <v>0</v>
      </c>
      <c r="K80" s="24">
        <f t="shared" si="65"/>
        <v>17518.12</v>
      </c>
      <c r="L80" s="24">
        <f t="shared" si="71"/>
        <v>0</v>
      </c>
      <c r="M80" s="24">
        <f t="shared" si="29"/>
        <v>0</v>
      </c>
      <c r="N80" s="24">
        <f t="shared" si="18"/>
        <v>4255.88</v>
      </c>
      <c r="O80" s="24">
        <f t="shared" si="72"/>
        <v>0</v>
      </c>
      <c r="P80" s="24">
        <f t="shared" si="73"/>
        <v>0</v>
      </c>
      <c r="Q80" s="24">
        <f t="shared" si="66"/>
        <v>278987.79999999981</v>
      </c>
      <c r="R80" s="36">
        <f t="shared" si="80"/>
        <v>13</v>
      </c>
      <c r="S80" s="36">
        <f t="shared" si="67"/>
        <v>15</v>
      </c>
      <c r="T80" s="2">
        <f t="shared" si="47"/>
        <v>9219.4</v>
      </c>
      <c r="U80" s="34">
        <f t="shared" si="48"/>
        <v>21774</v>
      </c>
      <c r="V80" s="57">
        <f t="shared" si="51"/>
        <v>56630</v>
      </c>
      <c r="W80" s="16">
        <f t="shared" si="53"/>
        <v>31</v>
      </c>
      <c r="Z80" s="16">
        <f t="shared" ref="Z80:AF80" si="81">1000/1.7</f>
        <v>588.23529411764707</v>
      </c>
      <c r="AA80" s="16">
        <f t="shared" si="81"/>
        <v>588.23529411764707</v>
      </c>
      <c r="AB80" s="16">
        <f t="shared" si="81"/>
        <v>588.23529411764707</v>
      </c>
      <c r="AC80" s="16">
        <f t="shared" si="81"/>
        <v>588.23529411764707</v>
      </c>
      <c r="AD80" s="16">
        <f t="shared" si="81"/>
        <v>588.23529411764707</v>
      </c>
      <c r="AE80" s="16">
        <f t="shared" si="81"/>
        <v>588.23529411764707</v>
      </c>
      <c r="AF80" s="16">
        <f t="shared" si="81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49"/>
        <v>12193.16</v>
      </c>
      <c r="AJ80" s="34">
        <f t="shared" si="61"/>
        <v>21774</v>
      </c>
      <c r="AK80" s="57">
        <f t="shared" si="52"/>
        <v>56630</v>
      </c>
      <c r="AL80" s="130">
        <f t="shared" si="75"/>
        <v>1</v>
      </c>
      <c r="AM80" s="1057">
        <f t="shared" si="78"/>
        <v>72</v>
      </c>
      <c r="AN80" s="1058">
        <f t="shared" si="68"/>
        <v>47507</v>
      </c>
      <c r="AO80" s="105">
        <f t="shared" si="35"/>
        <v>21774</v>
      </c>
      <c r="AP80" s="105">
        <f t="shared" si="69"/>
        <v>3853.2</v>
      </c>
      <c r="AQ80" s="105">
        <f t="shared" si="41"/>
        <v>17920.8</v>
      </c>
      <c r="AR80" s="105">
        <f t="shared" si="34"/>
        <v>0</v>
      </c>
      <c r="AS80" s="105">
        <f t="shared" si="42"/>
        <v>0</v>
      </c>
      <c r="AT80" s="105">
        <f t="shared" si="43"/>
        <v>3853.2</v>
      </c>
      <c r="AU80" s="105">
        <f t="shared" si="44"/>
        <v>0</v>
      </c>
      <c r="AV80" s="105">
        <f t="shared" si="45"/>
        <v>0</v>
      </c>
      <c r="AW80" s="105">
        <f t="shared" si="46"/>
        <v>235533.38999999987</v>
      </c>
      <c r="AX80" s="108">
        <f t="shared" si="79"/>
        <v>13</v>
      </c>
      <c r="AY80" s="108">
        <f t="shared" si="70"/>
        <v>13</v>
      </c>
      <c r="AZ80" s="1047">
        <f t="shared" si="62"/>
        <v>47507</v>
      </c>
      <c r="BA80" s="108">
        <f t="shared" si="62"/>
        <v>21774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055">
        <f t="shared" si="76"/>
        <v>73</v>
      </c>
      <c r="F81" s="1056">
        <f t="shared" si="63"/>
        <v>47538</v>
      </c>
      <c r="G81" s="24">
        <f t="shared" si="59"/>
        <v>21774</v>
      </c>
      <c r="H81" s="24">
        <f t="shared" si="64"/>
        <v>4004.43</v>
      </c>
      <c r="I81" s="24">
        <f t="shared" si="74"/>
        <v>767281.23</v>
      </c>
      <c r="J81" s="24">
        <f t="shared" si="60"/>
        <v>0</v>
      </c>
      <c r="K81" s="24">
        <f t="shared" si="65"/>
        <v>17769.57</v>
      </c>
      <c r="L81" s="24">
        <f t="shared" si="71"/>
        <v>0</v>
      </c>
      <c r="M81" s="24">
        <f t="shared" si="29"/>
        <v>0</v>
      </c>
      <c r="N81" s="24">
        <f t="shared" si="18"/>
        <v>4004.43</v>
      </c>
      <c r="O81" s="24">
        <f t="shared" si="72"/>
        <v>0</v>
      </c>
      <c r="P81" s="24">
        <f t="shared" si="73"/>
        <v>0</v>
      </c>
      <c r="Q81" s="24">
        <f t="shared" si="66"/>
        <v>261218.22999999981</v>
      </c>
      <c r="R81" s="36">
        <f t="shared" si="80"/>
        <v>12</v>
      </c>
      <c r="S81" s="36">
        <f t="shared" si="67"/>
        <v>14</v>
      </c>
      <c r="T81" s="2">
        <f t="shared" si="47"/>
        <v>9113.17</v>
      </c>
      <c r="U81" s="34">
        <f t="shared" si="48"/>
        <v>21774</v>
      </c>
      <c r="V81" s="57">
        <f t="shared" si="51"/>
        <v>56995</v>
      </c>
      <c r="W81" s="16">
        <f t="shared" si="53"/>
        <v>32</v>
      </c>
      <c r="Z81" s="143">
        <f t="shared" ref="Z81:AG81" si="82">$C$7*IF($C$7&gt;=$X$78,Z78,IF($C$7&gt;=$X$77,Z77,IF($C$7&gt;=$X$76,Z76,IF($C$7&gt;=$X$75,Z75,IF($C$7&gt;=$X$74,Z74,Z73)))))</f>
        <v>900000</v>
      </c>
      <c r="AA81" s="143">
        <f t="shared" si="82"/>
        <v>900000</v>
      </c>
      <c r="AB81" s="143">
        <f t="shared" si="82"/>
        <v>900000</v>
      </c>
      <c r="AC81" s="143">
        <f t="shared" si="82"/>
        <v>900000</v>
      </c>
      <c r="AD81" s="143">
        <f t="shared" si="82"/>
        <v>900000</v>
      </c>
      <c r="AE81" s="143">
        <f t="shared" si="82"/>
        <v>900000</v>
      </c>
      <c r="AF81" s="143">
        <f t="shared" si="82"/>
        <v>900000</v>
      </c>
      <c r="AG81" s="143">
        <f t="shared" si="82"/>
        <v>900000</v>
      </c>
      <c r="AI81" s="2">
        <f t="shared" si="49"/>
        <v>12047.51</v>
      </c>
      <c r="AJ81" s="34">
        <f t="shared" si="61"/>
        <v>21774</v>
      </c>
      <c r="AK81" s="57">
        <f t="shared" si="52"/>
        <v>56995</v>
      </c>
      <c r="AL81" s="130">
        <f t="shared" si="75"/>
        <v>1</v>
      </c>
      <c r="AM81" s="1057">
        <f t="shared" si="78"/>
        <v>73</v>
      </c>
      <c r="AN81" s="1058">
        <f t="shared" si="68"/>
        <v>47538</v>
      </c>
      <c r="AO81" s="105">
        <f t="shared" si="35"/>
        <v>21774</v>
      </c>
      <c r="AP81" s="105">
        <f t="shared" si="69"/>
        <v>3580.75</v>
      </c>
      <c r="AQ81" s="105">
        <f t="shared" si="41"/>
        <v>18193.25</v>
      </c>
      <c r="AR81" s="105">
        <f t="shared" si="34"/>
        <v>0</v>
      </c>
      <c r="AS81" s="105">
        <f t="shared" si="42"/>
        <v>0</v>
      </c>
      <c r="AT81" s="105">
        <f t="shared" si="43"/>
        <v>3580.75</v>
      </c>
      <c r="AU81" s="105">
        <f t="shared" si="44"/>
        <v>0</v>
      </c>
      <c r="AV81" s="105">
        <f t="shared" si="45"/>
        <v>0</v>
      </c>
      <c r="AW81" s="105">
        <f t="shared" si="46"/>
        <v>217340.13999999987</v>
      </c>
      <c r="AX81" s="108">
        <f t="shared" si="79"/>
        <v>12</v>
      </c>
      <c r="AY81" s="108">
        <f t="shared" si="70"/>
        <v>12</v>
      </c>
      <c r="AZ81" s="1047">
        <f t="shared" si="62"/>
        <v>47538</v>
      </c>
      <c r="BA81" s="108">
        <f t="shared" si="62"/>
        <v>21774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055">
        <f t="shared" si="76"/>
        <v>74</v>
      </c>
      <c r="F82" s="1056">
        <f t="shared" si="63"/>
        <v>47566</v>
      </c>
      <c r="G82" s="24">
        <f t="shared" si="59"/>
        <v>21774</v>
      </c>
      <c r="H82" s="24">
        <f t="shared" si="64"/>
        <v>3386.53</v>
      </c>
      <c r="I82" s="24">
        <f t="shared" si="74"/>
        <v>770667.76</v>
      </c>
      <c r="J82" s="24">
        <f t="shared" si="60"/>
        <v>0</v>
      </c>
      <c r="K82" s="24">
        <f t="shared" si="65"/>
        <v>18387.47</v>
      </c>
      <c r="L82" s="24">
        <f t="shared" si="71"/>
        <v>0</v>
      </c>
      <c r="M82" s="24">
        <f t="shared" si="29"/>
        <v>0</v>
      </c>
      <c r="N82" s="24">
        <f t="shared" si="18"/>
        <v>3386.53</v>
      </c>
      <c r="O82" s="24">
        <f t="shared" si="72"/>
        <v>0</v>
      </c>
      <c r="P82" s="24">
        <f t="shared" si="73"/>
        <v>0</v>
      </c>
      <c r="Q82" s="24">
        <f t="shared" si="66"/>
        <v>242830.75999999981</v>
      </c>
      <c r="R82" s="36">
        <f t="shared" si="80"/>
        <v>11</v>
      </c>
      <c r="S82" s="36">
        <f t="shared" si="67"/>
        <v>13</v>
      </c>
      <c r="T82" s="2">
        <f t="shared" si="47"/>
        <v>8714.92</v>
      </c>
      <c r="U82" s="34">
        <f t="shared" si="48"/>
        <v>21774</v>
      </c>
      <c r="V82" s="57">
        <f t="shared" si="51"/>
        <v>57360</v>
      </c>
      <c r="W82" s="16">
        <f t="shared" si="53"/>
        <v>33</v>
      </c>
      <c r="AI82" s="2">
        <f t="shared" si="49"/>
        <v>11515.78</v>
      </c>
      <c r="AJ82" s="34">
        <f t="shared" si="61"/>
        <v>21774</v>
      </c>
      <c r="AK82" s="57">
        <f>IF(AI82=0,AK81,AK81+365)</f>
        <v>57360</v>
      </c>
      <c r="AL82" s="130">
        <f t="shared" si="75"/>
        <v>1</v>
      </c>
      <c r="AM82" s="1057">
        <f t="shared" si="78"/>
        <v>74</v>
      </c>
      <c r="AN82" s="1058">
        <f t="shared" si="68"/>
        <v>47566</v>
      </c>
      <c r="AO82" s="105">
        <f t="shared" si="35"/>
        <v>21774</v>
      </c>
      <c r="AP82" s="105">
        <f t="shared" si="69"/>
        <v>2984.41</v>
      </c>
      <c r="AQ82" s="105">
        <f t="shared" si="41"/>
        <v>18789.59</v>
      </c>
      <c r="AR82" s="105">
        <f t="shared" si="34"/>
        <v>0</v>
      </c>
      <c r="AS82" s="105">
        <f t="shared" si="42"/>
        <v>0</v>
      </c>
      <c r="AT82" s="105">
        <f t="shared" si="43"/>
        <v>2984.41</v>
      </c>
      <c r="AU82" s="105">
        <f t="shared" si="44"/>
        <v>0</v>
      </c>
      <c r="AV82" s="105">
        <f t="shared" si="45"/>
        <v>0</v>
      </c>
      <c r="AW82" s="105">
        <f t="shared" si="46"/>
        <v>198550.54999999987</v>
      </c>
      <c r="AX82" s="108">
        <f t="shared" si="79"/>
        <v>11</v>
      </c>
      <c r="AY82" s="108">
        <f t="shared" si="70"/>
        <v>11</v>
      </c>
      <c r="AZ82" s="1047">
        <f t="shared" si="62"/>
        <v>47566</v>
      </c>
      <c r="BA82" s="108">
        <f t="shared" si="62"/>
        <v>21774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055">
        <f t="shared" si="76"/>
        <v>75</v>
      </c>
      <c r="F83" s="1056">
        <f t="shared" si="63"/>
        <v>47597</v>
      </c>
      <c r="G83" s="24">
        <f t="shared" si="59"/>
        <v>21774</v>
      </c>
      <c r="H83" s="24">
        <f t="shared" si="64"/>
        <v>3485.45</v>
      </c>
      <c r="I83" s="24">
        <f t="shared" si="74"/>
        <v>774153.21</v>
      </c>
      <c r="J83" s="24">
        <f t="shared" si="60"/>
        <v>0</v>
      </c>
      <c r="K83" s="24">
        <f t="shared" si="65"/>
        <v>18288.55</v>
      </c>
      <c r="L83" s="24">
        <f t="shared" si="71"/>
        <v>0</v>
      </c>
      <c r="M83" s="24">
        <f t="shared" si="29"/>
        <v>0</v>
      </c>
      <c r="N83" s="24">
        <f t="shared" si="18"/>
        <v>3485.45</v>
      </c>
      <c r="O83" s="24">
        <f t="shared" si="72"/>
        <v>0</v>
      </c>
      <c r="P83" s="24">
        <f t="shared" si="73"/>
        <v>0</v>
      </c>
      <c r="Q83" s="24">
        <f t="shared" si="66"/>
        <v>224542.20999999982</v>
      </c>
      <c r="R83" s="36">
        <f t="shared" si="80"/>
        <v>10</v>
      </c>
      <c r="S83" s="36">
        <f t="shared" si="67"/>
        <v>12</v>
      </c>
      <c r="T83" s="2">
        <f t="shared" si="47"/>
        <v>8891.9500000000007</v>
      </c>
      <c r="U83" s="34">
        <f t="shared" si="48"/>
        <v>21774</v>
      </c>
      <c r="V83" s="57">
        <f t="shared" si="51"/>
        <v>57725</v>
      </c>
      <c r="W83" s="16">
        <f t="shared" si="53"/>
        <v>34</v>
      </c>
      <c r="X83" s="860" t="s">
        <v>111</v>
      </c>
      <c r="Y83" s="86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11743.69</v>
      </c>
      <c r="AJ83" s="34">
        <f>IF(AI83=0,IF(AI82=0,0,$AJ$46),AO42)</f>
        <v>21774</v>
      </c>
      <c r="AK83" s="57">
        <f t="shared" si="52"/>
        <v>57725</v>
      </c>
      <c r="AL83" s="130">
        <f t="shared" si="75"/>
        <v>1</v>
      </c>
      <c r="AM83" s="1057">
        <f t="shared" si="78"/>
        <v>75</v>
      </c>
      <c r="AN83" s="1058">
        <f t="shared" si="68"/>
        <v>47597</v>
      </c>
      <c r="AO83" s="105">
        <f t="shared" si="35"/>
        <v>21774</v>
      </c>
      <c r="AP83" s="105">
        <f t="shared" si="69"/>
        <v>3018.51</v>
      </c>
      <c r="AQ83" s="105">
        <f t="shared" si="41"/>
        <v>18755.489999999998</v>
      </c>
      <c r="AR83" s="105">
        <f t="shared" si="34"/>
        <v>0</v>
      </c>
      <c r="AS83" s="105">
        <f t="shared" si="42"/>
        <v>0</v>
      </c>
      <c r="AT83" s="105">
        <f t="shared" si="43"/>
        <v>3018.51</v>
      </c>
      <c r="AU83" s="105">
        <f t="shared" si="44"/>
        <v>0</v>
      </c>
      <c r="AV83" s="105">
        <f t="shared" si="45"/>
        <v>0</v>
      </c>
      <c r="AW83" s="105">
        <f t="shared" si="46"/>
        <v>179795.05999999988</v>
      </c>
      <c r="AX83" s="108">
        <f t="shared" si="79"/>
        <v>10</v>
      </c>
      <c r="AY83" s="108">
        <f t="shared" si="70"/>
        <v>10</v>
      </c>
      <c r="AZ83" s="1047">
        <f t="shared" si="62"/>
        <v>47597</v>
      </c>
      <c r="BA83" s="108">
        <f t="shared" si="62"/>
        <v>21774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055">
        <f t="shared" si="76"/>
        <v>76</v>
      </c>
      <c r="F84" s="1056">
        <f t="shared" si="63"/>
        <v>47627</v>
      </c>
      <c r="G84" s="24">
        <f t="shared" si="59"/>
        <v>21774</v>
      </c>
      <c r="H84" s="24">
        <f t="shared" si="64"/>
        <v>3118.98</v>
      </c>
      <c r="I84" s="24">
        <f t="shared" si="74"/>
        <v>777272.19</v>
      </c>
      <c r="J84" s="24">
        <f t="shared" si="60"/>
        <v>0</v>
      </c>
      <c r="K84" s="24">
        <f t="shared" si="65"/>
        <v>18655.02</v>
      </c>
      <c r="L84" s="24">
        <f t="shared" si="71"/>
        <v>0</v>
      </c>
      <c r="M84" s="24">
        <f t="shared" si="29"/>
        <v>0</v>
      </c>
      <c r="N84" s="24">
        <f t="shared" si="18"/>
        <v>3118.98</v>
      </c>
      <c r="O84" s="24">
        <f t="shared" si="72"/>
        <v>0</v>
      </c>
      <c r="P84" s="24">
        <f t="shared" si="73"/>
        <v>0</v>
      </c>
      <c r="Q84" s="24">
        <f t="shared" si="66"/>
        <v>205887.18999999983</v>
      </c>
      <c r="R84" s="36">
        <f t="shared" si="80"/>
        <v>9</v>
      </c>
      <c r="S84" s="36">
        <f t="shared" si="67"/>
        <v>11</v>
      </c>
      <c r="T84" s="2">
        <f t="shared" si="47"/>
        <v>8497.76</v>
      </c>
      <c r="U84" s="34">
        <f t="shared" si="48"/>
        <v>21774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028"/>
      <c r="AB84" s="1028"/>
      <c r="AC84" s="1028"/>
      <c r="AD84" s="1028"/>
      <c r="AI84" s="2">
        <f t="shared" si="49"/>
        <v>11217.29</v>
      </c>
      <c r="AJ84" s="34">
        <f>IF(AI84=0,IF(AI83=0,0,$AJ$46),AO43)</f>
        <v>21774</v>
      </c>
      <c r="AK84" s="57">
        <f t="shared" si="52"/>
        <v>58090</v>
      </c>
      <c r="AL84" s="130">
        <f t="shared" si="75"/>
        <v>1</v>
      </c>
      <c r="AM84" s="1057">
        <f t="shared" si="78"/>
        <v>76</v>
      </c>
      <c r="AN84" s="1058">
        <f t="shared" si="68"/>
        <v>47627</v>
      </c>
      <c r="AO84" s="105">
        <f t="shared" si="35"/>
        <v>21774</v>
      </c>
      <c r="AP84" s="105">
        <f t="shared" si="69"/>
        <v>2645.2</v>
      </c>
      <c r="AQ84" s="105">
        <f t="shared" si="41"/>
        <v>19128.8</v>
      </c>
      <c r="AR84" s="105">
        <f t="shared" si="34"/>
        <v>0</v>
      </c>
      <c r="AS84" s="105">
        <f t="shared" si="42"/>
        <v>0</v>
      </c>
      <c r="AT84" s="105">
        <f t="shared" si="43"/>
        <v>2645.2</v>
      </c>
      <c r="AU84" s="105">
        <f t="shared" si="44"/>
        <v>0</v>
      </c>
      <c r="AV84" s="105">
        <f t="shared" si="45"/>
        <v>0</v>
      </c>
      <c r="AW84" s="105">
        <f t="shared" si="46"/>
        <v>160666.25999999989</v>
      </c>
      <c r="AX84" s="108">
        <f t="shared" si="79"/>
        <v>9</v>
      </c>
      <c r="AY84" s="108">
        <f t="shared" si="70"/>
        <v>9</v>
      </c>
      <c r="AZ84" s="1047">
        <f t="shared" si="62"/>
        <v>47627</v>
      </c>
      <c r="BA84" s="108">
        <f t="shared" si="62"/>
        <v>21774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055">
        <f t="shared" si="76"/>
        <v>77</v>
      </c>
      <c r="F85" s="1056">
        <f t="shared" si="63"/>
        <v>47658</v>
      </c>
      <c r="G85" s="24">
        <f t="shared" si="59"/>
        <v>21774</v>
      </c>
      <c r="H85" s="24">
        <f t="shared" si="64"/>
        <v>2955.19</v>
      </c>
      <c r="I85" s="24">
        <f t="shared" si="74"/>
        <v>780227.37999999989</v>
      </c>
      <c r="J85" s="24">
        <f t="shared" si="60"/>
        <v>0</v>
      </c>
      <c r="K85" s="24">
        <f t="shared" si="65"/>
        <v>18818.810000000001</v>
      </c>
      <c r="L85" s="24">
        <f t="shared" si="71"/>
        <v>0</v>
      </c>
      <c r="M85" s="24">
        <f t="shared" si="29"/>
        <v>0</v>
      </c>
      <c r="N85" s="24">
        <f t="shared" si="18"/>
        <v>2955.19</v>
      </c>
      <c r="O85" s="24">
        <f t="shared" si="72"/>
        <v>0</v>
      </c>
      <c r="P85" s="24">
        <f t="shared" si="73"/>
        <v>0</v>
      </c>
      <c r="Q85" s="24">
        <f t="shared" si="66"/>
        <v>187068.37999999983</v>
      </c>
      <c r="R85" s="36">
        <f t="shared" si="80"/>
        <v>8</v>
      </c>
      <c r="S85" s="36">
        <f t="shared" si="67"/>
        <v>10</v>
      </c>
      <c r="T85" s="2">
        <f t="shared" si="47"/>
        <v>8664.43</v>
      </c>
      <c r="U85" s="34">
        <f t="shared" si="48"/>
        <v>21774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028"/>
      <c r="AD85" s="1028"/>
      <c r="AE85" s="16">
        <f>IF($C$10&gt;48,AB85,IF($C$94&gt;36,AA85,Z85))</f>
        <v>1.35</v>
      </c>
      <c r="AI85" s="2">
        <f t="shared" si="49"/>
        <v>11430.71</v>
      </c>
      <c r="AJ85" s="34">
        <f>IF(AI85=0,IF(AI84=0,0,$AJ$46),AO44)</f>
        <v>21774</v>
      </c>
      <c r="AK85" s="57">
        <f t="shared" si="52"/>
        <v>58455</v>
      </c>
      <c r="AL85" s="130">
        <f t="shared" si="75"/>
        <v>1</v>
      </c>
      <c r="AM85" s="1057">
        <f t="shared" si="78"/>
        <v>77</v>
      </c>
      <c r="AN85" s="1058">
        <f t="shared" si="68"/>
        <v>47658</v>
      </c>
      <c r="AO85" s="105">
        <f t="shared" si="35"/>
        <v>21774</v>
      </c>
      <c r="AP85" s="105">
        <f t="shared" si="69"/>
        <v>2442.5700000000002</v>
      </c>
      <c r="AQ85" s="105">
        <f t="shared" si="41"/>
        <v>19331.43</v>
      </c>
      <c r="AR85" s="105">
        <f t="shared" si="34"/>
        <v>0</v>
      </c>
      <c r="AS85" s="105">
        <f t="shared" si="42"/>
        <v>0</v>
      </c>
      <c r="AT85" s="105">
        <f t="shared" si="43"/>
        <v>2442.5700000000002</v>
      </c>
      <c r="AU85" s="105">
        <f t="shared" si="44"/>
        <v>0</v>
      </c>
      <c r="AV85" s="105">
        <f t="shared" si="45"/>
        <v>0</v>
      </c>
      <c r="AW85" s="105">
        <f t="shared" si="46"/>
        <v>141334.8299999999</v>
      </c>
      <c r="AX85" s="108">
        <f t="shared" si="79"/>
        <v>8</v>
      </c>
      <c r="AY85" s="108">
        <f t="shared" si="70"/>
        <v>8</v>
      </c>
      <c r="AZ85" s="1047">
        <f t="shared" si="62"/>
        <v>47658</v>
      </c>
      <c r="BA85" s="108">
        <f t="shared" si="62"/>
        <v>21774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055">
        <f t="shared" si="76"/>
        <v>78</v>
      </c>
      <c r="F86" s="1056">
        <f t="shared" si="63"/>
        <v>47688</v>
      </c>
      <c r="G86" s="24">
        <f t="shared" si="59"/>
        <v>21774</v>
      </c>
      <c r="H86" s="24">
        <f t="shared" si="64"/>
        <v>2598.46</v>
      </c>
      <c r="I86" s="24">
        <f t="shared" si="74"/>
        <v>782825.83999999985</v>
      </c>
      <c r="J86" s="24">
        <f t="shared" si="60"/>
        <v>0</v>
      </c>
      <c r="K86" s="24">
        <f t="shared" si="65"/>
        <v>19175.54</v>
      </c>
      <c r="L86" s="24">
        <f t="shared" si="71"/>
        <v>0</v>
      </c>
      <c r="M86" s="24">
        <f t="shared" si="29"/>
        <v>0</v>
      </c>
      <c r="N86" s="24">
        <f t="shared" si="18"/>
        <v>2598.46</v>
      </c>
      <c r="O86" s="24">
        <f t="shared" si="72"/>
        <v>0</v>
      </c>
      <c r="P86" s="24">
        <f t="shared" si="73"/>
        <v>0</v>
      </c>
      <c r="Q86" s="24">
        <f t="shared" si="66"/>
        <v>167892.83999999982</v>
      </c>
      <c r="R86" s="36">
        <f t="shared" si="80"/>
        <v>7</v>
      </c>
      <c r="S86" s="36">
        <f t="shared" si="67"/>
        <v>9</v>
      </c>
      <c r="T86" s="2">
        <f t="shared" si="47"/>
        <v>8550.23</v>
      </c>
      <c r="U86" s="34">
        <f t="shared" si="48"/>
        <v>21774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028"/>
      <c r="AD86" s="1028"/>
      <c r="AE86" s="16">
        <f>IF($C$10&gt;48,AB86,IF($C$94&gt;36,AA86,Z86))</f>
        <v>1.35</v>
      </c>
      <c r="AI86" s="2">
        <f t="shared" si="49"/>
        <v>11273.46</v>
      </c>
      <c r="AJ86" s="34">
        <f>IF(AI86=0,IF(AI85=0,0,$AJ$46),AO45)</f>
        <v>21774</v>
      </c>
      <c r="AK86" s="57">
        <f t="shared" si="52"/>
        <v>58820</v>
      </c>
      <c r="AL86" s="130">
        <f t="shared" si="75"/>
        <v>1</v>
      </c>
      <c r="AM86" s="1057">
        <f t="shared" si="78"/>
        <v>78</v>
      </c>
      <c r="AN86" s="1058">
        <f t="shared" si="68"/>
        <v>47688</v>
      </c>
      <c r="AO86" s="105">
        <f t="shared" si="35"/>
        <v>21774</v>
      </c>
      <c r="AP86" s="105">
        <f t="shared" si="69"/>
        <v>2079.36</v>
      </c>
      <c r="AQ86" s="105">
        <f t="shared" si="41"/>
        <v>19694.64</v>
      </c>
      <c r="AR86" s="105">
        <f t="shared" ref="AR86:AR149" si="83">IF(AT86&gt;$D$29,$D$29-AP86,IF(AY86=0,0,AV86)+BN135)</f>
        <v>0</v>
      </c>
      <c r="AS86" s="105">
        <f t="shared" si="42"/>
        <v>0</v>
      </c>
      <c r="AT86" s="105">
        <f t="shared" si="43"/>
        <v>2079.36</v>
      </c>
      <c r="AU86" s="105">
        <f t="shared" si="44"/>
        <v>0</v>
      </c>
      <c r="AV86" s="105">
        <f t="shared" si="45"/>
        <v>0</v>
      </c>
      <c r="AW86" s="105">
        <f t="shared" si="46"/>
        <v>121640.1899999999</v>
      </c>
      <c r="AX86" s="108">
        <f t="shared" si="79"/>
        <v>7</v>
      </c>
      <c r="AY86" s="108">
        <f t="shared" si="70"/>
        <v>7</v>
      </c>
      <c r="AZ86" s="1047">
        <f t="shared" si="62"/>
        <v>47688</v>
      </c>
      <c r="BA86" s="108">
        <f t="shared" si="62"/>
        <v>21774</v>
      </c>
      <c r="BB86" s="2" t="e">
        <f t="shared" si="54"/>
        <v>#VALUE!</v>
      </c>
    </row>
    <row r="87" spans="1:54" s="16" customFormat="1" thickBot="1" x14ac:dyDescent="0.25">
      <c r="A87" s="2"/>
      <c r="B87" s="13">
        <f>H87</f>
        <v>2409.84</v>
      </c>
      <c r="C87" s="1096">
        <f>K87</f>
        <v>19364.16</v>
      </c>
      <c r="D87" s="1"/>
      <c r="E87" s="1055">
        <f t="shared" si="76"/>
        <v>79</v>
      </c>
      <c r="F87" s="1056">
        <f t="shared" si="63"/>
        <v>47719</v>
      </c>
      <c r="G87" s="24">
        <f t="shared" si="59"/>
        <v>21774</v>
      </c>
      <c r="H87" s="24">
        <f t="shared" si="64"/>
        <v>2409.84</v>
      </c>
      <c r="I87" s="24">
        <f t="shared" si="74"/>
        <v>785235.67999999982</v>
      </c>
      <c r="J87" s="24">
        <f t="shared" si="60"/>
        <v>0</v>
      </c>
      <c r="K87" s="24">
        <f t="shared" si="65"/>
        <v>19364.16</v>
      </c>
      <c r="L87" s="24">
        <f t="shared" si="71"/>
        <v>0</v>
      </c>
      <c r="M87" s="24">
        <f t="shared" ref="M87:M150" si="84">O86-L86</f>
        <v>0</v>
      </c>
      <c r="N87" s="24">
        <f t="shared" ref="N87:N150" si="85">H87+O87</f>
        <v>2409.84</v>
      </c>
      <c r="O87" s="24">
        <f t="shared" si="72"/>
        <v>0</v>
      </c>
      <c r="P87" s="24">
        <f t="shared" si="73"/>
        <v>0</v>
      </c>
      <c r="Q87" s="24">
        <f t="shared" si="66"/>
        <v>148528.67999999982</v>
      </c>
      <c r="R87" s="36">
        <f t="shared" si="80"/>
        <v>6</v>
      </c>
      <c r="S87" s="36">
        <f t="shared" si="67"/>
        <v>8</v>
      </c>
      <c r="T87" s="2">
        <f t="shared" si="47"/>
        <v>7618.17</v>
      </c>
      <c r="U87" s="34">
        <f t="shared" si="48"/>
        <v>21774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028"/>
      <c r="AD87" s="1028"/>
      <c r="AE87" s="16">
        <f>IF($C$10&gt;48,AB87,IF($C$94&gt;36,AA87,Z87))</f>
        <v>1.35</v>
      </c>
      <c r="AI87" s="2">
        <f t="shared" si="49"/>
        <v>10038.290000000001</v>
      </c>
      <c r="AJ87" s="34">
        <f>IF(AI87=0,IF(AI86=0,0,$AJ$46),AO46)</f>
        <v>21774</v>
      </c>
      <c r="AK87" s="57">
        <f t="shared" si="52"/>
        <v>59185</v>
      </c>
      <c r="AL87" s="130">
        <f t="shared" si="75"/>
        <v>1</v>
      </c>
      <c r="AM87" s="1057">
        <f t="shared" si="78"/>
        <v>79</v>
      </c>
      <c r="AN87" s="1058">
        <f t="shared" si="68"/>
        <v>47719</v>
      </c>
      <c r="AO87" s="105">
        <f t="shared" si="35"/>
        <v>21774</v>
      </c>
      <c r="AP87" s="105">
        <f t="shared" si="69"/>
        <v>1849.26</v>
      </c>
      <c r="AQ87" s="105">
        <f t="shared" si="41"/>
        <v>19924.740000000002</v>
      </c>
      <c r="AR87" s="105">
        <f t="shared" si="83"/>
        <v>0</v>
      </c>
      <c r="AS87" s="105">
        <f t="shared" si="42"/>
        <v>0</v>
      </c>
      <c r="AT87" s="105">
        <f t="shared" si="43"/>
        <v>1849.26</v>
      </c>
      <c r="AU87" s="105">
        <f t="shared" si="44"/>
        <v>0</v>
      </c>
      <c r="AV87" s="105">
        <f t="shared" si="45"/>
        <v>0</v>
      </c>
      <c r="AW87" s="105">
        <f t="shared" si="46"/>
        <v>101715.4499999999</v>
      </c>
      <c r="AX87" s="108">
        <f t="shared" si="79"/>
        <v>6</v>
      </c>
      <c r="AY87" s="108">
        <f t="shared" si="70"/>
        <v>6</v>
      </c>
      <c r="AZ87" s="1047">
        <f t="shared" si="62"/>
        <v>47719</v>
      </c>
      <c r="BA87" s="108">
        <f t="shared" si="62"/>
        <v>21774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055">
        <f t="shared" si="76"/>
        <v>80</v>
      </c>
      <c r="F88" s="1056">
        <f t="shared" si="63"/>
        <v>47750</v>
      </c>
      <c r="G88" s="24">
        <f t="shared" si="59"/>
        <v>21774</v>
      </c>
      <c r="H88" s="24">
        <f t="shared" si="64"/>
        <v>2131.9</v>
      </c>
      <c r="I88" s="24">
        <f t="shared" si="74"/>
        <v>787367.57999999984</v>
      </c>
      <c r="J88" s="24">
        <f t="shared" si="60"/>
        <v>0</v>
      </c>
      <c r="K88" s="24">
        <f t="shared" si="65"/>
        <v>19642.099999999999</v>
      </c>
      <c r="L88" s="24">
        <f t="shared" si="71"/>
        <v>0</v>
      </c>
      <c r="M88" s="24">
        <f t="shared" si="84"/>
        <v>0</v>
      </c>
      <c r="N88" s="24">
        <f t="shared" si="85"/>
        <v>2131.9</v>
      </c>
      <c r="O88" s="24">
        <f t="shared" si="72"/>
        <v>0</v>
      </c>
      <c r="P88" s="24">
        <f t="shared" si="73"/>
        <v>0</v>
      </c>
      <c r="Q88" s="24">
        <f t="shared" si="66"/>
        <v>128886.57999999981</v>
      </c>
      <c r="R88" s="36">
        <f t="shared" si="80"/>
        <v>5</v>
      </c>
      <c r="S88" s="36">
        <f t="shared" si="67"/>
        <v>8</v>
      </c>
      <c r="T88" s="2">
        <f t="shared" si="47"/>
        <v>8305.19</v>
      </c>
      <c r="U88" s="34">
        <f t="shared" si="48"/>
        <v>21774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028"/>
      <c r="AD88" s="1028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21518.06</v>
      </c>
      <c r="AJ88" s="34">
        <f t="shared" ref="AJ88:AJ108" si="86">IF(AI88=0,IF(AI87=0,0,$AJ$46),AO48)</f>
        <v>21774</v>
      </c>
      <c r="AK88" s="57">
        <f t="shared" si="52"/>
        <v>59550</v>
      </c>
      <c r="AL88" s="130">
        <f t="shared" si="75"/>
        <v>1</v>
      </c>
      <c r="AM88" s="1057">
        <f t="shared" si="78"/>
        <v>80</v>
      </c>
      <c r="AN88" s="1058">
        <f t="shared" si="68"/>
        <v>47750</v>
      </c>
      <c r="AO88" s="105">
        <f t="shared" si="35"/>
        <v>21774</v>
      </c>
      <c r="AP88" s="105">
        <f t="shared" si="69"/>
        <v>1546.35</v>
      </c>
      <c r="AQ88" s="105">
        <f t="shared" si="41"/>
        <v>20227.650000000001</v>
      </c>
      <c r="AR88" s="105">
        <f t="shared" si="83"/>
        <v>0</v>
      </c>
      <c r="AS88" s="105">
        <f t="shared" si="42"/>
        <v>0</v>
      </c>
      <c r="AT88" s="105">
        <f t="shared" si="43"/>
        <v>1546.35</v>
      </c>
      <c r="AU88" s="105">
        <f t="shared" si="44"/>
        <v>0</v>
      </c>
      <c r="AV88" s="105">
        <f t="shared" si="45"/>
        <v>0</v>
      </c>
      <c r="AW88" s="105">
        <f t="shared" si="46"/>
        <v>81487.799999999901</v>
      </c>
      <c r="AX88" s="108">
        <f t="shared" si="79"/>
        <v>5</v>
      </c>
      <c r="AY88" s="108">
        <f t="shared" si="70"/>
        <v>5</v>
      </c>
      <c r="AZ88" s="1047">
        <f t="shared" si="62"/>
        <v>47750</v>
      </c>
      <c r="BA88" s="108">
        <f t="shared" si="62"/>
        <v>21774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055">
        <f t="shared" si="76"/>
        <v>81</v>
      </c>
      <c r="F89" s="1056">
        <f t="shared" si="63"/>
        <v>47780</v>
      </c>
      <c r="G89" s="24">
        <f t="shared" si="59"/>
        <v>21774</v>
      </c>
      <c r="H89" s="24">
        <f t="shared" si="64"/>
        <v>1790.29</v>
      </c>
      <c r="I89" s="24">
        <f t="shared" si="74"/>
        <v>789157.86999999988</v>
      </c>
      <c r="J89" s="24">
        <f t="shared" si="60"/>
        <v>0</v>
      </c>
      <c r="K89" s="24">
        <f t="shared" si="65"/>
        <v>19983.71</v>
      </c>
      <c r="L89" s="24">
        <f t="shared" si="71"/>
        <v>0</v>
      </c>
      <c r="M89" s="24">
        <f t="shared" si="84"/>
        <v>0</v>
      </c>
      <c r="N89" s="24">
        <f t="shared" si="85"/>
        <v>1790.29</v>
      </c>
      <c r="O89" s="24">
        <f t="shared" si="72"/>
        <v>0</v>
      </c>
      <c r="P89" s="24">
        <f t="shared" si="73"/>
        <v>0</v>
      </c>
      <c r="Q89" s="24">
        <f t="shared" si="66"/>
        <v>108902.86999999982</v>
      </c>
      <c r="R89" s="36">
        <f t="shared" si="80"/>
        <v>4</v>
      </c>
      <c r="S89" s="36">
        <f t="shared" si="67"/>
        <v>7</v>
      </c>
      <c r="T89" s="2">
        <f t="shared" si="47"/>
        <v>7921.78</v>
      </c>
      <c r="U89" s="34">
        <f t="shared" si="48"/>
        <v>21774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7">IF(AND(AM49&gt;=$T$14,AM49&lt;=$T$14+5),0,IF($C$9&gt;$AC$52,ROUND(AW48*$AI$46/(DATEVALUE(CONCATENATE("01/01/",YEAR(AN49)+1))-DATEVALUE(CONCATENATE("01/01/",YEAR(AN49))))*(AN49-AN48),2),0))</f>
        <v>10598.07</v>
      </c>
      <c r="AJ89" s="34">
        <f t="shared" si="86"/>
        <v>21774</v>
      </c>
      <c r="AK89" s="57">
        <f t="shared" si="52"/>
        <v>59915</v>
      </c>
      <c r="AL89" s="130">
        <f t="shared" si="75"/>
        <v>1</v>
      </c>
      <c r="AM89" s="1057">
        <f t="shared" si="78"/>
        <v>81</v>
      </c>
      <c r="AN89" s="1058">
        <f t="shared" si="68"/>
        <v>47780</v>
      </c>
      <c r="AO89" s="105">
        <f t="shared" si="35"/>
        <v>21774</v>
      </c>
      <c r="AP89" s="105">
        <f t="shared" si="69"/>
        <v>1198.8800000000001</v>
      </c>
      <c r="AQ89" s="105">
        <f t="shared" si="41"/>
        <v>20575.12</v>
      </c>
      <c r="AR89" s="105">
        <f t="shared" si="83"/>
        <v>0</v>
      </c>
      <c r="AS89" s="105">
        <f t="shared" si="42"/>
        <v>0</v>
      </c>
      <c r="AT89" s="105">
        <f t="shared" si="43"/>
        <v>1198.8800000000001</v>
      </c>
      <c r="AU89" s="105">
        <f t="shared" si="44"/>
        <v>0</v>
      </c>
      <c r="AV89" s="105">
        <f t="shared" si="45"/>
        <v>0</v>
      </c>
      <c r="AW89" s="105">
        <f t="shared" si="46"/>
        <v>60912.679999999906</v>
      </c>
      <c r="AX89" s="108">
        <f t="shared" si="79"/>
        <v>4</v>
      </c>
      <c r="AY89" s="108">
        <f t="shared" si="70"/>
        <v>4</v>
      </c>
      <c r="AZ89" s="1047">
        <f t="shared" si="62"/>
        <v>47780</v>
      </c>
      <c r="BA89" s="108">
        <f t="shared" si="62"/>
        <v>21774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055">
        <f t="shared" si="76"/>
        <v>82</v>
      </c>
      <c r="F90" s="1056">
        <f t="shared" si="63"/>
        <v>47811</v>
      </c>
      <c r="G90" s="24">
        <f t="shared" si="59"/>
        <v>21774</v>
      </c>
      <c r="H90" s="24">
        <f t="shared" si="64"/>
        <v>1563.13</v>
      </c>
      <c r="I90" s="24">
        <f t="shared" si="74"/>
        <v>790720.99999999988</v>
      </c>
      <c r="J90" s="24">
        <f t="shared" si="60"/>
        <v>0</v>
      </c>
      <c r="K90" s="24">
        <f t="shared" si="65"/>
        <v>20210.87</v>
      </c>
      <c r="L90" s="24">
        <f t="shared" si="71"/>
        <v>0</v>
      </c>
      <c r="M90" s="24">
        <f t="shared" si="84"/>
        <v>0</v>
      </c>
      <c r="N90" s="24">
        <f t="shared" si="85"/>
        <v>1563.13</v>
      </c>
      <c r="O90" s="24">
        <f t="shared" si="72"/>
        <v>0</v>
      </c>
      <c r="P90" s="24">
        <f t="shared" si="73"/>
        <v>0</v>
      </c>
      <c r="Q90" s="24">
        <f t="shared" si="66"/>
        <v>88691.999999999825</v>
      </c>
      <c r="R90" s="36">
        <f t="shared" si="80"/>
        <v>3</v>
      </c>
      <c r="S90" s="36">
        <f t="shared" si="67"/>
        <v>6</v>
      </c>
      <c r="T90" s="2">
        <f t="shared" si="47"/>
        <v>8060.98</v>
      </c>
      <c r="U90" s="34">
        <f t="shared" si="48"/>
        <v>21774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7"/>
        <v>10091.77</v>
      </c>
      <c r="AJ90" s="34">
        <f t="shared" si="86"/>
        <v>21774</v>
      </c>
      <c r="AK90" s="57">
        <f t="shared" si="52"/>
        <v>60280</v>
      </c>
      <c r="AL90" s="130">
        <f t="shared" si="75"/>
        <v>1</v>
      </c>
      <c r="AM90" s="1057">
        <f t="shared" si="78"/>
        <v>82</v>
      </c>
      <c r="AN90" s="1058">
        <f t="shared" si="68"/>
        <v>47811</v>
      </c>
      <c r="AO90" s="105">
        <f t="shared" si="35"/>
        <v>21774</v>
      </c>
      <c r="AP90" s="105">
        <f t="shared" si="69"/>
        <v>926.04</v>
      </c>
      <c r="AQ90" s="105">
        <f t="shared" si="41"/>
        <v>20847.96</v>
      </c>
      <c r="AR90" s="105">
        <f t="shared" si="83"/>
        <v>0</v>
      </c>
      <c r="AS90" s="105">
        <f t="shared" si="42"/>
        <v>0</v>
      </c>
      <c r="AT90" s="105">
        <f t="shared" si="43"/>
        <v>926.04</v>
      </c>
      <c r="AU90" s="105">
        <f t="shared" si="44"/>
        <v>0</v>
      </c>
      <c r="AV90" s="105">
        <f t="shared" si="45"/>
        <v>0</v>
      </c>
      <c r="AW90" s="105">
        <f t="shared" si="46"/>
        <v>40064.719999999907</v>
      </c>
      <c r="AX90" s="108">
        <f t="shared" si="79"/>
        <v>3</v>
      </c>
      <c r="AY90" s="108">
        <f t="shared" si="70"/>
        <v>3</v>
      </c>
      <c r="AZ90" s="1047">
        <f t="shared" si="62"/>
        <v>47811</v>
      </c>
      <c r="BA90" s="108">
        <f t="shared" si="62"/>
        <v>21774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055">
        <f t="shared" si="76"/>
        <v>83</v>
      </c>
      <c r="F91" s="1056">
        <f t="shared" si="63"/>
        <v>47841</v>
      </c>
      <c r="G91" s="24">
        <f t="shared" si="59"/>
        <v>21774</v>
      </c>
      <c r="H91" s="24">
        <f t="shared" si="64"/>
        <v>1231.97</v>
      </c>
      <c r="I91" s="24">
        <f t="shared" si="74"/>
        <v>791952.96999999986</v>
      </c>
      <c r="J91" s="24">
        <f t="shared" si="60"/>
        <v>0</v>
      </c>
      <c r="K91" s="24">
        <f t="shared" si="65"/>
        <v>20542.03</v>
      </c>
      <c r="L91" s="24">
        <f t="shared" si="71"/>
        <v>0</v>
      </c>
      <c r="M91" s="24">
        <f t="shared" si="84"/>
        <v>0</v>
      </c>
      <c r="N91" s="24">
        <f t="shared" si="85"/>
        <v>1231.97</v>
      </c>
      <c r="O91" s="24">
        <f t="shared" si="72"/>
        <v>0</v>
      </c>
      <c r="P91" s="24">
        <f t="shared" si="73"/>
        <v>0</v>
      </c>
      <c r="Q91" s="24">
        <f t="shared" si="66"/>
        <v>68149.969999999827</v>
      </c>
      <c r="R91" s="36">
        <f t="shared" si="80"/>
        <v>2</v>
      </c>
      <c r="S91" s="36">
        <f t="shared" si="67"/>
        <v>5</v>
      </c>
      <c r="T91" s="2">
        <f t="shared" si="47"/>
        <v>7682.05</v>
      </c>
      <c r="U91" s="34">
        <f t="shared" si="48"/>
        <v>21774</v>
      </c>
      <c r="V91" s="57">
        <f t="shared" si="51"/>
        <v>60645</v>
      </c>
      <c r="W91" s="16">
        <f t="shared" si="53"/>
        <v>42</v>
      </c>
      <c r="AI91" s="2">
        <f t="shared" si="87"/>
        <v>10250.56</v>
      </c>
      <c r="AJ91" s="34">
        <f t="shared" si="86"/>
        <v>21774</v>
      </c>
      <c r="AK91" s="57">
        <f t="shared" si="52"/>
        <v>60645</v>
      </c>
      <c r="AL91" s="130">
        <f t="shared" si="75"/>
        <v>1</v>
      </c>
      <c r="AM91" s="1057">
        <f t="shared" si="78"/>
        <v>83</v>
      </c>
      <c r="AN91" s="1058">
        <f t="shared" si="68"/>
        <v>47841</v>
      </c>
      <c r="AO91" s="105">
        <f t="shared" si="35"/>
        <v>21774</v>
      </c>
      <c r="AP91" s="105">
        <f t="shared" si="69"/>
        <v>589.45000000000005</v>
      </c>
      <c r="AQ91" s="105">
        <f t="shared" si="41"/>
        <v>21184.55</v>
      </c>
      <c r="AR91" s="105">
        <f t="shared" si="83"/>
        <v>0</v>
      </c>
      <c r="AS91" s="105">
        <f t="shared" si="42"/>
        <v>0</v>
      </c>
      <c r="AT91" s="105">
        <f t="shared" si="43"/>
        <v>589.45000000000005</v>
      </c>
      <c r="AU91" s="105">
        <f t="shared" si="44"/>
        <v>0</v>
      </c>
      <c r="AV91" s="105">
        <f t="shared" si="45"/>
        <v>0</v>
      </c>
      <c r="AW91" s="105">
        <f t="shared" si="46"/>
        <v>18880.169999999907</v>
      </c>
      <c r="AX91" s="108">
        <f t="shared" si="79"/>
        <v>2</v>
      </c>
      <c r="AY91" s="108">
        <f t="shared" si="70"/>
        <v>2</v>
      </c>
      <c r="AZ91" s="1047">
        <f t="shared" si="62"/>
        <v>47841</v>
      </c>
      <c r="BA91" s="108">
        <f t="shared" si="62"/>
        <v>21774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055">
        <f t="shared" si="76"/>
        <v>84</v>
      </c>
      <c r="F92" s="1056">
        <f t="shared" si="63"/>
        <v>47872</v>
      </c>
      <c r="G92" s="24">
        <f t="shared" si="59"/>
        <v>69128.159999999829</v>
      </c>
      <c r="H92" s="24">
        <f t="shared" si="64"/>
        <v>978.19</v>
      </c>
      <c r="I92" s="24">
        <f t="shared" si="74"/>
        <v>792931.1599999998</v>
      </c>
      <c r="J92" s="24">
        <f t="shared" si="60"/>
        <v>47354.159999999829</v>
      </c>
      <c r="K92" s="24">
        <f t="shared" si="65"/>
        <v>68149.969999999827</v>
      </c>
      <c r="L92" s="24">
        <f t="shared" si="71"/>
        <v>0</v>
      </c>
      <c r="M92" s="24">
        <f t="shared" si="84"/>
        <v>0</v>
      </c>
      <c r="N92" s="24">
        <f t="shared" si="85"/>
        <v>978.19</v>
      </c>
      <c r="O92" s="24">
        <f t="shared" si="72"/>
        <v>0</v>
      </c>
      <c r="P92" s="24">
        <f t="shared" si="73"/>
        <v>0</v>
      </c>
      <c r="Q92" s="24">
        <f t="shared" si="66"/>
        <v>0</v>
      </c>
      <c r="R92" s="36">
        <f t="shared" si="80"/>
        <v>1</v>
      </c>
      <c r="S92" s="36">
        <f t="shared" si="67"/>
        <v>4</v>
      </c>
      <c r="T92" s="2">
        <f t="shared" si="47"/>
        <v>7809.83</v>
      </c>
      <c r="U92" s="34">
        <f t="shared" si="48"/>
        <v>21774</v>
      </c>
      <c r="V92" s="57">
        <f t="shared" si="51"/>
        <v>61010</v>
      </c>
      <c r="W92" s="16">
        <f t="shared" si="53"/>
        <v>43</v>
      </c>
      <c r="X92" s="860" t="s">
        <v>115</v>
      </c>
      <c r="Y92" s="86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7"/>
        <v>10075.370000000001</v>
      </c>
      <c r="AJ92" s="34">
        <f t="shared" si="86"/>
        <v>21774</v>
      </c>
      <c r="AK92" s="57">
        <f t="shared" si="52"/>
        <v>61010</v>
      </c>
      <c r="AL92" s="130">
        <f t="shared" si="75"/>
        <v>1</v>
      </c>
      <c r="AM92" s="1057">
        <f t="shared" si="78"/>
        <v>84</v>
      </c>
      <c r="AN92" s="1058">
        <f t="shared" si="68"/>
        <v>47872</v>
      </c>
      <c r="AO92" s="105">
        <f t="shared" si="35"/>
        <v>19167.199999999906</v>
      </c>
      <c r="AP92" s="105">
        <f t="shared" si="69"/>
        <v>287.02999999999997</v>
      </c>
      <c r="AQ92" s="105">
        <f t="shared" si="41"/>
        <v>18880.169999999907</v>
      </c>
      <c r="AR92" s="105">
        <f t="shared" si="83"/>
        <v>0</v>
      </c>
      <c r="AS92" s="105">
        <f t="shared" si="42"/>
        <v>0</v>
      </c>
      <c r="AT92" s="105">
        <f t="shared" si="43"/>
        <v>287.02999999999997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9"/>
        <v>1</v>
      </c>
      <c r="AY92" s="108">
        <f t="shared" si="70"/>
        <v>1</v>
      </c>
      <c r="AZ92" s="1047">
        <f t="shared" si="62"/>
        <v>47872</v>
      </c>
      <c r="BA92" s="108">
        <f t="shared" si="62"/>
        <v>69128.159999999829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055">
        <f t="shared" si="76"/>
        <v>85</v>
      </c>
      <c r="F93" s="1056">
        <f t="shared" si="63"/>
        <v>47903</v>
      </c>
      <c r="G93" s="24">
        <f t="shared" si="59"/>
        <v>0</v>
      </c>
      <c r="H93" s="24">
        <f t="shared" si="64"/>
        <v>0</v>
      </c>
      <c r="I93" s="24">
        <f t="shared" si="74"/>
        <v>792931.1599999998</v>
      </c>
      <c r="J93" s="24">
        <f t="shared" si="60"/>
        <v>0</v>
      </c>
      <c r="K93" s="24">
        <f t="shared" si="65"/>
        <v>0</v>
      </c>
      <c r="L93" s="24">
        <f t="shared" si="71"/>
        <v>0</v>
      </c>
      <c r="M93" s="24">
        <f t="shared" si="84"/>
        <v>0</v>
      </c>
      <c r="N93" s="24">
        <f t="shared" si="85"/>
        <v>0</v>
      </c>
      <c r="O93" s="24">
        <f t="shared" si="72"/>
        <v>0</v>
      </c>
      <c r="P93" s="24">
        <f t="shared" si="73"/>
        <v>0</v>
      </c>
      <c r="Q93" s="24">
        <f t="shared" si="66"/>
        <v>0</v>
      </c>
      <c r="R93" s="36">
        <f t="shared" si="80"/>
        <v>0</v>
      </c>
      <c r="S93" s="36">
        <f t="shared" si="67"/>
        <v>0</v>
      </c>
      <c r="T93" s="2">
        <f t="shared" si="47"/>
        <v>7683.37</v>
      </c>
      <c r="U93" s="34">
        <f t="shared" si="48"/>
        <v>21774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028"/>
      <c r="AB93" s="1028"/>
      <c r="AC93" s="1028"/>
      <c r="AD93" s="1028"/>
      <c r="AI93" s="2">
        <f t="shared" si="87"/>
        <v>9578.25</v>
      </c>
      <c r="AJ93" s="34">
        <f t="shared" si="86"/>
        <v>21774</v>
      </c>
      <c r="AK93" s="57">
        <f t="shared" si="52"/>
        <v>61375</v>
      </c>
      <c r="AL93" s="130">
        <f t="shared" si="75"/>
        <v>0</v>
      </c>
      <c r="AM93" s="1057">
        <f t="shared" si="78"/>
        <v>85</v>
      </c>
      <c r="AN93" s="1058">
        <f t="shared" si="68"/>
        <v>47903</v>
      </c>
      <c r="AO93" s="105">
        <f t="shared" si="35"/>
        <v>0</v>
      </c>
      <c r="AP93" s="105">
        <f t="shared" si="69"/>
        <v>0</v>
      </c>
      <c r="AQ93" s="105">
        <f t="shared" si="41"/>
        <v>0</v>
      </c>
      <c r="AR93" s="105">
        <f t="shared" si="83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9"/>
        <v>0</v>
      </c>
      <c r="AY93" s="108">
        <f t="shared" si="70"/>
        <v>0</v>
      </c>
      <c r="AZ93" s="1047">
        <f t="shared" si="62"/>
        <v>47903</v>
      </c>
      <c r="BA93" s="108">
        <f t="shared" si="62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055">
        <f t="shared" si="76"/>
        <v>86</v>
      </c>
      <c r="F94" s="1056">
        <f t="shared" si="63"/>
        <v>47931</v>
      </c>
      <c r="G94" s="24">
        <f t="shared" si="59"/>
        <v>0</v>
      </c>
      <c r="H94" s="24">
        <f t="shared" si="64"/>
        <v>0</v>
      </c>
      <c r="I94" s="24">
        <f t="shared" si="74"/>
        <v>792931.1599999998</v>
      </c>
      <c r="J94" s="24">
        <f t="shared" si="60"/>
        <v>0</v>
      </c>
      <c r="K94" s="24">
        <f t="shared" si="65"/>
        <v>0</v>
      </c>
      <c r="L94" s="24">
        <f t="shared" si="71"/>
        <v>0</v>
      </c>
      <c r="M94" s="24">
        <f t="shared" si="84"/>
        <v>0</v>
      </c>
      <c r="N94" s="24">
        <f t="shared" si="85"/>
        <v>0</v>
      </c>
      <c r="O94" s="24">
        <f t="shared" si="72"/>
        <v>0</v>
      </c>
      <c r="P94" s="24">
        <f t="shared" si="73"/>
        <v>0</v>
      </c>
      <c r="Q94" s="24">
        <f t="shared" si="66"/>
        <v>0</v>
      </c>
      <c r="R94" s="36">
        <f t="shared" si="80"/>
        <v>0</v>
      </c>
      <c r="S94" s="36">
        <f t="shared" si="67"/>
        <v>0</v>
      </c>
      <c r="T94" s="2">
        <f t="shared" si="47"/>
        <v>7311.38</v>
      </c>
      <c r="U94" s="34">
        <f t="shared" si="48"/>
        <v>21774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028"/>
      <c r="AD94" s="1028"/>
      <c r="AI94" s="2">
        <f t="shared" si="87"/>
        <v>9712.11</v>
      </c>
      <c r="AJ94" s="34">
        <f t="shared" si="86"/>
        <v>21774</v>
      </c>
      <c r="AK94" s="57">
        <f t="shared" si="52"/>
        <v>61740</v>
      </c>
      <c r="AL94" s="130">
        <f t="shared" si="75"/>
        <v>0</v>
      </c>
      <c r="AM94" s="1057">
        <f t="shared" si="78"/>
        <v>86</v>
      </c>
      <c r="AN94" s="1058">
        <f t="shared" si="68"/>
        <v>47931</v>
      </c>
      <c r="AO94" s="105">
        <f t="shared" si="35"/>
        <v>0</v>
      </c>
      <c r="AP94" s="105">
        <f t="shared" si="69"/>
        <v>0</v>
      </c>
      <c r="AQ94" s="105">
        <f t="shared" si="41"/>
        <v>0</v>
      </c>
      <c r="AR94" s="105">
        <f t="shared" si="83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9"/>
        <v>0</v>
      </c>
      <c r="AY94" s="108">
        <f t="shared" si="70"/>
        <v>0</v>
      </c>
      <c r="AZ94" s="1047">
        <f t="shared" si="62"/>
        <v>47931</v>
      </c>
      <c r="BA94" s="108">
        <f t="shared" si="62"/>
        <v>0</v>
      </c>
      <c r="BB94" s="2" t="e">
        <f t="shared" ref="BB94:BB152" si="88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055">
        <f t="shared" si="76"/>
        <v>87</v>
      </c>
      <c r="F95" s="1056">
        <f t="shared" si="63"/>
        <v>47962</v>
      </c>
      <c r="G95" s="24">
        <f t="shared" si="59"/>
        <v>0</v>
      </c>
      <c r="H95" s="24">
        <f t="shared" si="64"/>
        <v>0</v>
      </c>
      <c r="I95" s="24">
        <f t="shared" si="74"/>
        <v>792931.1599999998</v>
      </c>
      <c r="J95" s="24">
        <f t="shared" si="60"/>
        <v>0</v>
      </c>
      <c r="K95" s="24">
        <f t="shared" si="65"/>
        <v>0</v>
      </c>
      <c r="L95" s="24">
        <f t="shared" si="71"/>
        <v>0</v>
      </c>
      <c r="M95" s="24">
        <f t="shared" si="84"/>
        <v>0</v>
      </c>
      <c r="N95" s="24">
        <f t="shared" si="85"/>
        <v>0</v>
      </c>
      <c r="O95" s="24">
        <f t="shared" si="72"/>
        <v>0</v>
      </c>
      <c r="P95" s="24">
        <f t="shared" si="73"/>
        <v>0</v>
      </c>
      <c r="Q95" s="24">
        <f t="shared" si="66"/>
        <v>0</v>
      </c>
      <c r="R95" s="36">
        <f t="shared" si="80"/>
        <v>0</v>
      </c>
      <c r="S95" s="36">
        <f t="shared" si="67"/>
        <v>0</v>
      </c>
      <c r="T95" s="2">
        <f t="shared" si="47"/>
        <v>7421.47</v>
      </c>
      <c r="U95" s="34">
        <f t="shared" si="48"/>
        <v>21774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028"/>
      <c r="AD95" s="1028"/>
      <c r="AI95" s="2">
        <f t="shared" si="87"/>
        <v>9221.36</v>
      </c>
      <c r="AJ95" s="34">
        <f t="shared" si="86"/>
        <v>21774</v>
      </c>
      <c r="AK95" s="57">
        <f t="shared" si="52"/>
        <v>62105</v>
      </c>
      <c r="AL95" s="130">
        <f t="shared" si="75"/>
        <v>0</v>
      </c>
      <c r="AM95" s="1057">
        <f t="shared" si="78"/>
        <v>87</v>
      </c>
      <c r="AN95" s="1058">
        <f t="shared" si="68"/>
        <v>47962</v>
      </c>
      <c r="AO95" s="105">
        <f t="shared" si="35"/>
        <v>0</v>
      </c>
      <c r="AP95" s="105">
        <f t="shared" si="69"/>
        <v>0</v>
      </c>
      <c r="AQ95" s="105">
        <f t="shared" si="41"/>
        <v>0</v>
      </c>
      <c r="AR95" s="105">
        <f t="shared" si="83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9"/>
        <v>0</v>
      </c>
      <c r="AY95" s="108">
        <f t="shared" si="70"/>
        <v>0</v>
      </c>
      <c r="AZ95" s="1047">
        <f t="shared" si="62"/>
        <v>47962</v>
      </c>
      <c r="BA95" s="108">
        <f t="shared" si="62"/>
        <v>0</v>
      </c>
      <c r="BB95" s="2" t="e">
        <f t="shared" si="88"/>
        <v>#VALUE!</v>
      </c>
    </row>
    <row r="96" spans="1:54" s="16" customFormat="1" thickBot="1" x14ac:dyDescent="0.25">
      <c r="A96" s="2"/>
      <c r="B96" s="2"/>
      <c r="C96" s="1"/>
      <c r="D96" s="1"/>
      <c r="E96" s="1055">
        <f t="shared" si="76"/>
        <v>88</v>
      </c>
      <c r="F96" s="1056">
        <f t="shared" si="63"/>
        <v>47992</v>
      </c>
      <c r="G96" s="24">
        <f t="shared" si="59"/>
        <v>0</v>
      </c>
      <c r="H96" s="24">
        <f t="shared" si="64"/>
        <v>0</v>
      </c>
      <c r="I96" s="24">
        <f t="shared" si="74"/>
        <v>792931.1599999998</v>
      </c>
      <c r="J96" s="24">
        <f t="shared" si="60"/>
        <v>0</v>
      </c>
      <c r="K96" s="24">
        <f t="shared" si="65"/>
        <v>0</v>
      </c>
      <c r="L96" s="24">
        <f t="shared" si="71"/>
        <v>0</v>
      </c>
      <c r="M96" s="24">
        <f t="shared" si="84"/>
        <v>0</v>
      </c>
      <c r="N96" s="24">
        <f t="shared" si="85"/>
        <v>0</v>
      </c>
      <c r="O96" s="24">
        <f t="shared" si="72"/>
        <v>0</v>
      </c>
      <c r="P96" s="24">
        <f t="shared" si="73"/>
        <v>0</v>
      </c>
      <c r="Q96" s="24">
        <f t="shared" si="66"/>
        <v>0</v>
      </c>
      <c r="R96" s="36">
        <f t="shared" si="80"/>
        <v>0</v>
      </c>
      <c r="S96" s="36">
        <f t="shared" si="67"/>
        <v>0</v>
      </c>
      <c r="T96" s="2">
        <f t="shared" si="47"/>
        <v>7054.29</v>
      </c>
      <c r="U96" s="34">
        <f t="shared" si="48"/>
        <v>21774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028"/>
      <c r="AD96" s="1028"/>
      <c r="AI96" s="2">
        <f t="shared" si="87"/>
        <v>9312.39</v>
      </c>
      <c r="AJ96" s="34">
        <f t="shared" si="86"/>
        <v>21774</v>
      </c>
      <c r="AK96" s="57">
        <f t="shared" si="52"/>
        <v>62470</v>
      </c>
      <c r="AL96" s="130">
        <f t="shared" si="75"/>
        <v>0</v>
      </c>
      <c r="AM96" s="1057">
        <f t="shared" si="78"/>
        <v>88</v>
      </c>
      <c r="AN96" s="1058">
        <f t="shared" si="68"/>
        <v>47992</v>
      </c>
      <c r="AO96" s="105">
        <f t="shared" si="35"/>
        <v>0</v>
      </c>
      <c r="AP96" s="105">
        <f t="shared" si="69"/>
        <v>0</v>
      </c>
      <c r="AQ96" s="105">
        <f t="shared" si="41"/>
        <v>0</v>
      </c>
      <c r="AR96" s="105">
        <f t="shared" si="83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9"/>
        <v>0</v>
      </c>
      <c r="AY96" s="108">
        <f t="shared" si="70"/>
        <v>0</v>
      </c>
      <c r="AZ96" s="1047">
        <f t="shared" si="62"/>
        <v>47992</v>
      </c>
      <c r="BA96" s="108">
        <f t="shared" si="62"/>
        <v>0</v>
      </c>
      <c r="BB96" s="2" t="e">
        <f t="shared" si="88"/>
        <v>#VALUE!</v>
      </c>
    </row>
    <row r="97" spans="1:1207" s="16" customFormat="1" thickBot="1" x14ac:dyDescent="0.25">
      <c r="A97" s="2"/>
      <c r="B97" s="2"/>
      <c r="C97" s="1"/>
      <c r="D97" s="1"/>
      <c r="E97" s="1055">
        <f t="shared" si="76"/>
        <v>89</v>
      </c>
      <c r="F97" s="1056">
        <f t="shared" si="63"/>
        <v>48023</v>
      </c>
      <c r="G97" s="24">
        <f t="shared" si="59"/>
        <v>0</v>
      </c>
      <c r="H97" s="24">
        <f t="shared" si="64"/>
        <v>0</v>
      </c>
      <c r="I97" s="24">
        <f t="shared" si="74"/>
        <v>792931.1599999998</v>
      </c>
      <c r="J97" s="24">
        <f t="shared" si="60"/>
        <v>0</v>
      </c>
      <c r="K97" s="24">
        <f t="shared" si="65"/>
        <v>0</v>
      </c>
      <c r="L97" s="24">
        <f t="shared" si="71"/>
        <v>0</v>
      </c>
      <c r="M97" s="24">
        <f t="shared" si="84"/>
        <v>0</v>
      </c>
      <c r="N97" s="24">
        <f t="shared" si="85"/>
        <v>0</v>
      </c>
      <c r="O97" s="24">
        <f t="shared" si="72"/>
        <v>0</v>
      </c>
      <c r="P97" s="24">
        <f t="shared" si="73"/>
        <v>0</v>
      </c>
      <c r="Q97" s="24">
        <f t="shared" si="66"/>
        <v>0</v>
      </c>
      <c r="R97" s="36">
        <f t="shared" si="80"/>
        <v>0</v>
      </c>
      <c r="S97" s="36">
        <f t="shared" si="67"/>
        <v>0</v>
      </c>
      <c r="T97" s="2">
        <f t="shared" si="47"/>
        <v>7132.59</v>
      </c>
      <c r="U97" s="34">
        <f t="shared" si="48"/>
        <v>21774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028"/>
      <c r="AD97" s="1028"/>
      <c r="AI97" s="2">
        <f t="shared" si="87"/>
        <v>9123.5499999999993</v>
      </c>
      <c r="AJ97" s="34">
        <f t="shared" si="86"/>
        <v>21774</v>
      </c>
      <c r="AK97" s="57">
        <f t="shared" si="52"/>
        <v>62835</v>
      </c>
      <c r="AL97" s="130">
        <f t="shared" si="75"/>
        <v>0</v>
      </c>
      <c r="AM97" s="1057">
        <f t="shared" si="78"/>
        <v>89</v>
      </c>
      <c r="AN97" s="1058">
        <f t="shared" si="68"/>
        <v>48023</v>
      </c>
      <c r="AO97" s="105">
        <f t="shared" si="35"/>
        <v>0</v>
      </c>
      <c r="AP97" s="105">
        <f t="shared" si="69"/>
        <v>0</v>
      </c>
      <c r="AQ97" s="105">
        <f t="shared" si="41"/>
        <v>0</v>
      </c>
      <c r="AR97" s="105">
        <f t="shared" si="83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9"/>
        <v>0</v>
      </c>
      <c r="AY97" s="108">
        <f t="shared" si="70"/>
        <v>0</v>
      </c>
      <c r="AZ97" s="1047">
        <f t="shared" si="62"/>
        <v>48023</v>
      </c>
      <c r="BA97" s="108">
        <f t="shared" si="62"/>
        <v>0</v>
      </c>
      <c r="BB97" s="2" t="e">
        <f t="shared" si="88"/>
        <v>#VALUE!</v>
      </c>
    </row>
    <row r="98" spans="1:1207" s="16" customFormat="1" thickBot="1" x14ac:dyDescent="0.25">
      <c r="A98" s="2"/>
      <c r="B98" s="2"/>
      <c r="C98" s="1"/>
      <c r="D98" s="1"/>
      <c r="E98" s="1055">
        <f t="shared" si="76"/>
        <v>90</v>
      </c>
      <c r="F98" s="1056">
        <f t="shared" si="63"/>
        <v>48053</v>
      </c>
      <c r="G98" s="24">
        <f t="shared" si="59"/>
        <v>0</v>
      </c>
      <c r="H98" s="24">
        <f t="shared" si="64"/>
        <v>0</v>
      </c>
      <c r="I98" s="24">
        <f t="shared" si="74"/>
        <v>792931.1599999998</v>
      </c>
      <c r="J98" s="24">
        <f t="shared" si="60"/>
        <v>0</v>
      </c>
      <c r="K98" s="24">
        <f t="shared" si="65"/>
        <v>0</v>
      </c>
      <c r="L98" s="24">
        <f t="shared" si="71"/>
        <v>0</v>
      </c>
      <c r="M98" s="24">
        <f t="shared" si="84"/>
        <v>0</v>
      </c>
      <c r="N98" s="24">
        <f t="shared" si="85"/>
        <v>0</v>
      </c>
      <c r="O98" s="24">
        <f t="shared" si="72"/>
        <v>0</v>
      </c>
      <c r="P98" s="24">
        <f t="shared" si="73"/>
        <v>0</v>
      </c>
      <c r="Q98" s="24">
        <f t="shared" si="66"/>
        <v>0</v>
      </c>
      <c r="R98" s="36">
        <f t="shared" si="80"/>
        <v>0</v>
      </c>
      <c r="S98" s="36">
        <f t="shared" si="67"/>
        <v>0</v>
      </c>
      <c r="T98" s="2">
        <f t="shared" si="47"/>
        <v>6996.84</v>
      </c>
      <c r="U98" s="34">
        <f t="shared" si="48"/>
        <v>21774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7"/>
        <v>8355.51</v>
      </c>
      <c r="AJ98" s="34">
        <f t="shared" si="86"/>
        <v>21774</v>
      </c>
      <c r="AK98" s="57">
        <f t="shared" si="52"/>
        <v>63200</v>
      </c>
      <c r="AL98" s="130">
        <f t="shared" si="75"/>
        <v>0</v>
      </c>
      <c r="AM98" s="1057">
        <f t="shared" si="78"/>
        <v>90</v>
      </c>
      <c r="AN98" s="1058">
        <f t="shared" si="68"/>
        <v>48053</v>
      </c>
      <c r="AO98" s="105">
        <f t="shared" si="35"/>
        <v>0</v>
      </c>
      <c r="AP98" s="105">
        <f t="shared" si="69"/>
        <v>0</v>
      </c>
      <c r="AQ98" s="105">
        <f t="shared" si="41"/>
        <v>0</v>
      </c>
      <c r="AR98" s="105">
        <f t="shared" si="83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9"/>
        <v>0</v>
      </c>
      <c r="AY98" s="108">
        <f t="shared" si="70"/>
        <v>0</v>
      </c>
      <c r="AZ98" s="1047">
        <f t="shared" si="62"/>
        <v>48053</v>
      </c>
      <c r="BA98" s="108">
        <f t="shared" si="62"/>
        <v>0</v>
      </c>
      <c r="BB98" s="2" t="e">
        <f t="shared" si="88"/>
        <v>#VALUE!</v>
      </c>
    </row>
    <row r="99" spans="1:1207" s="16" customFormat="1" thickBot="1" x14ac:dyDescent="0.25">
      <c r="A99" s="2"/>
      <c r="B99" s="2"/>
      <c r="C99" s="1"/>
      <c r="D99" s="1"/>
      <c r="E99" s="1055">
        <f t="shared" si="76"/>
        <v>91</v>
      </c>
      <c r="F99" s="1056">
        <f t="shared" si="63"/>
        <v>48084</v>
      </c>
      <c r="G99" s="24">
        <f t="shared" si="59"/>
        <v>0</v>
      </c>
      <c r="H99" s="24">
        <f t="shared" si="64"/>
        <v>0</v>
      </c>
      <c r="I99" s="24">
        <f t="shared" si="74"/>
        <v>792931.1599999998</v>
      </c>
      <c r="J99" s="24">
        <f t="shared" si="60"/>
        <v>0</v>
      </c>
      <c r="K99" s="24">
        <f t="shared" si="65"/>
        <v>0</v>
      </c>
      <c r="L99" s="24">
        <f t="shared" si="71"/>
        <v>0</v>
      </c>
      <c r="M99" s="24">
        <f t="shared" si="84"/>
        <v>0</v>
      </c>
      <c r="N99" s="24">
        <f t="shared" si="85"/>
        <v>0</v>
      </c>
      <c r="O99" s="24">
        <f t="shared" si="72"/>
        <v>0</v>
      </c>
      <c r="P99" s="24">
        <f t="shared" si="73"/>
        <v>0</v>
      </c>
      <c r="Q99" s="24">
        <f t="shared" si="66"/>
        <v>0</v>
      </c>
      <c r="R99" s="36">
        <f t="shared" si="80"/>
        <v>0</v>
      </c>
      <c r="S99" s="36">
        <f t="shared" si="67"/>
        <v>0</v>
      </c>
      <c r="T99" s="2">
        <f t="shared" si="47"/>
        <v>6416.57</v>
      </c>
      <c r="U99" s="34">
        <f t="shared" si="48"/>
        <v>21774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7"/>
        <v>8728.31</v>
      </c>
      <c r="AJ99" s="34">
        <f t="shared" si="86"/>
        <v>21774</v>
      </c>
      <c r="AK99" s="57">
        <f t="shared" si="52"/>
        <v>63565</v>
      </c>
      <c r="AL99" s="130">
        <f t="shared" si="75"/>
        <v>0</v>
      </c>
      <c r="AM99" s="1057">
        <f t="shared" si="78"/>
        <v>91</v>
      </c>
      <c r="AN99" s="1058">
        <f t="shared" si="68"/>
        <v>48084</v>
      </c>
      <c r="AO99" s="105">
        <f t="shared" si="35"/>
        <v>0</v>
      </c>
      <c r="AP99" s="105">
        <f t="shared" si="69"/>
        <v>0</v>
      </c>
      <c r="AQ99" s="105">
        <f t="shared" si="41"/>
        <v>0</v>
      </c>
      <c r="AR99" s="105">
        <f t="shared" si="83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9"/>
        <v>0</v>
      </c>
      <c r="AY99" s="108">
        <f t="shared" si="70"/>
        <v>0</v>
      </c>
      <c r="AZ99" s="1047">
        <f t="shared" si="62"/>
        <v>48084</v>
      </c>
      <c r="BA99" s="108">
        <f t="shared" si="62"/>
        <v>0</v>
      </c>
      <c r="BB99" s="2" t="e">
        <f t="shared" si="88"/>
        <v>#VALUE!</v>
      </c>
    </row>
    <row r="100" spans="1:1207" s="16" customFormat="1" ht="12" x14ac:dyDescent="0.2">
      <c r="A100" s="2"/>
      <c r="B100" s="2"/>
      <c r="C100" s="1"/>
      <c r="D100" s="1"/>
      <c r="E100" s="1055">
        <f t="shared" si="76"/>
        <v>92</v>
      </c>
      <c r="F100" s="1056">
        <f t="shared" si="63"/>
        <v>48115</v>
      </c>
      <c r="G100" s="24">
        <f t="shared" si="59"/>
        <v>0</v>
      </c>
      <c r="H100" s="24">
        <f t="shared" si="64"/>
        <v>0</v>
      </c>
      <c r="I100" s="24">
        <f t="shared" si="74"/>
        <v>792931.1599999998</v>
      </c>
      <c r="J100" s="24">
        <f t="shared" si="60"/>
        <v>0</v>
      </c>
      <c r="K100" s="24">
        <f t="shared" si="65"/>
        <v>0</v>
      </c>
      <c r="L100" s="24">
        <f t="shared" si="71"/>
        <v>0</v>
      </c>
      <c r="M100" s="24">
        <f t="shared" si="84"/>
        <v>0</v>
      </c>
      <c r="N100" s="24">
        <f t="shared" si="85"/>
        <v>0</v>
      </c>
      <c r="O100" s="24">
        <f t="shared" si="72"/>
        <v>0</v>
      </c>
      <c r="P100" s="24">
        <f t="shared" si="73"/>
        <v>0</v>
      </c>
      <c r="Q100" s="24">
        <f t="shared" si="66"/>
        <v>0</v>
      </c>
      <c r="R100" s="36">
        <f t="shared" si="80"/>
        <v>0</v>
      </c>
      <c r="S100" s="36">
        <f t="shared" si="67"/>
        <v>0</v>
      </c>
      <c r="T100" s="2">
        <f t="shared" si="47"/>
        <v>6713.03</v>
      </c>
      <c r="U100" s="34">
        <f t="shared" si="48"/>
        <v>21774</v>
      </c>
      <c r="V100" s="57">
        <f t="shared" si="51"/>
        <v>63930</v>
      </c>
      <c r="W100" s="16">
        <f t="shared" si="53"/>
        <v>51</v>
      </c>
      <c r="AI100" s="2">
        <f t="shared" si="87"/>
        <v>8255.34</v>
      </c>
      <c r="AJ100" s="34">
        <f t="shared" si="86"/>
        <v>21774</v>
      </c>
      <c r="AK100" s="57">
        <f t="shared" si="52"/>
        <v>63930</v>
      </c>
      <c r="AL100" s="130">
        <f t="shared" si="75"/>
        <v>0</v>
      </c>
      <c r="AM100" s="1057">
        <f t="shared" si="78"/>
        <v>92</v>
      </c>
      <c r="AN100" s="1058">
        <f t="shared" si="68"/>
        <v>48115</v>
      </c>
      <c r="AO100" s="105">
        <f t="shared" si="35"/>
        <v>0</v>
      </c>
      <c r="AP100" s="105">
        <f t="shared" si="69"/>
        <v>0</v>
      </c>
      <c r="AQ100" s="105">
        <f t="shared" si="41"/>
        <v>0</v>
      </c>
      <c r="AR100" s="105">
        <f t="shared" si="83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9"/>
        <v>0</v>
      </c>
      <c r="AY100" s="108">
        <f t="shared" si="70"/>
        <v>0</v>
      </c>
      <c r="AZ100" s="1047">
        <f t="shared" si="62"/>
        <v>48115</v>
      </c>
      <c r="BA100" s="108">
        <f t="shared" si="62"/>
        <v>0</v>
      </c>
      <c r="BB100" s="2" t="e">
        <f t="shared" si="88"/>
        <v>#VALUE!</v>
      </c>
    </row>
    <row r="101" spans="1:1207" s="16" customFormat="1" ht="12" x14ac:dyDescent="0.2">
      <c r="A101" s="2"/>
      <c r="B101" s="2"/>
      <c r="C101" s="1"/>
      <c r="D101" s="1"/>
      <c r="E101" s="1055">
        <f t="shared" si="76"/>
        <v>93</v>
      </c>
      <c r="F101" s="1056">
        <f t="shared" si="63"/>
        <v>48145</v>
      </c>
      <c r="G101" s="24">
        <f t="shared" si="59"/>
        <v>0</v>
      </c>
      <c r="H101" s="24">
        <f t="shared" si="64"/>
        <v>0</v>
      </c>
      <c r="I101" s="24">
        <f t="shared" si="74"/>
        <v>792931.1599999998</v>
      </c>
      <c r="J101" s="24">
        <f t="shared" si="60"/>
        <v>0</v>
      </c>
      <c r="K101" s="24">
        <f t="shared" si="65"/>
        <v>0</v>
      </c>
      <c r="L101" s="24">
        <f t="shared" si="71"/>
        <v>0</v>
      </c>
      <c r="M101" s="24">
        <f t="shared" si="84"/>
        <v>0</v>
      </c>
      <c r="N101" s="24">
        <f t="shared" si="85"/>
        <v>0</v>
      </c>
      <c r="O101" s="24">
        <f t="shared" si="72"/>
        <v>0</v>
      </c>
      <c r="P101" s="24">
        <f t="shared" si="73"/>
        <v>0</v>
      </c>
      <c r="Q101" s="24">
        <f t="shared" si="66"/>
        <v>0</v>
      </c>
      <c r="R101" s="36">
        <f t="shared" si="80"/>
        <v>0</v>
      </c>
      <c r="S101" s="36">
        <f t="shared" si="67"/>
        <v>0</v>
      </c>
      <c r="T101" s="2">
        <f t="shared" si="47"/>
        <v>6359.24</v>
      </c>
      <c r="U101" s="34">
        <f t="shared" si="48"/>
        <v>21774</v>
      </c>
      <c r="V101" s="57">
        <f t="shared" si="51"/>
        <v>64295</v>
      </c>
      <c r="W101" s="16">
        <f t="shared" si="53"/>
        <v>52</v>
      </c>
      <c r="AI101" s="2">
        <f t="shared" si="87"/>
        <v>8325.56</v>
      </c>
      <c r="AJ101" s="34">
        <f t="shared" si="86"/>
        <v>21774</v>
      </c>
      <c r="AK101" s="57">
        <f t="shared" si="52"/>
        <v>64295</v>
      </c>
      <c r="AL101" s="130">
        <f t="shared" si="75"/>
        <v>0</v>
      </c>
      <c r="AM101" s="1057">
        <f t="shared" si="78"/>
        <v>93</v>
      </c>
      <c r="AN101" s="1058">
        <f t="shared" si="68"/>
        <v>48145</v>
      </c>
      <c r="AO101" s="105">
        <f t="shared" si="35"/>
        <v>0</v>
      </c>
      <c r="AP101" s="105">
        <f t="shared" si="69"/>
        <v>0</v>
      </c>
      <c r="AQ101" s="105">
        <f t="shared" si="41"/>
        <v>0</v>
      </c>
      <c r="AR101" s="105">
        <f t="shared" si="83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9"/>
        <v>0</v>
      </c>
      <c r="AY101" s="108">
        <f t="shared" si="70"/>
        <v>0</v>
      </c>
      <c r="AZ101" s="1047">
        <f t="shared" si="62"/>
        <v>48145</v>
      </c>
      <c r="BA101" s="108">
        <f t="shared" si="62"/>
        <v>0</v>
      </c>
      <c r="BB101" s="2" t="e">
        <f t="shared" si="88"/>
        <v>#VALUE!</v>
      </c>
    </row>
    <row r="102" spans="1:1207" s="16" customFormat="1" ht="12" x14ac:dyDescent="0.2">
      <c r="A102" s="2"/>
      <c r="B102" s="2"/>
      <c r="C102" s="1"/>
      <c r="D102" s="1"/>
      <c r="E102" s="1055">
        <f t="shared" si="76"/>
        <v>94</v>
      </c>
      <c r="F102" s="1056">
        <f t="shared" si="63"/>
        <v>48176</v>
      </c>
      <c r="G102" s="24">
        <f t="shared" si="59"/>
        <v>0</v>
      </c>
      <c r="H102" s="24">
        <f t="shared" si="64"/>
        <v>0</v>
      </c>
      <c r="I102" s="24">
        <f t="shared" si="74"/>
        <v>792931.1599999998</v>
      </c>
      <c r="J102" s="24">
        <f t="shared" si="60"/>
        <v>0</v>
      </c>
      <c r="K102" s="24">
        <f t="shared" si="65"/>
        <v>0</v>
      </c>
      <c r="L102" s="24">
        <f t="shared" si="71"/>
        <v>0</v>
      </c>
      <c r="M102" s="24">
        <f t="shared" si="84"/>
        <v>0</v>
      </c>
      <c r="N102" s="24">
        <f t="shared" si="85"/>
        <v>0</v>
      </c>
      <c r="O102" s="24">
        <f t="shared" si="72"/>
        <v>0</v>
      </c>
      <c r="P102" s="24">
        <f t="shared" si="73"/>
        <v>0</v>
      </c>
      <c r="Q102" s="24">
        <f t="shared" si="66"/>
        <v>0</v>
      </c>
      <c r="R102" s="36">
        <f t="shared" si="80"/>
        <v>0</v>
      </c>
      <c r="S102" s="36">
        <f t="shared" si="67"/>
        <v>0</v>
      </c>
      <c r="T102" s="2">
        <f t="shared" si="47"/>
        <v>6424.33</v>
      </c>
      <c r="U102" s="34">
        <f t="shared" si="48"/>
        <v>21774</v>
      </c>
      <c r="V102" s="57">
        <f t="shared" si="51"/>
        <v>64660</v>
      </c>
      <c r="W102" s="16">
        <f t="shared" si="53"/>
        <v>53</v>
      </c>
      <c r="AI102" s="2">
        <f t="shared" si="87"/>
        <v>7859.68</v>
      </c>
      <c r="AJ102" s="34">
        <f t="shared" si="86"/>
        <v>21774</v>
      </c>
      <c r="AK102" s="57">
        <f t="shared" si="52"/>
        <v>64660</v>
      </c>
      <c r="AL102" s="130">
        <f t="shared" si="75"/>
        <v>0</v>
      </c>
      <c r="AM102" s="1057">
        <f t="shared" si="78"/>
        <v>94</v>
      </c>
      <c r="AN102" s="1058">
        <f t="shared" si="68"/>
        <v>48176</v>
      </c>
      <c r="AO102" s="105">
        <f t="shared" si="35"/>
        <v>0</v>
      </c>
      <c r="AP102" s="105">
        <f t="shared" si="69"/>
        <v>0</v>
      </c>
      <c r="AQ102" s="105">
        <f t="shared" si="41"/>
        <v>0</v>
      </c>
      <c r="AR102" s="105">
        <f t="shared" si="83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9"/>
        <v>0</v>
      </c>
      <c r="AY102" s="108">
        <f t="shared" si="70"/>
        <v>0</v>
      </c>
      <c r="AZ102" s="1047">
        <f t="shared" si="62"/>
        <v>48176</v>
      </c>
      <c r="BA102" s="108">
        <f t="shared" si="62"/>
        <v>0</v>
      </c>
      <c r="BB102" s="2" t="e">
        <f t="shared" si="88"/>
        <v>#VALUE!</v>
      </c>
    </row>
    <row r="103" spans="1:1207" s="16" customFormat="1" ht="12" x14ac:dyDescent="0.2">
      <c r="A103" s="2"/>
      <c r="B103" s="2"/>
      <c r="C103" s="1"/>
      <c r="D103" s="1"/>
      <c r="E103" s="1055">
        <f t="shared" si="76"/>
        <v>95</v>
      </c>
      <c r="F103" s="1056">
        <f t="shared" si="63"/>
        <v>48206</v>
      </c>
      <c r="G103" s="24">
        <f t="shared" si="59"/>
        <v>0</v>
      </c>
      <c r="H103" s="24">
        <f t="shared" si="64"/>
        <v>0</v>
      </c>
      <c r="I103" s="24">
        <f t="shared" si="74"/>
        <v>792931.1599999998</v>
      </c>
      <c r="J103" s="24">
        <f t="shared" si="60"/>
        <v>0</v>
      </c>
      <c r="K103" s="24">
        <f t="shared" si="65"/>
        <v>0</v>
      </c>
      <c r="L103" s="24">
        <f t="shared" si="71"/>
        <v>0</v>
      </c>
      <c r="M103" s="24">
        <f t="shared" si="84"/>
        <v>0</v>
      </c>
      <c r="N103" s="24">
        <f t="shared" si="85"/>
        <v>0</v>
      </c>
      <c r="O103" s="24">
        <f t="shared" si="72"/>
        <v>0</v>
      </c>
      <c r="P103" s="24">
        <f t="shared" si="73"/>
        <v>0</v>
      </c>
      <c r="Q103" s="24">
        <f t="shared" si="66"/>
        <v>0</v>
      </c>
      <c r="R103" s="36">
        <f t="shared" si="80"/>
        <v>0</v>
      </c>
      <c r="S103" s="36">
        <f t="shared" si="67"/>
        <v>0</v>
      </c>
      <c r="T103" s="2">
        <f t="shared" si="47"/>
        <v>6075.86</v>
      </c>
      <c r="U103" s="34">
        <f t="shared" si="48"/>
        <v>21774</v>
      </c>
      <c r="V103" s="57">
        <f t="shared" si="51"/>
        <v>65025</v>
      </c>
      <c r="W103" s="16">
        <f t="shared" si="53"/>
        <v>54</v>
      </c>
      <c r="AI103" s="2">
        <f t="shared" si="87"/>
        <v>7910.71</v>
      </c>
      <c r="AJ103" s="34">
        <f t="shared" si="86"/>
        <v>21774</v>
      </c>
      <c r="AK103" s="57">
        <f t="shared" si="52"/>
        <v>65025</v>
      </c>
      <c r="AL103" s="130">
        <f t="shared" si="75"/>
        <v>0</v>
      </c>
      <c r="AM103" s="1057">
        <f t="shared" si="78"/>
        <v>95</v>
      </c>
      <c r="AN103" s="1058">
        <f t="shared" si="68"/>
        <v>48206</v>
      </c>
      <c r="AO103" s="105">
        <f t="shared" ref="AO103:AO129" si="89">IF(AX102=1,AR103+AP103+AQ103,IF(AW102+AR103+AP103&gt;AO102,$D$29,IF(AW102=0,0,AW102+AR103+AP103+AP135)))</f>
        <v>0</v>
      </c>
      <c r="AP103" s="105">
        <f t="shared" si="69"/>
        <v>0</v>
      </c>
      <c r="AQ103" s="105">
        <f t="shared" si="41"/>
        <v>0</v>
      </c>
      <c r="AR103" s="105">
        <f t="shared" si="83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9"/>
        <v>0</v>
      </c>
      <c r="AY103" s="108">
        <f t="shared" si="70"/>
        <v>0</v>
      </c>
      <c r="AZ103" s="1047">
        <f t="shared" si="62"/>
        <v>48206</v>
      </c>
      <c r="BA103" s="108">
        <f t="shared" si="62"/>
        <v>0</v>
      </c>
      <c r="BB103" s="2" t="e">
        <f t="shared" si="88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055">
        <f t="shared" si="76"/>
        <v>96</v>
      </c>
      <c r="F104" s="1056">
        <f t="shared" si="63"/>
        <v>48237</v>
      </c>
      <c r="G104" s="24">
        <f t="shared" si="59"/>
        <v>0</v>
      </c>
      <c r="H104" s="24">
        <f t="shared" si="64"/>
        <v>0</v>
      </c>
      <c r="I104" s="24">
        <f t="shared" si="74"/>
        <v>792931.1599999998</v>
      </c>
      <c r="J104" s="24">
        <f t="shared" si="60"/>
        <v>0</v>
      </c>
      <c r="K104" s="24">
        <f t="shared" si="65"/>
        <v>0</v>
      </c>
      <c r="L104" s="24">
        <f t="shared" si="71"/>
        <v>0</v>
      </c>
      <c r="M104" s="24">
        <f t="shared" si="84"/>
        <v>0</v>
      </c>
      <c r="N104" s="24">
        <f t="shared" si="85"/>
        <v>0</v>
      </c>
      <c r="O104" s="24">
        <f t="shared" si="72"/>
        <v>0</v>
      </c>
      <c r="P104" s="24">
        <f t="shared" si="73"/>
        <v>0</v>
      </c>
      <c r="Q104" s="24">
        <f t="shared" si="66"/>
        <v>0</v>
      </c>
      <c r="R104" s="36">
        <f t="shared" si="80"/>
        <v>0</v>
      </c>
      <c r="S104" s="36">
        <f t="shared" si="67"/>
        <v>0</v>
      </c>
      <c r="T104" s="2">
        <f t="shared" si="47"/>
        <v>6127.45</v>
      </c>
      <c r="U104" s="34">
        <f t="shared" si="48"/>
        <v>21774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7"/>
        <v>7700.53</v>
      </c>
      <c r="AJ104" s="34">
        <f t="shared" si="86"/>
        <v>21774</v>
      </c>
      <c r="AK104" s="57">
        <f t="shared" si="52"/>
        <v>65390</v>
      </c>
      <c r="AL104" s="130">
        <f t="shared" si="75"/>
        <v>0</v>
      </c>
      <c r="AM104" s="1057">
        <f t="shared" si="78"/>
        <v>96</v>
      </c>
      <c r="AN104" s="1058">
        <f t="shared" si="68"/>
        <v>48237</v>
      </c>
      <c r="AO104" s="105">
        <f t="shared" si="89"/>
        <v>0</v>
      </c>
      <c r="AP104" s="105">
        <f t="shared" si="69"/>
        <v>0</v>
      </c>
      <c r="AQ104" s="105">
        <f t="shared" si="41"/>
        <v>0</v>
      </c>
      <c r="AR104" s="105">
        <f t="shared" si="83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9"/>
        <v>0</v>
      </c>
      <c r="AY104" s="108">
        <f t="shared" si="70"/>
        <v>0</v>
      </c>
      <c r="AZ104" s="1047">
        <f t="shared" si="62"/>
        <v>48237</v>
      </c>
      <c r="BA104" s="108">
        <f t="shared" si="62"/>
        <v>0</v>
      </c>
      <c r="BB104" s="2" t="e">
        <f t="shared" si="88"/>
        <v>#VALUE!</v>
      </c>
    </row>
    <row r="105" spans="1:1207" ht="12" x14ac:dyDescent="0.2">
      <c r="E105" s="1055">
        <f t="shared" si="76"/>
        <v>97</v>
      </c>
      <c r="F105" s="1056">
        <f t="shared" si="63"/>
        <v>48268</v>
      </c>
      <c r="G105" s="24">
        <f t="shared" si="59"/>
        <v>0</v>
      </c>
      <c r="H105" s="24">
        <f t="shared" si="64"/>
        <v>0</v>
      </c>
      <c r="I105" s="24">
        <f t="shared" si="74"/>
        <v>792931.1599999998</v>
      </c>
      <c r="J105" s="24">
        <f t="shared" si="60"/>
        <v>0</v>
      </c>
      <c r="K105" s="24">
        <f t="shared" si="65"/>
        <v>0</v>
      </c>
      <c r="L105" s="24">
        <f t="shared" si="71"/>
        <v>0</v>
      </c>
      <c r="M105" s="24">
        <f t="shared" si="84"/>
        <v>0</v>
      </c>
      <c r="N105" s="24">
        <f t="shared" si="85"/>
        <v>0</v>
      </c>
      <c r="O105" s="24">
        <f t="shared" si="72"/>
        <v>0</v>
      </c>
      <c r="P105" s="24">
        <f t="shared" si="73"/>
        <v>0</v>
      </c>
      <c r="Q105" s="24">
        <f t="shared" si="66"/>
        <v>0</v>
      </c>
      <c r="R105" s="36">
        <f t="shared" si="80"/>
        <v>0</v>
      </c>
      <c r="S105" s="36">
        <f t="shared" si="67"/>
        <v>0</v>
      </c>
      <c r="T105" s="2">
        <f t="shared" si="47"/>
        <v>5977.25</v>
      </c>
      <c r="U105" s="34">
        <f t="shared" si="48"/>
        <v>21774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7"/>
        <v>7245.63</v>
      </c>
      <c r="AJ105" s="34">
        <f t="shared" si="86"/>
        <v>21774</v>
      </c>
      <c r="AK105" s="57">
        <f t="shared" si="52"/>
        <v>65755</v>
      </c>
      <c r="AL105" s="130">
        <f t="shared" si="75"/>
        <v>0</v>
      </c>
      <c r="AM105" s="1057">
        <f t="shared" si="78"/>
        <v>97</v>
      </c>
      <c r="AN105" s="1058">
        <f t="shared" si="68"/>
        <v>48268</v>
      </c>
      <c r="AO105" s="105">
        <f t="shared" si="89"/>
        <v>0</v>
      </c>
      <c r="AP105" s="105">
        <f t="shared" si="69"/>
        <v>0</v>
      </c>
      <c r="AQ105" s="105">
        <f t="shared" si="41"/>
        <v>0</v>
      </c>
      <c r="AR105" s="105">
        <f t="shared" si="83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9"/>
        <v>0</v>
      </c>
      <c r="AY105" s="108">
        <f t="shared" si="70"/>
        <v>0</v>
      </c>
      <c r="AZ105" s="1047">
        <f t="shared" si="62"/>
        <v>48268</v>
      </c>
      <c r="BA105" s="108">
        <f t="shared" si="62"/>
        <v>0</v>
      </c>
      <c r="BB105" s="2" t="e">
        <f t="shared" si="88"/>
        <v>#VALUE!</v>
      </c>
    </row>
    <row r="106" spans="1:1207" ht="12" x14ac:dyDescent="0.2">
      <c r="E106" s="1055">
        <f t="shared" si="76"/>
        <v>98</v>
      </c>
      <c r="F106" s="1056">
        <f t="shared" si="63"/>
        <v>48297</v>
      </c>
      <c r="G106" s="24">
        <f t="shared" si="59"/>
        <v>0</v>
      </c>
      <c r="H106" s="24">
        <f t="shared" si="64"/>
        <v>0</v>
      </c>
      <c r="I106" s="24">
        <f t="shared" si="74"/>
        <v>792931.1599999998</v>
      </c>
      <c r="J106" s="24">
        <f t="shared" si="60"/>
        <v>0</v>
      </c>
      <c r="K106" s="24">
        <f t="shared" si="65"/>
        <v>0</v>
      </c>
      <c r="L106" s="24">
        <f t="shared" si="71"/>
        <v>0</v>
      </c>
      <c r="M106" s="24">
        <f t="shared" si="84"/>
        <v>0</v>
      </c>
      <c r="N106" s="24">
        <f t="shared" si="85"/>
        <v>0</v>
      </c>
      <c r="O106" s="24">
        <f t="shared" si="72"/>
        <v>0</v>
      </c>
      <c r="P106" s="24">
        <f t="shared" si="73"/>
        <v>0</v>
      </c>
      <c r="Q106" s="24">
        <f t="shared" si="66"/>
        <v>0</v>
      </c>
      <c r="R106" s="36">
        <f t="shared" si="80"/>
        <v>0</v>
      </c>
      <c r="S106" s="36">
        <f t="shared" si="67"/>
        <v>0</v>
      </c>
      <c r="T106" s="2">
        <f t="shared" si="47"/>
        <v>5637</v>
      </c>
      <c r="U106" s="34">
        <f t="shared" si="48"/>
        <v>21774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7"/>
        <v>7266.89</v>
      </c>
      <c r="AJ106" s="34">
        <f t="shared" si="86"/>
        <v>21774</v>
      </c>
      <c r="AK106" s="57">
        <f t="shared" si="52"/>
        <v>66120</v>
      </c>
      <c r="AL106" s="130">
        <f t="shared" si="75"/>
        <v>0</v>
      </c>
      <c r="AM106" s="1057">
        <f t="shared" si="78"/>
        <v>98</v>
      </c>
      <c r="AN106" s="1058">
        <f t="shared" si="68"/>
        <v>48297</v>
      </c>
      <c r="AO106" s="105">
        <f t="shared" si="89"/>
        <v>0</v>
      </c>
      <c r="AP106" s="105">
        <f t="shared" si="69"/>
        <v>0</v>
      </c>
      <c r="AQ106" s="105">
        <f t="shared" si="41"/>
        <v>0</v>
      </c>
      <c r="AR106" s="105">
        <f t="shared" si="83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9"/>
        <v>0</v>
      </c>
      <c r="AY106" s="108">
        <f t="shared" si="70"/>
        <v>0</v>
      </c>
      <c r="AZ106" s="1047">
        <f t="shared" si="62"/>
        <v>48297</v>
      </c>
      <c r="BA106" s="108">
        <f t="shared" si="62"/>
        <v>0</v>
      </c>
      <c r="BB106" s="2" t="e">
        <f t="shared" si="88"/>
        <v>#VALUE!</v>
      </c>
    </row>
    <row r="107" spans="1:1207" ht="12" x14ac:dyDescent="0.2">
      <c r="E107" s="1055">
        <f t="shared" si="76"/>
        <v>99</v>
      </c>
      <c r="F107" s="1056">
        <f t="shared" si="63"/>
        <v>48328</v>
      </c>
      <c r="G107" s="24">
        <f t="shared" si="59"/>
        <v>0</v>
      </c>
      <c r="H107" s="24">
        <f t="shared" si="64"/>
        <v>0</v>
      </c>
      <c r="I107" s="24">
        <f t="shared" si="74"/>
        <v>792931.1599999998</v>
      </c>
      <c r="J107" s="24">
        <f t="shared" si="60"/>
        <v>0</v>
      </c>
      <c r="K107" s="24">
        <f t="shared" si="65"/>
        <v>0</v>
      </c>
      <c r="L107" s="24">
        <f t="shared" si="71"/>
        <v>0</v>
      </c>
      <c r="M107" s="24">
        <f t="shared" si="84"/>
        <v>0</v>
      </c>
      <c r="N107" s="24">
        <f t="shared" si="85"/>
        <v>0</v>
      </c>
      <c r="O107" s="24">
        <f t="shared" si="72"/>
        <v>0</v>
      </c>
      <c r="P107" s="24">
        <f t="shared" si="73"/>
        <v>0</v>
      </c>
      <c r="Q107" s="24">
        <f t="shared" si="66"/>
        <v>0</v>
      </c>
      <c r="R107" s="36">
        <f t="shared" si="80"/>
        <v>0</v>
      </c>
      <c r="S107" s="36">
        <f t="shared" si="67"/>
        <v>0</v>
      </c>
      <c r="T107" s="2">
        <f t="shared" si="47"/>
        <v>5667.68</v>
      </c>
      <c r="U107" s="34">
        <f t="shared" si="48"/>
        <v>21774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7"/>
        <v>6819.62</v>
      </c>
      <c r="AJ107" s="34">
        <f t="shared" si="86"/>
        <v>21774</v>
      </c>
      <c r="AK107" s="57">
        <f t="shared" si="52"/>
        <v>66485</v>
      </c>
      <c r="AL107" s="130">
        <f t="shared" si="75"/>
        <v>0</v>
      </c>
      <c r="AM107" s="1057">
        <f t="shared" si="78"/>
        <v>99</v>
      </c>
      <c r="AN107" s="1058">
        <f t="shared" si="68"/>
        <v>48328</v>
      </c>
      <c r="AO107" s="105">
        <f t="shared" si="89"/>
        <v>0</v>
      </c>
      <c r="AP107" s="105">
        <f t="shared" si="69"/>
        <v>0</v>
      </c>
      <c r="AQ107" s="105">
        <f t="shared" si="41"/>
        <v>0</v>
      </c>
      <c r="AR107" s="105">
        <f t="shared" si="83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9"/>
        <v>0</v>
      </c>
      <c r="AY107" s="108">
        <f t="shared" si="70"/>
        <v>0</v>
      </c>
      <c r="AZ107" s="1047">
        <f t="shared" si="62"/>
        <v>48328</v>
      </c>
      <c r="BA107" s="108">
        <f t="shared" si="62"/>
        <v>0</v>
      </c>
      <c r="BB107" s="2" t="e">
        <f t="shared" si="88"/>
        <v>#VALUE!</v>
      </c>
    </row>
    <row r="108" spans="1:1207" ht="12" x14ac:dyDescent="0.2">
      <c r="E108" s="1055">
        <f t="shared" si="76"/>
        <v>100</v>
      </c>
      <c r="F108" s="1056">
        <f t="shared" si="63"/>
        <v>48358</v>
      </c>
      <c r="G108" s="24">
        <f t="shared" si="59"/>
        <v>0</v>
      </c>
      <c r="H108" s="24">
        <f t="shared" si="64"/>
        <v>0</v>
      </c>
      <c r="I108" s="24">
        <f t="shared" si="74"/>
        <v>792931.1599999998</v>
      </c>
      <c r="J108" s="24">
        <f t="shared" si="60"/>
        <v>0</v>
      </c>
      <c r="K108" s="24">
        <f t="shared" si="65"/>
        <v>0</v>
      </c>
      <c r="L108" s="24">
        <f t="shared" si="71"/>
        <v>0</v>
      </c>
      <c r="M108" s="24">
        <f t="shared" si="84"/>
        <v>0</v>
      </c>
      <c r="N108" s="24">
        <f t="shared" si="85"/>
        <v>0</v>
      </c>
      <c r="O108" s="24">
        <f t="shared" si="72"/>
        <v>0</v>
      </c>
      <c r="P108" s="24">
        <f t="shared" si="73"/>
        <v>0</v>
      </c>
      <c r="Q108" s="24">
        <f t="shared" si="66"/>
        <v>0</v>
      </c>
      <c r="R108" s="36">
        <f t="shared" si="80"/>
        <v>0</v>
      </c>
      <c r="S108" s="36">
        <f t="shared" si="67"/>
        <v>0</v>
      </c>
      <c r="T108" s="2">
        <f t="shared" si="47"/>
        <v>5333.13</v>
      </c>
      <c r="U108" s="34">
        <f t="shared" si="48"/>
        <v>21774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7"/>
        <v>6838.9</v>
      </c>
      <c r="AJ108" s="34">
        <f t="shared" si="86"/>
        <v>21774</v>
      </c>
      <c r="AK108" s="57">
        <f t="shared" si="52"/>
        <v>66850</v>
      </c>
      <c r="AL108" s="130">
        <f t="shared" si="75"/>
        <v>0</v>
      </c>
      <c r="AM108" s="1057">
        <f t="shared" si="78"/>
        <v>100</v>
      </c>
      <c r="AN108" s="1058">
        <f t="shared" si="68"/>
        <v>48358</v>
      </c>
      <c r="AO108" s="105">
        <f t="shared" si="89"/>
        <v>0</v>
      </c>
      <c r="AP108" s="105">
        <f t="shared" si="69"/>
        <v>0</v>
      </c>
      <c r="AQ108" s="105">
        <f t="shared" si="41"/>
        <v>0</v>
      </c>
      <c r="AR108" s="105">
        <f t="shared" si="83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9"/>
        <v>0</v>
      </c>
      <c r="AY108" s="108">
        <f t="shared" si="70"/>
        <v>0</v>
      </c>
      <c r="AZ108" s="1047">
        <f t="shared" ref="AZ108:BA110" si="90">F158</f>
        <v>49880</v>
      </c>
      <c r="BA108" s="108">
        <f t="shared" si="90"/>
        <v>0</v>
      </c>
      <c r="BB108" s="2" t="e">
        <f t="shared" si="88"/>
        <v>#VALUE!</v>
      </c>
    </row>
    <row r="109" spans="1:1207" ht="12" x14ac:dyDescent="0.2">
      <c r="E109" s="1055">
        <f t="shared" si="76"/>
        <v>101</v>
      </c>
      <c r="F109" s="1056">
        <f t="shared" si="63"/>
        <v>48389</v>
      </c>
      <c r="G109" s="24">
        <f t="shared" si="59"/>
        <v>0</v>
      </c>
      <c r="H109" s="24">
        <f t="shared" si="64"/>
        <v>0</v>
      </c>
      <c r="I109" s="24">
        <f t="shared" si="74"/>
        <v>792931.1599999998</v>
      </c>
      <c r="J109" s="24">
        <f t="shared" si="60"/>
        <v>0</v>
      </c>
      <c r="K109" s="24">
        <f t="shared" si="65"/>
        <v>0</v>
      </c>
      <c r="L109" s="24">
        <f t="shared" si="71"/>
        <v>0</v>
      </c>
      <c r="M109" s="24">
        <f t="shared" si="84"/>
        <v>0</v>
      </c>
      <c r="N109" s="24">
        <f t="shared" si="85"/>
        <v>0</v>
      </c>
      <c r="O109" s="24">
        <f t="shared" si="72"/>
        <v>0</v>
      </c>
      <c r="P109" s="24">
        <f t="shared" si="73"/>
        <v>0</v>
      </c>
      <c r="Q109" s="24">
        <f t="shared" si="66"/>
        <v>0</v>
      </c>
      <c r="R109" s="36">
        <f t="shared" si="80"/>
        <v>0</v>
      </c>
      <c r="S109" s="36">
        <f t="shared" si="67"/>
        <v>0</v>
      </c>
      <c r="T109" s="2">
        <f t="shared" si="47"/>
        <v>5363.99</v>
      </c>
      <c r="U109" s="34">
        <f>IF(U108&lt;0,0,IF(T109=0,IF(T108=0,0,$U$46),G68)-IF(AND(T109&gt;0,T110=0),$C$26,0))</f>
        <v>21774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7"/>
        <v>6611.78</v>
      </c>
      <c r="AJ109" s="34">
        <f>IF(AI109=0,IF(AI108=0,0,$AJ$46),AO69)</f>
        <v>21774</v>
      </c>
      <c r="AK109" s="57">
        <f>IF(AI109=0,AK108,AK108+365)</f>
        <v>67215</v>
      </c>
      <c r="AL109" s="130">
        <f t="shared" si="75"/>
        <v>0</v>
      </c>
      <c r="AM109" s="1057">
        <f t="shared" si="78"/>
        <v>101</v>
      </c>
      <c r="AN109" s="1058">
        <f t="shared" si="68"/>
        <v>48389</v>
      </c>
      <c r="AO109" s="105">
        <f t="shared" si="89"/>
        <v>0</v>
      </c>
      <c r="AP109" s="105">
        <f t="shared" si="69"/>
        <v>0</v>
      </c>
      <c r="AQ109" s="105">
        <f t="shared" si="41"/>
        <v>0</v>
      </c>
      <c r="AR109" s="105">
        <f t="shared" si="83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9"/>
        <v>0</v>
      </c>
      <c r="AY109" s="108">
        <f t="shared" si="70"/>
        <v>0</v>
      </c>
      <c r="AZ109" s="1047">
        <f t="shared" si="90"/>
        <v>49911</v>
      </c>
      <c r="BA109" s="108">
        <f t="shared" si="90"/>
        <v>0</v>
      </c>
      <c r="BB109" s="2" t="e">
        <f t="shared" si="88"/>
        <v>#VALUE!</v>
      </c>
    </row>
    <row r="110" spans="1:1207" ht="12" x14ac:dyDescent="0.2">
      <c r="E110" s="1055">
        <f t="shared" si="76"/>
        <v>102</v>
      </c>
      <c r="F110" s="1056">
        <f t="shared" si="63"/>
        <v>48419</v>
      </c>
      <c r="G110" s="24">
        <f t="shared" si="59"/>
        <v>0</v>
      </c>
      <c r="H110" s="24">
        <f t="shared" si="64"/>
        <v>0</v>
      </c>
      <c r="I110" s="24">
        <f t="shared" si="74"/>
        <v>792931.1599999998</v>
      </c>
      <c r="J110" s="24">
        <f t="shared" si="60"/>
        <v>0</v>
      </c>
      <c r="K110" s="24">
        <f t="shared" si="65"/>
        <v>0</v>
      </c>
      <c r="L110" s="24">
        <f t="shared" si="71"/>
        <v>0</v>
      </c>
      <c r="M110" s="24">
        <f t="shared" si="84"/>
        <v>0</v>
      </c>
      <c r="N110" s="24">
        <f t="shared" si="85"/>
        <v>0</v>
      </c>
      <c r="O110" s="24">
        <f t="shared" si="72"/>
        <v>0</v>
      </c>
      <c r="P110" s="24">
        <f t="shared" si="73"/>
        <v>0</v>
      </c>
      <c r="Q110" s="24">
        <f t="shared" si="66"/>
        <v>0</v>
      </c>
      <c r="R110" s="36">
        <f t="shared" si="80"/>
        <v>0</v>
      </c>
      <c r="S110" s="36">
        <f t="shared" si="67"/>
        <v>0</v>
      </c>
      <c r="T110" s="2">
        <f t="shared" si="47"/>
        <v>5202.38</v>
      </c>
      <c r="U110" s="34">
        <f>IF(U109&lt;0,0,IF(T110=0,IF(T109=0,0,$U$46),G69)-IF(AND(T110&gt;0,T111=0),$C$26,0))</f>
        <v>21774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7"/>
        <v>5763.73</v>
      </c>
      <c r="AJ110" s="34">
        <f>IF(AI110=0,IF(AI109=0,0,$AJ$46),AO70)</f>
        <v>21774</v>
      </c>
      <c r="AK110" s="57">
        <f>IF(AI110=0,AK109,AK109+365)</f>
        <v>67580</v>
      </c>
      <c r="AL110" s="130"/>
      <c r="AM110" s="1057">
        <f t="shared" si="78"/>
        <v>102</v>
      </c>
      <c r="AN110" s="1058">
        <f t="shared" si="68"/>
        <v>48419</v>
      </c>
      <c r="AO110" s="105">
        <f t="shared" si="89"/>
        <v>0</v>
      </c>
      <c r="AP110" s="105">
        <f t="shared" si="69"/>
        <v>0</v>
      </c>
      <c r="AQ110" s="105">
        <f t="shared" si="41"/>
        <v>0</v>
      </c>
      <c r="AR110" s="105">
        <f t="shared" si="83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9"/>
        <v>0</v>
      </c>
      <c r="AY110" s="108">
        <f t="shared" si="70"/>
        <v>0</v>
      </c>
      <c r="AZ110" s="1047" t="str">
        <f t="shared" si="90"/>
        <v>Итого</v>
      </c>
      <c r="BA110" s="108">
        <f t="shared" si="90"/>
        <v>1876370.16</v>
      </c>
      <c r="BB110" s="2" t="e">
        <f t="shared" si="88"/>
        <v>#VALUE!</v>
      </c>
    </row>
    <row r="111" spans="1:1207" ht="12" x14ac:dyDescent="0.2">
      <c r="E111" s="1055">
        <f t="shared" si="76"/>
        <v>103</v>
      </c>
      <c r="F111" s="1056">
        <f t="shared" si="63"/>
        <v>48450</v>
      </c>
      <c r="G111" s="24">
        <f t="shared" si="59"/>
        <v>0</v>
      </c>
      <c r="H111" s="24">
        <f t="shared" si="64"/>
        <v>0</v>
      </c>
      <c r="I111" s="24">
        <f t="shared" si="74"/>
        <v>792931.1599999998</v>
      </c>
      <c r="J111" s="24">
        <f t="shared" si="60"/>
        <v>0</v>
      </c>
      <c r="K111" s="24">
        <f t="shared" si="65"/>
        <v>0</v>
      </c>
      <c r="L111" s="24">
        <f t="shared" si="71"/>
        <v>0</v>
      </c>
      <c r="M111" s="24">
        <f t="shared" si="84"/>
        <v>0</v>
      </c>
      <c r="N111" s="24">
        <f t="shared" si="85"/>
        <v>0</v>
      </c>
      <c r="O111" s="24">
        <f t="shared" si="72"/>
        <v>0</v>
      </c>
      <c r="P111" s="24">
        <f t="shared" si="73"/>
        <v>0</v>
      </c>
      <c r="Q111" s="24">
        <f t="shared" si="66"/>
        <v>0</v>
      </c>
      <c r="R111" s="36">
        <f t="shared" si="80"/>
        <v>0</v>
      </c>
      <c r="S111" s="36">
        <f t="shared" si="67"/>
        <v>0</v>
      </c>
      <c r="T111" s="2">
        <f t="shared" si="47"/>
        <v>4550.8900000000003</v>
      </c>
      <c r="U111" s="34">
        <f t="shared" ref="U111:U174" si="91">IF(U110&lt;0,0,IF(T111=0,IF(T110=0,0,$U$46),G70)-IF(AND(T111&gt;0,T112=0),$C$26,0))</f>
        <v>21774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7"/>
        <v>6137.88</v>
      </c>
      <c r="AJ111" s="34">
        <f t="shared" ref="AJ111:AJ149" si="92">IF(AI111=0,IF(AI110=0,0,$AJ$46),AO71)</f>
        <v>21774</v>
      </c>
      <c r="AK111" s="57">
        <f t="shared" ref="AK111:AK149" si="93">IF(AI111=0,AK110,AK110+365)</f>
        <v>67945</v>
      </c>
      <c r="AL111" s="130"/>
      <c r="AM111" s="1057">
        <f t="shared" si="78"/>
        <v>103</v>
      </c>
      <c r="AN111" s="1058">
        <f t="shared" si="68"/>
        <v>48450</v>
      </c>
      <c r="AO111" s="105">
        <f t="shared" si="89"/>
        <v>0</v>
      </c>
      <c r="AP111" s="105">
        <f t="shared" si="69"/>
        <v>0</v>
      </c>
      <c r="AQ111" s="105">
        <f t="shared" si="41"/>
        <v>0</v>
      </c>
      <c r="AR111" s="105">
        <f t="shared" si="83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9"/>
        <v>0</v>
      </c>
      <c r="AY111" s="108">
        <f t="shared" si="70"/>
        <v>0</v>
      </c>
      <c r="AZ111" s="1047"/>
      <c r="BA111" s="108">
        <f>G161</f>
        <v>0</v>
      </c>
      <c r="BB111" s="2" t="e">
        <f t="shared" si="88"/>
        <v>#VALUE!</v>
      </c>
    </row>
    <row r="112" spans="1:1207" ht="12" x14ac:dyDescent="0.2">
      <c r="E112" s="1055">
        <f t="shared" si="76"/>
        <v>104</v>
      </c>
      <c r="F112" s="1056">
        <f t="shared" si="63"/>
        <v>48481</v>
      </c>
      <c r="G112" s="24">
        <f t="shared" si="59"/>
        <v>0</v>
      </c>
      <c r="H112" s="24">
        <f t="shared" si="64"/>
        <v>0</v>
      </c>
      <c r="I112" s="24">
        <f t="shared" si="74"/>
        <v>792931.1599999998</v>
      </c>
      <c r="J112" s="24">
        <f t="shared" si="60"/>
        <v>0</v>
      </c>
      <c r="K112" s="24">
        <f t="shared" si="65"/>
        <v>0</v>
      </c>
      <c r="L112" s="24">
        <f t="shared" si="71"/>
        <v>0</v>
      </c>
      <c r="M112" s="24">
        <f t="shared" si="84"/>
        <v>0</v>
      </c>
      <c r="N112" s="24">
        <f t="shared" si="85"/>
        <v>0</v>
      </c>
      <c r="O112" s="24">
        <f t="shared" si="72"/>
        <v>0</v>
      </c>
      <c r="P112" s="24">
        <f t="shared" si="73"/>
        <v>0</v>
      </c>
      <c r="Q112" s="24">
        <f t="shared" si="66"/>
        <v>0</v>
      </c>
      <c r="R112" s="36">
        <f t="shared" si="80"/>
        <v>0</v>
      </c>
      <c r="S112" s="36">
        <f t="shared" si="67"/>
        <v>0</v>
      </c>
      <c r="T112" s="2">
        <f t="shared" si="47"/>
        <v>4865.25</v>
      </c>
      <c r="U112" s="34">
        <f t="shared" si="91"/>
        <v>21774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7"/>
        <v>5709.84</v>
      </c>
      <c r="AJ112" s="34">
        <f t="shared" si="92"/>
        <v>21774</v>
      </c>
      <c r="AK112" s="57">
        <f t="shared" si="93"/>
        <v>68310</v>
      </c>
      <c r="AL112" s="130"/>
      <c r="AM112" s="1057">
        <f t="shared" si="78"/>
        <v>104</v>
      </c>
      <c r="AN112" s="1058">
        <f t="shared" si="68"/>
        <v>48481</v>
      </c>
      <c r="AO112" s="105">
        <f t="shared" si="89"/>
        <v>0</v>
      </c>
      <c r="AP112" s="105">
        <f t="shared" si="69"/>
        <v>0</v>
      </c>
      <c r="AQ112" s="105">
        <f t="shared" ref="AQ112:AQ129" si="94">IF(AY112=0,0,IF(AY112=1,AW111,IF(AW111+AR112+AP112&gt;AO111,AO112-AP112-AR112,AW111)))</f>
        <v>0</v>
      </c>
      <c r="AR112" s="105">
        <f t="shared" si="83"/>
        <v>0</v>
      </c>
      <c r="AS112" s="105">
        <f t="shared" ref="AS112:AS129" si="95">AU111-AR111</f>
        <v>0</v>
      </c>
      <c r="AT112" s="105">
        <f t="shared" ref="AT112:AT129" si="96">AP112+AU112</f>
        <v>0</v>
      </c>
      <c r="AU112" s="105">
        <f t="shared" ref="AU112:AU129" si="97">IF(AY112=0,0,0)</f>
        <v>0</v>
      </c>
      <c r="AV112" s="105">
        <f t="shared" ref="AV112:AV129" si="98">IF(AY112=0,0,0)</f>
        <v>0</v>
      </c>
      <c r="AW112" s="105">
        <f t="shared" ref="AW112:AW129" si="99">IF(OR(AY112=1,AW111=0),0,AW111-AQ112)</f>
        <v>0</v>
      </c>
      <c r="AX112" s="108">
        <f t="shared" si="79"/>
        <v>0</v>
      </c>
      <c r="AY112" s="108">
        <f t="shared" si="70"/>
        <v>0</v>
      </c>
      <c r="AZ112" s="1047"/>
      <c r="BA112" s="108">
        <f>G162</f>
        <v>0</v>
      </c>
      <c r="BB112" s="2" t="e">
        <f t="shared" si="88"/>
        <v>#VALUE!</v>
      </c>
    </row>
    <row r="113" spans="5:54" ht="12" x14ac:dyDescent="0.2">
      <c r="E113" s="1055">
        <f t="shared" si="76"/>
        <v>105</v>
      </c>
      <c r="F113" s="1056">
        <f t="shared" si="63"/>
        <v>48511</v>
      </c>
      <c r="G113" s="24">
        <f t="shared" si="59"/>
        <v>0</v>
      </c>
      <c r="H113" s="24">
        <f t="shared" si="64"/>
        <v>0</v>
      </c>
      <c r="I113" s="24">
        <f t="shared" si="74"/>
        <v>792931.1599999998</v>
      </c>
      <c r="J113" s="24">
        <f t="shared" si="60"/>
        <v>0</v>
      </c>
      <c r="K113" s="24">
        <f t="shared" si="65"/>
        <v>0</v>
      </c>
      <c r="L113" s="24">
        <f t="shared" si="71"/>
        <v>0</v>
      </c>
      <c r="M113" s="24">
        <f t="shared" si="84"/>
        <v>0</v>
      </c>
      <c r="N113" s="24">
        <f t="shared" si="85"/>
        <v>0</v>
      </c>
      <c r="O113" s="24">
        <f t="shared" si="72"/>
        <v>0</v>
      </c>
      <c r="P113" s="24">
        <f t="shared" si="73"/>
        <v>0</v>
      </c>
      <c r="Q113" s="24">
        <f t="shared" si="66"/>
        <v>0</v>
      </c>
      <c r="R113" s="36">
        <f t="shared" si="80"/>
        <v>0</v>
      </c>
      <c r="S113" s="36">
        <f t="shared" si="67"/>
        <v>0</v>
      </c>
      <c r="T113" s="2">
        <f t="shared" si="47"/>
        <v>4545.0200000000004</v>
      </c>
      <c r="U113" s="34">
        <f t="shared" si="91"/>
        <v>21774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7"/>
        <v>5655.95</v>
      </c>
      <c r="AJ113" s="34">
        <f t="shared" si="92"/>
        <v>21774</v>
      </c>
      <c r="AK113" s="57">
        <f t="shared" si="93"/>
        <v>68675</v>
      </c>
      <c r="AL113" s="130"/>
      <c r="AM113" s="1057">
        <f t="shared" si="78"/>
        <v>105</v>
      </c>
      <c r="AN113" s="1058">
        <f t="shared" si="68"/>
        <v>48511</v>
      </c>
      <c r="AO113" s="105">
        <f t="shared" si="89"/>
        <v>0</v>
      </c>
      <c r="AP113" s="105">
        <f t="shared" si="69"/>
        <v>0</v>
      </c>
      <c r="AQ113" s="105">
        <f t="shared" si="94"/>
        <v>0</v>
      </c>
      <c r="AR113" s="105">
        <f t="shared" si="83"/>
        <v>0</v>
      </c>
      <c r="AS113" s="105">
        <f t="shared" si="95"/>
        <v>0</v>
      </c>
      <c r="AT113" s="105">
        <f t="shared" si="96"/>
        <v>0</v>
      </c>
      <c r="AU113" s="105">
        <f t="shared" si="97"/>
        <v>0</v>
      </c>
      <c r="AV113" s="105">
        <f t="shared" si="98"/>
        <v>0</v>
      </c>
      <c r="AW113" s="105">
        <f t="shared" si="99"/>
        <v>0</v>
      </c>
      <c r="AX113" s="108">
        <f t="shared" si="79"/>
        <v>0</v>
      </c>
      <c r="AY113" s="108">
        <f t="shared" si="70"/>
        <v>0</v>
      </c>
      <c r="AZ113" s="1047"/>
      <c r="BA113" s="108">
        <f>G163</f>
        <v>0</v>
      </c>
      <c r="BB113" s="2" t="e">
        <f t="shared" si="88"/>
        <v>#VALUE!</v>
      </c>
    </row>
    <row r="114" spans="5:54" ht="12" x14ac:dyDescent="0.2">
      <c r="E114" s="1055">
        <f t="shared" si="76"/>
        <v>106</v>
      </c>
      <c r="F114" s="1056">
        <f t="shared" si="63"/>
        <v>48542</v>
      </c>
      <c r="G114" s="24">
        <f t="shared" si="59"/>
        <v>0</v>
      </c>
      <c r="H114" s="24">
        <f t="shared" si="64"/>
        <v>0</v>
      </c>
      <c r="I114" s="24">
        <f t="shared" si="74"/>
        <v>792931.1599999998</v>
      </c>
      <c r="J114" s="24">
        <f t="shared" si="60"/>
        <v>0</v>
      </c>
      <c r="K114" s="24">
        <f t="shared" si="65"/>
        <v>0</v>
      </c>
      <c r="L114" s="24">
        <f t="shared" si="71"/>
        <v>0</v>
      </c>
      <c r="M114" s="24">
        <f t="shared" si="84"/>
        <v>0</v>
      </c>
      <c r="N114" s="24">
        <f t="shared" si="85"/>
        <v>0</v>
      </c>
      <c r="O114" s="24">
        <f t="shared" si="72"/>
        <v>0</v>
      </c>
      <c r="P114" s="24">
        <f t="shared" si="73"/>
        <v>0</v>
      </c>
      <c r="Q114" s="24">
        <f t="shared" si="66"/>
        <v>0</v>
      </c>
      <c r="R114" s="36">
        <f t="shared" si="80"/>
        <v>0</v>
      </c>
      <c r="S114" s="36">
        <f t="shared" si="67"/>
        <v>0</v>
      </c>
      <c r="T114" s="2">
        <f t="shared" ref="T114:T177" si="100">IF(AND(E73&gt;=$T$14,E73&lt;=$T$14+5),0,IF($C$9&gt;$AC$52,ROUND(Q72*$T$46/(DATEVALUE(CONCATENATE("01/01/",YEAR(F73)+1))-DATEVALUE(CONCATENATE("01/01/",YEAR(F73))))*(F73-F72),2),0))</f>
        <v>4523.2</v>
      </c>
      <c r="U114" s="34">
        <f t="shared" si="91"/>
        <v>21774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7"/>
        <v>5236.3599999999997</v>
      </c>
      <c r="AJ114" s="34">
        <f t="shared" si="92"/>
        <v>21774</v>
      </c>
      <c r="AK114" s="57">
        <f t="shared" si="93"/>
        <v>69040</v>
      </c>
      <c r="AL114" s="130"/>
      <c r="AM114" s="1057">
        <f t="shared" si="78"/>
        <v>106</v>
      </c>
      <c r="AN114" s="1058">
        <f t="shared" si="68"/>
        <v>48542</v>
      </c>
      <c r="AO114" s="105">
        <f t="shared" si="89"/>
        <v>0</v>
      </c>
      <c r="AP114" s="105">
        <f t="shared" si="69"/>
        <v>0</v>
      </c>
      <c r="AQ114" s="105">
        <f t="shared" si="94"/>
        <v>0</v>
      </c>
      <c r="AR114" s="105">
        <f t="shared" si="83"/>
        <v>0</v>
      </c>
      <c r="AS114" s="105">
        <f t="shared" si="95"/>
        <v>0</v>
      </c>
      <c r="AT114" s="105">
        <f t="shared" si="96"/>
        <v>0</v>
      </c>
      <c r="AU114" s="105">
        <f t="shared" si="97"/>
        <v>0</v>
      </c>
      <c r="AV114" s="105">
        <f t="shared" si="98"/>
        <v>0</v>
      </c>
      <c r="AW114" s="105">
        <f t="shared" si="99"/>
        <v>0</v>
      </c>
      <c r="AX114" s="108">
        <f t="shared" si="79"/>
        <v>0</v>
      </c>
      <c r="AY114" s="108">
        <f t="shared" si="70"/>
        <v>0</v>
      </c>
      <c r="AZ114" s="1047"/>
      <c r="BA114" s="108">
        <f>G164</f>
        <v>0</v>
      </c>
      <c r="BB114" s="2" t="e">
        <f t="shared" si="88"/>
        <v>#VALUE!</v>
      </c>
    </row>
    <row r="115" spans="5:54" ht="12" x14ac:dyDescent="0.2">
      <c r="E115" s="1055">
        <f t="shared" si="76"/>
        <v>107</v>
      </c>
      <c r="F115" s="1056">
        <f t="shared" si="63"/>
        <v>48572</v>
      </c>
      <c r="G115" s="24">
        <f t="shared" si="59"/>
        <v>0</v>
      </c>
      <c r="H115" s="24">
        <f t="shared" si="64"/>
        <v>0</v>
      </c>
      <c r="I115" s="24">
        <f t="shared" si="74"/>
        <v>792931.1599999998</v>
      </c>
      <c r="J115" s="24">
        <f t="shared" si="60"/>
        <v>0</v>
      </c>
      <c r="K115" s="24">
        <f t="shared" si="65"/>
        <v>0</v>
      </c>
      <c r="L115" s="24">
        <f t="shared" si="71"/>
        <v>0</v>
      </c>
      <c r="M115" s="24">
        <f t="shared" si="84"/>
        <v>0</v>
      </c>
      <c r="N115" s="24">
        <f t="shared" si="85"/>
        <v>0</v>
      </c>
      <c r="O115" s="24">
        <f t="shared" si="72"/>
        <v>0</v>
      </c>
      <c r="P115" s="24">
        <f t="shared" si="73"/>
        <v>0</v>
      </c>
      <c r="Q115" s="24">
        <f t="shared" si="66"/>
        <v>0</v>
      </c>
      <c r="R115" s="36">
        <f t="shared" si="80"/>
        <v>0</v>
      </c>
      <c r="S115" s="36">
        <f t="shared" si="67"/>
        <v>0</v>
      </c>
      <c r="T115" s="2">
        <f t="shared" si="100"/>
        <v>4209.25</v>
      </c>
      <c r="U115" s="34">
        <f t="shared" si="91"/>
        <v>21774</v>
      </c>
      <c r="V115" s="57">
        <f t="shared" ref="V115:V178" si="101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7"/>
        <v>5159.49</v>
      </c>
      <c r="AJ115" s="34">
        <f t="shared" si="92"/>
        <v>21774</v>
      </c>
      <c r="AK115" s="57">
        <f t="shared" si="93"/>
        <v>69405</v>
      </c>
      <c r="AL115" s="130"/>
      <c r="AM115" s="1057">
        <f t="shared" si="78"/>
        <v>107</v>
      </c>
      <c r="AN115" s="1058">
        <f t="shared" si="68"/>
        <v>48572</v>
      </c>
      <c r="AO115" s="105">
        <f t="shared" si="89"/>
        <v>0</v>
      </c>
      <c r="AP115" s="105">
        <f t="shared" si="69"/>
        <v>0</v>
      </c>
      <c r="AQ115" s="105">
        <f t="shared" si="94"/>
        <v>0</v>
      </c>
      <c r="AR115" s="105">
        <f t="shared" si="83"/>
        <v>0</v>
      </c>
      <c r="AS115" s="105">
        <f t="shared" si="95"/>
        <v>0</v>
      </c>
      <c r="AT115" s="105">
        <f t="shared" si="96"/>
        <v>0</v>
      </c>
      <c r="AU115" s="105">
        <f t="shared" si="97"/>
        <v>0</v>
      </c>
      <c r="AV115" s="105">
        <f t="shared" si="98"/>
        <v>0</v>
      </c>
      <c r="AW115" s="105">
        <f t="shared" si="99"/>
        <v>0</v>
      </c>
      <c r="AX115" s="108">
        <f t="shared" si="79"/>
        <v>0</v>
      </c>
      <c r="AY115" s="108">
        <f t="shared" si="70"/>
        <v>0</v>
      </c>
      <c r="AZ115" s="1047"/>
      <c r="BA115" s="108">
        <f>G165</f>
        <v>0</v>
      </c>
      <c r="BB115" s="2" t="e">
        <f t="shared" si="88"/>
        <v>#VALUE!</v>
      </c>
    </row>
    <row r="116" spans="5:54" ht="12" x14ac:dyDescent="0.2">
      <c r="E116" s="1055">
        <f t="shared" si="76"/>
        <v>108</v>
      </c>
      <c r="F116" s="1056">
        <f t="shared" si="63"/>
        <v>48603</v>
      </c>
      <c r="G116" s="24">
        <f t="shared" si="59"/>
        <v>0</v>
      </c>
      <c r="H116" s="24">
        <f t="shared" si="64"/>
        <v>0</v>
      </c>
      <c r="I116" s="24">
        <f t="shared" si="74"/>
        <v>792931.1599999998</v>
      </c>
      <c r="J116" s="24">
        <f t="shared" si="60"/>
        <v>0</v>
      </c>
      <c r="K116" s="24">
        <f t="shared" si="65"/>
        <v>0</v>
      </c>
      <c r="L116" s="24">
        <f t="shared" si="71"/>
        <v>0</v>
      </c>
      <c r="M116" s="24">
        <f t="shared" si="84"/>
        <v>0</v>
      </c>
      <c r="N116" s="24">
        <f t="shared" si="85"/>
        <v>0</v>
      </c>
      <c r="O116" s="24">
        <f t="shared" si="72"/>
        <v>0</v>
      </c>
      <c r="P116" s="24">
        <f t="shared" si="73"/>
        <v>0</v>
      </c>
      <c r="Q116" s="24">
        <f t="shared" si="66"/>
        <v>0</v>
      </c>
      <c r="R116" s="36">
        <f t="shared" si="80"/>
        <v>0</v>
      </c>
      <c r="S116" s="36">
        <f t="shared" si="67"/>
        <v>0</v>
      </c>
      <c r="T116" s="2">
        <f t="shared" si="100"/>
        <v>4171.42</v>
      </c>
      <c r="U116" s="34">
        <f t="shared" si="91"/>
        <v>21774</v>
      </c>
      <c r="V116" s="57">
        <f t="shared" si="101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7"/>
        <v>4906.8999999999996</v>
      </c>
      <c r="AJ116" s="34">
        <f t="shared" si="92"/>
        <v>21774</v>
      </c>
      <c r="AK116" s="57">
        <f t="shared" si="93"/>
        <v>69770</v>
      </c>
      <c r="AL116" s="130"/>
      <c r="AM116" s="1057">
        <f t="shared" si="78"/>
        <v>108</v>
      </c>
      <c r="AN116" s="1058">
        <f t="shared" si="68"/>
        <v>48603</v>
      </c>
      <c r="AO116" s="105">
        <f t="shared" si="89"/>
        <v>0</v>
      </c>
      <c r="AP116" s="105">
        <f t="shared" si="69"/>
        <v>0</v>
      </c>
      <c r="AQ116" s="105">
        <f t="shared" si="94"/>
        <v>0</v>
      </c>
      <c r="AR116" s="105">
        <f t="shared" si="83"/>
        <v>0</v>
      </c>
      <c r="AS116" s="105">
        <f t="shared" si="95"/>
        <v>0</v>
      </c>
      <c r="AT116" s="105">
        <f t="shared" si="96"/>
        <v>0</v>
      </c>
      <c r="AU116" s="105">
        <f t="shared" si="97"/>
        <v>0</v>
      </c>
      <c r="AV116" s="105">
        <f t="shared" si="98"/>
        <v>0</v>
      </c>
      <c r="AW116" s="105">
        <f t="shared" si="99"/>
        <v>0</v>
      </c>
      <c r="AX116" s="108">
        <f t="shared" si="79"/>
        <v>0</v>
      </c>
      <c r="AY116" s="108">
        <f t="shared" si="70"/>
        <v>0</v>
      </c>
      <c r="AZ116" s="1087" t="s">
        <v>67</v>
      </c>
      <c r="BA116" s="152" t="e">
        <f>XIRR(BA7:BA115,AZ7:AZ115)</f>
        <v>#VALUE!</v>
      </c>
      <c r="BB116" s="2" t="e">
        <f t="shared" si="88"/>
        <v>#VALUE!</v>
      </c>
    </row>
    <row r="117" spans="5:54" ht="12" x14ac:dyDescent="0.2">
      <c r="E117" s="1055">
        <f t="shared" si="76"/>
        <v>109</v>
      </c>
      <c r="F117" s="1056">
        <f t="shared" si="63"/>
        <v>48634</v>
      </c>
      <c r="G117" s="24">
        <f t="shared" si="59"/>
        <v>0</v>
      </c>
      <c r="H117" s="24">
        <f t="shared" si="64"/>
        <v>0</v>
      </c>
      <c r="I117" s="24">
        <f t="shared" si="74"/>
        <v>792931.1599999998</v>
      </c>
      <c r="J117" s="24">
        <f t="shared" si="60"/>
        <v>0</v>
      </c>
      <c r="K117" s="24">
        <f t="shared" si="65"/>
        <v>0</v>
      </c>
      <c r="L117" s="24">
        <f t="shared" si="71"/>
        <v>0</v>
      </c>
      <c r="M117" s="24">
        <f t="shared" si="84"/>
        <v>0</v>
      </c>
      <c r="N117" s="24">
        <f t="shared" si="85"/>
        <v>0</v>
      </c>
      <c r="O117" s="24">
        <f t="shared" si="72"/>
        <v>0</v>
      </c>
      <c r="P117" s="24">
        <f t="shared" si="73"/>
        <v>0</v>
      </c>
      <c r="Q117" s="24">
        <f t="shared" si="66"/>
        <v>0</v>
      </c>
      <c r="R117" s="36">
        <f t="shared" si="80"/>
        <v>0</v>
      </c>
      <c r="S117" s="36">
        <f t="shared" si="67"/>
        <v>0</v>
      </c>
      <c r="T117" s="2">
        <f t="shared" si="100"/>
        <v>3992.74</v>
      </c>
      <c r="U117" s="34">
        <f t="shared" si="91"/>
        <v>21774</v>
      </c>
      <c r="V117" s="57">
        <f t="shared" si="101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7"/>
        <v>4500.46</v>
      </c>
      <c r="AJ117" s="34">
        <f t="shared" si="92"/>
        <v>21774</v>
      </c>
      <c r="AK117" s="57">
        <f t="shared" si="93"/>
        <v>70135</v>
      </c>
      <c r="AL117" s="130"/>
      <c r="AM117" s="1057">
        <f t="shared" si="78"/>
        <v>109</v>
      </c>
      <c r="AN117" s="1058">
        <f t="shared" si="68"/>
        <v>48634</v>
      </c>
      <c r="AO117" s="105">
        <f t="shared" si="89"/>
        <v>0</v>
      </c>
      <c r="AP117" s="105">
        <f t="shared" si="69"/>
        <v>0</v>
      </c>
      <c r="AQ117" s="105">
        <f t="shared" si="94"/>
        <v>0</v>
      </c>
      <c r="AR117" s="105">
        <f t="shared" si="83"/>
        <v>0</v>
      </c>
      <c r="AS117" s="105">
        <f t="shared" si="95"/>
        <v>0</v>
      </c>
      <c r="AT117" s="105">
        <f t="shared" si="96"/>
        <v>0</v>
      </c>
      <c r="AU117" s="105">
        <f t="shared" si="97"/>
        <v>0</v>
      </c>
      <c r="AV117" s="105">
        <f t="shared" si="98"/>
        <v>0</v>
      </c>
      <c r="AW117" s="105">
        <f t="shared" si="99"/>
        <v>0</v>
      </c>
      <c r="AX117" s="108">
        <f t="shared" si="79"/>
        <v>0</v>
      </c>
      <c r="AY117" s="108">
        <f t="shared" si="70"/>
        <v>0</v>
      </c>
      <c r="BB117" s="2" t="e">
        <f t="shared" si="88"/>
        <v>#VALUE!</v>
      </c>
    </row>
    <row r="118" spans="5:54" ht="12" x14ac:dyDescent="0.2">
      <c r="E118" s="1055">
        <f t="shared" si="76"/>
        <v>110</v>
      </c>
      <c r="F118" s="1056">
        <f t="shared" si="63"/>
        <v>48662</v>
      </c>
      <c r="G118" s="24">
        <f t="shared" si="59"/>
        <v>0</v>
      </c>
      <c r="H118" s="24">
        <f t="shared" si="64"/>
        <v>0</v>
      </c>
      <c r="I118" s="24">
        <f t="shared" si="74"/>
        <v>792931.1599999998</v>
      </c>
      <c r="J118" s="24">
        <f t="shared" si="60"/>
        <v>0</v>
      </c>
      <c r="K118" s="24">
        <f t="shared" si="65"/>
        <v>0</v>
      </c>
      <c r="L118" s="24">
        <f t="shared" si="71"/>
        <v>0</v>
      </c>
      <c r="M118" s="24">
        <f t="shared" si="84"/>
        <v>0</v>
      </c>
      <c r="N118" s="24">
        <f t="shared" si="85"/>
        <v>0</v>
      </c>
      <c r="O118" s="24">
        <f t="shared" si="72"/>
        <v>0</v>
      </c>
      <c r="P118" s="24">
        <f t="shared" si="73"/>
        <v>0</v>
      </c>
      <c r="Q118" s="24">
        <f t="shared" si="66"/>
        <v>0</v>
      </c>
      <c r="R118" s="36">
        <f t="shared" si="80"/>
        <v>0</v>
      </c>
      <c r="S118" s="36">
        <f t="shared" si="67"/>
        <v>0</v>
      </c>
      <c r="T118" s="2">
        <f t="shared" si="100"/>
        <v>3688.53</v>
      </c>
      <c r="U118" s="34">
        <f t="shared" si="91"/>
        <v>21774</v>
      </c>
      <c r="V118" s="57">
        <f t="shared" si="101"/>
        <v>70500</v>
      </c>
      <c r="W118" s="16">
        <f t="shared" ref="W118:W180" si="102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7"/>
        <v>4387.87</v>
      </c>
      <c r="AJ118" s="34">
        <f t="shared" si="92"/>
        <v>21774</v>
      </c>
      <c r="AK118" s="57">
        <f t="shared" si="93"/>
        <v>70500</v>
      </c>
      <c r="AL118" s="130"/>
      <c r="AM118" s="1057">
        <f t="shared" si="78"/>
        <v>110</v>
      </c>
      <c r="AN118" s="1058">
        <f t="shared" si="68"/>
        <v>48662</v>
      </c>
      <c r="AO118" s="105">
        <f t="shared" si="89"/>
        <v>0</v>
      </c>
      <c r="AP118" s="105">
        <f t="shared" si="69"/>
        <v>0</v>
      </c>
      <c r="AQ118" s="105">
        <f t="shared" si="94"/>
        <v>0</v>
      </c>
      <c r="AR118" s="105">
        <f t="shared" si="83"/>
        <v>0</v>
      </c>
      <c r="AS118" s="105">
        <f t="shared" si="95"/>
        <v>0</v>
      </c>
      <c r="AT118" s="105">
        <f t="shared" si="96"/>
        <v>0</v>
      </c>
      <c r="AU118" s="105">
        <f t="shared" si="97"/>
        <v>0</v>
      </c>
      <c r="AV118" s="105">
        <f t="shared" si="98"/>
        <v>0</v>
      </c>
      <c r="AW118" s="105">
        <f t="shared" si="99"/>
        <v>0</v>
      </c>
      <c r="AX118" s="108">
        <f t="shared" si="79"/>
        <v>0</v>
      </c>
      <c r="AY118" s="108">
        <f t="shared" si="70"/>
        <v>0</v>
      </c>
      <c r="BB118" s="2" t="e">
        <f t="shared" si="88"/>
        <v>#VALUE!</v>
      </c>
    </row>
    <row r="119" spans="5:54" ht="12" x14ac:dyDescent="0.2">
      <c r="E119" s="1055">
        <f t="shared" si="76"/>
        <v>111</v>
      </c>
      <c r="F119" s="1056">
        <f t="shared" si="63"/>
        <v>48693</v>
      </c>
      <c r="G119" s="24">
        <f t="shared" si="59"/>
        <v>0</v>
      </c>
      <c r="H119" s="24">
        <f t="shared" si="64"/>
        <v>0</v>
      </c>
      <c r="I119" s="24">
        <f t="shared" si="74"/>
        <v>792931.1599999998</v>
      </c>
      <c r="J119" s="24">
        <f t="shared" si="60"/>
        <v>0</v>
      </c>
      <c r="K119" s="24">
        <f t="shared" si="65"/>
        <v>0</v>
      </c>
      <c r="L119" s="24">
        <f t="shared" si="71"/>
        <v>0</v>
      </c>
      <c r="M119" s="24">
        <f t="shared" si="84"/>
        <v>0</v>
      </c>
      <c r="N119" s="24">
        <f t="shared" si="85"/>
        <v>0</v>
      </c>
      <c r="O119" s="24">
        <f t="shared" si="72"/>
        <v>0</v>
      </c>
      <c r="P119" s="24">
        <f t="shared" si="73"/>
        <v>0</v>
      </c>
      <c r="Q119" s="24">
        <f t="shared" si="66"/>
        <v>0</v>
      </c>
      <c r="R119" s="36">
        <f t="shared" si="80"/>
        <v>0</v>
      </c>
      <c r="S119" s="36">
        <f t="shared" si="67"/>
        <v>0</v>
      </c>
      <c r="T119" s="2">
        <f t="shared" si="100"/>
        <v>3625.87</v>
      </c>
      <c r="U119" s="34">
        <f t="shared" si="91"/>
        <v>21774</v>
      </c>
      <c r="V119" s="57">
        <f t="shared" si="101"/>
        <v>70865</v>
      </c>
      <c r="W119" s="16">
        <f t="shared" si="102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7"/>
        <v>3990.54</v>
      </c>
      <c r="AJ119" s="34">
        <f t="shared" si="92"/>
        <v>21774</v>
      </c>
      <c r="AK119" s="57">
        <f t="shared" si="93"/>
        <v>70865</v>
      </c>
      <c r="AL119" s="130"/>
      <c r="AM119" s="1057">
        <f t="shared" si="78"/>
        <v>111</v>
      </c>
      <c r="AN119" s="1058">
        <f t="shared" si="68"/>
        <v>48693</v>
      </c>
      <c r="AO119" s="105">
        <f t="shared" si="89"/>
        <v>0</v>
      </c>
      <c r="AP119" s="105">
        <f t="shared" si="69"/>
        <v>0</v>
      </c>
      <c r="AQ119" s="105">
        <f t="shared" si="94"/>
        <v>0</v>
      </c>
      <c r="AR119" s="105">
        <f t="shared" si="83"/>
        <v>0</v>
      </c>
      <c r="AS119" s="105">
        <f t="shared" si="95"/>
        <v>0</v>
      </c>
      <c r="AT119" s="105">
        <f t="shared" si="96"/>
        <v>0</v>
      </c>
      <c r="AU119" s="105">
        <f t="shared" si="97"/>
        <v>0</v>
      </c>
      <c r="AV119" s="105">
        <f t="shared" si="98"/>
        <v>0</v>
      </c>
      <c r="AW119" s="105">
        <f t="shared" si="99"/>
        <v>0</v>
      </c>
      <c r="AX119" s="108">
        <f t="shared" si="79"/>
        <v>0</v>
      </c>
      <c r="AY119" s="108">
        <f t="shared" si="70"/>
        <v>0</v>
      </c>
      <c r="BB119" s="2" t="e">
        <f t="shared" si="88"/>
        <v>#VALUE!</v>
      </c>
    </row>
    <row r="120" spans="5:54" ht="12" x14ac:dyDescent="0.2">
      <c r="E120" s="1055">
        <f t="shared" si="76"/>
        <v>112</v>
      </c>
      <c r="F120" s="1056">
        <f t="shared" si="63"/>
        <v>48723</v>
      </c>
      <c r="G120" s="24">
        <f t="shared" si="59"/>
        <v>0</v>
      </c>
      <c r="H120" s="24">
        <f t="shared" si="64"/>
        <v>0</v>
      </c>
      <c r="I120" s="24">
        <f t="shared" si="74"/>
        <v>792931.1599999998</v>
      </c>
      <c r="J120" s="24">
        <f t="shared" si="60"/>
        <v>0</v>
      </c>
      <c r="K120" s="24">
        <f t="shared" si="65"/>
        <v>0</v>
      </c>
      <c r="L120" s="24">
        <f t="shared" si="71"/>
        <v>0</v>
      </c>
      <c r="M120" s="24">
        <f t="shared" si="84"/>
        <v>0</v>
      </c>
      <c r="N120" s="24">
        <f t="shared" si="85"/>
        <v>0</v>
      </c>
      <c r="O120" s="24">
        <f t="shared" si="72"/>
        <v>0</v>
      </c>
      <c r="P120" s="24">
        <f t="shared" si="73"/>
        <v>0</v>
      </c>
      <c r="Q120" s="24">
        <f t="shared" si="66"/>
        <v>0</v>
      </c>
      <c r="R120" s="36">
        <f t="shared" si="80"/>
        <v>0</v>
      </c>
      <c r="S120" s="36">
        <f t="shared" si="67"/>
        <v>0</v>
      </c>
      <c r="T120" s="2">
        <f t="shared" si="100"/>
        <v>3328.41</v>
      </c>
      <c r="U120" s="34">
        <f t="shared" si="91"/>
        <v>21774</v>
      </c>
      <c r="V120" s="57">
        <f t="shared" si="101"/>
        <v>71230</v>
      </c>
      <c r="W120" s="16">
        <f t="shared" si="102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7"/>
        <v>3853.2</v>
      </c>
      <c r="AJ120" s="34">
        <f t="shared" si="92"/>
        <v>21774</v>
      </c>
      <c r="AK120" s="57">
        <f t="shared" si="93"/>
        <v>71230</v>
      </c>
      <c r="AL120" s="130"/>
      <c r="AM120" s="1057">
        <f t="shared" si="78"/>
        <v>112</v>
      </c>
      <c r="AN120" s="1058">
        <f t="shared" si="68"/>
        <v>48723</v>
      </c>
      <c r="AO120" s="105">
        <f t="shared" si="89"/>
        <v>0</v>
      </c>
      <c r="AP120" s="105">
        <f t="shared" si="69"/>
        <v>0</v>
      </c>
      <c r="AQ120" s="105">
        <f t="shared" si="94"/>
        <v>0</v>
      </c>
      <c r="AR120" s="105">
        <f t="shared" si="83"/>
        <v>0</v>
      </c>
      <c r="AS120" s="105">
        <f t="shared" si="95"/>
        <v>0</v>
      </c>
      <c r="AT120" s="105">
        <f t="shared" si="96"/>
        <v>0</v>
      </c>
      <c r="AU120" s="105">
        <f t="shared" si="97"/>
        <v>0</v>
      </c>
      <c r="AV120" s="105">
        <f t="shared" si="98"/>
        <v>0</v>
      </c>
      <c r="AW120" s="105">
        <f t="shared" si="99"/>
        <v>0</v>
      </c>
      <c r="AX120" s="108">
        <f t="shared" si="79"/>
        <v>0</v>
      </c>
      <c r="AY120" s="108">
        <f t="shared" si="70"/>
        <v>0</v>
      </c>
      <c r="BB120" s="2" t="e">
        <f t="shared" si="88"/>
        <v>#VALUE!</v>
      </c>
    </row>
    <row r="121" spans="5:54" ht="12" x14ac:dyDescent="0.2">
      <c r="E121" s="1055">
        <f t="shared" si="76"/>
        <v>113</v>
      </c>
      <c r="F121" s="1056">
        <f t="shared" si="63"/>
        <v>48754</v>
      </c>
      <c r="G121" s="24">
        <f t="shared" si="59"/>
        <v>0</v>
      </c>
      <c r="H121" s="24">
        <f t="shared" si="64"/>
        <v>0</v>
      </c>
      <c r="I121" s="24">
        <f t="shared" si="74"/>
        <v>792931.1599999998</v>
      </c>
      <c r="J121" s="24">
        <f t="shared" si="60"/>
        <v>0</v>
      </c>
      <c r="K121" s="24">
        <f t="shared" si="65"/>
        <v>0</v>
      </c>
      <c r="L121" s="24">
        <f t="shared" si="71"/>
        <v>0</v>
      </c>
      <c r="M121" s="24">
        <f t="shared" si="84"/>
        <v>0</v>
      </c>
      <c r="N121" s="24">
        <f t="shared" si="85"/>
        <v>0</v>
      </c>
      <c r="O121" s="24">
        <f t="shared" si="72"/>
        <v>0</v>
      </c>
      <c r="P121" s="24">
        <f t="shared" si="73"/>
        <v>0</v>
      </c>
      <c r="Q121" s="24">
        <f t="shared" si="66"/>
        <v>0</v>
      </c>
      <c r="R121" s="36">
        <f t="shared" si="80"/>
        <v>0</v>
      </c>
      <c r="S121" s="36">
        <f t="shared" si="67"/>
        <v>0</v>
      </c>
      <c r="T121" s="2">
        <f t="shared" si="100"/>
        <v>3248.57</v>
      </c>
      <c r="U121" s="34">
        <f t="shared" si="91"/>
        <v>21774</v>
      </c>
      <c r="V121" s="57">
        <f t="shared" si="101"/>
        <v>71595</v>
      </c>
      <c r="W121" s="16">
        <f t="shared" si="102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7"/>
        <v>3580.75</v>
      </c>
      <c r="AJ121" s="34">
        <f t="shared" si="92"/>
        <v>21774</v>
      </c>
      <c r="AK121" s="57">
        <f t="shared" si="93"/>
        <v>71595</v>
      </c>
      <c r="AL121" s="130"/>
      <c r="AM121" s="1057">
        <f t="shared" si="78"/>
        <v>113</v>
      </c>
      <c r="AN121" s="1058">
        <f t="shared" si="68"/>
        <v>48754</v>
      </c>
      <c r="AO121" s="105">
        <f t="shared" si="89"/>
        <v>0</v>
      </c>
      <c r="AP121" s="105">
        <f t="shared" si="69"/>
        <v>0</v>
      </c>
      <c r="AQ121" s="105">
        <f t="shared" si="94"/>
        <v>0</v>
      </c>
      <c r="AR121" s="105">
        <f t="shared" si="83"/>
        <v>0</v>
      </c>
      <c r="AS121" s="105">
        <f t="shared" si="95"/>
        <v>0</v>
      </c>
      <c r="AT121" s="105">
        <f t="shared" si="96"/>
        <v>0</v>
      </c>
      <c r="AU121" s="105">
        <f t="shared" si="97"/>
        <v>0</v>
      </c>
      <c r="AV121" s="105">
        <f t="shared" si="98"/>
        <v>0</v>
      </c>
      <c r="AW121" s="105">
        <f t="shared" si="99"/>
        <v>0</v>
      </c>
      <c r="AX121" s="108">
        <f t="shared" si="79"/>
        <v>0</v>
      </c>
      <c r="AY121" s="108">
        <f t="shared" si="70"/>
        <v>0</v>
      </c>
      <c r="BB121" s="2" t="e">
        <f t="shared" si="88"/>
        <v>#VALUE!</v>
      </c>
    </row>
    <row r="122" spans="5:54" ht="12" x14ac:dyDescent="0.2">
      <c r="E122" s="1055">
        <f t="shared" si="76"/>
        <v>114</v>
      </c>
      <c r="F122" s="1056">
        <f t="shared" si="63"/>
        <v>48784</v>
      </c>
      <c r="G122" s="24">
        <f t="shared" si="59"/>
        <v>0</v>
      </c>
      <c r="H122" s="24">
        <f t="shared" si="64"/>
        <v>0</v>
      </c>
      <c r="I122" s="24">
        <f t="shared" si="74"/>
        <v>792931.1599999998</v>
      </c>
      <c r="J122" s="24">
        <f t="shared" si="60"/>
        <v>0</v>
      </c>
      <c r="K122" s="24">
        <f t="shared" si="65"/>
        <v>0</v>
      </c>
      <c r="L122" s="24">
        <f t="shared" si="71"/>
        <v>0</v>
      </c>
      <c r="M122" s="24">
        <f t="shared" si="84"/>
        <v>0</v>
      </c>
      <c r="N122" s="24">
        <f t="shared" si="85"/>
        <v>0</v>
      </c>
      <c r="O122" s="24">
        <f t="shared" si="72"/>
        <v>0</v>
      </c>
      <c r="P122" s="24">
        <f t="shared" si="73"/>
        <v>0</v>
      </c>
      <c r="Q122" s="24">
        <f t="shared" si="66"/>
        <v>0</v>
      </c>
      <c r="R122" s="36">
        <f t="shared" si="80"/>
        <v>0</v>
      </c>
      <c r="S122" s="36">
        <f t="shared" si="67"/>
        <v>0</v>
      </c>
      <c r="T122" s="2">
        <f t="shared" si="100"/>
        <v>3056.64</v>
      </c>
      <c r="U122" s="34">
        <f t="shared" si="91"/>
        <v>21774</v>
      </c>
      <c r="V122" s="57">
        <f t="shared" si="101"/>
        <v>71960</v>
      </c>
      <c r="W122" s="16">
        <f t="shared" si="102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7"/>
        <v>2984.41</v>
      </c>
      <c r="AJ122" s="34">
        <f t="shared" si="92"/>
        <v>21774</v>
      </c>
      <c r="AK122" s="57">
        <f t="shared" si="93"/>
        <v>71960</v>
      </c>
      <c r="AL122" s="130"/>
      <c r="AM122" s="1057">
        <f t="shared" si="78"/>
        <v>114</v>
      </c>
      <c r="AN122" s="1058">
        <f t="shared" si="68"/>
        <v>48784</v>
      </c>
      <c r="AO122" s="105">
        <f t="shared" si="89"/>
        <v>0</v>
      </c>
      <c r="AP122" s="105">
        <f t="shared" si="69"/>
        <v>0</v>
      </c>
      <c r="AQ122" s="105">
        <f t="shared" si="94"/>
        <v>0</v>
      </c>
      <c r="AR122" s="105">
        <f t="shared" si="83"/>
        <v>0</v>
      </c>
      <c r="AS122" s="105">
        <f t="shared" si="95"/>
        <v>0</v>
      </c>
      <c r="AT122" s="105">
        <f t="shared" si="96"/>
        <v>0</v>
      </c>
      <c r="AU122" s="105">
        <f t="shared" si="97"/>
        <v>0</v>
      </c>
      <c r="AV122" s="105">
        <f t="shared" si="98"/>
        <v>0</v>
      </c>
      <c r="AW122" s="105">
        <f t="shared" si="99"/>
        <v>0</v>
      </c>
      <c r="AX122" s="108">
        <f t="shared" si="79"/>
        <v>0</v>
      </c>
      <c r="AY122" s="108">
        <f t="shared" si="70"/>
        <v>0</v>
      </c>
      <c r="BB122" s="2" t="e">
        <f t="shared" si="88"/>
        <v>#VALUE!</v>
      </c>
    </row>
    <row r="123" spans="5:54" ht="12" x14ac:dyDescent="0.2">
      <c r="E123" s="1055">
        <f t="shared" si="76"/>
        <v>115</v>
      </c>
      <c r="F123" s="1056">
        <f t="shared" si="63"/>
        <v>48815</v>
      </c>
      <c r="G123" s="24">
        <f t="shared" si="59"/>
        <v>0</v>
      </c>
      <c r="H123" s="24">
        <f t="shared" si="64"/>
        <v>0</v>
      </c>
      <c r="I123" s="24">
        <f t="shared" si="74"/>
        <v>792931.1599999998</v>
      </c>
      <c r="J123" s="24">
        <f t="shared" si="60"/>
        <v>0</v>
      </c>
      <c r="K123" s="24">
        <f t="shared" si="65"/>
        <v>0</v>
      </c>
      <c r="L123" s="24">
        <f t="shared" si="71"/>
        <v>0</v>
      </c>
      <c r="M123" s="24">
        <f t="shared" si="84"/>
        <v>0</v>
      </c>
      <c r="N123" s="24">
        <f t="shared" si="85"/>
        <v>0</v>
      </c>
      <c r="O123" s="24">
        <f t="shared" si="72"/>
        <v>0</v>
      </c>
      <c r="P123" s="24">
        <f t="shared" si="73"/>
        <v>0</v>
      </c>
      <c r="Q123" s="24">
        <f t="shared" si="66"/>
        <v>0</v>
      </c>
      <c r="R123" s="36">
        <f t="shared" si="80"/>
        <v>0</v>
      </c>
      <c r="S123" s="36">
        <f t="shared" si="67"/>
        <v>0</v>
      </c>
      <c r="T123" s="2">
        <f t="shared" si="100"/>
        <v>2584.9899999999998</v>
      </c>
      <c r="U123" s="34">
        <f t="shared" si="91"/>
        <v>21774</v>
      </c>
      <c r="V123" s="57">
        <f t="shared" si="101"/>
        <v>72325</v>
      </c>
      <c r="W123" s="16">
        <f t="shared" si="102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7"/>
        <v>3018.51</v>
      </c>
      <c r="AJ123" s="34">
        <f t="shared" si="92"/>
        <v>21774</v>
      </c>
      <c r="AK123" s="57">
        <f t="shared" si="93"/>
        <v>72325</v>
      </c>
      <c r="AL123" s="130"/>
      <c r="AM123" s="1057">
        <f t="shared" si="78"/>
        <v>115</v>
      </c>
      <c r="AN123" s="1058">
        <f t="shared" si="68"/>
        <v>48815</v>
      </c>
      <c r="AO123" s="105">
        <f t="shared" si="89"/>
        <v>0</v>
      </c>
      <c r="AP123" s="105">
        <f t="shared" si="69"/>
        <v>0</v>
      </c>
      <c r="AQ123" s="105">
        <f t="shared" si="94"/>
        <v>0</v>
      </c>
      <c r="AR123" s="105">
        <f t="shared" si="83"/>
        <v>0</v>
      </c>
      <c r="AS123" s="105">
        <f t="shared" si="95"/>
        <v>0</v>
      </c>
      <c r="AT123" s="105">
        <f t="shared" si="96"/>
        <v>0</v>
      </c>
      <c r="AU123" s="105">
        <f t="shared" si="97"/>
        <v>0</v>
      </c>
      <c r="AV123" s="105">
        <f t="shared" si="98"/>
        <v>0</v>
      </c>
      <c r="AW123" s="105">
        <f t="shared" si="99"/>
        <v>0</v>
      </c>
      <c r="AX123" s="108">
        <f t="shared" si="79"/>
        <v>0</v>
      </c>
      <c r="AY123" s="108">
        <f t="shared" si="70"/>
        <v>0</v>
      </c>
      <c r="BB123" s="2" t="e">
        <f t="shared" si="88"/>
        <v>#VALUE!</v>
      </c>
    </row>
    <row r="124" spans="5:54" ht="12" x14ac:dyDescent="0.2">
      <c r="E124" s="1055">
        <f t="shared" si="76"/>
        <v>116</v>
      </c>
      <c r="F124" s="1056">
        <f t="shared" si="63"/>
        <v>48846</v>
      </c>
      <c r="G124" s="24">
        <f t="shared" si="59"/>
        <v>0</v>
      </c>
      <c r="H124" s="24">
        <f t="shared" si="64"/>
        <v>0</v>
      </c>
      <c r="I124" s="24">
        <f t="shared" si="74"/>
        <v>792931.1599999998</v>
      </c>
      <c r="J124" s="24">
        <f t="shared" si="60"/>
        <v>0</v>
      </c>
      <c r="K124" s="24">
        <f t="shared" si="65"/>
        <v>0</v>
      </c>
      <c r="L124" s="24">
        <f t="shared" si="71"/>
        <v>0</v>
      </c>
      <c r="M124" s="24">
        <f t="shared" si="84"/>
        <v>0</v>
      </c>
      <c r="N124" s="24">
        <f t="shared" si="85"/>
        <v>0</v>
      </c>
      <c r="O124" s="24">
        <f t="shared" si="72"/>
        <v>0</v>
      </c>
      <c r="P124" s="24">
        <f t="shared" si="73"/>
        <v>0</v>
      </c>
      <c r="Q124" s="24">
        <f t="shared" si="66"/>
        <v>0</v>
      </c>
      <c r="R124" s="36">
        <f t="shared" si="80"/>
        <v>0</v>
      </c>
      <c r="S124" s="36">
        <f t="shared" si="67"/>
        <v>0</v>
      </c>
      <c r="T124" s="2">
        <f t="shared" si="100"/>
        <v>2660.49</v>
      </c>
      <c r="U124" s="34">
        <f t="shared" si="91"/>
        <v>21774</v>
      </c>
      <c r="V124" s="57">
        <f t="shared" si="101"/>
        <v>72690</v>
      </c>
      <c r="W124" s="16">
        <f t="shared" si="102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7"/>
        <v>2645.2</v>
      </c>
      <c r="AJ124" s="34">
        <f t="shared" si="92"/>
        <v>21774</v>
      </c>
      <c r="AK124" s="57">
        <f t="shared" si="93"/>
        <v>72690</v>
      </c>
      <c r="AL124" s="130"/>
      <c r="AM124" s="1057">
        <f t="shared" si="78"/>
        <v>116</v>
      </c>
      <c r="AN124" s="1058">
        <f t="shared" si="68"/>
        <v>48846</v>
      </c>
      <c r="AO124" s="105">
        <f t="shared" si="89"/>
        <v>0</v>
      </c>
      <c r="AP124" s="105">
        <f t="shared" si="69"/>
        <v>0</v>
      </c>
      <c r="AQ124" s="105">
        <f t="shared" si="94"/>
        <v>0</v>
      </c>
      <c r="AR124" s="105">
        <f t="shared" si="83"/>
        <v>0</v>
      </c>
      <c r="AS124" s="105">
        <f t="shared" si="95"/>
        <v>0</v>
      </c>
      <c r="AT124" s="105">
        <f t="shared" si="96"/>
        <v>0</v>
      </c>
      <c r="AU124" s="105">
        <f t="shared" si="97"/>
        <v>0</v>
      </c>
      <c r="AV124" s="105">
        <f t="shared" si="98"/>
        <v>0</v>
      </c>
      <c r="AW124" s="105">
        <f t="shared" si="99"/>
        <v>0</v>
      </c>
      <c r="AX124" s="108">
        <f t="shared" si="79"/>
        <v>0</v>
      </c>
      <c r="AY124" s="108">
        <f t="shared" si="70"/>
        <v>0</v>
      </c>
      <c r="BB124" s="2" t="e">
        <f t="shared" si="88"/>
        <v>#VALUE!</v>
      </c>
    </row>
    <row r="125" spans="5:54" ht="12" x14ac:dyDescent="0.2">
      <c r="E125" s="1055">
        <f t="shared" si="76"/>
        <v>117</v>
      </c>
      <c r="F125" s="1056">
        <f t="shared" si="63"/>
        <v>48876</v>
      </c>
      <c r="G125" s="24">
        <f t="shared" si="59"/>
        <v>0</v>
      </c>
      <c r="H125" s="24">
        <f t="shared" si="64"/>
        <v>0</v>
      </c>
      <c r="I125" s="24">
        <f t="shared" si="74"/>
        <v>792931.1599999998</v>
      </c>
      <c r="J125" s="24">
        <f t="shared" si="60"/>
        <v>0</v>
      </c>
      <c r="K125" s="24">
        <f t="shared" si="65"/>
        <v>0</v>
      </c>
      <c r="L125" s="24">
        <f t="shared" si="71"/>
        <v>0</v>
      </c>
      <c r="M125" s="24">
        <f t="shared" si="84"/>
        <v>0</v>
      </c>
      <c r="N125" s="24">
        <f t="shared" si="85"/>
        <v>0</v>
      </c>
      <c r="O125" s="24">
        <f t="shared" si="72"/>
        <v>0</v>
      </c>
      <c r="P125" s="24">
        <f t="shared" si="73"/>
        <v>0</v>
      </c>
      <c r="Q125" s="24">
        <f t="shared" si="66"/>
        <v>0</v>
      </c>
      <c r="R125" s="36">
        <f t="shared" si="80"/>
        <v>0</v>
      </c>
      <c r="S125" s="36">
        <f t="shared" si="67"/>
        <v>0</v>
      </c>
      <c r="T125" s="2">
        <f t="shared" si="100"/>
        <v>2380.7600000000002</v>
      </c>
      <c r="U125" s="34">
        <f t="shared" si="91"/>
        <v>21774</v>
      </c>
      <c r="V125" s="57">
        <f t="shared" si="101"/>
        <v>73055</v>
      </c>
      <c r="W125" s="16">
        <f t="shared" si="102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7"/>
        <v>2442.5700000000002</v>
      </c>
      <c r="AJ125" s="34">
        <f t="shared" si="92"/>
        <v>21774</v>
      </c>
      <c r="AK125" s="57">
        <f t="shared" si="93"/>
        <v>73055</v>
      </c>
      <c r="AL125" s="130"/>
      <c r="AM125" s="1057">
        <f t="shared" si="78"/>
        <v>117</v>
      </c>
      <c r="AN125" s="1058">
        <f t="shared" si="68"/>
        <v>48876</v>
      </c>
      <c r="AO125" s="105">
        <f t="shared" si="89"/>
        <v>0</v>
      </c>
      <c r="AP125" s="105">
        <f t="shared" si="69"/>
        <v>0</v>
      </c>
      <c r="AQ125" s="105">
        <f t="shared" si="94"/>
        <v>0</v>
      </c>
      <c r="AR125" s="105">
        <f t="shared" si="83"/>
        <v>0</v>
      </c>
      <c r="AS125" s="105">
        <f t="shared" si="95"/>
        <v>0</v>
      </c>
      <c r="AT125" s="105">
        <f t="shared" si="96"/>
        <v>0</v>
      </c>
      <c r="AU125" s="105">
        <f t="shared" si="97"/>
        <v>0</v>
      </c>
      <c r="AV125" s="105">
        <f t="shared" si="98"/>
        <v>0</v>
      </c>
      <c r="AW125" s="105">
        <f t="shared" si="99"/>
        <v>0</v>
      </c>
      <c r="AX125" s="108">
        <f t="shared" si="79"/>
        <v>0</v>
      </c>
      <c r="AY125" s="108">
        <f t="shared" si="70"/>
        <v>0</v>
      </c>
      <c r="BB125" s="2" t="e">
        <f t="shared" si="88"/>
        <v>#VALUE!</v>
      </c>
    </row>
    <row r="126" spans="5:54" ht="12" x14ac:dyDescent="0.2">
      <c r="E126" s="1055">
        <f t="shared" si="76"/>
        <v>118</v>
      </c>
      <c r="F126" s="1056">
        <f t="shared" si="63"/>
        <v>48907</v>
      </c>
      <c r="G126" s="24">
        <f t="shared" si="59"/>
        <v>0</v>
      </c>
      <c r="H126" s="24">
        <f t="shared" si="64"/>
        <v>0</v>
      </c>
      <c r="I126" s="24">
        <f t="shared" si="74"/>
        <v>792931.1599999998</v>
      </c>
      <c r="J126" s="24">
        <f t="shared" si="60"/>
        <v>0</v>
      </c>
      <c r="K126" s="24">
        <f t="shared" si="65"/>
        <v>0</v>
      </c>
      <c r="L126" s="24">
        <f t="shared" si="71"/>
        <v>0</v>
      </c>
      <c r="M126" s="24">
        <f t="shared" si="84"/>
        <v>0</v>
      </c>
      <c r="N126" s="24">
        <f t="shared" si="85"/>
        <v>0</v>
      </c>
      <c r="O126" s="24">
        <f t="shared" si="72"/>
        <v>0</v>
      </c>
      <c r="P126" s="24">
        <f t="shared" si="73"/>
        <v>0</v>
      </c>
      <c r="Q126" s="24">
        <f t="shared" si="66"/>
        <v>0</v>
      </c>
      <c r="R126" s="36">
        <f t="shared" si="80"/>
        <v>0</v>
      </c>
      <c r="S126" s="36">
        <f t="shared" si="67"/>
        <v>0</v>
      </c>
      <c r="T126" s="2">
        <f t="shared" si="100"/>
        <v>2255.73</v>
      </c>
      <c r="U126" s="34">
        <f t="shared" si="91"/>
        <v>21774</v>
      </c>
      <c r="V126" s="57">
        <f t="shared" si="101"/>
        <v>73420</v>
      </c>
      <c r="W126" s="16">
        <f t="shared" si="102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7"/>
        <v>2079.36</v>
      </c>
      <c r="AJ126" s="34">
        <f t="shared" si="92"/>
        <v>21774</v>
      </c>
      <c r="AK126" s="57">
        <f t="shared" si="93"/>
        <v>73420</v>
      </c>
      <c r="AL126" s="130"/>
      <c r="AM126" s="1057">
        <f t="shared" si="78"/>
        <v>118</v>
      </c>
      <c r="AN126" s="1058">
        <f t="shared" si="68"/>
        <v>48907</v>
      </c>
      <c r="AO126" s="105">
        <f t="shared" si="89"/>
        <v>0</v>
      </c>
      <c r="AP126" s="105">
        <f t="shared" si="69"/>
        <v>0</v>
      </c>
      <c r="AQ126" s="105">
        <f t="shared" si="94"/>
        <v>0</v>
      </c>
      <c r="AR126" s="105">
        <f t="shared" si="83"/>
        <v>0</v>
      </c>
      <c r="AS126" s="105">
        <f t="shared" si="95"/>
        <v>0</v>
      </c>
      <c r="AT126" s="105">
        <f t="shared" si="96"/>
        <v>0</v>
      </c>
      <c r="AU126" s="105">
        <f t="shared" si="97"/>
        <v>0</v>
      </c>
      <c r="AV126" s="105">
        <f t="shared" si="98"/>
        <v>0</v>
      </c>
      <c r="AW126" s="105">
        <f t="shared" si="99"/>
        <v>0</v>
      </c>
      <c r="AX126" s="108">
        <f t="shared" si="79"/>
        <v>0</v>
      </c>
      <c r="AY126" s="108">
        <f t="shared" si="70"/>
        <v>0</v>
      </c>
      <c r="BB126" s="2" t="e">
        <f t="shared" si="88"/>
        <v>#VALUE!</v>
      </c>
    </row>
    <row r="127" spans="5:54" ht="12" x14ac:dyDescent="0.2">
      <c r="E127" s="1055">
        <f t="shared" si="76"/>
        <v>119</v>
      </c>
      <c r="F127" s="1056">
        <f t="shared" si="63"/>
        <v>48937</v>
      </c>
      <c r="G127" s="24">
        <f t="shared" si="59"/>
        <v>0</v>
      </c>
      <c r="H127" s="24">
        <f t="shared" si="64"/>
        <v>0</v>
      </c>
      <c r="I127" s="24">
        <f t="shared" si="74"/>
        <v>792931.1599999998</v>
      </c>
      <c r="J127" s="24">
        <f t="shared" si="60"/>
        <v>0</v>
      </c>
      <c r="K127" s="24">
        <f t="shared" si="65"/>
        <v>0</v>
      </c>
      <c r="L127" s="24">
        <f t="shared" si="71"/>
        <v>0</v>
      </c>
      <c r="M127" s="24">
        <f t="shared" si="84"/>
        <v>0</v>
      </c>
      <c r="N127" s="24">
        <f t="shared" si="85"/>
        <v>0</v>
      </c>
      <c r="O127" s="24">
        <f t="shared" si="72"/>
        <v>0</v>
      </c>
      <c r="P127" s="24">
        <f t="shared" si="73"/>
        <v>0</v>
      </c>
      <c r="Q127" s="24">
        <f t="shared" si="66"/>
        <v>0</v>
      </c>
      <c r="R127" s="36">
        <f t="shared" si="80"/>
        <v>0</v>
      </c>
      <c r="S127" s="36">
        <f t="shared" si="67"/>
        <v>0</v>
      </c>
      <c r="T127" s="2">
        <f t="shared" si="100"/>
        <v>1983.44</v>
      </c>
      <c r="U127" s="34">
        <f t="shared" si="91"/>
        <v>21774</v>
      </c>
      <c r="V127" s="57">
        <f t="shared" si="101"/>
        <v>73785</v>
      </c>
      <c r="W127" s="16">
        <f t="shared" si="102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7"/>
        <v>1849.26</v>
      </c>
      <c r="AJ127" s="34">
        <f t="shared" si="92"/>
        <v>21774</v>
      </c>
      <c r="AK127" s="57">
        <f t="shared" si="93"/>
        <v>73785</v>
      </c>
      <c r="AL127" s="130"/>
      <c r="AM127" s="1057">
        <f t="shared" si="78"/>
        <v>119</v>
      </c>
      <c r="AN127" s="1058">
        <f t="shared" si="68"/>
        <v>48937</v>
      </c>
      <c r="AO127" s="105">
        <f t="shared" si="89"/>
        <v>0</v>
      </c>
      <c r="AP127" s="105">
        <f t="shared" si="69"/>
        <v>0</v>
      </c>
      <c r="AQ127" s="105">
        <f t="shared" si="94"/>
        <v>0</v>
      </c>
      <c r="AR127" s="105">
        <f t="shared" si="83"/>
        <v>0</v>
      </c>
      <c r="AS127" s="105">
        <f t="shared" si="95"/>
        <v>0</v>
      </c>
      <c r="AT127" s="105">
        <f t="shared" si="96"/>
        <v>0</v>
      </c>
      <c r="AU127" s="105">
        <f t="shared" si="97"/>
        <v>0</v>
      </c>
      <c r="AV127" s="105">
        <f t="shared" si="98"/>
        <v>0</v>
      </c>
      <c r="AW127" s="105">
        <f t="shared" si="99"/>
        <v>0</v>
      </c>
      <c r="AX127" s="108">
        <f t="shared" si="79"/>
        <v>0</v>
      </c>
      <c r="AY127" s="108">
        <f t="shared" si="70"/>
        <v>0</v>
      </c>
      <c r="BB127" s="2" t="e">
        <f t="shared" si="88"/>
        <v>#VALUE!</v>
      </c>
    </row>
    <row r="128" spans="5:54" ht="12" x14ac:dyDescent="0.2">
      <c r="E128" s="1055">
        <f t="shared" si="76"/>
        <v>120</v>
      </c>
      <c r="F128" s="1056">
        <f t="shared" si="63"/>
        <v>48968</v>
      </c>
      <c r="G128" s="24">
        <f t="shared" si="59"/>
        <v>0</v>
      </c>
      <c r="H128" s="24">
        <f t="shared" si="64"/>
        <v>0</v>
      </c>
      <c r="I128" s="24">
        <f t="shared" si="74"/>
        <v>792931.1599999998</v>
      </c>
      <c r="J128" s="24">
        <f t="shared" si="60"/>
        <v>0</v>
      </c>
      <c r="K128" s="24">
        <f t="shared" si="65"/>
        <v>0</v>
      </c>
      <c r="L128" s="24">
        <f t="shared" si="71"/>
        <v>0</v>
      </c>
      <c r="M128" s="24">
        <f t="shared" si="84"/>
        <v>0</v>
      </c>
      <c r="N128" s="24">
        <f t="shared" si="85"/>
        <v>0</v>
      </c>
      <c r="O128" s="24">
        <f t="shared" si="72"/>
        <v>0</v>
      </c>
      <c r="P128" s="24">
        <f t="shared" si="73"/>
        <v>0</v>
      </c>
      <c r="Q128" s="24">
        <f t="shared" si="66"/>
        <v>0</v>
      </c>
      <c r="R128" s="36">
        <f t="shared" si="80"/>
        <v>0</v>
      </c>
      <c r="S128" s="36">
        <f t="shared" si="67"/>
        <v>0</v>
      </c>
      <c r="T128" s="2">
        <f t="shared" si="100"/>
        <v>1839.46</v>
      </c>
      <c r="U128" s="34">
        <f t="shared" si="91"/>
        <v>21774</v>
      </c>
      <c r="V128" s="57">
        <f t="shared" si="101"/>
        <v>74150</v>
      </c>
      <c r="W128" s="16">
        <f t="shared" si="102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7"/>
        <v>1546.35</v>
      </c>
      <c r="AJ128" s="34">
        <f t="shared" si="92"/>
        <v>21774</v>
      </c>
      <c r="AK128" s="57">
        <f t="shared" si="93"/>
        <v>74150</v>
      </c>
      <c r="AM128" s="1057">
        <f t="shared" si="78"/>
        <v>120</v>
      </c>
      <c r="AN128" s="1058">
        <f t="shared" si="68"/>
        <v>48968</v>
      </c>
      <c r="AO128" s="105">
        <f t="shared" si="89"/>
        <v>0</v>
      </c>
      <c r="AP128" s="105">
        <f t="shared" si="69"/>
        <v>0</v>
      </c>
      <c r="AQ128" s="105">
        <f t="shared" si="94"/>
        <v>0</v>
      </c>
      <c r="AR128" s="105">
        <f t="shared" si="83"/>
        <v>0</v>
      </c>
      <c r="AS128" s="105">
        <f t="shared" si="95"/>
        <v>0</v>
      </c>
      <c r="AT128" s="105">
        <f t="shared" si="96"/>
        <v>0</v>
      </c>
      <c r="AU128" s="105">
        <f t="shared" si="97"/>
        <v>0</v>
      </c>
      <c r="AV128" s="105">
        <f t="shared" si="98"/>
        <v>0</v>
      </c>
      <c r="AW128" s="105">
        <f t="shared" si="99"/>
        <v>0</v>
      </c>
      <c r="AX128" s="108">
        <f t="shared" si="79"/>
        <v>0</v>
      </c>
      <c r="AY128" s="108">
        <f t="shared" si="70"/>
        <v>0</v>
      </c>
      <c r="BB128" s="2" t="e">
        <f t="shared" si="88"/>
        <v>#VALUE!</v>
      </c>
    </row>
    <row r="129" spans="5:54" ht="12" x14ac:dyDescent="0.2">
      <c r="E129" s="1055">
        <f t="shared" si="76"/>
        <v>121</v>
      </c>
      <c r="F129" s="1056">
        <f t="shared" si="63"/>
        <v>48999</v>
      </c>
      <c r="G129" s="24">
        <f t="shared" si="59"/>
        <v>0</v>
      </c>
      <c r="H129" s="24">
        <f t="shared" si="64"/>
        <v>0</v>
      </c>
      <c r="I129" s="24">
        <f t="shared" si="74"/>
        <v>792931.1599999998</v>
      </c>
      <c r="J129" s="24">
        <f t="shared" si="60"/>
        <v>0</v>
      </c>
      <c r="K129" s="24">
        <f t="shared" si="65"/>
        <v>0</v>
      </c>
      <c r="L129" s="24">
        <f t="shared" si="71"/>
        <v>0</v>
      </c>
      <c r="M129" s="24">
        <f t="shared" si="84"/>
        <v>0</v>
      </c>
      <c r="N129" s="24">
        <f t="shared" si="85"/>
        <v>0</v>
      </c>
      <c r="O129" s="24">
        <f t="shared" si="72"/>
        <v>0</v>
      </c>
      <c r="P129" s="24">
        <f t="shared" si="73"/>
        <v>0</v>
      </c>
      <c r="Q129" s="24">
        <f t="shared" si="66"/>
        <v>0</v>
      </c>
      <c r="R129" s="36">
        <f t="shared" si="80"/>
        <v>0</v>
      </c>
      <c r="S129" s="36">
        <f t="shared" si="67"/>
        <v>0</v>
      </c>
      <c r="T129" s="2">
        <f t="shared" si="100"/>
        <v>1627.3</v>
      </c>
      <c r="U129" s="34">
        <f t="shared" si="91"/>
        <v>21774</v>
      </c>
      <c r="V129" s="57">
        <f t="shared" si="101"/>
        <v>74515</v>
      </c>
      <c r="W129" s="16">
        <f t="shared" si="102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7"/>
        <v>1198.8800000000001</v>
      </c>
      <c r="AJ129" s="34">
        <f t="shared" si="92"/>
        <v>21774</v>
      </c>
      <c r="AK129" s="57">
        <f t="shared" si="93"/>
        <v>74515</v>
      </c>
      <c r="AM129" s="1057">
        <f t="shared" si="78"/>
        <v>121</v>
      </c>
      <c r="AN129" s="1058">
        <f t="shared" si="68"/>
        <v>48999</v>
      </c>
      <c r="AO129" s="105">
        <f t="shared" si="89"/>
        <v>0</v>
      </c>
      <c r="AP129" s="105">
        <f t="shared" si="69"/>
        <v>0</v>
      </c>
      <c r="AQ129" s="105">
        <f t="shared" si="94"/>
        <v>0</v>
      </c>
      <c r="AR129" s="105">
        <f t="shared" si="83"/>
        <v>0</v>
      </c>
      <c r="AS129" s="105">
        <f t="shared" si="95"/>
        <v>0</v>
      </c>
      <c r="AT129" s="105">
        <f t="shared" si="96"/>
        <v>0</v>
      </c>
      <c r="AU129" s="105">
        <f t="shared" si="97"/>
        <v>0</v>
      </c>
      <c r="AV129" s="105">
        <f t="shared" si="98"/>
        <v>0</v>
      </c>
      <c r="AW129" s="105">
        <f t="shared" si="99"/>
        <v>0</v>
      </c>
      <c r="AX129" s="108">
        <f t="shared" si="79"/>
        <v>0</v>
      </c>
      <c r="AY129" s="108">
        <f t="shared" si="70"/>
        <v>0</v>
      </c>
      <c r="BB129" s="2" t="e">
        <f t="shared" si="88"/>
        <v>#VALUE!</v>
      </c>
    </row>
    <row r="130" spans="5:54" ht="12" x14ac:dyDescent="0.2">
      <c r="E130" s="1055">
        <f t="shared" si="76"/>
        <v>122</v>
      </c>
      <c r="F130" s="1056">
        <f t="shared" si="63"/>
        <v>49027</v>
      </c>
      <c r="G130" s="24">
        <f t="shared" si="59"/>
        <v>0</v>
      </c>
      <c r="H130" s="24">
        <f t="shared" si="64"/>
        <v>0</v>
      </c>
      <c r="I130" s="24">
        <f t="shared" si="74"/>
        <v>792931.1599999998</v>
      </c>
      <c r="J130" s="24">
        <f t="shared" si="60"/>
        <v>0</v>
      </c>
      <c r="K130" s="24">
        <f t="shared" si="65"/>
        <v>0</v>
      </c>
      <c r="L130" s="24">
        <f t="shared" si="71"/>
        <v>0</v>
      </c>
      <c r="M130" s="24">
        <f t="shared" si="84"/>
        <v>0</v>
      </c>
      <c r="N130" s="24">
        <f t="shared" si="85"/>
        <v>0</v>
      </c>
      <c r="O130" s="24">
        <f t="shared" si="72"/>
        <v>0</v>
      </c>
      <c r="P130" s="24">
        <f t="shared" si="73"/>
        <v>0</v>
      </c>
      <c r="Q130" s="24">
        <f t="shared" si="66"/>
        <v>0</v>
      </c>
      <c r="R130" s="36">
        <f t="shared" si="80"/>
        <v>0</v>
      </c>
      <c r="S130" s="36">
        <f t="shared" si="67"/>
        <v>0</v>
      </c>
      <c r="T130" s="2">
        <f t="shared" si="100"/>
        <v>1366.55</v>
      </c>
      <c r="U130" s="34">
        <f t="shared" si="91"/>
        <v>21774</v>
      </c>
      <c r="V130" s="57">
        <f t="shared" si="101"/>
        <v>74880</v>
      </c>
      <c r="W130" s="16">
        <f t="shared" si="102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7"/>
        <v>926.04</v>
      </c>
      <c r="AJ130" s="34">
        <f t="shared" si="92"/>
        <v>21774</v>
      </c>
      <c r="AK130" s="57">
        <f t="shared" si="93"/>
        <v>74880</v>
      </c>
      <c r="BB130" s="2" t="e">
        <f t="shared" si="88"/>
        <v>#VALUE!</v>
      </c>
    </row>
    <row r="131" spans="5:54" ht="12" x14ac:dyDescent="0.2">
      <c r="E131" s="1055">
        <f t="shared" si="76"/>
        <v>123</v>
      </c>
      <c r="F131" s="1056">
        <f t="shared" si="63"/>
        <v>49058</v>
      </c>
      <c r="G131" s="24">
        <f t="shared" si="59"/>
        <v>0</v>
      </c>
      <c r="H131" s="24">
        <f t="shared" si="64"/>
        <v>0</v>
      </c>
      <c r="I131" s="24">
        <f t="shared" si="74"/>
        <v>792931.1599999998</v>
      </c>
      <c r="J131" s="24">
        <f t="shared" si="60"/>
        <v>0</v>
      </c>
      <c r="K131" s="24">
        <f t="shared" si="65"/>
        <v>0</v>
      </c>
      <c r="L131" s="24">
        <f t="shared" si="71"/>
        <v>0</v>
      </c>
      <c r="M131" s="24">
        <f t="shared" si="84"/>
        <v>0</v>
      </c>
      <c r="N131" s="24">
        <f t="shared" si="85"/>
        <v>0</v>
      </c>
      <c r="O131" s="24">
        <f t="shared" si="72"/>
        <v>0</v>
      </c>
      <c r="P131" s="24">
        <f t="shared" si="73"/>
        <v>0</v>
      </c>
      <c r="Q131" s="24">
        <f t="shared" si="66"/>
        <v>0</v>
      </c>
      <c r="R131" s="36">
        <f t="shared" si="80"/>
        <v>0</v>
      </c>
      <c r="S131" s="36">
        <f t="shared" si="67"/>
        <v>0</v>
      </c>
      <c r="T131" s="2">
        <f t="shared" si="100"/>
        <v>1193.1600000000001</v>
      </c>
      <c r="U131" s="34">
        <f t="shared" si="91"/>
        <v>21774</v>
      </c>
      <c r="V131" s="57">
        <f t="shared" si="101"/>
        <v>75245</v>
      </c>
      <c r="W131" s="16">
        <f t="shared" si="102"/>
        <v>82</v>
      </c>
      <c r="X131" s="16"/>
      <c r="Y131" s="16"/>
      <c r="Z131" s="16"/>
      <c r="AA131" s="16"/>
      <c r="AB131" s="1088"/>
      <c r="AC131" s="1088"/>
      <c r="AD131" s="1088"/>
      <c r="AE131" s="1088"/>
      <c r="AI131" s="2">
        <f t="shared" si="87"/>
        <v>589.45000000000005</v>
      </c>
      <c r="AJ131" s="34">
        <f t="shared" si="92"/>
        <v>21774</v>
      </c>
      <c r="AK131" s="57">
        <f t="shared" si="93"/>
        <v>75245</v>
      </c>
      <c r="AM131" s="1089"/>
      <c r="AN131" s="1087" t="s">
        <v>7</v>
      </c>
      <c r="AO131" s="1090">
        <f>(SUM(AO9:AO129)-IF(CODE(C18)=209,BN58,0))</f>
        <v>1826409.2</v>
      </c>
      <c r="AP131" s="1090">
        <f>(SUM(AP9:AP129)-IF(CODE(D18)=209,BO58,0))</f>
        <v>787970.2</v>
      </c>
      <c r="AQ131" s="1090">
        <f>SUM(AQ9:AQ129)</f>
        <v>1038439</v>
      </c>
      <c r="AR131" s="105">
        <f>IF(AT131&gt;$D$29,$D$29-AP131,IF(AY110=0,0,AV131)+BN158)</f>
        <v>0</v>
      </c>
      <c r="AS131" s="1091"/>
      <c r="AT131" s="1091"/>
      <c r="AU131" s="1091"/>
      <c r="AV131" s="1091"/>
      <c r="AW131" s="1091"/>
      <c r="BB131" s="2" t="e">
        <f t="shared" si="88"/>
        <v>#VALUE!</v>
      </c>
    </row>
    <row r="132" spans="5:54" x14ac:dyDescent="0.2">
      <c r="E132" s="1055">
        <f t="shared" si="76"/>
        <v>124</v>
      </c>
      <c r="F132" s="1056">
        <f t="shared" si="63"/>
        <v>49088</v>
      </c>
      <c r="G132" s="24">
        <f t="shared" si="59"/>
        <v>0</v>
      </c>
      <c r="H132" s="24">
        <f t="shared" si="64"/>
        <v>0</v>
      </c>
      <c r="I132" s="24">
        <f t="shared" si="74"/>
        <v>792931.1599999998</v>
      </c>
      <c r="J132" s="24">
        <f t="shared" si="60"/>
        <v>0</v>
      </c>
      <c r="K132" s="24">
        <f t="shared" si="65"/>
        <v>0</v>
      </c>
      <c r="L132" s="24">
        <f t="shared" si="71"/>
        <v>0</v>
      </c>
      <c r="M132" s="24">
        <f t="shared" si="84"/>
        <v>0</v>
      </c>
      <c r="N132" s="24">
        <f t="shared" si="85"/>
        <v>0</v>
      </c>
      <c r="O132" s="24">
        <f t="shared" si="72"/>
        <v>0</v>
      </c>
      <c r="P132" s="24">
        <f t="shared" si="73"/>
        <v>0</v>
      </c>
      <c r="Q132" s="24">
        <f t="shared" si="66"/>
        <v>0</v>
      </c>
      <c r="R132" s="36">
        <f t="shared" si="80"/>
        <v>0</v>
      </c>
      <c r="S132" s="36">
        <f t="shared" si="67"/>
        <v>0</v>
      </c>
      <c r="T132" s="2">
        <f t="shared" si="100"/>
        <v>940.38</v>
      </c>
      <c r="U132" s="34">
        <f t="shared" si="91"/>
        <v>21774</v>
      </c>
      <c r="V132" s="57">
        <f t="shared" si="101"/>
        <v>75610</v>
      </c>
      <c r="W132" s="16">
        <f t="shared" si="102"/>
        <v>83</v>
      </c>
      <c r="AI132" s="2">
        <f t="shared" si="87"/>
        <v>287.02999999999997</v>
      </c>
      <c r="AJ132" s="34">
        <f t="shared" si="92"/>
        <v>19167.199999999906</v>
      </c>
      <c r="AK132" s="57">
        <f t="shared" si="93"/>
        <v>75610</v>
      </c>
      <c r="BB132" s="2" t="e">
        <f t="shared" si="88"/>
        <v>#VALUE!</v>
      </c>
    </row>
    <row r="133" spans="5:54" x14ac:dyDescent="0.2">
      <c r="E133" s="1055">
        <f t="shared" si="76"/>
        <v>125</v>
      </c>
      <c r="F133" s="1056">
        <f t="shared" si="63"/>
        <v>49119</v>
      </c>
      <c r="G133" s="24">
        <f t="shared" ref="G133:G159" si="103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64"/>
        <v>0</v>
      </c>
      <c r="I133" s="24">
        <f t="shared" si="74"/>
        <v>792931.1599999998</v>
      </c>
      <c r="J133" s="24">
        <f t="shared" ref="J133:J159" si="104">IF(AND(E133=$C$10,$C$22&lt;&gt;"Нет"),MIN((I133-I133/$C$19*$C$23),Q132+H133-G132),0)</f>
        <v>0</v>
      </c>
      <c r="K133" s="24">
        <f t="shared" si="65"/>
        <v>0</v>
      </c>
      <c r="L133" s="24">
        <f t="shared" si="71"/>
        <v>0</v>
      </c>
      <c r="M133" s="24">
        <f t="shared" si="84"/>
        <v>0</v>
      </c>
      <c r="N133" s="24">
        <f t="shared" si="85"/>
        <v>0</v>
      </c>
      <c r="O133" s="24">
        <f t="shared" si="72"/>
        <v>0</v>
      </c>
      <c r="P133" s="24">
        <f t="shared" si="73"/>
        <v>0</v>
      </c>
      <c r="Q133" s="24">
        <f t="shared" si="66"/>
        <v>0</v>
      </c>
      <c r="R133" s="36">
        <f t="shared" si="80"/>
        <v>0</v>
      </c>
      <c r="S133" s="36">
        <f t="shared" si="67"/>
        <v>0</v>
      </c>
      <c r="T133" s="2">
        <f t="shared" si="100"/>
        <v>746.66</v>
      </c>
      <c r="U133" s="34">
        <f t="shared" si="91"/>
        <v>-118547.85420118351</v>
      </c>
      <c r="V133" s="57">
        <f t="shared" si="101"/>
        <v>75975</v>
      </c>
      <c r="W133" s="16">
        <f t="shared" si="102"/>
        <v>84</v>
      </c>
      <c r="AI133" s="2">
        <f t="shared" si="87"/>
        <v>0</v>
      </c>
      <c r="AJ133" s="34">
        <f t="shared" si="92"/>
        <v>0</v>
      </c>
      <c r="AK133" s="57">
        <f t="shared" si="93"/>
        <v>75610</v>
      </c>
      <c r="BB133" s="2" t="e">
        <f t="shared" si="88"/>
        <v>#VALUE!</v>
      </c>
    </row>
    <row r="134" spans="5:54" x14ac:dyDescent="0.2">
      <c r="E134" s="1055">
        <f t="shared" si="76"/>
        <v>126</v>
      </c>
      <c r="F134" s="1056">
        <f t="shared" si="63"/>
        <v>49149</v>
      </c>
      <c r="G134" s="24">
        <f t="shared" si="103"/>
        <v>0</v>
      </c>
      <c r="H134" s="24">
        <f t="shared" si="64"/>
        <v>0</v>
      </c>
      <c r="I134" s="24">
        <f t="shared" si="74"/>
        <v>792931.1599999998</v>
      </c>
      <c r="J134" s="24">
        <f t="shared" si="104"/>
        <v>0</v>
      </c>
      <c r="K134" s="24">
        <f t="shared" si="65"/>
        <v>0</v>
      </c>
      <c r="L134" s="24">
        <f t="shared" si="71"/>
        <v>0</v>
      </c>
      <c r="M134" s="24">
        <f t="shared" si="84"/>
        <v>0</v>
      </c>
      <c r="N134" s="24">
        <f t="shared" si="85"/>
        <v>0</v>
      </c>
      <c r="O134" s="24">
        <f t="shared" si="72"/>
        <v>0</v>
      </c>
      <c r="P134" s="24">
        <f t="shared" si="73"/>
        <v>0</v>
      </c>
      <c r="Q134" s="24">
        <f t="shared" si="66"/>
        <v>0</v>
      </c>
      <c r="R134" s="36">
        <f t="shared" si="80"/>
        <v>0</v>
      </c>
      <c r="S134" s="36">
        <f t="shared" si="67"/>
        <v>0</v>
      </c>
      <c r="T134" s="2">
        <f t="shared" si="100"/>
        <v>0</v>
      </c>
      <c r="U134" s="34">
        <f t="shared" si="91"/>
        <v>0</v>
      </c>
      <c r="V134" s="57">
        <f t="shared" si="101"/>
        <v>75975</v>
      </c>
      <c r="W134" s="16">
        <f t="shared" si="102"/>
        <v>85</v>
      </c>
      <c r="AI134" s="2">
        <f t="shared" si="87"/>
        <v>0</v>
      </c>
      <c r="AJ134" s="34">
        <f t="shared" si="92"/>
        <v>0</v>
      </c>
      <c r="AK134" s="57">
        <f t="shared" si="93"/>
        <v>75610</v>
      </c>
      <c r="BB134" s="2" t="e">
        <f t="shared" si="88"/>
        <v>#VALUE!</v>
      </c>
    </row>
    <row r="135" spans="5:54" x14ac:dyDescent="0.2">
      <c r="E135" s="1055">
        <f t="shared" si="76"/>
        <v>127</v>
      </c>
      <c r="F135" s="1056">
        <f t="shared" si="63"/>
        <v>49180</v>
      </c>
      <c r="G135" s="24">
        <f t="shared" si="103"/>
        <v>0</v>
      </c>
      <c r="H135" s="24">
        <f t="shared" si="64"/>
        <v>0</v>
      </c>
      <c r="I135" s="24">
        <f t="shared" si="74"/>
        <v>792931.1599999998</v>
      </c>
      <c r="J135" s="24">
        <f t="shared" si="104"/>
        <v>0</v>
      </c>
      <c r="K135" s="24">
        <f t="shared" si="65"/>
        <v>0</v>
      </c>
      <c r="L135" s="24">
        <f t="shared" si="71"/>
        <v>0</v>
      </c>
      <c r="M135" s="24">
        <f t="shared" si="84"/>
        <v>0</v>
      </c>
      <c r="N135" s="24">
        <f t="shared" si="85"/>
        <v>0</v>
      </c>
      <c r="O135" s="24">
        <f t="shared" si="72"/>
        <v>0</v>
      </c>
      <c r="P135" s="24">
        <f t="shared" si="73"/>
        <v>0</v>
      </c>
      <c r="Q135" s="24">
        <f t="shared" si="66"/>
        <v>0</v>
      </c>
      <c r="R135" s="36">
        <f t="shared" si="80"/>
        <v>0</v>
      </c>
      <c r="S135" s="36">
        <f t="shared" si="67"/>
        <v>0</v>
      </c>
      <c r="T135" s="2">
        <f t="shared" si="100"/>
        <v>0</v>
      </c>
      <c r="U135" s="34">
        <f t="shared" si="91"/>
        <v>0</v>
      </c>
      <c r="V135" s="57">
        <f t="shared" si="101"/>
        <v>75975</v>
      </c>
      <c r="W135" s="16">
        <f t="shared" si="102"/>
        <v>86</v>
      </c>
      <c r="AI135" s="2">
        <f t="shared" si="87"/>
        <v>0</v>
      </c>
      <c r="AJ135" s="34">
        <f t="shared" si="92"/>
        <v>0</v>
      </c>
      <c r="AK135" s="57">
        <f t="shared" si="93"/>
        <v>75610</v>
      </c>
      <c r="BB135" s="2" t="e">
        <f t="shared" si="88"/>
        <v>#VALUE!</v>
      </c>
    </row>
    <row r="136" spans="5:54" x14ac:dyDescent="0.2">
      <c r="E136" s="1055">
        <f t="shared" si="76"/>
        <v>128</v>
      </c>
      <c r="F136" s="1056">
        <f t="shared" si="63"/>
        <v>49211</v>
      </c>
      <c r="G136" s="24">
        <f t="shared" si="103"/>
        <v>0</v>
      </c>
      <c r="H136" s="24">
        <f t="shared" si="64"/>
        <v>0</v>
      </c>
      <c r="I136" s="24">
        <f t="shared" si="74"/>
        <v>792931.1599999998</v>
      </c>
      <c r="J136" s="24">
        <f t="shared" si="104"/>
        <v>0</v>
      </c>
      <c r="K136" s="24">
        <f t="shared" si="65"/>
        <v>0</v>
      </c>
      <c r="L136" s="24">
        <f t="shared" si="71"/>
        <v>0</v>
      </c>
      <c r="M136" s="24">
        <f t="shared" si="84"/>
        <v>0</v>
      </c>
      <c r="N136" s="24">
        <f t="shared" si="85"/>
        <v>0</v>
      </c>
      <c r="O136" s="24">
        <f t="shared" si="72"/>
        <v>0</v>
      </c>
      <c r="P136" s="24">
        <f t="shared" si="73"/>
        <v>0</v>
      </c>
      <c r="Q136" s="24">
        <f t="shared" si="66"/>
        <v>0</v>
      </c>
      <c r="R136" s="36">
        <f t="shared" si="80"/>
        <v>0</v>
      </c>
      <c r="S136" s="36">
        <f t="shared" si="67"/>
        <v>0</v>
      </c>
      <c r="T136" s="2">
        <f t="shared" si="100"/>
        <v>0</v>
      </c>
      <c r="U136" s="34">
        <f t="shared" si="91"/>
        <v>0</v>
      </c>
      <c r="V136" s="57">
        <f t="shared" si="101"/>
        <v>75975</v>
      </c>
      <c r="W136" s="16">
        <f t="shared" si="102"/>
        <v>87</v>
      </c>
      <c r="AI136" s="2">
        <f t="shared" si="87"/>
        <v>0</v>
      </c>
      <c r="AJ136" s="34">
        <f t="shared" si="92"/>
        <v>0</v>
      </c>
      <c r="AK136" s="57">
        <f t="shared" si="93"/>
        <v>75610</v>
      </c>
      <c r="BB136" s="2" t="e">
        <f t="shared" si="88"/>
        <v>#VALUE!</v>
      </c>
    </row>
    <row r="137" spans="5:54" x14ac:dyDescent="0.2">
      <c r="E137" s="1055">
        <f t="shared" si="76"/>
        <v>129</v>
      </c>
      <c r="F137" s="1056">
        <f t="shared" ref="F137:F159" si="105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103"/>
        <v>0</v>
      </c>
      <c r="H137" s="24">
        <f t="shared" ref="H137:H163" si="106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4"/>
        <v>792931.1599999998</v>
      </c>
      <c r="J137" s="24">
        <f t="shared" si="104"/>
        <v>0</v>
      </c>
      <c r="K137" s="24">
        <f t="shared" ref="K137:K159" si="107">IF(S137=0,0,IF(S137=1,Q136,IF(Q136+L137+H137&gt;G136,G137-H137-L137,Q136)))</f>
        <v>0</v>
      </c>
      <c r="L137" s="24">
        <f t="shared" si="71"/>
        <v>0</v>
      </c>
      <c r="M137" s="24">
        <f t="shared" si="84"/>
        <v>0</v>
      </c>
      <c r="N137" s="24">
        <f t="shared" si="85"/>
        <v>0</v>
      </c>
      <c r="O137" s="24">
        <f t="shared" si="72"/>
        <v>0</v>
      </c>
      <c r="P137" s="24">
        <f t="shared" si="73"/>
        <v>0</v>
      </c>
      <c r="Q137" s="24">
        <f t="shared" ref="Q137:Q159" si="108">IF(OR(S137=1,Q136=0),0,Q136-K137)</f>
        <v>0</v>
      </c>
      <c r="R137" s="36">
        <f t="shared" si="80"/>
        <v>0</v>
      </c>
      <c r="S137" s="36">
        <f t="shared" ref="S137:S159" si="109">IF(ISERR(CEILING(FLOOR(NPER($C$19/12,-$AA$56,Q136),0.1),1))=TRUE,0,CEILING(FLOOR(NPER($C$19/12,-$AA$56,Q136),0.1),1))</f>
        <v>0</v>
      </c>
      <c r="T137" s="2">
        <f t="shared" si="100"/>
        <v>0</v>
      </c>
      <c r="U137" s="34">
        <f t="shared" si="91"/>
        <v>0</v>
      </c>
      <c r="V137" s="57">
        <f t="shared" si="101"/>
        <v>75975</v>
      </c>
      <c r="W137" s="16">
        <f t="shared" si="102"/>
        <v>88</v>
      </c>
      <c r="AI137" s="2">
        <f t="shared" si="87"/>
        <v>0</v>
      </c>
      <c r="AJ137" s="34">
        <f t="shared" si="92"/>
        <v>0</v>
      </c>
      <c r="AK137" s="57">
        <f t="shared" si="93"/>
        <v>75610</v>
      </c>
      <c r="BB137" s="2" t="e">
        <f t="shared" si="88"/>
        <v>#VALUE!</v>
      </c>
    </row>
    <row r="138" spans="5:54" x14ac:dyDescent="0.2">
      <c r="E138" s="1055">
        <f t="shared" si="76"/>
        <v>130</v>
      </c>
      <c r="F138" s="1056">
        <f t="shared" si="105"/>
        <v>49272</v>
      </c>
      <c r="G138" s="24">
        <f t="shared" si="103"/>
        <v>0</v>
      </c>
      <c r="H138" s="24">
        <f t="shared" si="106"/>
        <v>0</v>
      </c>
      <c r="I138" s="24">
        <f t="shared" si="74"/>
        <v>792931.1599999998</v>
      </c>
      <c r="J138" s="24">
        <f t="shared" si="104"/>
        <v>0</v>
      </c>
      <c r="K138" s="24">
        <f t="shared" si="107"/>
        <v>0</v>
      </c>
      <c r="L138" s="24">
        <f t="shared" ref="L138:L159" si="110">IF(N138&gt;$C$29,$C$29-H138,IF(S138=0,0,O138))</f>
        <v>0</v>
      </c>
      <c r="M138" s="24">
        <f t="shared" si="84"/>
        <v>0</v>
      </c>
      <c r="N138" s="24">
        <f t="shared" si="85"/>
        <v>0</v>
      </c>
      <c r="O138" s="24">
        <f t="shared" ref="O138:O166" si="111">IF(S138=0,0,0)</f>
        <v>0</v>
      </c>
      <c r="P138" s="24">
        <f t="shared" ref="P138:P187" si="112">IF(S138=0,0,0)</f>
        <v>0</v>
      </c>
      <c r="Q138" s="24">
        <f t="shared" si="108"/>
        <v>0</v>
      </c>
      <c r="R138" s="36">
        <f t="shared" si="80"/>
        <v>0</v>
      </c>
      <c r="S138" s="36">
        <f t="shared" si="109"/>
        <v>0</v>
      </c>
      <c r="T138" s="2">
        <f t="shared" si="100"/>
        <v>0</v>
      </c>
      <c r="U138" s="34">
        <f t="shared" si="91"/>
        <v>0</v>
      </c>
      <c r="V138" s="57">
        <f t="shared" si="101"/>
        <v>75975</v>
      </c>
      <c r="W138" s="16">
        <f t="shared" si="102"/>
        <v>89</v>
      </c>
      <c r="AI138" s="2">
        <f t="shared" si="87"/>
        <v>0</v>
      </c>
      <c r="AJ138" s="34">
        <f t="shared" si="92"/>
        <v>0</v>
      </c>
      <c r="AK138" s="57">
        <f t="shared" si="93"/>
        <v>75610</v>
      </c>
      <c r="BB138" s="2" t="e">
        <f t="shared" si="88"/>
        <v>#VALUE!</v>
      </c>
    </row>
    <row r="139" spans="5:54" x14ac:dyDescent="0.2">
      <c r="E139" s="1055">
        <f t="shared" si="76"/>
        <v>131</v>
      </c>
      <c r="F139" s="1056">
        <f t="shared" si="105"/>
        <v>49302</v>
      </c>
      <c r="G139" s="24">
        <f t="shared" si="103"/>
        <v>0</v>
      </c>
      <c r="H139" s="24">
        <f t="shared" si="106"/>
        <v>0</v>
      </c>
      <c r="I139" s="24">
        <f t="shared" ref="I139:I159" si="113">H139+I138</f>
        <v>792931.1599999998</v>
      </c>
      <c r="J139" s="24">
        <f t="shared" si="104"/>
        <v>0</v>
      </c>
      <c r="K139" s="24">
        <f t="shared" si="107"/>
        <v>0</v>
      </c>
      <c r="L139" s="24">
        <f t="shared" si="110"/>
        <v>0</v>
      </c>
      <c r="M139" s="24">
        <f t="shared" si="84"/>
        <v>0</v>
      </c>
      <c r="N139" s="24">
        <f t="shared" si="85"/>
        <v>0</v>
      </c>
      <c r="O139" s="24">
        <f t="shared" si="111"/>
        <v>0</v>
      </c>
      <c r="P139" s="24">
        <f t="shared" si="112"/>
        <v>0</v>
      </c>
      <c r="Q139" s="24">
        <f t="shared" si="108"/>
        <v>0</v>
      </c>
      <c r="R139" s="36">
        <f t="shared" si="80"/>
        <v>0</v>
      </c>
      <c r="S139" s="36">
        <f t="shared" si="109"/>
        <v>0</v>
      </c>
      <c r="T139" s="2">
        <f t="shared" si="100"/>
        <v>0</v>
      </c>
      <c r="U139" s="34">
        <f t="shared" si="91"/>
        <v>0</v>
      </c>
      <c r="V139" s="57">
        <f t="shared" si="101"/>
        <v>75975</v>
      </c>
      <c r="W139" s="16">
        <f t="shared" si="102"/>
        <v>90</v>
      </c>
      <c r="AI139" s="2">
        <f t="shared" si="87"/>
        <v>0</v>
      </c>
      <c r="AJ139" s="34">
        <f t="shared" si="92"/>
        <v>0</v>
      </c>
      <c r="AK139" s="57">
        <f t="shared" si="93"/>
        <v>75610</v>
      </c>
      <c r="BB139" s="2" t="e">
        <f t="shared" si="88"/>
        <v>#VALUE!</v>
      </c>
    </row>
    <row r="140" spans="5:54" x14ac:dyDescent="0.2">
      <c r="E140" s="1055">
        <f t="shared" ref="E140:E159" si="114">E139+1</f>
        <v>132</v>
      </c>
      <c r="F140" s="1056">
        <f t="shared" si="105"/>
        <v>49333</v>
      </c>
      <c r="G140" s="24">
        <f t="shared" si="103"/>
        <v>0</v>
      </c>
      <c r="H140" s="24">
        <f t="shared" si="106"/>
        <v>0</v>
      </c>
      <c r="I140" s="24">
        <f t="shared" si="113"/>
        <v>792931.1599999998</v>
      </c>
      <c r="J140" s="24">
        <f t="shared" si="104"/>
        <v>0</v>
      </c>
      <c r="K140" s="24">
        <f t="shared" si="107"/>
        <v>0</v>
      </c>
      <c r="L140" s="24">
        <f t="shared" si="110"/>
        <v>0</v>
      </c>
      <c r="M140" s="24">
        <f t="shared" si="84"/>
        <v>0</v>
      </c>
      <c r="N140" s="24">
        <f t="shared" si="85"/>
        <v>0</v>
      </c>
      <c r="O140" s="24">
        <f t="shared" si="111"/>
        <v>0</v>
      </c>
      <c r="P140" s="24">
        <f t="shared" si="112"/>
        <v>0</v>
      </c>
      <c r="Q140" s="24">
        <f t="shared" si="108"/>
        <v>0</v>
      </c>
      <c r="R140" s="36">
        <f t="shared" si="80"/>
        <v>0</v>
      </c>
      <c r="S140" s="36">
        <f t="shared" si="109"/>
        <v>0</v>
      </c>
      <c r="T140" s="2">
        <f t="shared" si="100"/>
        <v>0</v>
      </c>
      <c r="U140" s="34">
        <f t="shared" si="91"/>
        <v>0</v>
      </c>
      <c r="V140" s="57">
        <f t="shared" si="101"/>
        <v>75975</v>
      </c>
      <c r="W140" s="16">
        <f t="shared" si="102"/>
        <v>91</v>
      </c>
      <c r="AI140" s="2">
        <f t="shared" si="87"/>
        <v>0</v>
      </c>
      <c r="AJ140" s="34">
        <f t="shared" si="92"/>
        <v>0</v>
      </c>
      <c r="AK140" s="57">
        <f t="shared" si="93"/>
        <v>75610</v>
      </c>
      <c r="BB140" s="2" t="e">
        <f t="shared" si="88"/>
        <v>#VALUE!</v>
      </c>
    </row>
    <row r="141" spans="5:54" x14ac:dyDescent="0.2">
      <c r="E141" s="1055">
        <f t="shared" si="114"/>
        <v>133</v>
      </c>
      <c r="F141" s="1056">
        <f t="shared" si="105"/>
        <v>49364</v>
      </c>
      <c r="G141" s="24">
        <f t="shared" si="103"/>
        <v>0</v>
      </c>
      <c r="H141" s="24">
        <f t="shared" si="106"/>
        <v>0</v>
      </c>
      <c r="I141" s="24">
        <f t="shared" si="113"/>
        <v>792931.1599999998</v>
      </c>
      <c r="J141" s="24">
        <f t="shared" si="104"/>
        <v>0</v>
      </c>
      <c r="K141" s="24">
        <f t="shared" si="107"/>
        <v>0</v>
      </c>
      <c r="L141" s="24">
        <f t="shared" si="110"/>
        <v>0</v>
      </c>
      <c r="M141" s="24">
        <f t="shared" si="84"/>
        <v>0</v>
      </c>
      <c r="N141" s="24">
        <f t="shared" si="85"/>
        <v>0</v>
      </c>
      <c r="O141" s="24">
        <f t="shared" si="111"/>
        <v>0</v>
      </c>
      <c r="P141" s="24">
        <f t="shared" si="112"/>
        <v>0</v>
      </c>
      <c r="Q141" s="24">
        <f t="shared" si="108"/>
        <v>0</v>
      </c>
      <c r="R141" s="36">
        <f t="shared" si="80"/>
        <v>0</v>
      </c>
      <c r="S141" s="36">
        <f t="shared" si="109"/>
        <v>0</v>
      </c>
      <c r="T141" s="2">
        <f t="shared" si="100"/>
        <v>0</v>
      </c>
      <c r="U141" s="34">
        <f t="shared" si="91"/>
        <v>0</v>
      </c>
      <c r="V141" s="57">
        <f t="shared" si="101"/>
        <v>75975</v>
      </c>
      <c r="W141" s="16">
        <f t="shared" si="102"/>
        <v>92</v>
      </c>
      <c r="AI141" s="2">
        <f t="shared" si="87"/>
        <v>0</v>
      </c>
      <c r="AJ141" s="34">
        <f t="shared" si="92"/>
        <v>0</v>
      </c>
      <c r="AK141" s="57">
        <f t="shared" si="93"/>
        <v>75610</v>
      </c>
      <c r="BB141" s="2" t="e">
        <f t="shared" si="88"/>
        <v>#VALUE!</v>
      </c>
    </row>
    <row r="142" spans="5:54" x14ac:dyDescent="0.2">
      <c r="E142" s="1055">
        <f t="shared" si="114"/>
        <v>134</v>
      </c>
      <c r="F142" s="1056">
        <f t="shared" si="105"/>
        <v>49392</v>
      </c>
      <c r="G142" s="24">
        <f t="shared" si="103"/>
        <v>0</v>
      </c>
      <c r="H142" s="24">
        <f t="shared" si="106"/>
        <v>0</v>
      </c>
      <c r="I142" s="24">
        <f t="shared" si="113"/>
        <v>792931.1599999998</v>
      </c>
      <c r="J142" s="24">
        <f t="shared" si="104"/>
        <v>0</v>
      </c>
      <c r="K142" s="24">
        <f t="shared" si="107"/>
        <v>0</v>
      </c>
      <c r="L142" s="24">
        <f t="shared" si="110"/>
        <v>0</v>
      </c>
      <c r="M142" s="24">
        <f t="shared" si="84"/>
        <v>0</v>
      </c>
      <c r="N142" s="24">
        <f t="shared" si="85"/>
        <v>0</v>
      </c>
      <c r="O142" s="24">
        <f t="shared" si="111"/>
        <v>0</v>
      </c>
      <c r="P142" s="24">
        <f t="shared" si="112"/>
        <v>0</v>
      </c>
      <c r="Q142" s="24">
        <f t="shared" si="108"/>
        <v>0</v>
      </c>
      <c r="R142" s="36">
        <f t="shared" ref="R142:R159" si="115">IF((R141-1)&lt;0,0,R141-1)</f>
        <v>0</v>
      </c>
      <c r="S142" s="36">
        <f t="shared" si="109"/>
        <v>0</v>
      </c>
      <c r="T142" s="2">
        <f t="shared" si="100"/>
        <v>0</v>
      </c>
      <c r="U142" s="34">
        <f t="shared" si="91"/>
        <v>0</v>
      </c>
      <c r="V142" s="57">
        <f t="shared" si="101"/>
        <v>75975</v>
      </c>
      <c r="W142" s="16">
        <f t="shared" si="102"/>
        <v>93</v>
      </c>
      <c r="AI142" s="2">
        <f t="shared" si="87"/>
        <v>0</v>
      </c>
      <c r="AJ142" s="34">
        <f t="shared" si="92"/>
        <v>0</v>
      </c>
      <c r="AK142" s="57">
        <f t="shared" si="93"/>
        <v>75610</v>
      </c>
      <c r="BB142" s="2" t="e">
        <f t="shared" si="88"/>
        <v>#VALUE!</v>
      </c>
    </row>
    <row r="143" spans="5:54" x14ac:dyDescent="0.2">
      <c r="E143" s="1055">
        <f t="shared" si="114"/>
        <v>135</v>
      </c>
      <c r="F143" s="1056">
        <f t="shared" si="105"/>
        <v>49423</v>
      </c>
      <c r="G143" s="24">
        <f t="shared" si="103"/>
        <v>0</v>
      </c>
      <c r="H143" s="24">
        <f t="shared" si="106"/>
        <v>0</v>
      </c>
      <c r="I143" s="24">
        <f t="shared" si="113"/>
        <v>792931.1599999998</v>
      </c>
      <c r="J143" s="24">
        <f t="shared" si="104"/>
        <v>0</v>
      </c>
      <c r="K143" s="24">
        <f t="shared" si="107"/>
        <v>0</v>
      </c>
      <c r="L143" s="24">
        <f t="shared" si="110"/>
        <v>0</v>
      </c>
      <c r="M143" s="24">
        <f t="shared" si="84"/>
        <v>0</v>
      </c>
      <c r="N143" s="24">
        <f t="shared" si="85"/>
        <v>0</v>
      </c>
      <c r="O143" s="24">
        <f t="shared" si="111"/>
        <v>0</v>
      </c>
      <c r="P143" s="24">
        <f t="shared" si="112"/>
        <v>0</v>
      </c>
      <c r="Q143" s="24">
        <f t="shared" si="108"/>
        <v>0</v>
      </c>
      <c r="R143" s="36">
        <f t="shared" si="115"/>
        <v>0</v>
      </c>
      <c r="S143" s="36">
        <f t="shared" si="109"/>
        <v>0</v>
      </c>
      <c r="T143" s="2">
        <f t="shared" si="100"/>
        <v>0</v>
      </c>
      <c r="U143" s="34">
        <f t="shared" si="91"/>
        <v>0</v>
      </c>
      <c r="V143" s="57">
        <f t="shared" si="101"/>
        <v>75975</v>
      </c>
      <c r="W143" s="16">
        <f t="shared" si="102"/>
        <v>94</v>
      </c>
      <c r="AI143" s="2">
        <f t="shared" si="87"/>
        <v>0</v>
      </c>
      <c r="AJ143" s="34">
        <f t="shared" si="92"/>
        <v>0</v>
      </c>
      <c r="AK143" s="57">
        <f t="shared" si="93"/>
        <v>75610</v>
      </c>
      <c r="BB143" s="2" t="e">
        <f t="shared" si="88"/>
        <v>#VALUE!</v>
      </c>
    </row>
    <row r="144" spans="5:54" x14ac:dyDescent="0.2">
      <c r="E144" s="1055">
        <f t="shared" si="114"/>
        <v>136</v>
      </c>
      <c r="F144" s="1056">
        <f t="shared" si="105"/>
        <v>49453</v>
      </c>
      <c r="G144" s="24">
        <f t="shared" si="103"/>
        <v>0</v>
      </c>
      <c r="H144" s="24">
        <f t="shared" si="106"/>
        <v>0</v>
      </c>
      <c r="I144" s="24">
        <f t="shared" si="113"/>
        <v>792931.1599999998</v>
      </c>
      <c r="J144" s="24">
        <f t="shared" si="104"/>
        <v>0</v>
      </c>
      <c r="K144" s="24">
        <f t="shared" si="107"/>
        <v>0</v>
      </c>
      <c r="L144" s="24">
        <f t="shared" si="110"/>
        <v>0</v>
      </c>
      <c r="M144" s="24">
        <f t="shared" si="84"/>
        <v>0</v>
      </c>
      <c r="N144" s="24">
        <f t="shared" si="85"/>
        <v>0</v>
      </c>
      <c r="O144" s="24">
        <f t="shared" si="111"/>
        <v>0</v>
      </c>
      <c r="P144" s="24">
        <f t="shared" si="112"/>
        <v>0</v>
      </c>
      <c r="Q144" s="24">
        <f t="shared" si="108"/>
        <v>0</v>
      </c>
      <c r="R144" s="36">
        <f t="shared" si="115"/>
        <v>0</v>
      </c>
      <c r="S144" s="36">
        <f t="shared" si="109"/>
        <v>0</v>
      </c>
      <c r="T144" s="2">
        <f t="shared" si="100"/>
        <v>0</v>
      </c>
      <c r="U144" s="34">
        <f t="shared" si="91"/>
        <v>0</v>
      </c>
      <c r="V144" s="57">
        <f t="shared" si="101"/>
        <v>75975</v>
      </c>
      <c r="W144" s="16">
        <f t="shared" si="102"/>
        <v>95</v>
      </c>
      <c r="AI144" s="2">
        <f t="shared" si="87"/>
        <v>0</v>
      </c>
      <c r="AJ144" s="34">
        <f t="shared" si="92"/>
        <v>0</v>
      </c>
      <c r="AK144" s="57">
        <f t="shared" si="93"/>
        <v>75610</v>
      </c>
      <c r="BB144" s="2" t="e">
        <f t="shared" si="88"/>
        <v>#VALUE!</v>
      </c>
    </row>
    <row r="145" spans="5:54" x14ac:dyDescent="0.2">
      <c r="E145" s="1055">
        <f t="shared" si="114"/>
        <v>137</v>
      </c>
      <c r="F145" s="1056">
        <f t="shared" si="105"/>
        <v>49484</v>
      </c>
      <c r="G145" s="24">
        <f t="shared" si="103"/>
        <v>0</v>
      </c>
      <c r="H145" s="24">
        <f t="shared" si="106"/>
        <v>0</v>
      </c>
      <c r="I145" s="24">
        <f t="shared" si="113"/>
        <v>792931.1599999998</v>
      </c>
      <c r="J145" s="24">
        <f t="shared" si="104"/>
        <v>0</v>
      </c>
      <c r="K145" s="24">
        <f t="shared" si="107"/>
        <v>0</v>
      </c>
      <c r="L145" s="24">
        <f t="shared" si="110"/>
        <v>0</v>
      </c>
      <c r="M145" s="24">
        <f t="shared" si="84"/>
        <v>0</v>
      </c>
      <c r="N145" s="24">
        <f t="shared" si="85"/>
        <v>0</v>
      </c>
      <c r="O145" s="24">
        <f t="shared" si="111"/>
        <v>0</v>
      </c>
      <c r="P145" s="24">
        <f t="shared" si="112"/>
        <v>0</v>
      </c>
      <c r="Q145" s="24">
        <f t="shared" si="108"/>
        <v>0</v>
      </c>
      <c r="R145" s="36">
        <f t="shared" si="115"/>
        <v>0</v>
      </c>
      <c r="S145" s="36">
        <f t="shared" si="109"/>
        <v>0</v>
      </c>
      <c r="T145" s="2">
        <f t="shared" si="100"/>
        <v>0</v>
      </c>
      <c r="U145" s="34">
        <f t="shared" si="91"/>
        <v>0</v>
      </c>
      <c r="V145" s="57">
        <f t="shared" si="101"/>
        <v>75975</v>
      </c>
      <c r="W145" s="16">
        <f t="shared" si="102"/>
        <v>96</v>
      </c>
      <c r="AI145" s="2">
        <f t="shared" si="87"/>
        <v>0</v>
      </c>
      <c r="AJ145" s="34">
        <f t="shared" si="92"/>
        <v>0</v>
      </c>
      <c r="AK145" s="57">
        <f t="shared" si="93"/>
        <v>75610</v>
      </c>
      <c r="BB145" s="2" t="e">
        <f t="shared" si="88"/>
        <v>#VALUE!</v>
      </c>
    </row>
    <row r="146" spans="5:54" x14ac:dyDescent="0.2">
      <c r="E146" s="1055">
        <f t="shared" si="114"/>
        <v>138</v>
      </c>
      <c r="F146" s="1056">
        <f t="shared" si="105"/>
        <v>49514</v>
      </c>
      <c r="G146" s="24">
        <f t="shared" si="103"/>
        <v>0</v>
      </c>
      <c r="H146" s="24">
        <f t="shared" si="106"/>
        <v>0</v>
      </c>
      <c r="I146" s="24">
        <f t="shared" si="113"/>
        <v>792931.1599999998</v>
      </c>
      <c r="J146" s="24">
        <f t="shared" si="104"/>
        <v>0</v>
      </c>
      <c r="K146" s="24">
        <f t="shared" si="107"/>
        <v>0</v>
      </c>
      <c r="L146" s="24">
        <f t="shared" si="110"/>
        <v>0</v>
      </c>
      <c r="M146" s="24">
        <f t="shared" si="84"/>
        <v>0</v>
      </c>
      <c r="N146" s="24">
        <f t="shared" si="85"/>
        <v>0</v>
      </c>
      <c r="O146" s="24">
        <f t="shared" si="111"/>
        <v>0</v>
      </c>
      <c r="P146" s="24">
        <f t="shared" si="112"/>
        <v>0</v>
      </c>
      <c r="Q146" s="24">
        <f t="shared" si="108"/>
        <v>0</v>
      </c>
      <c r="R146" s="36">
        <f t="shared" si="115"/>
        <v>0</v>
      </c>
      <c r="S146" s="36">
        <f t="shared" si="109"/>
        <v>0</v>
      </c>
      <c r="T146" s="2">
        <f t="shared" si="100"/>
        <v>0</v>
      </c>
      <c r="U146" s="34">
        <f t="shared" si="91"/>
        <v>0</v>
      </c>
      <c r="V146" s="57">
        <f t="shared" si="101"/>
        <v>75975</v>
      </c>
      <c r="W146" s="16">
        <f t="shared" si="102"/>
        <v>97</v>
      </c>
      <c r="AI146" s="2">
        <f t="shared" si="87"/>
        <v>0</v>
      </c>
      <c r="AJ146" s="34">
        <f t="shared" si="92"/>
        <v>0</v>
      </c>
      <c r="AK146" s="57">
        <f t="shared" si="93"/>
        <v>75610</v>
      </c>
      <c r="BB146" s="2" t="e">
        <f t="shared" si="88"/>
        <v>#VALUE!</v>
      </c>
    </row>
    <row r="147" spans="5:54" x14ac:dyDescent="0.2">
      <c r="E147" s="1055">
        <f t="shared" si="114"/>
        <v>139</v>
      </c>
      <c r="F147" s="1056">
        <f t="shared" si="105"/>
        <v>49545</v>
      </c>
      <c r="G147" s="24">
        <f t="shared" si="103"/>
        <v>0</v>
      </c>
      <c r="H147" s="24">
        <f t="shared" si="106"/>
        <v>0</v>
      </c>
      <c r="I147" s="24">
        <f t="shared" si="113"/>
        <v>792931.1599999998</v>
      </c>
      <c r="J147" s="24">
        <f t="shared" si="104"/>
        <v>0</v>
      </c>
      <c r="K147" s="24">
        <f t="shared" si="107"/>
        <v>0</v>
      </c>
      <c r="L147" s="24">
        <f t="shared" si="110"/>
        <v>0</v>
      </c>
      <c r="M147" s="24">
        <f t="shared" si="84"/>
        <v>0</v>
      </c>
      <c r="N147" s="24">
        <f t="shared" si="85"/>
        <v>0</v>
      </c>
      <c r="O147" s="24">
        <f t="shared" si="111"/>
        <v>0</v>
      </c>
      <c r="P147" s="24">
        <f t="shared" si="112"/>
        <v>0</v>
      </c>
      <c r="Q147" s="24">
        <f t="shared" si="108"/>
        <v>0</v>
      </c>
      <c r="R147" s="36">
        <f t="shared" si="115"/>
        <v>0</v>
      </c>
      <c r="S147" s="36">
        <f t="shared" si="109"/>
        <v>0</v>
      </c>
      <c r="T147" s="2">
        <f t="shared" si="100"/>
        <v>0</v>
      </c>
      <c r="U147" s="34">
        <f t="shared" si="91"/>
        <v>0</v>
      </c>
      <c r="V147" s="57">
        <f t="shared" si="101"/>
        <v>75975</v>
      </c>
      <c r="W147" s="16">
        <f t="shared" si="102"/>
        <v>98</v>
      </c>
      <c r="AI147" s="2">
        <f t="shared" si="87"/>
        <v>0</v>
      </c>
      <c r="AJ147" s="34">
        <f t="shared" si="92"/>
        <v>0</v>
      </c>
      <c r="AK147" s="57">
        <f t="shared" si="93"/>
        <v>75610</v>
      </c>
      <c r="BB147" s="2" t="e">
        <f t="shared" si="88"/>
        <v>#VALUE!</v>
      </c>
    </row>
    <row r="148" spans="5:54" x14ac:dyDescent="0.2">
      <c r="E148" s="1055">
        <f t="shared" si="114"/>
        <v>140</v>
      </c>
      <c r="F148" s="1056">
        <f t="shared" si="105"/>
        <v>49576</v>
      </c>
      <c r="G148" s="24">
        <f t="shared" si="103"/>
        <v>0</v>
      </c>
      <c r="H148" s="24">
        <f t="shared" si="106"/>
        <v>0</v>
      </c>
      <c r="I148" s="24">
        <f t="shared" si="113"/>
        <v>792931.1599999998</v>
      </c>
      <c r="J148" s="24">
        <f t="shared" si="104"/>
        <v>0</v>
      </c>
      <c r="K148" s="24">
        <f t="shared" si="107"/>
        <v>0</v>
      </c>
      <c r="L148" s="24">
        <f t="shared" si="110"/>
        <v>0</v>
      </c>
      <c r="M148" s="24">
        <f t="shared" si="84"/>
        <v>0</v>
      </c>
      <c r="N148" s="24">
        <f t="shared" si="85"/>
        <v>0</v>
      </c>
      <c r="O148" s="24">
        <f t="shared" si="111"/>
        <v>0</v>
      </c>
      <c r="P148" s="24">
        <f t="shared" si="112"/>
        <v>0</v>
      </c>
      <c r="Q148" s="24">
        <f t="shared" si="108"/>
        <v>0</v>
      </c>
      <c r="R148" s="36">
        <f t="shared" si="115"/>
        <v>0</v>
      </c>
      <c r="S148" s="36">
        <f t="shared" si="109"/>
        <v>0</v>
      </c>
      <c r="T148" s="2">
        <f t="shared" si="100"/>
        <v>0</v>
      </c>
      <c r="U148" s="34">
        <f t="shared" si="91"/>
        <v>0</v>
      </c>
      <c r="V148" s="57">
        <f t="shared" si="101"/>
        <v>75975</v>
      </c>
      <c r="W148" s="16">
        <f t="shared" si="102"/>
        <v>99</v>
      </c>
      <c r="AI148" s="2">
        <f t="shared" si="87"/>
        <v>0</v>
      </c>
      <c r="AJ148" s="34">
        <f t="shared" si="92"/>
        <v>0</v>
      </c>
      <c r="AK148" s="57">
        <f t="shared" si="93"/>
        <v>75610</v>
      </c>
      <c r="BB148" s="2" t="e">
        <f t="shared" si="88"/>
        <v>#VALUE!</v>
      </c>
    </row>
    <row r="149" spans="5:54" x14ac:dyDescent="0.2">
      <c r="E149" s="1055">
        <f t="shared" si="114"/>
        <v>141</v>
      </c>
      <c r="F149" s="1056">
        <f t="shared" si="105"/>
        <v>49606</v>
      </c>
      <c r="G149" s="24">
        <f t="shared" si="103"/>
        <v>0</v>
      </c>
      <c r="H149" s="24">
        <f t="shared" si="106"/>
        <v>0</v>
      </c>
      <c r="I149" s="24">
        <f t="shared" si="113"/>
        <v>792931.1599999998</v>
      </c>
      <c r="J149" s="24">
        <f t="shared" si="104"/>
        <v>0</v>
      </c>
      <c r="K149" s="24">
        <f t="shared" si="107"/>
        <v>0</v>
      </c>
      <c r="L149" s="24">
        <f t="shared" si="110"/>
        <v>0</v>
      </c>
      <c r="M149" s="24">
        <f t="shared" si="84"/>
        <v>0</v>
      </c>
      <c r="N149" s="24">
        <f t="shared" si="85"/>
        <v>0</v>
      </c>
      <c r="O149" s="24">
        <f t="shared" si="111"/>
        <v>0</v>
      </c>
      <c r="P149" s="24">
        <f t="shared" si="112"/>
        <v>0</v>
      </c>
      <c r="Q149" s="24">
        <f t="shared" si="108"/>
        <v>0</v>
      </c>
      <c r="R149" s="36">
        <f t="shared" si="115"/>
        <v>0</v>
      </c>
      <c r="S149" s="36">
        <f t="shared" si="109"/>
        <v>0</v>
      </c>
      <c r="T149" s="2">
        <f t="shared" si="100"/>
        <v>0</v>
      </c>
      <c r="U149" s="34">
        <f t="shared" si="91"/>
        <v>0</v>
      </c>
      <c r="V149" s="57">
        <f t="shared" si="101"/>
        <v>75975</v>
      </c>
      <c r="W149" s="16">
        <f t="shared" si="102"/>
        <v>100</v>
      </c>
      <c r="AI149" s="2">
        <f t="shared" si="87"/>
        <v>0</v>
      </c>
      <c r="AJ149" s="34">
        <f t="shared" si="92"/>
        <v>0</v>
      </c>
      <c r="AK149" s="57">
        <f t="shared" si="93"/>
        <v>75610</v>
      </c>
      <c r="BB149" s="2" t="e">
        <f t="shared" si="88"/>
        <v>#VALUE!</v>
      </c>
    </row>
    <row r="150" spans="5:54" x14ac:dyDescent="0.2">
      <c r="E150" s="1055">
        <f t="shared" si="114"/>
        <v>142</v>
      </c>
      <c r="F150" s="1056">
        <f t="shared" si="105"/>
        <v>49637</v>
      </c>
      <c r="G150" s="24">
        <f t="shared" si="103"/>
        <v>0</v>
      </c>
      <c r="H150" s="24">
        <f t="shared" si="106"/>
        <v>0</v>
      </c>
      <c r="I150" s="24">
        <f t="shared" si="113"/>
        <v>792931.1599999998</v>
      </c>
      <c r="J150" s="24">
        <f t="shared" si="104"/>
        <v>0</v>
      </c>
      <c r="K150" s="24">
        <f t="shared" si="107"/>
        <v>0</v>
      </c>
      <c r="L150" s="24">
        <f t="shared" si="110"/>
        <v>0</v>
      </c>
      <c r="M150" s="24">
        <f t="shared" si="84"/>
        <v>0</v>
      </c>
      <c r="N150" s="24">
        <f t="shared" si="85"/>
        <v>0</v>
      </c>
      <c r="O150" s="24">
        <f t="shared" si="111"/>
        <v>0</v>
      </c>
      <c r="P150" s="24">
        <f t="shared" si="112"/>
        <v>0</v>
      </c>
      <c r="Q150" s="24">
        <f t="shared" si="108"/>
        <v>0</v>
      </c>
      <c r="R150" s="36">
        <f t="shared" si="115"/>
        <v>0</v>
      </c>
      <c r="S150" s="36">
        <f t="shared" si="109"/>
        <v>0</v>
      </c>
      <c r="T150" s="2">
        <f t="shared" si="100"/>
        <v>0</v>
      </c>
      <c r="U150" s="34">
        <f t="shared" si="91"/>
        <v>0</v>
      </c>
      <c r="V150" s="57">
        <f t="shared" si="101"/>
        <v>75975</v>
      </c>
      <c r="W150" s="16">
        <f t="shared" si="102"/>
        <v>101</v>
      </c>
      <c r="AI150" s="35">
        <f>SUM(AI50:AI149)</f>
        <v>788137.16</v>
      </c>
      <c r="AJ150" s="35">
        <f>SUM(AJ50:AJ149)</f>
        <v>1804635.2</v>
      </c>
      <c r="AK150" s="154">
        <f>XIRR(AJ48:AJ149,AK48:AK149)*12</f>
        <v>0.23022047281265268</v>
      </c>
      <c r="BB150" s="2" t="e">
        <f t="shared" si="88"/>
        <v>#VALUE!</v>
      </c>
    </row>
    <row r="151" spans="5:54" x14ac:dyDescent="0.2">
      <c r="E151" s="1055">
        <f t="shared" si="114"/>
        <v>143</v>
      </c>
      <c r="F151" s="1056">
        <f t="shared" si="105"/>
        <v>49667</v>
      </c>
      <c r="G151" s="24">
        <f t="shared" si="103"/>
        <v>0</v>
      </c>
      <c r="H151" s="24">
        <f t="shared" si="106"/>
        <v>0</v>
      </c>
      <c r="I151" s="24">
        <f t="shared" si="113"/>
        <v>792931.1599999998</v>
      </c>
      <c r="J151" s="24">
        <f t="shared" si="104"/>
        <v>0</v>
      </c>
      <c r="K151" s="24">
        <f t="shared" si="107"/>
        <v>0</v>
      </c>
      <c r="L151" s="24">
        <f t="shared" si="110"/>
        <v>0</v>
      </c>
      <c r="M151" s="24">
        <f t="shared" ref="M151:M200" si="116">O150-L150</f>
        <v>0</v>
      </c>
      <c r="N151" s="24">
        <f t="shared" ref="N151:N200" si="117">H151+O151</f>
        <v>0</v>
      </c>
      <c r="O151" s="24">
        <f t="shared" si="111"/>
        <v>0</v>
      </c>
      <c r="P151" s="24">
        <f t="shared" si="112"/>
        <v>0</v>
      </c>
      <c r="Q151" s="24">
        <f t="shared" si="108"/>
        <v>0</v>
      </c>
      <c r="R151" s="36">
        <f t="shared" si="115"/>
        <v>0</v>
      </c>
      <c r="S151" s="36">
        <f t="shared" si="109"/>
        <v>0</v>
      </c>
      <c r="T151" s="2">
        <f t="shared" si="100"/>
        <v>0</v>
      </c>
      <c r="U151" s="34">
        <f t="shared" si="91"/>
        <v>0</v>
      </c>
      <c r="V151" s="57">
        <f t="shared" si="101"/>
        <v>75975</v>
      </c>
      <c r="W151" s="16">
        <f t="shared" si="102"/>
        <v>102</v>
      </c>
      <c r="BB151" s="2" t="e">
        <f t="shared" si="88"/>
        <v>#VALUE!</v>
      </c>
    </row>
    <row r="152" spans="5:54" x14ac:dyDescent="0.2">
      <c r="E152" s="1055">
        <f t="shared" si="114"/>
        <v>144</v>
      </c>
      <c r="F152" s="1056">
        <f t="shared" si="105"/>
        <v>49698</v>
      </c>
      <c r="G152" s="24">
        <f t="shared" si="103"/>
        <v>0</v>
      </c>
      <c r="H152" s="24">
        <f t="shared" si="106"/>
        <v>0</v>
      </c>
      <c r="I152" s="24">
        <f t="shared" si="113"/>
        <v>792931.1599999998</v>
      </c>
      <c r="J152" s="24">
        <f t="shared" si="104"/>
        <v>0</v>
      </c>
      <c r="K152" s="24">
        <f t="shared" si="107"/>
        <v>0</v>
      </c>
      <c r="L152" s="24">
        <f t="shared" si="110"/>
        <v>0</v>
      </c>
      <c r="M152" s="24">
        <f t="shared" si="116"/>
        <v>0</v>
      </c>
      <c r="N152" s="24">
        <f t="shared" si="117"/>
        <v>0</v>
      </c>
      <c r="O152" s="24">
        <f t="shared" si="111"/>
        <v>0</v>
      </c>
      <c r="P152" s="24">
        <f t="shared" si="112"/>
        <v>0</v>
      </c>
      <c r="Q152" s="24">
        <f t="shared" si="108"/>
        <v>0</v>
      </c>
      <c r="R152" s="36">
        <f t="shared" si="115"/>
        <v>0</v>
      </c>
      <c r="S152" s="36">
        <f t="shared" si="109"/>
        <v>0</v>
      </c>
      <c r="T152" s="2">
        <f t="shared" si="100"/>
        <v>0</v>
      </c>
      <c r="U152" s="34">
        <f t="shared" si="91"/>
        <v>0</v>
      </c>
      <c r="V152" s="57">
        <f t="shared" si="101"/>
        <v>75975</v>
      </c>
      <c r="W152" s="16">
        <f t="shared" si="102"/>
        <v>103</v>
      </c>
      <c r="BB152" s="2" t="e">
        <f t="shared" si="88"/>
        <v>#VALUE!</v>
      </c>
    </row>
    <row r="153" spans="5:54" x14ac:dyDescent="0.2">
      <c r="E153" s="1055">
        <f t="shared" si="114"/>
        <v>145</v>
      </c>
      <c r="F153" s="1056">
        <f t="shared" si="105"/>
        <v>49729</v>
      </c>
      <c r="G153" s="24">
        <f t="shared" si="103"/>
        <v>0</v>
      </c>
      <c r="H153" s="24">
        <f t="shared" si="106"/>
        <v>0</v>
      </c>
      <c r="I153" s="24">
        <f t="shared" si="113"/>
        <v>792931.1599999998</v>
      </c>
      <c r="J153" s="24">
        <f t="shared" si="104"/>
        <v>0</v>
      </c>
      <c r="K153" s="24">
        <f t="shared" si="107"/>
        <v>0</v>
      </c>
      <c r="L153" s="24">
        <f t="shared" si="110"/>
        <v>0</v>
      </c>
      <c r="M153" s="24">
        <f t="shared" si="116"/>
        <v>0</v>
      </c>
      <c r="N153" s="24">
        <f t="shared" si="117"/>
        <v>0</v>
      </c>
      <c r="O153" s="24">
        <f t="shared" si="111"/>
        <v>0</v>
      </c>
      <c r="P153" s="24">
        <f t="shared" si="112"/>
        <v>0</v>
      </c>
      <c r="Q153" s="24">
        <f t="shared" si="108"/>
        <v>0</v>
      </c>
      <c r="R153" s="36">
        <f t="shared" si="115"/>
        <v>0</v>
      </c>
      <c r="S153" s="36">
        <f t="shared" si="109"/>
        <v>0</v>
      </c>
      <c r="T153" s="2">
        <f t="shared" si="100"/>
        <v>0</v>
      </c>
      <c r="U153" s="34">
        <f t="shared" si="91"/>
        <v>0</v>
      </c>
      <c r="V153" s="57">
        <f t="shared" si="101"/>
        <v>75975</v>
      </c>
      <c r="W153" s="16">
        <f t="shared" si="102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055">
        <f t="shared" si="114"/>
        <v>146</v>
      </c>
      <c r="F154" s="1056">
        <f t="shared" si="105"/>
        <v>49758</v>
      </c>
      <c r="G154" s="24">
        <f t="shared" si="103"/>
        <v>0</v>
      </c>
      <c r="H154" s="24">
        <f t="shared" si="106"/>
        <v>0</v>
      </c>
      <c r="I154" s="24">
        <f t="shared" si="113"/>
        <v>792931.1599999998</v>
      </c>
      <c r="J154" s="24">
        <f t="shared" si="104"/>
        <v>0</v>
      </c>
      <c r="K154" s="24">
        <f t="shared" si="107"/>
        <v>0</v>
      </c>
      <c r="L154" s="24">
        <f t="shared" si="110"/>
        <v>0</v>
      </c>
      <c r="M154" s="24">
        <f t="shared" si="116"/>
        <v>0</v>
      </c>
      <c r="N154" s="24">
        <f t="shared" si="117"/>
        <v>0</v>
      </c>
      <c r="O154" s="24">
        <f t="shared" si="111"/>
        <v>0</v>
      </c>
      <c r="P154" s="24">
        <f t="shared" si="112"/>
        <v>0</v>
      </c>
      <c r="Q154" s="24">
        <f t="shared" si="108"/>
        <v>0</v>
      </c>
      <c r="R154" s="36">
        <f t="shared" si="115"/>
        <v>0</v>
      </c>
      <c r="S154" s="36">
        <f t="shared" si="109"/>
        <v>0</v>
      </c>
      <c r="T154" s="2">
        <f t="shared" si="100"/>
        <v>0</v>
      </c>
      <c r="U154" s="34">
        <f t="shared" si="91"/>
        <v>0</v>
      </c>
      <c r="V154" s="57">
        <f t="shared" si="101"/>
        <v>75975</v>
      </c>
      <c r="W154" s="16">
        <f t="shared" si="102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055">
        <f t="shared" si="114"/>
        <v>147</v>
      </c>
      <c r="F155" s="1056">
        <f t="shared" si="105"/>
        <v>49789</v>
      </c>
      <c r="G155" s="24">
        <f t="shared" si="103"/>
        <v>0</v>
      </c>
      <c r="H155" s="24">
        <f t="shared" si="106"/>
        <v>0</v>
      </c>
      <c r="I155" s="24">
        <f t="shared" si="113"/>
        <v>792931.1599999998</v>
      </c>
      <c r="J155" s="24">
        <f t="shared" si="104"/>
        <v>0</v>
      </c>
      <c r="K155" s="24">
        <f t="shared" si="107"/>
        <v>0</v>
      </c>
      <c r="L155" s="24">
        <f t="shared" si="110"/>
        <v>0</v>
      </c>
      <c r="M155" s="24">
        <f t="shared" si="116"/>
        <v>0</v>
      </c>
      <c r="N155" s="24">
        <f t="shared" si="117"/>
        <v>0</v>
      </c>
      <c r="O155" s="24">
        <f t="shared" si="111"/>
        <v>0</v>
      </c>
      <c r="P155" s="24">
        <f t="shared" si="112"/>
        <v>0</v>
      </c>
      <c r="Q155" s="24">
        <f t="shared" si="108"/>
        <v>0</v>
      </c>
      <c r="R155" s="36">
        <f t="shared" si="115"/>
        <v>0</v>
      </c>
      <c r="S155" s="36">
        <f t="shared" si="109"/>
        <v>0</v>
      </c>
      <c r="T155" s="2">
        <f t="shared" si="100"/>
        <v>0</v>
      </c>
      <c r="U155" s="34">
        <f t="shared" si="91"/>
        <v>0</v>
      </c>
      <c r="V155" s="57">
        <f t="shared" si="101"/>
        <v>75975</v>
      </c>
      <c r="W155" s="16">
        <f t="shared" si="102"/>
        <v>106</v>
      </c>
      <c r="BB155" s="35" t="e">
        <f>SUM(BB55:BB154)</f>
        <v>#VALUE!</v>
      </c>
    </row>
    <row r="156" spans="5:54" x14ac:dyDescent="0.2">
      <c r="E156" s="1055">
        <f t="shared" si="114"/>
        <v>148</v>
      </c>
      <c r="F156" s="1056">
        <f t="shared" si="105"/>
        <v>49819</v>
      </c>
      <c r="G156" s="24">
        <f t="shared" si="103"/>
        <v>0</v>
      </c>
      <c r="H156" s="24">
        <f t="shared" si="106"/>
        <v>0</v>
      </c>
      <c r="I156" s="24">
        <f t="shared" si="113"/>
        <v>792931.1599999998</v>
      </c>
      <c r="J156" s="24">
        <f t="shared" si="104"/>
        <v>0</v>
      </c>
      <c r="K156" s="24">
        <f t="shared" si="107"/>
        <v>0</v>
      </c>
      <c r="L156" s="24">
        <f t="shared" si="110"/>
        <v>0</v>
      </c>
      <c r="M156" s="24">
        <f t="shared" si="116"/>
        <v>0</v>
      </c>
      <c r="N156" s="24">
        <f t="shared" si="117"/>
        <v>0</v>
      </c>
      <c r="O156" s="24">
        <f t="shared" si="111"/>
        <v>0</v>
      </c>
      <c r="P156" s="24">
        <f t="shared" si="112"/>
        <v>0</v>
      </c>
      <c r="Q156" s="24">
        <f t="shared" si="108"/>
        <v>0</v>
      </c>
      <c r="R156" s="36">
        <f t="shared" si="115"/>
        <v>0</v>
      </c>
      <c r="S156" s="36">
        <f t="shared" si="109"/>
        <v>0</v>
      </c>
      <c r="T156" s="2">
        <f t="shared" si="100"/>
        <v>0</v>
      </c>
      <c r="U156" s="34">
        <f t="shared" si="91"/>
        <v>0</v>
      </c>
      <c r="V156" s="57">
        <f t="shared" si="101"/>
        <v>75975</v>
      </c>
      <c r="W156" s="16">
        <f t="shared" si="102"/>
        <v>107</v>
      </c>
    </row>
    <row r="157" spans="5:54" x14ac:dyDescent="0.2">
      <c r="E157" s="1055">
        <f t="shared" si="114"/>
        <v>149</v>
      </c>
      <c r="F157" s="1056">
        <f t="shared" si="105"/>
        <v>49850</v>
      </c>
      <c r="G157" s="24">
        <f t="shared" si="103"/>
        <v>0</v>
      </c>
      <c r="H157" s="24">
        <f t="shared" si="106"/>
        <v>0</v>
      </c>
      <c r="I157" s="24">
        <f t="shared" si="113"/>
        <v>792931.1599999998</v>
      </c>
      <c r="J157" s="24">
        <f t="shared" si="104"/>
        <v>0</v>
      </c>
      <c r="K157" s="24">
        <f t="shared" si="107"/>
        <v>0</v>
      </c>
      <c r="L157" s="24">
        <f t="shared" si="110"/>
        <v>0</v>
      </c>
      <c r="M157" s="24">
        <f t="shared" si="116"/>
        <v>0</v>
      </c>
      <c r="N157" s="24">
        <f t="shared" si="117"/>
        <v>0</v>
      </c>
      <c r="O157" s="24">
        <f>IF(S157=0,0,0)</f>
        <v>0</v>
      </c>
      <c r="P157" s="24">
        <f t="shared" si="112"/>
        <v>0</v>
      </c>
      <c r="Q157" s="24">
        <f t="shared" si="108"/>
        <v>0</v>
      </c>
      <c r="R157" s="36">
        <f t="shared" si="115"/>
        <v>0</v>
      </c>
      <c r="S157" s="36">
        <f t="shared" si="109"/>
        <v>0</v>
      </c>
      <c r="T157" s="2">
        <f t="shared" si="100"/>
        <v>0</v>
      </c>
      <c r="U157" s="34">
        <f t="shared" si="91"/>
        <v>0</v>
      </c>
      <c r="V157" s="57">
        <f t="shared" si="101"/>
        <v>75975</v>
      </c>
      <c r="W157" s="16">
        <f t="shared" si="102"/>
        <v>108</v>
      </c>
    </row>
    <row r="158" spans="5:54" x14ac:dyDescent="0.2">
      <c r="E158" s="1055">
        <f t="shared" si="114"/>
        <v>150</v>
      </c>
      <c r="F158" s="1056">
        <f t="shared" si="105"/>
        <v>49880</v>
      </c>
      <c r="G158" s="24">
        <f t="shared" si="103"/>
        <v>0</v>
      </c>
      <c r="H158" s="24">
        <f t="shared" si="106"/>
        <v>0</v>
      </c>
      <c r="I158" s="24">
        <f t="shared" si="113"/>
        <v>792931.1599999998</v>
      </c>
      <c r="J158" s="24">
        <f t="shared" si="104"/>
        <v>0</v>
      </c>
      <c r="K158" s="24">
        <f t="shared" si="107"/>
        <v>0</v>
      </c>
      <c r="L158" s="24">
        <f t="shared" si="110"/>
        <v>0</v>
      </c>
      <c r="M158" s="24">
        <f t="shared" si="116"/>
        <v>0</v>
      </c>
      <c r="N158" s="24">
        <f t="shared" si="117"/>
        <v>0</v>
      </c>
      <c r="O158" s="24">
        <f>IF(S158=0,0,0)</f>
        <v>0</v>
      </c>
      <c r="P158" s="24">
        <f t="shared" si="112"/>
        <v>0</v>
      </c>
      <c r="Q158" s="24">
        <f t="shared" si="108"/>
        <v>0</v>
      </c>
      <c r="R158" s="36">
        <f t="shared" si="115"/>
        <v>0</v>
      </c>
      <c r="S158" s="36">
        <f t="shared" si="109"/>
        <v>0</v>
      </c>
      <c r="T158" s="2">
        <f t="shared" si="100"/>
        <v>0</v>
      </c>
      <c r="U158" s="34">
        <f t="shared" si="91"/>
        <v>0</v>
      </c>
      <c r="V158" s="57">
        <f t="shared" si="101"/>
        <v>75975</v>
      </c>
      <c r="W158" s="16">
        <f t="shared" si="102"/>
        <v>109</v>
      </c>
    </row>
    <row r="159" spans="5:54" x14ac:dyDescent="0.2">
      <c r="E159" s="1055">
        <f t="shared" si="114"/>
        <v>151</v>
      </c>
      <c r="F159" s="1056">
        <f t="shared" si="105"/>
        <v>49911</v>
      </c>
      <c r="G159" s="24">
        <f t="shared" si="103"/>
        <v>0</v>
      </c>
      <c r="H159" s="24">
        <f t="shared" si="106"/>
        <v>0</v>
      </c>
      <c r="I159" s="24">
        <f t="shared" si="113"/>
        <v>792931.1599999998</v>
      </c>
      <c r="J159" s="24">
        <f t="shared" si="104"/>
        <v>0</v>
      </c>
      <c r="K159" s="24">
        <f t="shared" si="107"/>
        <v>0</v>
      </c>
      <c r="L159" s="24">
        <f t="shared" si="110"/>
        <v>0</v>
      </c>
      <c r="M159" s="24">
        <f t="shared" si="116"/>
        <v>0</v>
      </c>
      <c r="N159" s="24">
        <f t="shared" si="117"/>
        <v>0</v>
      </c>
      <c r="O159" s="24">
        <f>IF(S159=0,0,0)</f>
        <v>0</v>
      </c>
      <c r="P159" s="24">
        <f t="shared" si="112"/>
        <v>0</v>
      </c>
      <c r="Q159" s="24">
        <f t="shared" si="108"/>
        <v>0</v>
      </c>
      <c r="R159" s="36">
        <f t="shared" si="115"/>
        <v>0</v>
      </c>
      <c r="S159" s="36">
        <f t="shared" si="109"/>
        <v>0</v>
      </c>
      <c r="T159" s="2">
        <f t="shared" si="100"/>
        <v>0</v>
      </c>
      <c r="U159" s="34">
        <f t="shared" si="91"/>
        <v>0</v>
      </c>
      <c r="V159" s="57">
        <f t="shared" si="101"/>
        <v>75975</v>
      </c>
      <c r="W159" s="16">
        <f t="shared" si="102"/>
        <v>110</v>
      </c>
    </row>
    <row r="160" spans="5:54" x14ac:dyDescent="0.2">
      <c r="E160" s="1089"/>
      <c r="F160" s="1087" t="s">
        <v>7</v>
      </c>
      <c r="G160" s="1090">
        <f>(SUM(G9:G159)-IF(CODE(C18)=209,AF52,0))</f>
        <v>1876370.16</v>
      </c>
      <c r="H160" s="1090">
        <f>(SUM(H9:H159)-IF(CODE(D18)=209,AG52,0))</f>
        <v>792931.1599999998</v>
      </c>
      <c r="I160" s="1090"/>
      <c r="J160" s="1090">
        <f>SUM(J9:J159)</f>
        <v>47354.159999999829</v>
      </c>
      <c r="K160" s="1090">
        <f>SUM(K9:K159)</f>
        <v>1083438.9999999998</v>
      </c>
      <c r="L160" s="1091">
        <f>SUM(L9:L159)</f>
        <v>0</v>
      </c>
      <c r="M160" s="1091"/>
      <c r="N160" s="1091"/>
      <c r="O160" s="1091"/>
      <c r="P160" s="1091"/>
      <c r="Q160" s="1091"/>
      <c r="R160" s="1091"/>
      <c r="S160" s="51"/>
      <c r="T160" s="2">
        <f t="shared" si="100"/>
        <v>0</v>
      </c>
      <c r="U160" s="34">
        <f t="shared" si="91"/>
        <v>0</v>
      </c>
      <c r="V160" s="57">
        <f t="shared" si="101"/>
        <v>75975</v>
      </c>
      <c r="W160" s="16">
        <f t="shared" si="102"/>
        <v>111</v>
      </c>
    </row>
    <row r="161" spans="8:23" x14ac:dyDescent="0.2">
      <c r="T161" s="2">
        <f t="shared" si="100"/>
        <v>0</v>
      </c>
      <c r="U161" s="34">
        <f t="shared" si="91"/>
        <v>0</v>
      </c>
      <c r="V161" s="57">
        <f t="shared" si="101"/>
        <v>75975</v>
      </c>
      <c r="W161" s="16">
        <f t="shared" si="102"/>
        <v>112</v>
      </c>
    </row>
    <row r="162" spans="8:23" x14ac:dyDescent="0.2">
      <c r="H162" s="132"/>
      <c r="T162" s="2">
        <f t="shared" si="100"/>
        <v>0</v>
      </c>
      <c r="U162" s="34">
        <f t="shared" si="91"/>
        <v>0</v>
      </c>
      <c r="V162" s="57">
        <f t="shared" si="101"/>
        <v>75975</v>
      </c>
      <c r="W162" s="16">
        <f t="shared" si="102"/>
        <v>113</v>
      </c>
    </row>
    <row r="163" spans="8:23" x14ac:dyDescent="0.2">
      <c r="T163" s="2">
        <f t="shared" si="100"/>
        <v>0</v>
      </c>
      <c r="U163" s="34">
        <f t="shared" si="91"/>
        <v>0</v>
      </c>
      <c r="V163" s="57">
        <f t="shared" si="101"/>
        <v>75975</v>
      </c>
      <c r="W163" s="16">
        <f t="shared" si="102"/>
        <v>114</v>
      </c>
    </row>
    <row r="164" spans="8:23" x14ac:dyDescent="0.2">
      <c r="T164" s="2">
        <f t="shared" si="100"/>
        <v>0</v>
      </c>
      <c r="U164" s="34">
        <f t="shared" si="91"/>
        <v>0</v>
      </c>
      <c r="V164" s="57">
        <f t="shared" si="101"/>
        <v>75975</v>
      </c>
      <c r="W164" s="16">
        <f t="shared" si="102"/>
        <v>115</v>
      </c>
    </row>
    <row r="165" spans="8:23" x14ac:dyDescent="0.2">
      <c r="T165" s="2">
        <f t="shared" si="100"/>
        <v>0</v>
      </c>
      <c r="U165" s="34">
        <f t="shared" si="91"/>
        <v>0</v>
      </c>
      <c r="V165" s="57">
        <f t="shared" si="101"/>
        <v>75975</v>
      </c>
      <c r="W165" s="16">
        <f t="shared" si="102"/>
        <v>116</v>
      </c>
    </row>
    <row r="166" spans="8:23" x14ac:dyDescent="0.2">
      <c r="T166" s="2">
        <f t="shared" si="100"/>
        <v>0</v>
      </c>
      <c r="U166" s="34">
        <f t="shared" si="91"/>
        <v>0</v>
      </c>
      <c r="V166" s="57">
        <f t="shared" si="101"/>
        <v>75975</v>
      </c>
      <c r="W166" s="16">
        <f t="shared" si="102"/>
        <v>117</v>
      </c>
    </row>
    <row r="167" spans="8:23" x14ac:dyDescent="0.2">
      <c r="T167" s="2">
        <f t="shared" si="100"/>
        <v>0</v>
      </c>
      <c r="U167" s="34">
        <f t="shared" si="91"/>
        <v>0</v>
      </c>
      <c r="V167" s="57">
        <f t="shared" si="101"/>
        <v>75975</v>
      </c>
      <c r="W167" s="16">
        <f t="shared" si="102"/>
        <v>118</v>
      </c>
    </row>
    <row r="168" spans="8:23" x14ac:dyDescent="0.2">
      <c r="T168" s="2">
        <f t="shared" si="100"/>
        <v>0</v>
      </c>
      <c r="U168" s="34">
        <f t="shared" si="91"/>
        <v>0</v>
      </c>
      <c r="V168" s="57">
        <f t="shared" si="101"/>
        <v>75975</v>
      </c>
      <c r="W168" s="16">
        <f t="shared" si="102"/>
        <v>119</v>
      </c>
    </row>
    <row r="169" spans="8:23" x14ac:dyDescent="0.2">
      <c r="T169" s="2">
        <f t="shared" si="100"/>
        <v>0</v>
      </c>
      <c r="U169" s="34">
        <f t="shared" si="91"/>
        <v>0</v>
      </c>
      <c r="V169" s="57">
        <f t="shared" si="101"/>
        <v>75975</v>
      </c>
      <c r="W169" s="16">
        <f t="shared" si="102"/>
        <v>120</v>
      </c>
    </row>
    <row r="170" spans="8:23" x14ac:dyDescent="0.2">
      <c r="T170" s="2">
        <f t="shared" si="100"/>
        <v>0</v>
      </c>
      <c r="U170" s="34">
        <f t="shared" si="91"/>
        <v>0</v>
      </c>
      <c r="V170" s="57">
        <f t="shared" si="101"/>
        <v>75975</v>
      </c>
      <c r="W170" s="16">
        <f t="shared" si="102"/>
        <v>121</v>
      </c>
    </row>
    <row r="171" spans="8:23" x14ac:dyDescent="0.2">
      <c r="T171" s="2">
        <f t="shared" si="100"/>
        <v>0</v>
      </c>
      <c r="U171" s="34">
        <f t="shared" si="91"/>
        <v>0</v>
      </c>
      <c r="V171" s="57">
        <f t="shared" si="101"/>
        <v>75975</v>
      </c>
      <c r="W171" s="16">
        <f t="shared" si="102"/>
        <v>122</v>
      </c>
    </row>
    <row r="172" spans="8:23" x14ac:dyDescent="0.2">
      <c r="T172" s="2">
        <f t="shared" si="100"/>
        <v>0</v>
      </c>
      <c r="U172" s="34">
        <f t="shared" si="91"/>
        <v>0</v>
      </c>
      <c r="V172" s="57">
        <f t="shared" si="101"/>
        <v>75975</v>
      </c>
      <c r="W172" s="16">
        <f t="shared" si="102"/>
        <v>123</v>
      </c>
    </row>
    <row r="173" spans="8:23" x14ac:dyDescent="0.2">
      <c r="T173" s="2">
        <f t="shared" si="100"/>
        <v>0</v>
      </c>
      <c r="U173" s="34">
        <f t="shared" si="91"/>
        <v>0</v>
      </c>
      <c r="V173" s="57">
        <f t="shared" si="101"/>
        <v>75975</v>
      </c>
      <c r="W173" s="16">
        <f t="shared" si="102"/>
        <v>124</v>
      </c>
    </row>
    <row r="174" spans="8:23" x14ac:dyDescent="0.2">
      <c r="T174" s="2">
        <f t="shared" si="100"/>
        <v>0</v>
      </c>
      <c r="U174" s="34">
        <f t="shared" si="91"/>
        <v>0</v>
      </c>
      <c r="V174" s="57">
        <f t="shared" si="101"/>
        <v>75975</v>
      </c>
      <c r="W174" s="16">
        <f t="shared" si="102"/>
        <v>125</v>
      </c>
    </row>
    <row r="175" spans="8:23" x14ac:dyDescent="0.2">
      <c r="T175" s="2">
        <f t="shared" si="100"/>
        <v>0</v>
      </c>
      <c r="U175" s="34">
        <f t="shared" ref="U175:U180" si="118">IF(U174&lt;0,0,IF(T175=0,IF(T174=0,0,$U$46),G134)-IF(AND(T175&gt;0,T176=0),$C$26,0))</f>
        <v>0</v>
      </c>
      <c r="V175" s="57">
        <f t="shared" si="101"/>
        <v>75975</v>
      </c>
      <c r="W175" s="16">
        <f t="shared" si="102"/>
        <v>126</v>
      </c>
    </row>
    <row r="176" spans="8:23" x14ac:dyDescent="0.2">
      <c r="T176" s="2">
        <f t="shared" si="100"/>
        <v>0</v>
      </c>
      <c r="U176" s="34">
        <f t="shared" si="118"/>
        <v>0</v>
      </c>
      <c r="V176" s="57">
        <f t="shared" si="101"/>
        <v>75975</v>
      </c>
      <c r="W176" s="16">
        <f t="shared" si="102"/>
        <v>127</v>
      </c>
    </row>
    <row r="177" spans="20:23" x14ac:dyDescent="0.2">
      <c r="T177" s="2">
        <f t="shared" si="100"/>
        <v>0</v>
      </c>
      <c r="U177" s="34">
        <f t="shared" si="118"/>
        <v>0</v>
      </c>
      <c r="V177" s="57">
        <f t="shared" si="101"/>
        <v>75975</v>
      </c>
      <c r="W177" s="16">
        <f t="shared" si="102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8"/>
        <v>0</v>
      </c>
      <c r="V178" s="57">
        <f t="shared" si="101"/>
        <v>75975</v>
      </c>
      <c r="W178" s="16">
        <f t="shared" si="102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8"/>
        <v>0</v>
      </c>
      <c r="V179" s="57">
        <f t="shared" ref="V179:V180" si="119">IF(T179=0,V178,V178+365)</f>
        <v>75975</v>
      </c>
      <c r="W179" s="16">
        <f t="shared" si="102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8"/>
        <v>0</v>
      </c>
      <c r="V180" s="57">
        <f t="shared" si="119"/>
        <v>75975</v>
      </c>
      <c r="W180" s="16">
        <f t="shared" si="102"/>
        <v>131</v>
      </c>
    </row>
    <row r="181" spans="20:23" x14ac:dyDescent="0.2">
      <c r="T181" s="35">
        <f>SUM(T50:T180)</f>
        <v>605260.87</v>
      </c>
      <c r="U181" s="35">
        <f>SUM(U50:U180)</f>
        <v>1688694.1457988166</v>
      </c>
      <c r="V181" s="154">
        <f>XIRR(U48:U180,V48:V180)*12</f>
        <v>0.21468805074691771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X92:Y92"/>
    <mergeCell ref="A29:B29"/>
    <mergeCell ref="A30:B30"/>
    <mergeCell ref="A31:B31"/>
    <mergeCell ref="A32:B32"/>
    <mergeCell ref="BD33:BD35"/>
    <mergeCell ref="X83:Y83"/>
    <mergeCell ref="A19:B19"/>
    <mergeCell ref="A20:B20"/>
    <mergeCell ref="A21:B21"/>
    <mergeCell ref="BM21:BO21"/>
    <mergeCell ref="A22:A27"/>
    <mergeCell ref="A28:B28"/>
    <mergeCell ref="A13:D16"/>
    <mergeCell ref="BD13:BD14"/>
    <mergeCell ref="BE13:BE14"/>
    <mergeCell ref="BM16:BO16"/>
    <mergeCell ref="A17:B17"/>
    <mergeCell ref="A18:B18"/>
    <mergeCell ref="A9:B9"/>
    <mergeCell ref="A10:B10"/>
    <mergeCell ref="BD10:BD11"/>
    <mergeCell ref="BE10:BE11"/>
    <mergeCell ref="A11:A12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1:D2"/>
    <mergeCell ref="A3:D3"/>
    <mergeCell ref="E3:R4"/>
    <mergeCell ref="AM3:AX4"/>
    <mergeCell ref="BD3:BJ3"/>
    <mergeCell ref="A5:D5"/>
  </mergeCells>
  <dataValidations count="3">
    <dataValidation type="list" allowBlank="1" showInputMessage="1" showErrorMessage="1" sqref="C18:D18">
      <formula1>$T$3:$X$3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B33:B35 D22">
      <formula1>$Z$30:$AA$30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T11" sqref="T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757" t="s">
        <v>376</v>
      </c>
      <c r="B1" s="758"/>
      <c r="C1" s="758"/>
      <c r="D1" s="758"/>
      <c r="E1" s="759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23"/>
      <c r="B2" s="824"/>
      <c r="C2" s="824"/>
      <c r="D2" s="824"/>
      <c r="E2" s="825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70" t="s">
        <v>196</v>
      </c>
      <c r="B3" s="771"/>
      <c r="C3" s="771"/>
      <c r="D3" s="771"/>
      <c r="E3" s="772"/>
      <c r="F3" s="310"/>
      <c r="G3" s="865" t="str">
        <f>CONCATENATE("ГРАФИК ПЛАТЕЖЕЙ - ТАРИФ СУПЕРСМАРТ",IF(C16="Да"," + ГАРАНТИРОВАННАЯ СТАВКА",""))</f>
        <v>ГРАФИК ПЛАТЕЖЕЙ - ТАРИФ СУПЕРСМАРТ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">
        <v>355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2" ht="13.5" customHeight="1" x14ac:dyDescent="0.2">
      <c r="A4" s="187"/>
      <c r="B4" s="185"/>
      <c r="C4" s="521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0.27900000000000003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2" ht="13.5" customHeight="1" x14ac:dyDescent="0.2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0.23899999999999999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238"/>
      <c r="K6" s="776" t="s">
        <v>194</v>
      </c>
      <c r="L6" s="776" t="s">
        <v>191</v>
      </c>
      <c r="M6" s="776" t="s">
        <v>192</v>
      </c>
      <c r="N6" s="238"/>
      <c r="O6" s="238"/>
      <c r="P6" s="238"/>
      <c r="Q6" s="238"/>
      <c r="R6" s="238"/>
      <c r="S6" s="776" t="s">
        <v>193</v>
      </c>
      <c r="T6" s="776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0.22900000000000001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22" t="s">
        <v>148</v>
      </c>
      <c r="AQ6" s="822" t="s">
        <v>187</v>
      </c>
      <c r="AR6" s="822" t="s">
        <v>188</v>
      </c>
      <c r="AS6" s="543"/>
      <c r="AT6" s="822" t="s">
        <v>194</v>
      </c>
      <c r="AU6" s="822" t="s">
        <v>191</v>
      </c>
      <c r="AV6" s="822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22" t="s">
        <v>193</v>
      </c>
      <c r="BH6" s="103"/>
      <c r="BI6" s="102"/>
      <c r="BJ6" s="117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2" ht="28.5" customHeight="1" x14ac:dyDescent="0.5">
      <c r="A7" s="766" t="s">
        <v>200</v>
      </c>
      <c r="B7" s="766"/>
      <c r="C7" s="767">
        <v>300000</v>
      </c>
      <c r="D7" s="767"/>
      <c r="E7" s="510"/>
      <c r="F7" s="231"/>
      <c r="G7" s="776"/>
      <c r="H7" s="776"/>
      <c r="I7" s="776"/>
      <c r="J7" s="570" t="s">
        <v>189</v>
      </c>
      <c r="K7" s="776"/>
      <c r="L7" s="776"/>
      <c r="M7" s="776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776"/>
      <c r="T7" s="776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22"/>
      <c r="AQ7" s="822"/>
      <c r="AR7" s="822"/>
      <c r="AS7" s="544" t="s">
        <v>156</v>
      </c>
      <c r="AT7" s="822"/>
      <c r="AU7" s="822"/>
      <c r="AV7" s="822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22"/>
      <c r="BH7" s="163" t="s">
        <v>32</v>
      </c>
      <c r="BI7" s="104" t="s">
        <v>31</v>
      </c>
      <c r="BJ7" s="153">
        <f>BJ8</f>
        <v>44710</v>
      </c>
      <c r="BK7" s="108">
        <f>K8</f>
        <v>-300000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2" ht="18" customHeight="1" thickBot="1" x14ac:dyDescent="0.55000000000000004">
      <c r="A8" s="766" t="s">
        <v>276</v>
      </c>
      <c r="B8" s="766"/>
      <c r="C8" s="579" t="s">
        <v>35</v>
      </c>
      <c r="D8" s="215" t="str">
        <f>C8</f>
        <v>Нет</v>
      </c>
      <c r="E8" s="510"/>
      <c r="F8" s="231"/>
      <c r="G8" s="253"/>
      <c r="H8" s="240">
        <f>C9</f>
        <v>44710</v>
      </c>
      <c r="I8" s="240"/>
      <c r="J8" s="240"/>
      <c r="K8" s="241">
        <f>-C23</f>
        <v>-300000</v>
      </c>
      <c r="L8" s="242"/>
      <c r="M8" s="243"/>
      <c r="N8" s="243"/>
      <c r="O8" s="243"/>
      <c r="P8" s="243"/>
      <c r="Q8" s="243"/>
      <c r="R8" s="243"/>
      <c r="S8" s="239">
        <f>C23</f>
        <v>300000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0.19900000000000001</v>
      </c>
      <c r="AC8" s="15"/>
      <c r="AD8" s="147">
        <f>IF(OR($C$8="Гарантия стандарт",$C$8="Гарантия пакет"),AB7,W4)</f>
        <v>0.29899999999999999</v>
      </c>
      <c r="AE8" s="147">
        <f>IF(OR($D$8="Гарантия стандарт",$D$8="Гарантия пакет"),AB7,W4)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44710</v>
      </c>
      <c r="AR8" s="549"/>
      <c r="AS8" s="549"/>
      <c r="AT8" s="550">
        <f>-D23</f>
        <v>-300000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300000</v>
      </c>
      <c r="BH8" s="106"/>
      <c r="BI8" s="108"/>
      <c r="BJ8" s="22">
        <f>H8</f>
        <v>44710</v>
      </c>
      <c r="BK8" s="104">
        <f>$C$25</f>
        <v>0</v>
      </c>
      <c r="BN8" s="785"/>
      <c r="BO8" s="778"/>
      <c r="BP8" s="125" t="s">
        <v>87</v>
      </c>
      <c r="BQ8" s="126" t="s">
        <v>88</v>
      </c>
      <c r="BR8" s="799"/>
      <c r="BS8" s="801"/>
      <c r="BT8" s="797"/>
    </row>
    <row r="9" spans="1:72" ht="16.899999999999999" customHeight="1" thickBot="1" x14ac:dyDescent="0.25">
      <c r="A9" s="766" t="s">
        <v>199</v>
      </c>
      <c r="B9" s="766"/>
      <c r="C9" s="788">
        <v>44710</v>
      </c>
      <c r="D9" s="788"/>
      <c r="E9" s="510"/>
      <c r="F9" s="231"/>
      <c r="G9" s="244">
        <f>1</f>
        <v>1</v>
      </c>
      <c r="H9" s="245">
        <f>IF((OR(DAY($AD$54)=29,DAY($AD$54)=30,DAY($AD$54)=31)),(EDATE($C$9-28,G9+1)),EDATE($C$9,G9))</f>
        <v>44743</v>
      </c>
      <c r="I9" s="246">
        <f>IF(AND($W$11=1,G9&gt;=$W$11,),0%,$C$11)</f>
        <v>9.9000000000000005E-2</v>
      </c>
      <c r="J9" s="242">
        <f t="shared" ref="J9:J73" si="0">K9+Q9</f>
        <v>6360</v>
      </c>
      <c r="K9" s="242">
        <f>IF(G9&gt;$C$10,0,ROUNDUP($S$8*$C$11/12/((1-(1+$C$11/12)^(0-$C$10))),0))</f>
        <v>6360</v>
      </c>
      <c r="L9" s="242">
        <f>S8*($C$11/365*(H9-H8))</f>
        <v>2685.205479452055</v>
      </c>
      <c r="M9" s="242">
        <f>K9-L9</f>
        <v>3674.794520547945</v>
      </c>
      <c r="N9" s="242">
        <f t="shared" ref="N9:N72" si="1">IF(P9-Q9&gt;$C$24,$C$24-L9,IF(V9=0,0,R9)+$AI$51)</f>
        <v>0</v>
      </c>
      <c r="O9" s="242">
        <v>0</v>
      </c>
      <c r="P9" s="242">
        <f>L9+Q9</f>
        <v>2685.205479452055</v>
      </c>
      <c r="Q9" s="242">
        <f t="shared" ref="Q9:Q72" si="2">IF(V9=0,0,0)</f>
        <v>0</v>
      </c>
      <c r="R9" s="242">
        <f>IF(V9=0,0,0)</f>
        <v>0</v>
      </c>
      <c r="S9" s="242">
        <f>S8-M9-T9</f>
        <v>296325.20547945204</v>
      </c>
      <c r="T9" s="467"/>
      <c r="U9" s="198">
        <f>C10</f>
        <v>60</v>
      </c>
      <c r="V9" s="36">
        <f>U9</f>
        <v>60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0.17899999999999999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44743</v>
      </c>
      <c r="AR9" s="555">
        <f t="shared" ref="AR9:AR14" si="3">$D$13</f>
        <v>9.9000000000000005E-2</v>
      </c>
      <c r="AS9" s="546">
        <f>AT9+AZ9</f>
        <v>6360</v>
      </c>
      <c r="AT9" s="546">
        <f>IF(AP9&gt;$C$10,0,ROUNDUP($BG$8*$C$11/12/((1-(1+$C$11/12)^(0-$C$10))),0))</f>
        <v>6360</v>
      </c>
      <c r="AU9" s="546">
        <f>BG8*($C$11/365*(AQ9-AQ8))</f>
        <v>2685.205479452055</v>
      </c>
      <c r="AV9" s="546">
        <f>IF(BI9=0,0,IF(BI9=1,BG8,IF(BG8+AW9+AU9&gt;AT8,AT9-AU9-AW9,BG8)))</f>
        <v>3674.794520547945</v>
      </c>
      <c r="AW9" s="546">
        <f t="shared" ref="AW9:AW72" si="4">IF(AY9-AZ9&gt;$D$24,$D$24-AU9,IF(BI9=0,0,BA9)+BX57)</f>
        <v>0</v>
      </c>
      <c r="AX9" s="546"/>
      <c r="AY9" s="546">
        <f>AU9+AZ9</f>
        <v>2685.205479452055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296325.20547945204</v>
      </c>
      <c r="BH9" s="108">
        <f>C10</f>
        <v>60</v>
      </c>
      <c r="BI9" s="108">
        <f>BH9</f>
        <v>60</v>
      </c>
      <c r="BJ9" s="22">
        <f>H9</f>
        <v>44743</v>
      </c>
      <c r="BK9" s="108">
        <f t="shared" ref="BK9:BK72" si="6">K9</f>
        <v>6360</v>
      </c>
    </row>
    <row r="10" spans="1:72" ht="18" customHeight="1" x14ac:dyDescent="0.2">
      <c r="A10" s="763" t="s">
        <v>198</v>
      </c>
      <c r="B10" s="763"/>
      <c r="C10" s="787">
        <v>60</v>
      </c>
      <c r="D10" s="787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44774</v>
      </c>
      <c r="I10" s="246">
        <f>IF(AND($W$11=1,G10&gt;=$W$11,G10&lt;=$W$11+0),0%,$C$11)</f>
        <v>9.9000000000000005E-2</v>
      </c>
      <c r="J10" s="242">
        <f t="shared" si="0"/>
        <v>6360</v>
      </c>
      <c r="K10" s="242">
        <f>IF(G10&gt;$C$10,0,IF(T9=0,K9,ROUNDUP(S9*$C$11/12/((1-(1+$C$11/12)^(0-($C$10-G10)))),0)))</f>
        <v>6360</v>
      </c>
      <c r="L10" s="242">
        <f t="shared" ref="L10:L73" si="8">S9*($C$11/365*(H10-H9))</f>
        <v>2491.5672756614745</v>
      </c>
      <c r="M10" s="242">
        <f>IF(S9=0,0,IF(S9+L10&gt;K9,K10-L10,S9))</f>
        <v>3868.4327243385255</v>
      </c>
      <c r="N10" s="242">
        <f t="shared" si="1"/>
        <v>0</v>
      </c>
      <c r="O10" s="242">
        <v>0</v>
      </c>
      <c r="P10" s="242">
        <f>L10+Q10</f>
        <v>2491.5672756614745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292456.77275511349</v>
      </c>
      <c r="T10" s="467"/>
      <c r="U10" s="198">
        <f>IF((U9-1)&lt;0,0,U9-1)</f>
        <v>59</v>
      </c>
      <c r="V10" s="36">
        <f t="shared" ref="V10:V73" si="11">U10</f>
        <v>59</v>
      </c>
      <c r="W10" s="54">
        <f>ROUND(S8*0%,-2)</f>
        <v>0</v>
      </c>
      <c r="X10" s="54">
        <f>ROUND(S8*0.5%,0)</f>
        <v>1500</v>
      </c>
      <c r="Y10" s="15"/>
      <c r="Z10" s="15"/>
      <c r="AA10" s="15"/>
      <c r="AB10" s="15">
        <v>0.159</v>
      </c>
      <c r="AD10" s="147">
        <f>IF(OR($C$8="Гарантия стандарт",$C$8="Гарантия пакет"),AB4,W6)</f>
        <v>0.13900000000000001</v>
      </c>
      <c r="AE10" s="147">
        <f>IF(OR($D$8="Гарантия стандарт",$D$8="Гарантия пакет"),AB4,W6)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44774</v>
      </c>
      <c r="AR10" s="555">
        <f t="shared" si="3"/>
        <v>9.9000000000000005E-2</v>
      </c>
      <c r="AS10" s="546">
        <f t="shared" ref="AS10:AS73" si="14">AT10+AZ10</f>
        <v>6360</v>
      </c>
      <c r="AT10" s="546">
        <f t="shared" ref="AT10:AT73" si="15">IF(AP10&gt;$C$10,0,ROUNDUP($BG$8*$C$11/12/((1-(1+$C$11/12)^(0-$C$10))),0))</f>
        <v>6360</v>
      </c>
      <c r="AU10" s="546">
        <f t="shared" ref="AU10:AU73" si="16">BG9*($C$11/365*(AQ10-AQ9))</f>
        <v>2491.5672756614745</v>
      </c>
      <c r="AV10" s="546">
        <f t="shared" ref="AV10:AV73" si="17">IF(BI10=0,0,IF(BI10=1,BG9,IF(BG9+AW10+AU10&gt;AT9,AT10-AU10-AW10,BG9)))</f>
        <v>3868.4327243385255</v>
      </c>
      <c r="AW10" s="546">
        <f t="shared" si="4"/>
        <v>0</v>
      </c>
      <c r="AX10" s="546">
        <v>0</v>
      </c>
      <c r="AY10" s="546">
        <f t="shared" ref="AY10:AY85" si="18">AU10+AZ10</f>
        <v>2491.5672756614745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292456.77275511349</v>
      </c>
      <c r="BH10" s="108">
        <f>IF((BH9-1)&lt;0,0,BH9-1)</f>
        <v>59</v>
      </c>
      <c r="BI10" s="108">
        <f>BH10</f>
        <v>59</v>
      </c>
      <c r="BJ10" s="22">
        <f>H10</f>
        <v>44774</v>
      </c>
      <c r="BK10" s="108">
        <f t="shared" si="6"/>
        <v>6360</v>
      </c>
      <c r="BN10" s="784" t="s">
        <v>90</v>
      </c>
      <c r="BO10" s="777" t="s">
        <v>85</v>
      </c>
      <c r="BP10" s="129" t="s">
        <v>84</v>
      </c>
    </row>
    <row r="11" spans="1:72" ht="18" customHeight="1" thickBot="1" x14ac:dyDescent="0.25">
      <c r="A11" s="805" t="s">
        <v>172</v>
      </c>
      <c r="B11" s="805"/>
      <c r="C11" s="503">
        <v>9.9000000000000005E-2</v>
      </c>
      <c r="D11" s="578">
        <f>C11</f>
        <v>9.9000000000000005E-2</v>
      </c>
      <c r="E11" s="514"/>
      <c r="F11" s="232"/>
      <c r="G11" s="244">
        <f>G10+1</f>
        <v>3</v>
      </c>
      <c r="H11" s="245">
        <f t="shared" si="7"/>
        <v>44805</v>
      </c>
      <c r="I11" s="246">
        <f>IF(AND($W$11=1,G11&gt;=$W$11,G11&lt;=$W$11+0),0%,$C$11)</f>
        <v>9.9000000000000005E-2</v>
      </c>
      <c r="J11" s="242">
        <f t="shared" si="0"/>
        <v>6360</v>
      </c>
      <c r="K11" s="242">
        <f t="shared" ref="K11:K74" si="21">IF(G11&gt;$C$10,0,IF(T10=0,K10,ROUNDUP(S10*$C$11/12/((1-(1+$C$11/12)^(0-($C$10-G11)))),0)))</f>
        <v>6360</v>
      </c>
      <c r="L11" s="242">
        <f t="shared" si="8"/>
        <v>2459.0406454395707</v>
      </c>
      <c r="M11" s="242">
        <f t="shared" ref="M11:M74" si="22">IF(S10=0,0,IF(S10+L11&gt;K10,K11-L11,S10))</f>
        <v>3900.9593545604293</v>
      </c>
      <c r="N11" s="242">
        <f t="shared" si="1"/>
        <v>0</v>
      </c>
      <c r="O11" s="242">
        <v>0</v>
      </c>
      <c r="P11" s="242">
        <f t="shared" ref="P11:P85" si="23">L11+Q11</f>
        <v>2459.0406454395707</v>
      </c>
      <c r="Q11" s="242">
        <f t="shared" si="2"/>
        <v>0</v>
      </c>
      <c r="R11" s="242">
        <f t="shared" si="9"/>
        <v>0</v>
      </c>
      <c r="S11" s="242">
        <f t="shared" si="10"/>
        <v>288555.81340055307</v>
      </c>
      <c r="T11" s="467"/>
      <c r="U11" s="198">
        <f>IF((U10-1)&lt;0,0,U10-1)</f>
        <v>58</v>
      </c>
      <c r="V11" s="36">
        <f t="shared" si="11"/>
        <v>58</v>
      </c>
      <c r="W11" s="130">
        <f>IF($C$8="Нет",0,1)</f>
        <v>0</v>
      </c>
      <c r="X11" s="15"/>
      <c r="Y11" s="15"/>
      <c r="Z11" s="15"/>
      <c r="AA11" s="15"/>
      <c r="AB11" s="15">
        <v>0.13900000000000001</v>
      </c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44805</v>
      </c>
      <c r="AR11" s="555">
        <f t="shared" si="3"/>
        <v>9.9000000000000005E-2</v>
      </c>
      <c r="AS11" s="546">
        <f t="shared" si="14"/>
        <v>6360</v>
      </c>
      <c r="AT11" s="546">
        <f t="shared" si="15"/>
        <v>6360</v>
      </c>
      <c r="AU11" s="546">
        <f t="shared" si="16"/>
        <v>2459.0406454395707</v>
      </c>
      <c r="AV11" s="546">
        <f>IF(BI11=0,0,IF(BI11=1,BG10,IF(BG10+AW11+AU11&gt;AT10,AT11-AU11-AW11,BG10)))</f>
        <v>3900.9593545604293</v>
      </c>
      <c r="AW11" s="546">
        <f t="shared" si="4"/>
        <v>0</v>
      </c>
      <c r="AX11" s="546">
        <v>0</v>
      </c>
      <c r="AY11" s="546">
        <f t="shared" si="18"/>
        <v>2459.0406454395707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288555.81340055307</v>
      </c>
      <c r="BH11" s="108">
        <f>IF((BH10-1)&lt;0,0,BH10-1)</f>
        <v>58</v>
      </c>
      <c r="BI11" s="108">
        <f t="shared" ref="BI11:BI74" si="24">BH11</f>
        <v>58</v>
      </c>
      <c r="BJ11" s="22">
        <f t="shared" ref="BJ11:BJ74" si="25">H11</f>
        <v>44805</v>
      </c>
      <c r="BK11" s="108">
        <f t="shared" si="6"/>
        <v>6360</v>
      </c>
      <c r="BN11" s="785"/>
      <c r="BO11" s="778"/>
      <c r="BP11" s="128" t="s">
        <v>91</v>
      </c>
    </row>
    <row r="12" spans="1:72" ht="18" customHeight="1" thickBot="1" x14ac:dyDescent="0.25">
      <c r="A12" s="805" t="s">
        <v>173</v>
      </c>
      <c r="B12" s="805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44835</v>
      </c>
      <c r="I12" s="246">
        <f>IF(AND($W$11=1,G12&gt;=$W$11,G12&lt;=$W$11+0),0%,$C$11)</f>
        <v>9.9000000000000005E-2</v>
      </c>
      <c r="J12" s="242">
        <f t="shared" si="0"/>
        <v>6360</v>
      </c>
      <c r="K12" s="242">
        <f t="shared" si="21"/>
        <v>6360</v>
      </c>
      <c r="L12" s="242">
        <f t="shared" si="8"/>
        <v>2347.9747008209383</v>
      </c>
      <c r="M12" s="242">
        <f t="shared" si="22"/>
        <v>4012.0252991790617</v>
      </c>
      <c r="N12" s="242">
        <f t="shared" si="1"/>
        <v>0</v>
      </c>
      <c r="O12" s="242">
        <v>0</v>
      </c>
      <c r="P12" s="242">
        <f t="shared" si="23"/>
        <v>2347.9747008209383</v>
      </c>
      <c r="Q12" s="242">
        <f t="shared" si="2"/>
        <v>0</v>
      </c>
      <c r="R12" s="242">
        <f t="shared" si="9"/>
        <v>0</v>
      </c>
      <c r="S12" s="242">
        <f t="shared" si="10"/>
        <v>284543.788101374</v>
      </c>
      <c r="T12" s="467"/>
      <c r="U12" s="198">
        <f t="shared" ref="U12:U75" si="27">IF((U11-1)&lt;0,0,U11-1)</f>
        <v>57</v>
      </c>
      <c r="V12" s="36">
        <f t="shared" si="11"/>
        <v>57</v>
      </c>
      <c r="W12" s="15"/>
      <c r="X12" s="15"/>
      <c r="Y12" s="15"/>
      <c r="Z12" s="15"/>
      <c r="AA12" s="15"/>
      <c r="AB12" s="15">
        <v>0.11899999999999999</v>
      </c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44835</v>
      </c>
      <c r="AR12" s="555">
        <f t="shared" si="3"/>
        <v>9.9000000000000005E-2</v>
      </c>
      <c r="AS12" s="546">
        <f t="shared" si="14"/>
        <v>6360</v>
      </c>
      <c r="AT12" s="546">
        <f t="shared" si="15"/>
        <v>6360</v>
      </c>
      <c r="AU12" s="546">
        <f t="shared" si="16"/>
        <v>2347.9747008209383</v>
      </c>
      <c r="AV12" s="546">
        <f t="shared" si="17"/>
        <v>4012.0252991790617</v>
      </c>
      <c r="AW12" s="546">
        <f t="shared" si="4"/>
        <v>0</v>
      </c>
      <c r="AX12" s="546">
        <v>0</v>
      </c>
      <c r="AY12" s="546">
        <f t="shared" si="18"/>
        <v>2347.9747008209383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284543.788101374</v>
      </c>
      <c r="BH12" s="108">
        <f t="shared" ref="BH12:BH75" si="29">IF((BH11-1)&lt;0,0,BH11-1)</f>
        <v>57</v>
      </c>
      <c r="BI12" s="108">
        <f t="shared" si="24"/>
        <v>57</v>
      </c>
      <c r="BJ12" s="22">
        <f t="shared" si="25"/>
        <v>44835</v>
      </c>
      <c r="BK12" s="108">
        <f t="shared" si="6"/>
        <v>6360</v>
      </c>
    </row>
    <row r="13" spans="1:72" ht="18" customHeight="1" x14ac:dyDescent="0.2">
      <c r="A13" s="805" t="s">
        <v>171</v>
      </c>
      <c r="B13" s="806"/>
      <c r="C13" s="360">
        <f>C11</f>
        <v>9.9000000000000005E-2</v>
      </c>
      <c r="D13" s="217">
        <f>D11</f>
        <v>9.9000000000000005E-2</v>
      </c>
      <c r="E13" s="514"/>
      <c r="F13" s="232"/>
      <c r="G13" s="244">
        <f t="shared" si="26"/>
        <v>5</v>
      </c>
      <c r="H13" s="245">
        <f t="shared" si="7"/>
        <v>44866</v>
      </c>
      <c r="I13" s="246">
        <f>IF(AND($W$11=1,G13&gt;=$W$11,G13&lt;=$W$11+0),0%,$C$11)</f>
        <v>9.9000000000000005E-2</v>
      </c>
      <c r="J13" s="242">
        <f t="shared" si="0"/>
        <v>6360</v>
      </c>
      <c r="K13" s="242">
        <f t="shared" si="21"/>
        <v>6360</v>
      </c>
      <c r="L13" s="242">
        <f t="shared" si="8"/>
        <v>2392.5065361181282</v>
      </c>
      <c r="M13" s="242">
        <f t="shared" si="22"/>
        <v>3967.4934638818718</v>
      </c>
      <c r="N13" s="242">
        <f t="shared" si="1"/>
        <v>0</v>
      </c>
      <c r="O13" s="242">
        <v>0</v>
      </c>
      <c r="P13" s="242">
        <f t="shared" si="23"/>
        <v>2392.5065361181282</v>
      </c>
      <c r="Q13" s="242">
        <f t="shared" si="2"/>
        <v>0</v>
      </c>
      <c r="R13" s="242">
        <f t="shared" si="9"/>
        <v>0</v>
      </c>
      <c r="S13" s="242">
        <f t="shared" si="10"/>
        <v>280576.2946374921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>
        <v>9.9000000000000005E-2</v>
      </c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44866</v>
      </c>
      <c r="AR13" s="555">
        <f t="shared" si="3"/>
        <v>9.9000000000000005E-2</v>
      </c>
      <c r="AS13" s="546">
        <f t="shared" si="14"/>
        <v>6360</v>
      </c>
      <c r="AT13" s="546">
        <f t="shared" si="15"/>
        <v>6360</v>
      </c>
      <c r="AU13" s="546">
        <f t="shared" si="16"/>
        <v>2392.5065361181282</v>
      </c>
      <c r="AV13" s="546">
        <f t="shared" si="17"/>
        <v>3967.4934638818718</v>
      </c>
      <c r="AW13" s="546">
        <f t="shared" si="4"/>
        <v>0</v>
      </c>
      <c r="AX13" s="546">
        <v>0</v>
      </c>
      <c r="AY13" s="546">
        <f t="shared" si="18"/>
        <v>2392.5065361181282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280576.2946374921</v>
      </c>
      <c r="BH13" s="108">
        <f t="shared" si="29"/>
        <v>56</v>
      </c>
      <c r="BI13" s="108">
        <f t="shared" si="24"/>
        <v>56</v>
      </c>
      <c r="BJ13" s="22">
        <f t="shared" si="25"/>
        <v>44866</v>
      </c>
      <c r="BK13" s="108">
        <f t="shared" si="6"/>
        <v>6360</v>
      </c>
      <c r="BN13" s="784" t="s">
        <v>92</v>
      </c>
      <c r="BO13" s="777" t="s">
        <v>85</v>
      </c>
      <c r="BP13" s="129" t="s">
        <v>90</v>
      </c>
    </row>
    <row r="14" spans="1:72" ht="19.5" customHeight="1" thickBot="1" x14ac:dyDescent="0.25">
      <c r="A14" s="819" t="s">
        <v>168</v>
      </c>
      <c r="B14" s="419" t="s">
        <v>102</v>
      </c>
      <c r="C14" s="568" t="s">
        <v>35</v>
      </c>
      <c r="D14" s="218" t="str">
        <f>C14</f>
        <v>Нет</v>
      </c>
      <c r="E14" s="510"/>
      <c r="F14" s="231"/>
      <c r="G14" s="244">
        <f t="shared" si="26"/>
        <v>6</v>
      </c>
      <c r="H14" s="245">
        <f t="shared" si="7"/>
        <v>44896</v>
      </c>
      <c r="I14" s="246">
        <f>IF(AND($W$11=1,G14&gt;=$W$11,G14&lt;=$W$11+0),0%,$C$11)</f>
        <v>9.9000000000000005E-2</v>
      </c>
      <c r="J14" s="242">
        <f t="shared" si="0"/>
        <v>6360</v>
      </c>
      <c r="K14" s="242">
        <f t="shared" si="21"/>
        <v>6360</v>
      </c>
      <c r="L14" s="242">
        <f t="shared" si="8"/>
        <v>2283.0454659543875</v>
      </c>
      <c r="M14" s="242">
        <f t="shared" si="22"/>
        <v>4076.9545340456125</v>
      </c>
      <c r="N14" s="242">
        <f t="shared" si="1"/>
        <v>0</v>
      </c>
      <c r="O14" s="242">
        <v>0</v>
      </c>
      <c r="P14" s="242">
        <f t="shared" si="23"/>
        <v>2283.0454659543875</v>
      </c>
      <c r="Q14" s="242">
        <f t="shared" si="2"/>
        <v>0</v>
      </c>
      <c r="R14" s="242">
        <f t="shared" si="9"/>
        <v>0</v>
      </c>
      <c r="S14" s="242">
        <f t="shared" si="10"/>
        <v>276499.34010344651</v>
      </c>
      <c r="T14" s="242"/>
      <c r="U14" s="198">
        <f>IF((U13-1)&lt;0,0,U13-1)</f>
        <v>55</v>
      </c>
      <c r="V14" s="36">
        <f t="shared" si="11"/>
        <v>55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E14" s="15">
        <f>IF(OR(D$8="Гарантия стандарт",D$8="Гарантия пакет"),AE13,D13)</f>
        <v>9.9000000000000005E-2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44896</v>
      </c>
      <c r="AR14" s="555">
        <f t="shared" si="3"/>
        <v>9.9000000000000005E-2</v>
      </c>
      <c r="AS14" s="546">
        <f t="shared" si="14"/>
        <v>6360</v>
      </c>
      <c r="AT14" s="546">
        <f t="shared" si="15"/>
        <v>6360</v>
      </c>
      <c r="AU14" s="546">
        <f t="shared" si="16"/>
        <v>2283.0454659543875</v>
      </c>
      <c r="AV14" s="546">
        <f t="shared" si="17"/>
        <v>4076.9545340456125</v>
      </c>
      <c r="AW14" s="546">
        <f t="shared" si="4"/>
        <v>0</v>
      </c>
      <c r="AX14" s="546">
        <v>0</v>
      </c>
      <c r="AY14" s="546">
        <f t="shared" si="18"/>
        <v>2283.0454659543875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276499.34010344651</v>
      </c>
      <c r="BH14" s="108">
        <f t="shared" si="29"/>
        <v>55</v>
      </c>
      <c r="BI14" s="108">
        <f t="shared" si="24"/>
        <v>55</v>
      </c>
      <c r="BJ14" s="22">
        <f t="shared" si="25"/>
        <v>44896</v>
      </c>
      <c r="BK14" s="108">
        <f t="shared" si="6"/>
        <v>6360</v>
      </c>
      <c r="BN14" s="785"/>
      <c r="BO14" s="778"/>
      <c r="BP14" s="128" t="s">
        <v>93</v>
      </c>
    </row>
    <row r="15" spans="1:72" ht="20.25" customHeight="1" x14ac:dyDescent="0.2">
      <c r="A15" s="820"/>
      <c r="B15" s="418" t="s">
        <v>182</v>
      </c>
      <c r="C15" s="505" t="str">
        <f>IF(C14="нет","",AJ109)</f>
        <v/>
      </c>
      <c r="D15" s="216" t="str">
        <f>IF(D14="нет","",AJ109)</f>
        <v/>
      </c>
      <c r="E15" s="510"/>
      <c r="F15" s="231"/>
      <c r="G15" s="244">
        <f t="shared" si="26"/>
        <v>7</v>
      </c>
      <c r="H15" s="245">
        <f t="shared" si="7"/>
        <v>44927</v>
      </c>
      <c r="I15" s="246">
        <f t="shared" ref="I15:I78" si="30">IF(AND($W$11=1,G15&gt;=$W$11,G15&lt;=$W$11+5),0%,$C$11)</f>
        <v>9.9000000000000005E-2</v>
      </c>
      <c r="J15" s="242">
        <f t="shared" si="0"/>
        <v>6360</v>
      </c>
      <c r="K15" s="242">
        <f t="shared" si="21"/>
        <v>6360</v>
      </c>
      <c r="L15" s="242">
        <f t="shared" si="8"/>
        <v>2324.8670541848692</v>
      </c>
      <c r="M15" s="242">
        <f t="shared" si="22"/>
        <v>4035.1329458151308</v>
      </c>
      <c r="N15" s="242">
        <f t="shared" si="1"/>
        <v>0</v>
      </c>
      <c r="O15" s="242">
        <v>0</v>
      </c>
      <c r="P15" s="242">
        <f t="shared" si="23"/>
        <v>2324.8670541848692</v>
      </c>
      <c r="Q15" s="242">
        <f t="shared" si="2"/>
        <v>0</v>
      </c>
      <c r="R15" s="242">
        <f t="shared" si="9"/>
        <v>0</v>
      </c>
      <c r="S15" s="242">
        <f t="shared" si="10"/>
        <v>272464.20715763135</v>
      </c>
      <c r="T15" s="467"/>
      <c r="U15" s="198">
        <f t="shared" si="27"/>
        <v>54</v>
      </c>
      <c r="V15" s="36">
        <f t="shared" si="11"/>
        <v>54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44927</v>
      </c>
      <c r="AR15" s="555">
        <f t="shared" ref="AR15:AR32" si="31">IF($D$16="Да",$AM$37,$D$13)</f>
        <v>9.9000000000000005E-2</v>
      </c>
      <c r="AS15" s="546">
        <f t="shared" si="14"/>
        <v>6360</v>
      </c>
      <c r="AT15" s="546">
        <f t="shared" si="15"/>
        <v>6360</v>
      </c>
      <c r="AU15" s="546">
        <f t="shared" si="16"/>
        <v>2324.8670541848692</v>
      </c>
      <c r="AV15" s="546">
        <f t="shared" si="17"/>
        <v>4035.1329458151308</v>
      </c>
      <c r="AW15" s="546">
        <f t="shared" si="4"/>
        <v>0</v>
      </c>
      <c r="AX15" s="546">
        <v>0</v>
      </c>
      <c r="AY15" s="546">
        <f t="shared" si="18"/>
        <v>2324.8670541848692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272464.20715763135</v>
      </c>
      <c r="BH15" s="108">
        <f t="shared" si="29"/>
        <v>54</v>
      </c>
      <c r="BI15" s="108">
        <f t="shared" si="24"/>
        <v>54</v>
      </c>
      <c r="BJ15" s="22">
        <f t="shared" si="25"/>
        <v>44927</v>
      </c>
      <c r="BK15" s="108">
        <f t="shared" si="6"/>
        <v>6360</v>
      </c>
    </row>
    <row r="16" spans="1:72" ht="19.149999999999999" customHeight="1" x14ac:dyDescent="0.2">
      <c r="A16" s="821" t="s">
        <v>356</v>
      </c>
      <c r="B16" s="186" t="s">
        <v>351</v>
      </c>
      <c r="C16" s="506" t="s">
        <v>35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44958</v>
      </c>
      <c r="I16" s="246">
        <f t="shared" si="30"/>
        <v>9.9000000000000005E-2</v>
      </c>
      <c r="J16" s="242">
        <f t="shared" si="0"/>
        <v>6360</v>
      </c>
      <c r="K16" s="242">
        <f t="shared" si="21"/>
        <v>6360</v>
      </c>
      <c r="L16" s="242">
        <f t="shared" si="8"/>
        <v>2290.9387719637548</v>
      </c>
      <c r="M16" s="242">
        <f t="shared" si="22"/>
        <v>4069.0612280362452</v>
      </c>
      <c r="N16" s="242">
        <f t="shared" si="1"/>
        <v>0</v>
      </c>
      <c r="O16" s="242">
        <v>0</v>
      </c>
      <c r="P16" s="242">
        <f t="shared" si="23"/>
        <v>2290.9387719637548</v>
      </c>
      <c r="Q16" s="242">
        <f t="shared" si="2"/>
        <v>0</v>
      </c>
      <c r="R16" s="242">
        <f t="shared" si="9"/>
        <v>0</v>
      </c>
      <c r="S16" s="242">
        <f t="shared" si="10"/>
        <v>268395.14592959511</v>
      </c>
      <c r="T16" s="467"/>
      <c r="U16" s="198">
        <f t="shared" si="27"/>
        <v>53</v>
      </c>
      <c r="V16" s="36">
        <f t="shared" si="11"/>
        <v>53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44958</v>
      </c>
      <c r="AR16" s="555">
        <f t="shared" si="31"/>
        <v>9.9000000000000005E-2</v>
      </c>
      <c r="AS16" s="546">
        <f t="shared" si="14"/>
        <v>6360</v>
      </c>
      <c r="AT16" s="546">
        <f t="shared" si="15"/>
        <v>6360</v>
      </c>
      <c r="AU16" s="546">
        <f t="shared" si="16"/>
        <v>2290.9387719637548</v>
      </c>
      <c r="AV16" s="546">
        <f t="shared" si="17"/>
        <v>4069.0612280362452</v>
      </c>
      <c r="AW16" s="546">
        <f t="shared" si="4"/>
        <v>0</v>
      </c>
      <c r="AX16" s="546">
        <v>0</v>
      </c>
      <c r="AY16" s="546">
        <f t="shared" si="18"/>
        <v>2290.9387719637548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268395.14592959511</v>
      </c>
      <c r="BH16" s="108">
        <f t="shared" si="29"/>
        <v>53</v>
      </c>
      <c r="BI16" s="108">
        <f t="shared" si="24"/>
        <v>53</v>
      </c>
      <c r="BJ16" s="22">
        <f t="shared" si="25"/>
        <v>44958</v>
      </c>
      <c r="BK16" s="108">
        <f t="shared" si="6"/>
        <v>6360</v>
      </c>
    </row>
    <row r="17" spans="1:393" ht="19.899999999999999" customHeight="1" x14ac:dyDescent="0.2">
      <c r="A17" s="821"/>
      <c r="B17" s="186" t="s">
        <v>352</v>
      </c>
      <c r="C17" s="545" t="str">
        <f>IF(C16="Да",10%,"")</f>
        <v/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44986</v>
      </c>
      <c r="I17" s="246">
        <f t="shared" si="30"/>
        <v>9.9000000000000005E-2</v>
      </c>
      <c r="J17" s="242">
        <f t="shared" si="0"/>
        <v>6360</v>
      </c>
      <c r="K17" s="242">
        <f t="shared" si="21"/>
        <v>6360</v>
      </c>
      <c r="L17" s="242">
        <f t="shared" si="8"/>
        <v>2038.332450731062</v>
      </c>
      <c r="M17" s="242">
        <f t="shared" si="22"/>
        <v>4321.6675492689383</v>
      </c>
      <c r="N17" s="242">
        <f t="shared" si="1"/>
        <v>0</v>
      </c>
      <c r="O17" s="242">
        <v>0</v>
      </c>
      <c r="P17" s="242">
        <f t="shared" si="23"/>
        <v>2038.332450731062</v>
      </c>
      <c r="Q17" s="242">
        <f t="shared" si="2"/>
        <v>0</v>
      </c>
      <c r="R17" s="242">
        <f t="shared" si="9"/>
        <v>0</v>
      </c>
      <c r="S17" s="242">
        <f t="shared" si="10"/>
        <v>264073.47838032618</v>
      </c>
      <c r="T17" s="467"/>
      <c r="U17" s="198">
        <f t="shared" si="27"/>
        <v>52</v>
      </c>
      <c r="V17" s="36">
        <f t="shared" si="11"/>
        <v>52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44986</v>
      </c>
      <c r="AR17" s="555">
        <f t="shared" si="31"/>
        <v>9.9000000000000005E-2</v>
      </c>
      <c r="AS17" s="546">
        <f t="shared" si="14"/>
        <v>6360</v>
      </c>
      <c r="AT17" s="546">
        <f t="shared" si="15"/>
        <v>6360</v>
      </c>
      <c r="AU17" s="546">
        <f t="shared" si="16"/>
        <v>2038.332450731062</v>
      </c>
      <c r="AV17" s="546">
        <f t="shared" si="17"/>
        <v>4321.6675492689383</v>
      </c>
      <c r="AW17" s="546">
        <f t="shared" si="4"/>
        <v>0</v>
      </c>
      <c r="AX17" s="546">
        <v>0</v>
      </c>
      <c r="AY17" s="546">
        <f t="shared" si="18"/>
        <v>2038.332450731062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264073.47838032618</v>
      </c>
      <c r="BH17" s="108">
        <f t="shared" si="29"/>
        <v>52</v>
      </c>
      <c r="BI17" s="108">
        <f t="shared" si="24"/>
        <v>52</v>
      </c>
      <c r="BJ17" s="22">
        <f t="shared" si="25"/>
        <v>44986</v>
      </c>
      <c r="BK17" s="108">
        <f t="shared" si="6"/>
        <v>6360</v>
      </c>
    </row>
    <row r="18" spans="1:393" ht="19.899999999999999" customHeight="1" x14ac:dyDescent="0.2">
      <c r="A18" s="821"/>
      <c r="B18" s="186" t="s">
        <v>353</v>
      </c>
      <c r="C18" s="508" t="str">
        <f>IF($C$16="ДА",C7*C17,"")</f>
        <v/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45017</v>
      </c>
      <c r="I18" s="246">
        <f t="shared" si="30"/>
        <v>9.9000000000000005E-2</v>
      </c>
      <c r="J18" s="242">
        <f t="shared" si="0"/>
        <v>6360</v>
      </c>
      <c r="K18" s="242">
        <f t="shared" si="21"/>
        <v>6360</v>
      </c>
      <c r="L18" s="242">
        <f t="shared" si="8"/>
        <v>2220.3876853403317</v>
      </c>
      <c r="M18" s="242">
        <f t="shared" si="22"/>
        <v>4139.6123146596683</v>
      </c>
      <c r="N18" s="242">
        <f t="shared" si="1"/>
        <v>0</v>
      </c>
      <c r="O18" s="242">
        <v>0</v>
      </c>
      <c r="P18" s="242">
        <f t="shared" si="23"/>
        <v>2220.3876853403317</v>
      </c>
      <c r="Q18" s="242">
        <f t="shared" si="2"/>
        <v>0</v>
      </c>
      <c r="R18" s="242">
        <f t="shared" si="9"/>
        <v>0</v>
      </c>
      <c r="S18" s="242">
        <f t="shared" si="10"/>
        <v>259933.86606566652</v>
      </c>
      <c r="T18" s="467"/>
      <c r="U18" s="198">
        <f t="shared" si="27"/>
        <v>51</v>
      </c>
      <c r="V18" s="36">
        <f t="shared" si="11"/>
        <v>51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45017</v>
      </c>
      <c r="AR18" s="555">
        <f t="shared" si="31"/>
        <v>9.9000000000000005E-2</v>
      </c>
      <c r="AS18" s="546">
        <f t="shared" si="14"/>
        <v>6360</v>
      </c>
      <c r="AT18" s="546">
        <f t="shared" si="15"/>
        <v>6360</v>
      </c>
      <c r="AU18" s="546">
        <f t="shared" si="16"/>
        <v>2220.3876853403317</v>
      </c>
      <c r="AV18" s="546">
        <f t="shared" si="17"/>
        <v>4139.6123146596683</v>
      </c>
      <c r="AW18" s="546">
        <f t="shared" si="4"/>
        <v>0</v>
      </c>
      <c r="AX18" s="546">
        <v>0</v>
      </c>
      <c r="AY18" s="546">
        <f t="shared" si="18"/>
        <v>2220.3876853403317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259933.86606566652</v>
      </c>
      <c r="BH18" s="108">
        <f t="shared" si="29"/>
        <v>51</v>
      </c>
      <c r="BI18" s="108">
        <f t="shared" si="24"/>
        <v>51</v>
      </c>
      <c r="BJ18" s="22">
        <f t="shared" si="25"/>
        <v>45017</v>
      </c>
      <c r="BK18" s="108">
        <f t="shared" si="6"/>
        <v>6360</v>
      </c>
    </row>
    <row r="19" spans="1:393" ht="18.75" customHeight="1" x14ac:dyDescent="0.2">
      <c r="A19" s="564"/>
      <c r="B19" s="186" t="s">
        <v>364</v>
      </c>
      <c r="C19" s="567" t="str">
        <f>IF(C16="Да",(C11-10%),"")</f>
        <v/>
      </c>
      <c r="D19" s="450"/>
      <c r="E19" s="514"/>
      <c r="F19" s="233"/>
      <c r="G19" s="244">
        <f t="shared" si="26"/>
        <v>11</v>
      </c>
      <c r="H19" s="245">
        <f t="shared" si="7"/>
        <v>45047</v>
      </c>
      <c r="I19" s="246">
        <f t="shared" si="30"/>
        <v>9.9000000000000005E-2</v>
      </c>
      <c r="J19" s="242">
        <f t="shared" si="0"/>
        <v>6360</v>
      </c>
      <c r="K19" s="242">
        <f t="shared" si="21"/>
        <v>6360</v>
      </c>
      <c r="L19" s="242">
        <f t="shared" si="8"/>
        <v>2115.0783074384367</v>
      </c>
      <c r="M19" s="242">
        <f t="shared" si="22"/>
        <v>4244.9216925615638</v>
      </c>
      <c r="N19" s="242">
        <f t="shared" si="1"/>
        <v>0</v>
      </c>
      <c r="O19" s="242">
        <v>0</v>
      </c>
      <c r="P19" s="242">
        <f t="shared" si="23"/>
        <v>2115.0783074384367</v>
      </c>
      <c r="Q19" s="242">
        <f t="shared" si="2"/>
        <v>0</v>
      </c>
      <c r="R19" s="242">
        <f t="shared" si="9"/>
        <v>0</v>
      </c>
      <c r="S19" s="242">
        <f t="shared" si="10"/>
        <v>255688.94437310495</v>
      </c>
      <c r="T19" s="467"/>
      <c r="U19" s="198">
        <f>IF((U18-1)&lt;0,0,U18-1)</f>
        <v>50</v>
      </c>
      <c r="V19" s="36">
        <f t="shared" si="11"/>
        <v>50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45047</v>
      </c>
      <c r="AR19" s="555">
        <f t="shared" si="31"/>
        <v>9.9000000000000005E-2</v>
      </c>
      <c r="AS19" s="546">
        <f t="shared" si="14"/>
        <v>6360</v>
      </c>
      <c r="AT19" s="546">
        <f t="shared" si="15"/>
        <v>6360</v>
      </c>
      <c r="AU19" s="546">
        <f t="shared" si="16"/>
        <v>2115.0783074384367</v>
      </c>
      <c r="AV19" s="546">
        <f t="shared" si="17"/>
        <v>4244.9216925615638</v>
      </c>
      <c r="AW19" s="546">
        <f t="shared" si="4"/>
        <v>0</v>
      </c>
      <c r="AX19" s="546">
        <v>0</v>
      </c>
      <c r="AY19" s="546">
        <f t="shared" si="18"/>
        <v>2115.0783074384367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255688.94437310495</v>
      </c>
      <c r="BH19" s="108">
        <f t="shared" si="29"/>
        <v>50</v>
      </c>
      <c r="BI19" s="108">
        <f t="shared" si="24"/>
        <v>50</v>
      </c>
      <c r="BJ19" s="22">
        <f t="shared" si="25"/>
        <v>45047</v>
      </c>
      <c r="BK19" s="108">
        <f t="shared" si="6"/>
        <v>6360</v>
      </c>
    </row>
    <row r="20" spans="1:393" ht="16.899999999999999" customHeight="1" thickBot="1" x14ac:dyDescent="0.25">
      <c r="A20" s="807"/>
      <c r="B20" s="807"/>
      <c r="C20" s="807"/>
      <c r="D20" s="807"/>
      <c r="E20" s="807"/>
      <c r="F20" s="224"/>
      <c r="G20" s="248">
        <f t="shared" si="26"/>
        <v>12</v>
      </c>
      <c r="H20" s="581">
        <f t="shared" si="7"/>
        <v>45078</v>
      </c>
      <c r="I20" s="250">
        <f t="shared" si="30"/>
        <v>9.9000000000000005E-2</v>
      </c>
      <c r="J20" s="252">
        <f t="shared" si="0"/>
        <v>6360</v>
      </c>
      <c r="K20" s="252">
        <f t="shared" si="21"/>
        <v>6360</v>
      </c>
      <c r="L20" s="252">
        <f t="shared" si="8"/>
        <v>2149.8886857015318</v>
      </c>
      <c r="M20" s="252">
        <f t="shared" si="22"/>
        <v>4210.1113142984686</v>
      </c>
      <c r="N20" s="252">
        <f t="shared" si="1"/>
        <v>0</v>
      </c>
      <c r="O20" s="252">
        <v>0</v>
      </c>
      <c r="P20" s="252">
        <f t="shared" si="23"/>
        <v>2149.8886857015318</v>
      </c>
      <c r="Q20" s="252">
        <f t="shared" si="2"/>
        <v>0</v>
      </c>
      <c r="R20" s="252">
        <f t="shared" si="9"/>
        <v>0</v>
      </c>
      <c r="S20" s="252">
        <f t="shared" si="10"/>
        <v>251478.83305880649</v>
      </c>
      <c r="T20" s="468"/>
      <c r="U20" s="198">
        <f>IF((U19-1)&lt;0,0,U19-1)</f>
        <v>49</v>
      </c>
      <c r="V20" s="36">
        <f t="shared" si="11"/>
        <v>49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45078</v>
      </c>
      <c r="AR20" s="557">
        <f t="shared" si="31"/>
        <v>9.9000000000000005E-2</v>
      </c>
      <c r="AS20" s="547">
        <f t="shared" si="14"/>
        <v>6360</v>
      </c>
      <c r="AT20" s="547">
        <f t="shared" si="15"/>
        <v>6360</v>
      </c>
      <c r="AU20" s="547">
        <f t="shared" si="16"/>
        <v>2149.8886857015318</v>
      </c>
      <c r="AV20" s="547">
        <f t="shared" si="17"/>
        <v>4210.1113142984686</v>
      </c>
      <c r="AW20" s="547">
        <f t="shared" si="4"/>
        <v>0</v>
      </c>
      <c r="AX20" s="547">
        <v>0</v>
      </c>
      <c r="AY20" s="547">
        <f t="shared" si="18"/>
        <v>2149.8886857015318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251478.83305880649</v>
      </c>
      <c r="BH20" s="108">
        <f t="shared" si="29"/>
        <v>49</v>
      </c>
      <c r="BI20" s="108">
        <f t="shared" si="24"/>
        <v>49</v>
      </c>
      <c r="BJ20" s="22">
        <f t="shared" si="25"/>
        <v>45078</v>
      </c>
      <c r="BK20" s="108">
        <f t="shared" si="6"/>
        <v>6360</v>
      </c>
    </row>
    <row r="21" spans="1:393" ht="12.75" customHeight="1" x14ac:dyDescent="0.2">
      <c r="A21" s="817"/>
      <c r="B21" s="817"/>
      <c r="C21" s="817"/>
      <c r="D21" s="817"/>
      <c r="E21" s="817"/>
      <c r="F21" s="224"/>
      <c r="G21" s="244">
        <f t="shared" si="26"/>
        <v>13</v>
      </c>
      <c r="H21" s="245">
        <f t="shared" si="7"/>
        <v>45108</v>
      </c>
      <c r="I21" s="246">
        <f t="shared" si="30"/>
        <v>9.9000000000000005E-2</v>
      </c>
      <c r="J21" s="242">
        <f>K21+Q21</f>
        <v>6360</v>
      </c>
      <c r="K21" s="242">
        <f t="shared" si="21"/>
        <v>6360</v>
      </c>
      <c r="L21" s="242">
        <f t="shared" si="8"/>
        <v>2046.2798196839867</v>
      </c>
      <c r="M21" s="242">
        <f t="shared" si="22"/>
        <v>4313.7201803160133</v>
      </c>
      <c r="N21" s="242">
        <f t="shared" si="1"/>
        <v>0</v>
      </c>
      <c r="O21" s="242">
        <v>0</v>
      </c>
      <c r="P21" s="242">
        <f t="shared" si="23"/>
        <v>2046.2798196839867</v>
      </c>
      <c r="Q21" s="242">
        <f t="shared" si="2"/>
        <v>0</v>
      </c>
      <c r="R21" s="242">
        <f t="shared" si="9"/>
        <v>0</v>
      </c>
      <c r="S21" s="242">
        <f t="shared" si="10"/>
        <v>247165.11287849047</v>
      </c>
      <c r="T21" s="467"/>
      <c r="U21" s="198">
        <f>IF((U20-1)&lt;0,0,U20-1)</f>
        <v>48</v>
      </c>
      <c r="V21" s="36">
        <f t="shared" si="11"/>
        <v>48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45108</v>
      </c>
      <c r="AR21" s="555">
        <f t="shared" si="31"/>
        <v>9.9000000000000005E-2</v>
      </c>
      <c r="AS21" s="546">
        <f t="shared" si="14"/>
        <v>6360</v>
      </c>
      <c r="AT21" s="546">
        <f t="shared" si="15"/>
        <v>6360</v>
      </c>
      <c r="AU21" s="546">
        <f t="shared" si="16"/>
        <v>2046.2798196839867</v>
      </c>
      <c r="AV21" s="546">
        <f t="shared" si="17"/>
        <v>4313.7201803160133</v>
      </c>
      <c r="AW21" s="546">
        <f t="shared" si="4"/>
        <v>0</v>
      </c>
      <c r="AX21" s="546">
        <v>0</v>
      </c>
      <c r="AY21" s="546">
        <f t="shared" si="18"/>
        <v>2046.2798196839867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247165.11287849047</v>
      </c>
      <c r="BH21" s="108">
        <f t="shared" si="29"/>
        <v>48</v>
      </c>
      <c r="BI21" s="108">
        <f t="shared" si="24"/>
        <v>48</v>
      </c>
      <c r="BJ21" s="22">
        <f t="shared" si="25"/>
        <v>45108</v>
      </c>
      <c r="BK21" s="108">
        <f t="shared" si="6"/>
        <v>6360</v>
      </c>
    </row>
    <row r="22" spans="1:393" ht="34.15" customHeight="1" x14ac:dyDescent="0.2">
      <c r="A22" s="808" t="s">
        <v>350</v>
      </c>
      <c r="B22" s="808"/>
      <c r="C22" s="809"/>
      <c r="D22" s="496"/>
      <c r="E22" s="496"/>
      <c r="F22" s="225"/>
      <c r="G22" s="244">
        <f t="shared" si="26"/>
        <v>14</v>
      </c>
      <c r="H22" s="245">
        <f t="shared" si="7"/>
        <v>45139</v>
      </c>
      <c r="I22" s="246">
        <f t="shared" si="30"/>
        <v>9.9000000000000005E-2</v>
      </c>
      <c r="J22" s="242">
        <f t="shared" si="0"/>
        <v>6360</v>
      </c>
      <c r="K22" s="242">
        <f t="shared" si="21"/>
        <v>6360</v>
      </c>
      <c r="L22" s="242">
        <f t="shared" si="8"/>
        <v>2078.2184422577729</v>
      </c>
      <c r="M22" s="242">
        <f t="shared" si="22"/>
        <v>4281.7815577422271</v>
      </c>
      <c r="N22" s="242">
        <f t="shared" si="1"/>
        <v>0</v>
      </c>
      <c r="O22" s="242">
        <v>0</v>
      </c>
      <c r="P22" s="242">
        <f t="shared" si="23"/>
        <v>2078.2184422577729</v>
      </c>
      <c r="Q22" s="242">
        <f t="shared" si="2"/>
        <v>0</v>
      </c>
      <c r="R22" s="242">
        <f t="shared" si="9"/>
        <v>0</v>
      </c>
      <c r="S22" s="242">
        <f t="shared" si="10"/>
        <v>242883.33132074826</v>
      </c>
      <c r="T22" s="467"/>
      <c r="U22" s="198">
        <f t="shared" si="27"/>
        <v>47</v>
      </c>
      <c r="V22" s="36">
        <f t="shared" si="11"/>
        <v>47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45139</v>
      </c>
      <c r="AR22" s="555">
        <f t="shared" si="31"/>
        <v>9.9000000000000005E-2</v>
      </c>
      <c r="AS22" s="546">
        <f t="shared" si="14"/>
        <v>6360</v>
      </c>
      <c r="AT22" s="546">
        <f t="shared" si="15"/>
        <v>6360</v>
      </c>
      <c r="AU22" s="546">
        <f t="shared" si="16"/>
        <v>2078.2184422577729</v>
      </c>
      <c r="AV22" s="546">
        <f t="shared" si="17"/>
        <v>4281.7815577422271</v>
      </c>
      <c r="AW22" s="546">
        <f t="shared" si="4"/>
        <v>0</v>
      </c>
      <c r="AX22" s="546">
        <v>0</v>
      </c>
      <c r="AY22" s="546">
        <f t="shared" si="18"/>
        <v>2078.2184422577729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242883.33132074826</v>
      </c>
      <c r="BH22" s="108">
        <f t="shared" si="29"/>
        <v>47</v>
      </c>
      <c r="BI22" s="108">
        <f t="shared" si="24"/>
        <v>47</v>
      </c>
      <c r="BJ22" s="22">
        <f t="shared" si="25"/>
        <v>45139</v>
      </c>
      <c r="BK22" s="108">
        <f t="shared" si="6"/>
        <v>6360</v>
      </c>
    </row>
    <row r="23" spans="1:393" ht="19.149999999999999" customHeight="1" x14ac:dyDescent="0.2">
      <c r="A23" s="810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кредита, руб.</v>
      </c>
      <c r="B23" s="810"/>
      <c r="C23" s="358">
        <f>$C$7+(IF($C$8="Нет",0,IF($C$25&lt;&gt;"",$C$25,0))+IF(C14="Нет",0,IF(C14="Да",C15,0))+IF(C16="Нет",0,IF(C16="Да",C18,0)))</f>
        <v>300000</v>
      </c>
      <c r="D23" s="355">
        <f>$C$7+(IF($D$8="Нет",0,IF($D$25&lt;&gt;"",$D$25,0))+IF(D14="Нет",0,IF(D14="Да",D15,0)))</f>
        <v>300000</v>
      </c>
      <c r="E23" s="224">
        <f>C23-D23</f>
        <v>0</v>
      </c>
      <c r="F23" s="226"/>
      <c r="G23" s="244">
        <f t="shared" si="26"/>
        <v>15</v>
      </c>
      <c r="H23" s="245">
        <f t="shared" si="7"/>
        <v>45170</v>
      </c>
      <c r="I23" s="246">
        <f t="shared" si="30"/>
        <v>9.9000000000000005E-2</v>
      </c>
      <c r="J23" s="242">
        <f t="shared" si="0"/>
        <v>6360</v>
      </c>
      <c r="K23" s="242">
        <f t="shared" si="21"/>
        <v>6360</v>
      </c>
      <c r="L23" s="242">
        <f t="shared" si="8"/>
        <v>2042.2162844476063</v>
      </c>
      <c r="M23" s="242">
        <f t="shared" si="22"/>
        <v>4317.7837155523939</v>
      </c>
      <c r="N23" s="242">
        <f t="shared" si="1"/>
        <v>0</v>
      </c>
      <c r="O23" s="242">
        <v>0</v>
      </c>
      <c r="P23" s="242">
        <f t="shared" si="23"/>
        <v>2042.2162844476063</v>
      </c>
      <c r="Q23" s="242">
        <f t="shared" si="2"/>
        <v>0</v>
      </c>
      <c r="R23" s="242">
        <f t="shared" si="9"/>
        <v>0</v>
      </c>
      <c r="S23" s="242">
        <f t="shared" si="10"/>
        <v>238565.54760519587</v>
      </c>
      <c r="T23" s="467"/>
      <c r="U23" s="198">
        <f t="shared" si="27"/>
        <v>46</v>
      </c>
      <c r="V23" s="36">
        <f t="shared" si="11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45170</v>
      </c>
      <c r="AR23" s="555">
        <f t="shared" si="31"/>
        <v>9.9000000000000005E-2</v>
      </c>
      <c r="AS23" s="546">
        <f t="shared" si="14"/>
        <v>6360</v>
      </c>
      <c r="AT23" s="546">
        <f t="shared" si="15"/>
        <v>6360</v>
      </c>
      <c r="AU23" s="546">
        <f t="shared" si="16"/>
        <v>2042.2162844476063</v>
      </c>
      <c r="AV23" s="546">
        <f t="shared" si="17"/>
        <v>4317.7837155523939</v>
      </c>
      <c r="AW23" s="546">
        <f t="shared" si="4"/>
        <v>0</v>
      </c>
      <c r="AX23" s="546">
        <v>0</v>
      </c>
      <c r="AY23" s="546">
        <f t="shared" si="18"/>
        <v>2042.2162844476063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238565.54760519587</v>
      </c>
      <c r="BH23" s="108">
        <f t="shared" si="29"/>
        <v>46</v>
      </c>
      <c r="BI23" s="108">
        <f t="shared" si="24"/>
        <v>46</v>
      </c>
      <c r="BJ23" s="22">
        <f t="shared" si="25"/>
        <v>45170</v>
      </c>
      <c r="BK23" s="108">
        <f t="shared" si="6"/>
        <v>6360</v>
      </c>
    </row>
    <row r="24" spans="1:393" ht="18" customHeight="1" x14ac:dyDescent="0.2">
      <c r="A24" s="769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Платеж, руб.</v>
      </c>
      <c r="B24" s="769"/>
      <c r="C24" s="358">
        <f>K9</f>
        <v>6360</v>
      </c>
      <c r="D24" s="355">
        <f>AT9</f>
        <v>6360</v>
      </c>
      <c r="E24" s="224">
        <f>C24-D24</f>
        <v>0</v>
      </c>
      <c r="F24" s="226"/>
      <c r="G24" s="244">
        <f t="shared" si="26"/>
        <v>16</v>
      </c>
      <c r="H24" s="245">
        <f t="shared" si="7"/>
        <v>45200</v>
      </c>
      <c r="I24" s="246">
        <f t="shared" si="30"/>
        <v>9.9000000000000005E-2</v>
      </c>
      <c r="J24" s="242">
        <f t="shared" si="0"/>
        <v>6360</v>
      </c>
      <c r="K24" s="242">
        <f t="shared" si="21"/>
        <v>6360</v>
      </c>
      <c r="L24" s="242">
        <f t="shared" si="8"/>
        <v>1941.2045928422785</v>
      </c>
      <c r="M24" s="242">
        <f t="shared" si="22"/>
        <v>4418.7954071577215</v>
      </c>
      <c r="N24" s="242">
        <f t="shared" si="1"/>
        <v>0</v>
      </c>
      <c r="O24" s="242">
        <v>0</v>
      </c>
      <c r="P24" s="242">
        <f t="shared" si="23"/>
        <v>1941.2045928422785</v>
      </c>
      <c r="Q24" s="242">
        <f t="shared" si="2"/>
        <v>0</v>
      </c>
      <c r="R24" s="242">
        <f t="shared" si="9"/>
        <v>0</v>
      </c>
      <c r="S24" s="242">
        <f t="shared" si="10"/>
        <v>234146.75219803816</v>
      </c>
      <c r="T24" s="467"/>
      <c r="U24" s="198">
        <f t="shared" si="27"/>
        <v>45</v>
      </c>
      <c r="V24" s="36">
        <f t="shared" si="11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45200</v>
      </c>
      <c r="AR24" s="555">
        <f t="shared" si="31"/>
        <v>9.9000000000000005E-2</v>
      </c>
      <c r="AS24" s="546">
        <f t="shared" si="14"/>
        <v>6360</v>
      </c>
      <c r="AT24" s="546">
        <f t="shared" si="15"/>
        <v>6360</v>
      </c>
      <c r="AU24" s="546">
        <f t="shared" si="16"/>
        <v>1941.2045928422785</v>
      </c>
      <c r="AV24" s="546">
        <f t="shared" si="17"/>
        <v>4418.7954071577215</v>
      </c>
      <c r="AW24" s="546">
        <f t="shared" si="4"/>
        <v>0</v>
      </c>
      <c r="AX24" s="546">
        <v>0</v>
      </c>
      <c r="AY24" s="546">
        <f t="shared" si="18"/>
        <v>1941.2045928422785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234146.75219803816</v>
      </c>
      <c r="BH24" s="108">
        <f t="shared" si="29"/>
        <v>45</v>
      </c>
      <c r="BI24" s="108">
        <f t="shared" si="24"/>
        <v>45</v>
      </c>
      <c r="BJ24" s="22">
        <f t="shared" si="25"/>
        <v>45200</v>
      </c>
      <c r="BK24" s="108">
        <f t="shared" si="6"/>
        <v>6360</v>
      </c>
    </row>
    <row r="25" spans="1:393" ht="18" customHeight="1" x14ac:dyDescent="0.2">
      <c r="A25" s="763" t="s">
        <v>285</v>
      </c>
      <c r="B25" s="763"/>
      <c r="C25" s="331">
        <f>IF(C8="Гарантия пакет",(AH65*AH79+AI65*AI79),INDEX($AC$79:$AI$79,MATCH(C$8,$AC$59:$AJ$59,0))*C26)*(MIN($C$10,60))</f>
        <v>0</v>
      </c>
      <c r="D25" s="357">
        <f>IF(D8="Гарантия пакет",(AH65*AH79+AI65*AI79),INDEX($AC$79:$AI$79,MATCH(D$8,$AC$59:$AJ$59,0))*D26)*$C$10</f>
        <v>0</v>
      </c>
      <c r="E25" s="226">
        <f>C25-D25</f>
        <v>0</v>
      </c>
      <c r="F25" s="226"/>
      <c r="G25" s="244">
        <f t="shared" si="26"/>
        <v>17</v>
      </c>
      <c r="H25" s="245">
        <f t="shared" si="7"/>
        <v>45231</v>
      </c>
      <c r="I25" s="246">
        <f t="shared" si="30"/>
        <v>9.9000000000000005E-2</v>
      </c>
      <c r="J25" s="242">
        <f t="shared" si="0"/>
        <v>6360</v>
      </c>
      <c r="K25" s="242">
        <f t="shared" si="21"/>
        <v>6360</v>
      </c>
      <c r="L25" s="242">
        <f t="shared" si="8"/>
        <v>1968.7572123172029</v>
      </c>
      <c r="M25" s="242">
        <f t="shared" si="22"/>
        <v>4391.2427876827969</v>
      </c>
      <c r="N25" s="242">
        <f t="shared" si="1"/>
        <v>0</v>
      </c>
      <c r="O25" s="242">
        <v>0</v>
      </c>
      <c r="P25" s="242">
        <f t="shared" si="23"/>
        <v>1968.7572123172029</v>
      </c>
      <c r="Q25" s="242">
        <f t="shared" si="2"/>
        <v>0</v>
      </c>
      <c r="R25" s="242">
        <f t="shared" si="9"/>
        <v>0</v>
      </c>
      <c r="S25" s="242">
        <f t="shared" si="10"/>
        <v>229755.50941035536</v>
      </c>
      <c r="T25" s="467"/>
      <c r="U25" s="198">
        <f t="shared" si="27"/>
        <v>44</v>
      </c>
      <c r="V25" s="36">
        <f t="shared" si="11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45231</v>
      </c>
      <c r="AR25" s="555">
        <f t="shared" si="31"/>
        <v>9.9000000000000005E-2</v>
      </c>
      <c r="AS25" s="546">
        <f t="shared" si="14"/>
        <v>6360</v>
      </c>
      <c r="AT25" s="546">
        <f t="shared" si="15"/>
        <v>6360</v>
      </c>
      <c r="AU25" s="546">
        <f t="shared" si="16"/>
        <v>1968.7572123172029</v>
      </c>
      <c r="AV25" s="546">
        <f t="shared" si="17"/>
        <v>4391.2427876827969</v>
      </c>
      <c r="AW25" s="546">
        <f t="shared" si="4"/>
        <v>0</v>
      </c>
      <c r="AX25" s="546">
        <v>0</v>
      </c>
      <c r="AY25" s="546">
        <f t="shared" si="18"/>
        <v>1968.7572123172029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229755.50941035536</v>
      </c>
      <c r="BH25" s="108">
        <f t="shared" si="29"/>
        <v>44</v>
      </c>
      <c r="BI25" s="108">
        <f t="shared" si="24"/>
        <v>44</v>
      </c>
      <c r="BJ25" s="22">
        <f t="shared" si="25"/>
        <v>45231</v>
      </c>
      <c r="BK25" s="108">
        <f t="shared" si="6"/>
        <v>6360</v>
      </c>
    </row>
    <row r="26" spans="1:393" ht="18" customHeight="1" x14ac:dyDescent="0.2">
      <c r="A26" s="763" t="s">
        <v>100</v>
      </c>
      <c r="B26" s="804"/>
      <c r="C26" s="330">
        <f>IF(C8="Нет",0,IF(C8=AC59,AC65,IF(C8=AD59,AD65,IF(C8=AF59,AF65,IF(C8=AG59,AG65,IF(C8=AE59,AE65,IF(C8=AH59,AH65,IF(C8=AI59,AI65,IF(C8=AJ59,AJ65,Y23)))))))))</f>
        <v>0</v>
      </c>
      <c r="D26" s="356">
        <f>IF(D8=AC59,AC65,IF(D8=AD59,AD65,IF(D8=AF59,AF65,IF(D8=AG59,AG65,IF(D8=AE59,AE65,IF(D8=AH59,AH65,IF(D8=AI59,AI65,IF(D8=AJ59,AJ65,Y23))))))))</f>
        <v>0</v>
      </c>
      <c r="E26" s="225"/>
      <c r="F26" s="192"/>
      <c r="G26" s="244">
        <f t="shared" si="26"/>
        <v>18</v>
      </c>
      <c r="H26" s="245">
        <f t="shared" si="7"/>
        <v>45261</v>
      </c>
      <c r="I26" s="246">
        <f t="shared" si="30"/>
        <v>9.9000000000000005E-2</v>
      </c>
      <c r="J26" s="242">
        <f t="shared" si="0"/>
        <v>6360</v>
      </c>
      <c r="K26" s="242">
        <f t="shared" si="21"/>
        <v>6360</v>
      </c>
      <c r="L26" s="242">
        <f t="shared" si="8"/>
        <v>1869.5174327363159</v>
      </c>
      <c r="M26" s="242">
        <f t="shared" si="22"/>
        <v>4490.4825672636844</v>
      </c>
      <c r="N26" s="242">
        <f t="shared" si="1"/>
        <v>0</v>
      </c>
      <c r="O26" s="242">
        <v>0</v>
      </c>
      <c r="P26" s="242">
        <f t="shared" si="23"/>
        <v>1869.5174327363159</v>
      </c>
      <c r="Q26" s="242">
        <f t="shared" si="2"/>
        <v>0</v>
      </c>
      <c r="R26" s="242">
        <f t="shared" si="9"/>
        <v>0</v>
      </c>
      <c r="S26" s="242">
        <f t="shared" si="10"/>
        <v>225265.02684309168</v>
      </c>
      <c r="T26" s="467"/>
      <c r="U26" s="198">
        <f t="shared" si="27"/>
        <v>43</v>
      </c>
      <c r="V26" s="36">
        <f t="shared" si="11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45261</v>
      </c>
      <c r="AR26" s="555">
        <f t="shared" si="31"/>
        <v>9.9000000000000005E-2</v>
      </c>
      <c r="AS26" s="546">
        <f t="shared" si="14"/>
        <v>6360</v>
      </c>
      <c r="AT26" s="546">
        <f t="shared" si="15"/>
        <v>6360</v>
      </c>
      <c r="AU26" s="546">
        <f t="shared" si="16"/>
        <v>1869.5174327363159</v>
      </c>
      <c r="AV26" s="546">
        <f t="shared" si="17"/>
        <v>4490.4825672636844</v>
      </c>
      <c r="AW26" s="546">
        <f t="shared" si="4"/>
        <v>0</v>
      </c>
      <c r="AX26" s="546">
        <v>0</v>
      </c>
      <c r="AY26" s="546">
        <f t="shared" si="18"/>
        <v>1869.5174327363159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225265.02684309168</v>
      </c>
      <c r="BH26" s="108">
        <f t="shared" si="29"/>
        <v>43</v>
      </c>
      <c r="BI26" s="108">
        <f t="shared" si="24"/>
        <v>43</v>
      </c>
      <c r="BJ26" s="22">
        <f t="shared" si="25"/>
        <v>45261</v>
      </c>
      <c r="BK26" s="108">
        <f t="shared" si="6"/>
        <v>6360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63" t="s">
        <v>325</v>
      </c>
      <c r="B27" s="763"/>
      <c r="C27" s="331">
        <f>IF(C8="Гарантия пакет",(AH65*AH79+AI65*AI79),INDEX($AC$79:$AI$79,MATCH(C$8,$AC$59:$AJ$59,0)))</f>
        <v>0</v>
      </c>
      <c r="D27" s="357">
        <f>IF(D8="Гарантия пакет",(AH65*AH79+AI65*AI79),INDEX($AC$79:$AI$79,MATCH(D$8,$AC$59:$AJ$59,0)))</f>
        <v>0</v>
      </c>
      <c r="E27" s="226">
        <f t="shared" ref="E27:E31" si="36">C27-D27</f>
        <v>0</v>
      </c>
      <c r="F27" s="192"/>
      <c r="G27" s="244">
        <f t="shared" si="26"/>
        <v>19</v>
      </c>
      <c r="H27" s="245">
        <f t="shared" si="7"/>
        <v>45292</v>
      </c>
      <c r="I27" s="246">
        <f t="shared" si="30"/>
        <v>9.9000000000000005E-2</v>
      </c>
      <c r="J27" s="242">
        <f t="shared" si="0"/>
        <v>6360</v>
      </c>
      <c r="K27" s="242">
        <f t="shared" si="21"/>
        <v>6360</v>
      </c>
      <c r="L27" s="242">
        <f t="shared" si="8"/>
        <v>1894.0777188532829</v>
      </c>
      <c r="M27" s="242">
        <f t="shared" si="22"/>
        <v>4465.9222811467171</v>
      </c>
      <c r="N27" s="242">
        <f t="shared" si="1"/>
        <v>0</v>
      </c>
      <c r="O27" s="242">
        <v>0</v>
      </c>
      <c r="P27" s="242">
        <f t="shared" si="23"/>
        <v>1894.0777188532829</v>
      </c>
      <c r="Q27" s="242">
        <f t="shared" si="2"/>
        <v>0</v>
      </c>
      <c r="R27" s="242">
        <f t="shared" si="9"/>
        <v>0</v>
      </c>
      <c r="S27" s="242">
        <f t="shared" si="10"/>
        <v>220799.10456194496</v>
      </c>
      <c r="T27" s="467"/>
      <c r="U27" s="198">
        <f t="shared" si="27"/>
        <v>42</v>
      </c>
      <c r="V27" s="36">
        <f t="shared" si="11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45292</v>
      </c>
      <c r="AR27" s="555">
        <f t="shared" si="31"/>
        <v>9.9000000000000005E-2</v>
      </c>
      <c r="AS27" s="546">
        <f t="shared" si="14"/>
        <v>6360</v>
      </c>
      <c r="AT27" s="546">
        <f t="shared" si="15"/>
        <v>6360</v>
      </c>
      <c r="AU27" s="546">
        <f t="shared" si="16"/>
        <v>1894.0777188532829</v>
      </c>
      <c r="AV27" s="546">
        <f t="shared" si="17"/>
        <v>4465.9222811467171</v>
      </c>
      <c r="AW27" s="546">
        <f t="shared" si="4"/>
        <v>0</v>
      </c>
      <c r="AX27" s="546">
        <v>0</v>
      </c>
      <c r="AY27" s="546">
        <f t="shared" si="18"/>
        <v>1894.0777188532829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220799.10456194496</v>
      </c>
      <c r="BH27" s="108">
        <f t="shared" si="29"/>
        <v>42</v>
      </c>
      <c r="BI27" s="108">
        <f t="shared" si="24"/>
        <v>42</v>
      </c>
      <c r="BJ27" s="22">
        <f t="shared" si="25"/>
        <v>45292</v>
      </c>
      <c r="BK27" s="108">
        <f t="shared" si="6"/>
        <v>6360</v>
      </c>
    </row>
    <row r="28" spans="1:393" ht="22.5" customHeight="1" x14ac:dyDescent="0.2">
      <c r="A28" s="763" t="s">
        <v>75</v>
      </c>
      <c r="B28" s="763"/>
      <c r="C28" s="194">
        <f>L109</f>
        <v>82070.472560157548</v>
      </c>
      <c r="D28" s="209">
        <f>AU109</f>
        <v>82066.675230202207</v>
      </c>
      <c r="E28" s="274">
        <f t="shared" si="36"/>
        <v>3.7973299553414108</v>
      </c>
      <c r="F28" s="190"/>
      <c r="G28" s="244">
        <f t="shared" si="26"/>
        <v>20</v>
      </c>
      <c r="H28" s="245">
        <f t="shared" si="7"/>
        <v>45323</v>
      </c>
      <c r="I28" s="246">
        <f t="shared" si="30"/>
        <v>9.9000000000000005E-2</v>
      </c>
      <c r="J28" s="242">
        <f t="shared" si="0"/>
        <v>6360</v>
      </c>
      <c r="K28" s="242">
        <f t="shared" si="21"/>
        <v>6360</v>
      </c>
      <c r="L28" s="242">
        <f t="shared" si="8"/>
        <v>1856.5272654811206</v>
      </c>
      <c r="M28" s="242">
        <f t="shared" si="22"/>
        <v>4503.4727345188794</v>
      </c>
      <c r="N28" s="242">
        <f t="shared" si="1"/>
        <v>0</v>
      </c>
      <c r="O28" s="242">
        <v>0</v>
      </c>
      <c r="P28" s="242">
        <f t="shared" si="23"/>
        <v>1856.5272654811206</v>
      </c>
      <c r="Q28" s="242">
        <f t="shared" si="2"/>
        <v>0</v>
      </c>
      <c r="R28" s="242">
        <f t="shared" si="9"/>
        <v>0</v>
      </c>
      <c r="S28" s="242">
        <f t="shared" si="10"/>
        <v>216295.63182742608</v>
      </c>
      <c r="T28" s="467"/>
      <c r="U28" s="198">
        <f t="shared" si="27"/>
        <v>41</v>
      </c>
      <c r="V28" s="36">
        <f t="shared" si="11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45323</v>
      </c>
      <c r="AR28" s="555">
        <f t="shared" si="31"/>
        <v>9.9000000000000005E-2</v>
      </c>
      <c r="AS28" s="546">
        <f t="shared" si="14"/>
        <v>6360</v>
      </c>
      <c r="AT28" s="546">
        <f t="shared" si="15"/>
        <v>6360</v>
      </c>
      <c r="AU28" s="546">
        <f t="shared" si="16"/>
        <v>1856.5272654811206</v>
      </c>
      <c r="AV28" s="546">
        <f t="shared" si="17"/>
        <v>4503.4727345188794</v>
      </c>
      <c r="AW28" s="546">
        <f t="shared" si="4"/>
        <v>0</v>
      </c>
      <c r="AX28" s="546">
        <v>0</v>
      </c>
      <c r="AY28" s="546">
        <f t="shared" si="18"/>
        <v>1856.5272654811206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216295.63182742608</v>
      </c>
      <c r="BH28" s="108">
        <f t="shared" si="29"/>
        <v>41</v>
      </c>
      <c r="BI28" s="108">
        <f t="shared" si="24"/>
        <v>41</v>
      </c>
      <c r="BJ28" s="22">
        <f t="shared" si="25"/>
        <v>45323</v>
      </c>
      <c r="BK28" s="108">
        <f t="shared" si="6"/>
        <v>6360</v>
      </c>
    </row>
    <row r="29" spans="1:393" ht="19.5" customHeight="1" x14ac:dyDescent="0.2">
      <c r="A29" s="763" t="s">
        <v>354</v>
      </c>
      <c r="B29" s="763"/>
      <c r="C29" s="194">
        <f>IF(C18="",0,C28*(1-C19/C11))</f>
        <v>0</v>
      </c>
      <c r="D29" s="209">
        <f>IF(D18="",0,D18*12)</f>
        <v>0</v>
      </c>
      <c r="E29" s="274">
        <f t="shared" si="36"/>
        <v>0</v>
      </c>
      <c r="F29" s="234"/>
      <c r="G29" s="244">
        <f t="shared" si="26"/>
        <v>21</v>
      </c>
      <c r="H29" s="245">
        <f t="shared" si="7"/>
        <v>45352</v>
      </c>
      <c r="I29" s="246">
        <f t="shared" si="30"/>
        <v>9.9000000000000005E-2</v>
      </c>
      <c r="J29" s="242">
        <f t="shared" si="0"/>
        <v>6360</v>
      </c>
      <c r="K29" s="242">
        <f t="shared" si="21"/>
        <v>6360</v>
      </c>
      <c r="L29" s="242">
        <f t="shared" si="8"/>
        <v>1701.3281067850419</v>
      </c>
      <c r="M29" s="242">
        <f t="shared" si="22"/>
        <v>4658.6718932149579</v>
      </c>
      <c r="N29" s="242">
        <f t="shared" si="1"/>
        <v>0</v>
      </c>
      <c r="O29" s="242">
        <v>0</v>
      </c>
      <c r="P29" s="242">
        <f t="shared" si="23"/>
        <v>1701.3281067850419</v>
      </c>
      <c r="Q29" s="242">
        <f t="shared" si="2"/>
        <v>0</v>
      </c>
      <c r="R29" s="242">
        <f t="shared" si="9"/>
        <v>0</v>
      </c>
      <c r="S29" s="242">
        <f t="shared" si="10"/>
        <v>211636.95993421113</v>
      </c>
      <c r="T29" s="467"/>
      <c r="U29" s="198">
        <f t="shared" si="27"/>
        <v>40</v>
      </c>
      <c r="V29" s="36">
        <f t="shared" si="11"/>
        <v>40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45352</v>
      </c>
      <c r="AR29" s="555">
        <f t="shared" si="31"/>
        <v>9.9000000000000005E-2</v>
      </c>
      <c r="AS29" s="546">
        <f t="shared" si="14"/>
        <v>6360</v>
      </c>
      <c r="AT29" s="546">
        <f t="shared" si="15"/>
        <v>6360</v>
      </c>
      <c r="AU29" s="546">
        <f t="shared" si="16"/>
        <v>1701.3281067850419</v>
      </c>
      <c r="AV29" s="546">
        <f t="shared" si="17"/>
        <v>4658.6718932149579</v>
      </c>
      <c r="AW29" s="546">
        <f t="shared" si="4"/>
        <v>0</v>
      </c>
      <c r="AX29" s="546">
        <v>0</v>
      </c>
      <c r="AY29" s="546">
        <f t="shared" si="18"/>
        <v>1701.3281067850419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211636.95993421113</v>
      </c>
      <c r="BH29" s="108">
        <f t="shared" si="29"/>
        <v>40</v>
      </c>
      <c r="BI29" s="108">
        <f t="shared" si="24"/>
        <v>40</v>
      </c>
      <c r="BJ29" s="22">
        <f t="shared" si="25"/>
        <v>45352</v>
      </c>
      <c r="BK29" s="108">
        <f t="shared" si="6"/>
        <v>6360</v>
      </c>
    </row>
    <row r="30" spans="1:393" ht="35.25" customHeight="1" x14ac:dyDescent="0.2">
      <c r="A30" s="763" t="s">
        <v>157</v>
      </c>
      <c r="B30" s="763"/>
      <c r="C30" s="199">
        <f>J109-C29</f>
        <v>381600</v>
      </c>
      <c r="D30" s="209">
        <f>AT109</f>
        <v>381600</v>
      </c>
      <c r="E30" s="190" t="s">
        <v>358</v>
      </c>
      <c r="F30" s="235"/>
      <c r="G30" s="244">
        <f>G29+1</f>
        <v>22</v>
      </c>
      <c r="H30" s="245">
        <f t="shared" si="7"/>
        <v>45383</v>
      </c>
      <c r="I30" s="246">
        <f t="shared" si="30"/>
        <v>9.9000000000000005E-2</v>
      </c>
      <c r="J30" s="242">
        <f t="shared" si="0"/>
        <v>6360</v>
      </c>
      <c r="K30" s="242">
        <f t="shared" si="21"/>
        <v>6360</v>
      </c>
      <c r="L30" s="242">
        <f t="shared" si="8"/>
        <v>1779.4899453098462</v>
      </c>
      <c r="M30" s="242">
        <f t="shared" si="22"/>
        <v>4580.510054690154</v>
      </c>
      <c r="N30" s="242">
        <f t="shared" si="1"/>
        <v>0</v>
      </c>
      <c r="O30" s="242">
        <v>0</v>
      </c>
      <c r="P30" s="242">
        <f t="shared" si="23"/>
        <v>1779.4899453098462</v>
      </c>
      <c r="Q30" s="242">
        <f t="shared" si="2"/>
        <v>0</v>
      </c>
      <c r="R30" s="242">
        <f t="shared" si="9"/>
        <v>0</v>
      </c>
      <c r="S30" s="242">
        <f t="shared" si="10"/>
        <v>207056.44987952098</v>
      </c>
      <c r="T30" s="467"/>
      <c r="U30" s="198">
        <f>IF((U29-1)&lt;0,0,U29-1)</f>
        <v>39</v>
      </c>
      <c r="V30" s="36">
        <f t="shared" si="11"/>
        <v>39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45383</v>
      </c>
      <c r="AR30" s="555">
        <f t="shared" si="31"/>
        <v>9.9000000000000005E-2</v>
      </c>
      <c r="AS30" s="546">
        <f t="shared" si="14"/>
        <v>6360</v>
      </c>
      <c r="AT30" s="546">
        <f t="shared" si="15"/>
        <v>6360</v>
      </c>
      <c r="AU30" s="546">
        <f t="shared" si="16"/>
        <v>1779.4899453098462</v>
      </c>
      <c r="AV30" s="546">
        <f>IF(BI30=0,0,IF(BI30=1,BG29,IF(BG29+AW30+AU30&gt;AT29,AT30-AU30-AW30,BG29)))</f>
        <v>4580.510054690154</v>
      </c>
      <c r="AW30" s="546">
        <f t="shared" si="4"/>
        <v>0</v>
      </c>
      <c r="AX30" s="546">
        <v>0</v>
      </c>
      <c r="AY30" s="546">
        <f t="shared" si="18"/>
        <v>1779.4899453098462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207056.44987952098</v>
      </c>
      <c r="BH30" s="108">
        <f>IF((BH29-1)&lt;0,0,BH29-1)</f>
        <v>39</v>
      </c>
      <c r="BI30" s="108">
        <f t="shared" si="24"/>
        <v>39</v>
      </c>
      <c r="BJ30" s="22">
        <f t="shared" si="25"/>
        <v>45383</v>
      </c>
      <c r="BK30" s="108">
        <f t="shared" si="6"/>
        <v>6360</v>
      </c>
    </row>
    <row r="31" spans="1:393" ht="42" customHeight="1" x14ac:dyDescent="0.2">
      <c r="A31" s="815" t="s">
        <v>357</v>
      </c>
      <c r="B31" s="815"/>
      <c r="C31" s="518">
        <f>C28-C29</f>
        <v>82070.472560157548</v>
      </c>
      <c r="D31" s="212">
        <f>D28+D29</f>
        <v>82066.675230202207</v>
      </c>
      <c r="E31" s="200">
        <f t="shared" si="36"/>
        <v>3.7973299553414108</v>
      </c>
      <c r="F31" s="236"/>
      <c r="G31" s="244">
        <f t="shared" si="26"/>
        <v>23</v>
      </c>
      <c r="H31" s="245">
        <f t="shared" si="7"/>
        <v>45413</v>
      </c>
      <c r="I31" s="246">
        <f t="shared" si="30"/>
        <v>9.9000000000000005E-2</v>
      </c>
      <c r="J31" s="242">
        <f t="shared" si="0"/>
        <v>6360</v>
      </c>
      <c r="K31" s="242">
        <f t="shared" si="21"/>
        <v>6360</v>
      </c>
      <c r="L31" s="242">
        <f t="shared" si="8"/>
        <v>1684.8154962799376</v>
      </c>
      <c r="M31" s="242">
        <f t="shared" si="22"/>
        <v>4675.1845037200619</v>
      </c>
      <c r="N31" s="242">
        <f t="shared" si="1"/>
        <v>0</v>
      </c>
      <c r="O31" s="242">
        <v>0</v>
      </c>
      <c r="P31" s="242">
        <f t="shared" si="23"/>
        <v>1684.8154962799376</v>
      </c>
      <c r="Q31" s="242">
        <f t="shared" si="2"/>
        <v>0</v>
      </c>
      <c r="R31" s="242">
        <f t="shared" si="9"/>
        <v>0</v>
      </c>
      <c r="S31" s="242">
        <f t="shared" si="10"/>
        <v>202381.26537580093</v>
      </c>
      <c r="T31" s="467"/>
      <c r="U31" s="198">
        <f t="shared" si="27"/>
        <v>38</v>
      </c>
      <c r="V31" s="36">
        <f t="shared" si="11"/>
        <v>38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45413</v>
      </c>
      <c r="AR31" s="555">
        <f t="shared" si="31"/>
        <v>9.9000000000000005E-2</v>
      </c>
      <c r="AS31" s="546">
        <f t="shared" si="14"/>
        <v>6360</v>
      </c>
      <c r="AT31" s="546">
        <f t="shared" si="15"/>
        <v>6360</v>
      </c>
      <c r="AU31" s="546">
        <f t="shared" si="16"/>
        <v>1684.8154962799376</v>
      </c>
      <c r="AV31" s="546">
        <f t="shared" si="17"/>
        <v>4675.1845037200619</v>
      </c>
      <c r="AW31" s="546">
        <f t="shared" si="4"/>
        <v>0</v>
      </c>
      <c r="AX31" s="546">
        <v>0</v>
      </c>
      <c r="AY31" s="546">
        <f t="shared" si="18"/>
        <v>1684.8154962799376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202381.26537580093</v>
      </c>
      <c r="BH31" s="108">
        <f t="shared" si="29"/>
        <v>38</v>
      </c>
      <c r="BI31" s="108">
        <f t="shared" si="24"/>
        <v>38</v>
      </c>
      <c r="BJ31" s="22">
        <f t="shared" si="25"/>
        <v>45413</v>
      </c>
      <c r="BK31" s="108">
        <f t="shared" si="6"/>
        <v>6360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812" t="s">
        <v>175</v>
      </c>
      <c r="B32" s="813"/>
      <c r="C32" s="813"/>
      <c r="D32" s="813"/>
      <c r="E32" s="814"/>
      <c r="F32" s="191"/>
      <c r="G32" s="248">
        <f t="shared" si="26"/>
        <v>24</v>
      </c>
      <c r="H32" s="581">
        <f t="shared" si="7"/>
        <v>45444</v>
      </c>
      <c r="I32" s="250">
        <f t="shared" si="30"/>
        <v>9.9000000000000005E-2</v>
      </c>
      <c r="J32" s="252">
        <f t="shared" si="0"/>
        <v>6360</v>
      </c>
      <c r="K32" s="252">
        <f t="shared" si="21"/>
        <v>6360</v>
      </c>
      <c r="L32" s="252">
        <f t="shared" si="8"/>
        <v>1701.6660368173507</v>
      </c>
      <c r="M32" s="252">
        <f t="shared" si="22"/>
        <v>4658.3339631826493</v>
      </c>
      <c r="N32" s="252">
        <f t="shared" si="1"/>
        <v>0</v>
      </c>
      <c r="O32" s="252">
        <v>0</v>
      </c>
      <c r="P32" s="252">
        <f t="shared" si="23"/>
        <v>1701.6660368173507</v>
      </c>
      <c r="Q32" s="252">
        <f t="shared" si="2"/>
        <v>0</v>
      </c>
      <c r="R32" s="252">
        <f t="shared" si="9"/>
        <v>0</v>
      </c>
      <c r="S32" s="252">
        <f t="shared" si="10"/>
        <v>197722.93141261829</v>
      </c>
      <c r="T32" s="468"/>
      <c r="U32" s="198">
        <f t="shared" si="27"/>
        <v>37</v>
      </c>
      <c r="V32" s="36">
        <f t="shared" si="11"/>
        <v>37</v>
      </c>
      <c r="W32" s="16"/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45444</v>
      </c>
      <c r="AR32" s="557">
        <f t="shared" si="31"/>
        <v>9.9000000000000005E-2</v>
      </c>
      <c r="AS32" s="547">
        <f t="shared" si="14"/>
        <v>6360</v>
      </c>
      <c r="AT32" s="547">
        <f t="shared" si="15"/>
        <v>6360</v>
      </c>
      <c r="AU32" s="547">
        <f t="shared" si="16"/>
        <v>1701.6660368173507</v>
      </c>
      <c r="AV32" s="547">
        <f t="shared" si="17"/>
        <v>4658.3339631826493</v>
      </c>
      <c r="AW32" s="547">
        <f t="shared" si="4"/>
        <v>0</v>
      </c>
      <c r="AX32" s="547">
        <v>0</v>
      </c>
      <c r="AY32" s="547">
        <f t="shared" si="18"/>
        <v>1701.6660368173507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197722.93141261829</v>
      </c>
      <c r="BH32" s="108">
        <f t="shared" si="29"/>
        <v>37</v>
      </c>
      <c r="BI32" s="108">
        <f t="shared" si="24"/>
        <v>37</v>
      </c>
      <c r="BJ32" s="22">
        <f t="shared" si="25"/>
        <v>45444</v>
      </c>
      <c r="BK32" s="108">
        <f t="shared" si="6"/>
        <v>6360</v>
      </c>
    </row>
    <row r="33" spans="1:1217" ht="14.25" x14ac:dyDescent="0.2">
      <c r="A33" s="792" t="s">
        <v>186</v>
      </c>
      <c r="B33" s="213" t="s">
        <v>180</v>
      </c>
      <c r="C33" s="191">
        <f>C31/($C$10/12)</f>
        <v>16414.094512031508</v>
      </c>
      <c r="D33" s="191">
        <f>D31/($C$10/12)</f>
        <v>16413.33504604044</v>
      </c>
      <c r="E33" s="191">
        <f>C33-D33</f>
        <v>0.75946599106828216</v>
      </c>
      <c r="F33" s="191"/>
      <c r="G33" s="244">
        <f t="shared" si="26"/>
        <v>25</v>
      </c>
      <c r="H33" s="245">
        <f t="shared" si="7"/>
        <v>45474</v>
      </c>
      <c r="I33" s="246">
        <f t="shared" si="30"/>
        <v>9.9000000000000005E-2</v>
      </c>
      <c r="J33" s="242">
        <f t="shared" si="0"/>
        <v>6360</v>
      </c>
      <c r="K33" s="242">
        <f t="shared" si="21"/>
        <v>6360</v>
      </c>
      <c r="L33" s="242">
        <f t="shared" si="8"/>
        <v>1608.8687843711677</v>
      </c>
      <c r="M33" s="242">
        <f t="shared" si="22"/>
        <v>4751.1312156288323</v>
      </c>
      <c r="N33" s="242">
        <f t="shared" si="1"/>
        <v>0</v>
      </c>
      <c r="O33" s="242">
        <v>0</v>
      </c>
      <c r="P33" s="242">
        <f t="shared" si="23"/>
        <v>1608.8687843711677</v>
      </c>
      <c r="Q33" s="242">
        <f t="shared" si="2"/>
        <v>0</v>
      </c>
      <c r="R33" s="242">
        <f t="shared" si="9"/>
        <v>0</v>
      </c>
      <c r="S33" s="242">
        <f t="shared" si="10"/>
        <v>192971.80019698947</v>
      </c>
      <c r="T33" s="467"/>
      <c r="U33" s="198">
        <f t="shared" si="27"/>
        <v>36</v>
      </c>
      <c r="V33" s="36">
        <f t="shared" si="11"/>
        <v>36</v>
      </c>
      <c r="W33" s="16"/>
      <c r="X33" s="16"/>
      <c r="Y33" s="57"/>
      <c r="AE33" s="15"/>
      <c r="AF33" s="173">
        <f>$C$24-AG33</f>
        <v>460</v>
      </c>
      <c r="AG33" s="2">
        <f>ROUNDUP(((S20)*AG37/12*(1+AG37/12)^(U21)/((1+AG37/12)^(U21)-1)+S20/10000*IF(U21&lt;11,20,IF(U21&lt;34,0.7,IF(U21&lt;58,0.3,0.1)))*IF(AG37&lt;0.3,AG37/0.2,AG37/0.1))/AG47,0)*AG47</f>
        <v>5900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45474</v>
      </c>
      <c r="AR33" s="555">
        <f t="shared" ref="AR33:AR44" si="37">IF($D$16="Да",$AM$38,$D$13)</f>
        <v>9.9000000000000005E-2</v>
      </c>
      <c r="AS33" s="546">
        <f t="shared" si="14"/>
        <v>6360</v>
      </c>
      <c r="AT33" s="546">
        <f t="shared" si="15"/>
        <v>6360</v>
      </c>
      <c r="AU33" s="546">
        <f t="shared" si="16"/>
        <v>1608.8687843711677</v>
      </c>
      <c r="AV33" s="546">
        <f t="shared" si="17"/>
        <v>4751.1312156288323</v>
      </c>
      <c r="AW33" s="546">
        <f t="shared" si="4"/>
        <v>0</v>
      </c>
      <c r="AX33" s="546">
        <v>0</v>
      </c>
      <c r="AY33" s="546">
        <f t="shared" si="18"/>
        <v>1608.8687843711677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192971.80019698947</v>
      </c>
      <c r="BH33" s="108">
        <f t="shared" si="29"/>
        <v>36</v>
      </c>
      <c r="BI33" s="108">
        <f t="shared" si="24"/>
        <v>36</v>
      </c>
      <c r="BJ33" s="22">
        <f t="shared" si="25"/>
        <v>45474</v>
      </c>
      <c r="BK33" s="108">
        <f t="shared" si="6"/>
        <v>6360</v>
      </c>
      <c r="BN33" s="782"/>
      <c r="BP33" s="131"/>
    </row>
    <row r="34" spans="1:1217" ht="25.5" customHeight="1" x14ac:dyDescent="0.2">
      <c r="A34" s="792"/>
      <c r="B34" s="213" t="s">
        <v>181</v>
      </c>
      <c r="C34" s="201">
        <f>C33/C23</f>
        <v>5.471364837343836E-2</v>
      </c>
      <c r="D34" s="201">
        <f>D33/D23</f>
        <v>5.4711116820134797E-2</v>
      </c>
      <c r="E34" s="191"/>
      <c r="F34" s="191"/>
      <c r="G34" s="244">
        <f t="shared" si="26"/>
        <v>26</v>
      </c>
      <c r="H34" s="245">
        <f t="shared" si="7"/>
        <v>45505</v>
      </c>
      <c r="I34" s="246">
        <f t="shared" si="30"/>
        <v>9.9000000000000005E-2</v>
      </c>
      <c r="J34" s="242">
        <f t="shared" si="0"/>
        <v>6360</v>
      </c>
      <c r="K34" s="242">
        <f t="shared" si="21"/>
        <v>6360</v>
      </c>
      <c r="L34" s="242">
        <f t="shared" si="8"/>
        <v>1622.5491912453715</v>
      </c>
      <c r="M34" s="242">
        <f t="shared" si="22"/>
        <v>4737.4508087546283</v>
      </c>
      <c r="N34" s="242">
        <f t="shared" si="1"/>
        <v>0</v>
      </c>
      <c r="O34" s="242">
        <v>0</v>
      </c>
      <c r="P34" s="242">
        <f t="shared" si="23"/>
        <v>1622.5491912453715</v>
      </c>
      <c r="Q34" s="242">
        <f t="shared" si="2"/>
        <v>0</v>
      </c>
      <c r="R34" s="242">
        <f t="shared" si="9"/>
        <v>0</v>
      </c>
      <c r="S34" s="242">
        <f t="shared" si="10"/>
        <v>188234.34938823484</v>
      </c>
      <c r="T34" s="467"/>
      <c r="U34" s="198">
        <f t="shared" si="27"/>
        <v>35</v>
      </c>
      <c r="V34" s="36">
        <f t="shared" si="11"/>
        <v>35</v>
      </c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45505</v>
      </c>
      <c r="AR34" s="555">
        <f t="shared" si="37"/>
        <v>9.9000000000000005E-2</v>
      </c>
      <c r="AS34" s="546">
        <f t="shared" si="14"/>
        <v>6360</v>
      </c>
      <c r="AT34" s="546">
        <f t="shared" si="15"/>
        <v>6360</v>
      </c>
      <c r="AU34" s="546">
        <f t="shared" si="16"/>
        <v>1622.5491912453715</v>
      </c>
      <c r="AV34" s="546">
        <f t="shared" si="17"/>
        <v>4737.4508087546283</v>
      </c>
      <c r="AW34" s="546">
        <f t="shared" si="4"/>
        <v>0</v>
      </c>
      <c r="AX34" s="546">
        <v>0</v>
      </c>
      <c r="AY34" s="546">
        <f t="shared" si="18"/>
        <v>1622.5491912453715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188234.34938823484</v>
      </c>
      <c r="BH34" s="108">
        <f t="shared" si="29"/>
        <v>35</v>
      </c>
      <c r="BI34" s="108">
        <f t="shared" si="24"/>
        <v>35</v>
      </c>
      <c r="BJ34" s="22">
        <f t="shared" si="25"/>
        <v>45505</v>
      </c>
      <c r="BK34" s="108">
        <f t="shared" si="6"/>
        <v>6360</v>
      </c>
      <c r="BN34" s="782"/>
    </row>
    <row r="35" spans="1:1217" ht="31.5" customHeight="1" x14ac:dyDescent="0.2">
      <c r="A35" s="763" t="s">
        <v>177</v>
      </c>
      <c r="B35" s="763"/>
      <c r="C35" s="190">
        <f>C33/12</f>
        <v>1367.8412093359591</v>
      </c>
      <c r="D35" s="191">
        <f>D33/12</f>
        <v>1367.7779205033701</v>
      </c>
      <c r="E35" s="191">
        <f>C35-D35</f>
        <v>6.3288832589023514E-2</v>
      </c>
      <c r="F35" s="191"/>
      <c r="G35" s="244">
        <f t="shared" si="26"/>
        <v>27</v>
      </c>
      <c r="H35" s="245">
        <f t="shared" si="7"/>
        <v>45536</v>
      </c>
      <c r="I35" s="246">
        <f t="shared" si="30"/>
        <v>9.9000000000000005E-2</v>
      </c>
      <c r="J35" s="242">
        <f t="shared" si="0"/>
        <v>6360</v>
      </c>
      <c r="K35" s="242">
        <f t="shared" si="21"/>
        <v>6360</v>
      </c>
      <c r="L35" s="242">
        <f t="shared" si="8"/>
        <v>1582.71566649998</v>
      </c>
      <c r="M35" s="242">
        <f t="shared" si="22"/>
        <v>4777.2843335000198</v>
      </c>
      <c r="N35" s="242">
        <f t="shared" si="1"/>
        <v>0</v>
      </c>
      <c r="O35" s="242">
        <v>0</v>
      </c>
      <c r="P35" s="242">
        <f t="shared" si="23"/>
        <v>1582.71566649998</v>
      </c>
      <c r="Q35" s="242">
        <f t="shared" si="2"/>
        <v>0</v>
      </c>
      <c r="R35" s="242">
        <f t="shared" si="9"/>
        <v>0</v>
      </c>
      <c r="S35" s="242">
        <f t="shared" si="10"/>
        <v>183457.06505473482</v>
      </c>
      <c r="T35" s="467"/>
      <c r="U35" s="198">
        <f t="shared" si="27"/>
        <v>34</v>
      </c>
      <c r="V35" s="36">
        <f t="shared" si="11"/>
        <v>34</v>
      </c>
      <c r="AE35" s="15"/>
      <c r="AF35" s="47" t="e">
        <f>ROUNDUP(AH35/AH33*C7/1,0)*1</f>
        <v>#N/A</v>
      </c>
      <c r="AG35" s="169">
        <v>0.04</v>
      </c>
      <c r="AH35" s="16" t="e">
        <f>IF(AG35=3%,INDEX(W40:AE40,MATCH($C$11,$W$39:$AE$39,0)),IF(AG35=4%,INDEX(W37:AE37,MATCH($C$11,$W$36:$AE$36,0)),0))</f>
        <v>#N/A</v>
      </c>
      <c r="AL35" s="47" t="e">
        <f>ROUNDUP(AH35/AH33*C7/1,0)*1</f>
        <v>#N/A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45536</v>
      </c>
      <c r="AR35" s="555">
        <f t="shared" si="37"/>
        <v>9.9000000000000005E-2</v>
      </c>
      <c r="AS35" s="546">
        <f t="shared" si="14"/>
        <v>6360</v>
      </c>
      <c r="AT35" s="546">
        <f t="shared" si="15"/>
        <v>6360</v>
      </c>
      <c r="AU35" s="546">
        <f t="shared" si="16"/>
        <v>1582.71566649998</v>
      </c>
      <c r="AV35" s="546">
        <f t="shared" si="17"/>
        <v>4777.2843335000198</v>
      </c>
      <c r="AW35" s="546">
        <f t="shared" si="4"/>
        <v>0</v>
      </c>
      <c r="AX35" s="546">
        <v>0</v>
      </c>
      <c r="AY35" s="546">
        <f t="shared" si="18"/>
        <v>1582.71566649998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183457.06505473482</v>
      </c>
      <c r="BH35" s="108">
        <f t="shared" si="29"/>
        <v>34</v>
      </c>
      <c r="BI35" s="108">
        <f t="shared" si="24"/>
        <v>34</v>
      </c>
      <c r="BJ35" s="22">
        <f t="shared" si="25"/>
        <v>45536</v>
      </c>
      <c r="BK35" s="108">
        <f t="shared" si="6"/>
        <v>6360</v>
      </c>
      <c r="BN35" s="782"/>
    </row>
    <row r="36" spans="1:1217" ht="21.75" customHeight="1" thickBot="1" x14ac:dyDescent="0.35">
      <c r="A36" s="789" t="s">
        <v>176</v>
      </c>
      <c r="B36" s="789"/>
      <c r="C36" s="203">
        <f>C35/30</f>
        <v>45.5947069778653</v>
      </c>
      <c r="D36" s="202">
        <f>D35/30</f>
        <v>45.592597350112335</v>
      </c>
      <c r="E36" s="202">
        <f>C36-D36</f>
        <v>2.109627752965082E-3</v>
      </c>
      <c r="F36" s="178"/>
      <c r="G36" s="244">
        <f t="shared" si="26"/>
        <v>28</v>
      </c>
      <c r="H36" s="245">
        <f t="shared" si="7"/>
        <v>45566</v>
      </c>
      <c r="I36" s="246">
        <f t="shared" si="30"/>
        <v>9.9000000000000005E-2</v>
      </c>
      <c r="J36" s="242">
        <f t="shared" si="0"/>
        <v>6360</v>
      </c>
      <c r="K36" s="242">
        <f t="shared" si="21"/>
        <v>6360</v>
      </c>
      <c r="L36" s="242">
        <f t="shared" si="8"/>
        <v>1492.7876252398969</v>
      </c>
      <c r="M36" s="242">
        <f t="shared" si="22"/>
        <v>4867.2123747601036</v>
      </c>
      <c r="N36" s="242">
        <f t="shared" si="1"/>
        <v>0</v>
      </c>
      <c r="O36" s="242">
        <v>0</v>
      </c>
      <c r="P36" s="242">
        <f t="shared" si="23"/>
        <v>1492.7876252398969</v>
      </c>
      <c r="Q36" s="242">
        <f t="shared" si="2"/>
        <v>0</v>
      </c>
      <c r="R36" s="242">
        <f t="shared" si="9"/>
        <v>0</v>
      </c>
      <c r="S36" s="242">
        <f t="shared" si="10"/>
        <v>178589.85267997472</v>
      </c>
      <c r="T36" s="467"/>
      <c r="U36" s="198">
        <f t="shared" si="27"/>
        <v>33</v>
      </c>
      <c r="V36" s="36">
        <f t="shared" si="11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6360</v>
      </c>
      <c r="AG36" s="15">
        <f>IF(OR(C$8="Гарантия стандарт",C$8="Гарантия пакет"),AD13,C11)</f>
        <v>9.9000000000000005E-2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6360</v>
      </c>
      <c r="AM36" s="15">
        <f>IF(OR(D$8="Гарантия стандарт",D$8="Гарантия пакет"),AD13,D11)</f>
        <v>9.9000000000000005E-2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45566</v>
      </c>
      <c r="AR36" s="555">
        <f t="shared" si="37"/>
        <v>9.9000000000000005E-2</v>
      </c>
      <c r="AS36" s="546">
        <f t="shared" si="14"/>
        <v>6360</v>
      </c>
      <c r="AT36" s="546">
        <f t="shared" si="15"/>
        <v>6360</v>
      </c>
      <c r="AU36" s="546">
        <f t="shared" si="16"/>
        <v>1492.7876252398969</v>
      </c>
      <c r="AV36" s="546">
        <f t="shared" si="17"/>
        <v>4867.2123747601036</v>
      </c>
      <c r="AW36" s="546">
        <f t="shared" si="4"/>
        <v>0</v>
      </c>
      <c r="AX36" s="546">
        <v>0</v>
      </c>
      <c r="AY36" s="546">
        <f t="shared" si="18"/>
        <v>1492.7876252398969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178589.85267997472</v>
      </c>
      <c r="BH36" s="108">
        <f t="shared" si="29"/>
        <v>33</v>
      </c>
      <c r="BI36" s="108">
        <f t="shared" si="24"/>
        <v>33</v>
      </c>
      <c r="BJ36" s="22">
        <f t="shared" si="25"/>
        <v>45566</v>
      </c>
      <c r="BK36" s="108">
        <f t="shared" si="6"/>
        <v>6360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45597</v>
      </c>
      <c r="I37" s="246">
        <f t="shared" si="30"/>
        <v>9.9000000000000005E-2</v>
      </c>
      <c r="J37" s="242">
        <f t="shared" si="0"/>
        <v>6360</v>
      </c>
      <c r="K37" s="242">
        <f t="shared" si="21"/>
        <v>6360</v>
      </c>
      <c r="L37" s="242">
        <f t="shared" si="8"/>
        <v>1501.6226243146366</v>
      </c>
      <c r="M37" s="242">
        <f t="shared" si="22"/>
        <v>4858.3773756853634</v>
      </c>
      <c r="N37" s="242">
        <f t="shared" si="1"/>
        <v>0</v>
      </c>
      <c r="O37" s="242">
        <v>0</v>
      </c>
      <c r="P37" s="242">
        <f t="shared" si="23"/>
        <v>1501.6226243146366</v>
      </c>
      <c r="Q37" s="242">
        <f t="shared" si="2"/>
        <v>0</v>
      </c>
      <c r="R37" s="242">
        <f t="shared" si="9"/>
        <v>0</v>
      </c>
      <c r="S37" s="242">
        <f t="shared" si="10"/>
        <v>173731.47530428934</v>
      </c>
      <c r="T37" s="467"/>
      <c r="U37" s="198">
        <f t="shared" si="27"/>
        <v>32</v>
      </c>
      <c r="V37" s="36">
        <f t="shared" si="11"/>
        <v>32</v>
      </c>
      <c r="W37" s="16">
        <f>INDEX('Для Перспективы'!$B$6:$F$6,MATCH($C$10,'Для Перспективы'!$B$1:$F$1,0))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 t="e">
        <f>IF(AG37=AG36,AF36,AF36-$AF$35)</f>
        <v>#N/A</v>
      </c>
      <c r="AG37" s="169">
        <f>AG36-$AG$35</f>
        <v>5.9000000000000004E-2</v>
      </c>
      <c r="AI37" s="2"/>
      <c r="AJ37" s="2"/>
      <c r="AK37" s="57"/>
      <c r="AL37" s="47" t="e">
        <f>AL36-$AL$35</f>
        <v>#N/A</v>
      </c>
      <c r="AM37" s="169">
        <f>AM36-$AM$35</f>
        <v>5.9000000000000004E-2</v>
      </c>
      <c r="AO37" s="130">
        <f t="shared" si="12"/>
        <v>1</v>
      </c>
      <c r="AP37" s="553">
        <f t="shared" si="28"/>
        <v>29</v>
      </c>
      <c r="AQ37" s="554">
        <f t="shared" si="13"/>
        <v>45597</v>
      </c>
      <c r="AR37" s="555">
        <f t="shared" si="37"/>
        <v>9.9000000000000005E-2</v>
      </c>
      <c r="AS37" s="546">
        <f t="shared" si="14"/>
        <v>6360</v>
      </c>
      <c r="AT37" s="546">
        <f t="shared" si="15"/>
        <v>6360</v>
      </c>
      <c r="AU37" s="546">
        <f t="shared" si="16"/>
        <v>1501.6226243146366</v>
      </c>
      <c r="AV37" s="546">
        <f t="shared" si="17"/>
        <v>4858.3773756853634</v>
      </c>
      <c r="AW37" s="546">
        <f t="shared" si="4"/>
        <v>0</v>
      </c>
      <c r="AX37" s="546">
        <v>0</v>
      </c>
      <c r="AY37" s="546">
        <f t="shared" si="18"/>
        <v>1501.6226243146366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173731.47530428934</v>
      </c>
      <c r="BH37" s="108">
        <f t="shared" si="29"/>
        <v>32</v>
      </c>
      <c r="BI37" s="108">
        <f t="shared" si="24"/>
        <v>32</v>
      </c>
      <c r="BJ37" s="22">
        <f t="shared" si="25"/>
        <v>45597</v>
      </c>
      <c r="BK37" s="108">
        <f t="shared" si="6"/>
        <v>6360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45627</v>
      </c>
      <c r="I38" s="246">
        <f t="shared" si="30"/>
        <v>9.9000000000000005E-2</v>
      </c>
      <c r="J38" s="242">
        <f t="shared" si="0"/>
        <v>6360</v>
      </c>
      <c r="K38" s="242">
        <f t="shared" si="21"/>
        <v>6360</v>
      </c>
      <c r="L38" s="242">
        <f t="shared" si="8"/>
        <v>1413.6506346677788</v>
      </c>
      <c r="M38" s="242">
        <f t="shared" si="22"/>
        <v>4946.3493653322212</v>
      </c>
      <c r="N38" s="242">
        <f t="shared" si="1"/>
        <v>0</v>
      </c>
      <c r="O38" s="242">
        <v>0</v>
      </c>
      <c r="P38" s="242">
        <f t="shared" si="23"/>
        <v>1413.6506346677788</v>
      </c>
      <c r="Q38" s="242">
        <f t="shared" si="2"/>
        <v>0</v>
      </c>
      <c r="R38" s="242">
        <f t="shared" si="9"/>
        <v>0</v>
      </c>
      <c r="S38" s="242">
        <f t="shared" si="10"/>
        <v>168785.12593895712</v>
      </c>
      <c r="T38" s="467"/>
      <c r="U38" s="198">
        <f t="shared" si="27"/>
        <v>31</v>
      </c>
      <c r="V38" s="36">
        <f t="shared" si="11"/>
        <v>31</v>
      </c>
      <c r="W38" s="16">
        <f>INDEX('Для Перспективы'!B7:F7,MATCH($C$10,'Для Перспективы'!$B$1:$F$1,0))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 t="e">
        <f t="shared" ref="AF38:AF40" si="38">IF(AG38=AG37,AF37,AF37-$AF$35)</f>
        <v>#N/A</v>
      </c>
      <c r="AG38" s="169">
        <f>AG36-$AG$35</f>
        <v>5.9000000000000004E-2</v>
      </c>
      <c r="AI38" s="2"/>
      <c r="AJ38" s="2"/>
      <c r="AK38" s="57"/>
      <c r="AL38" s="47" t="e">
        <f>AL36-$AL$35</f>
        <v>#N/A</v>
      </c>
      <c r="AM38" s="169">
        <f>AM36-$AM$35</f>
        <v>5.9000000000000004E-2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45627</v>
      </c>
      <c r="AR38" s="555">
        <f t="shared" si="37"/>
        <v>9.9000000000000005E-2</v>
      </c>
      <c r="AS38" s="546">
        <f t="shared" si="14"/>
        <v>6360</v>
      </c>
      <c r="AT38" s="546">
        <f t="shared" si="15"/>
        <v>6360</v>
      </c>
      <c r="AU38" s="546">
        <f t="shared" si="16"/>
        <v>1413.6506346677788</v>
      </c>
      <c r="AV38" s="546">
        <f t="shared" si="17"/>
        <v>4946.3493653322212</v>
      </c>
      <c r="AW38" s="546">
        <f t="shared" si="4"/>
        <v>0</v>
      </c>
      <c r="AX38" s="546">
        <v>0</v>
      </c>
      <c r="AY38" s="546">
        <f t="shared" si="18"/>
        <v>1413.6506346677788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168785.12593895712</v>
      </c>
      <c r="BH38" s="108">
        <f t="shared" si="29"/>
        <v>31</v>
      </c>
      <c r="BI38" s="108">
        <f t="shared" si="24"/>
        <v>31</v>
      </c>
      <c r="BJ38" s="22">
        <f t="shared" si="25"/>
        <v>45627</v>
      </c>
      <c r="BK38" s="108">
        <f t="shared" si="6"/>
        <v>6360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45658</v>
      </c>
      <c r="I39" s="246">
        <f t="shared" si="30"/>
        <v>9.9000000000000005E-2</v>
      </c>
      <c r="J39" s="242">
        <f t="shared" si="0"/>
        <v>6360</v>
      </c>
      <c r="K39" s="242">
        <f t="shared" si="21"/>
        <v>6360</v>
      </c>
      <c r="L39" s="242">
        <f t="shared" si="8"/>
        <v>1419.1823328949572</v>
      </c>
      <c r="M39" s="242">
        <f t="shared" si="22"/>
        <v>4940.8176671050423</v>
      </c>
      <c r="N39" s="242">
        <f t="shared" si="1"/>
        <v>0</v>
      </c>
      <c r="O39" s="242">
        <v>0</v>
      </c>
      <c r="P39" s="242">
        <f t="shared" si="23"/>
        <v>1419.1823328949572</v>
      </c>
      <c r="Q39" s="242">
        <f t="shared" si="2"/>
        <v>0</v>
      </c>
      <c r="R39" s="242">
        <f t="shared" si="9"/>
        <v>0</v>
      </c>
      <c r="S39" s="242">
        <f t="shared" si="10"/>
        <v>163844.30827185209</v>
      </c>
      <c r="T39" s="467"/>
      <c r="U39" s="198">
        <f t="shared" si="27"/>
        <v>30</v>
      </c>
      <c r="V39" s="36">
        <f t="shared" si="11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 t="e">
        <f t="shared" si="38"/>
        <v>#N/A</v>
      </c>
      <c r="AG39" s="169">
        <f>AG36-$AG$35</f>
        <v>5.9000000000000004E-2</v>
      </c>
      <c r="AI39" s="2"/>
      <c r="AJ39" s="2"/>
      <c r="AK39" s="57"/>
      <c r="AL39" s="47" t="e">
        <f>AL36-$AL$35</f>
        <v>#N/A</v>
      </c>
      <c r="AM39" s="169">
        <f>AM36-$AM$35</f>
        <v>5.9000000000000004E-2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45658</v>
      </c>
      <c r="AR39" s="555">
        <f t="shared" si="37"/>
        <v>9.9000000000000005E-2</v>
      </c>
      <c r="AS39" s="546">
        <f t="shared" si="14"/>
        <v>6360</v>
      </c>
      <c r="AT39" s="546">
        <f t="shared" si="15"/>
        <v>6360</v>
      </c>
      <c r="AU39" s="546">
        <f t="shared" si="16"/>
        <v>1419.1823328949572</v>
      </c>
      <c r="AV39" s="546">
        <f t="shared" si="17"/>
        <v>4940.8176671050423</v>
      </c>
      <c r="AW39" s="546">
        <f t="shared" si="4"/>
        <v>0</v>
      </c>
      <c r="AX39" s="546">
        <v>0</v>
      </c>
      <c r="AY39" s="546">
        <f t="shared" si="18"/>
        <v>1419.1823328949572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163844.30827185209</v>
      </c>
      <c r="BH39" s="108">
        <f t="shared" si="29"/>
        <v>30</v>
      </c>
      <c r="BI39" s="108">
        <f t="shared" si="24"/>
        <v>30</v>
      </c>
      <c r="BJ39" s="22">
        <f t="shared" si="25"/>
        <v>45658</v>
      </c>
      <c r="BK39" s="108">
        <f t="shared" si="6"/>
        <v>6360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45689</v>
      </c>
      <c r="I40" s="246">
        <f t="shared" si="30"/>
        <v>9.9000000000000005E-2</v>
      </c>
      <c r="J40" s="242">
        <f t="shared" si="0"/>
        <v>6360</v>
      </c>
      <c r="K40" s="242">
        <f t="shared" si="21"/>
        <v>6360</v>
      </c>
      <c r="L40" s="242">
        <f t="shared" si="8"/>
        <v>1377.6388550309973</v>
      </c>
      <c r="M40" s="242">
        <f t="shared" si="22"/>
        <v>4982.3611449690025</v>
      </c>
      <c r="N40" s="242">
        <f t="shared" si="1"/>
        <v>0</v>
      </c>
      <c r="O40" s="242">
        <v>0</v>
      </c>
      <c r="P40" s="242">
        <f t="shared" si="23"/>
        <v>1377.6388550309973</v>
      </c>
      <c r="Q40" s="242">
        <f t="shared" si="2"/>
        <v>0</v>
      </c>
      <c r="R40" s="242">
        <f t="shared" si="9"/>
        <v>0</v>
      </c>
      <c r="S40" s="242">
        <f t="shared" si="10"/>
        <v>158861.94712688308</v>
      </c>
      <c r="T40" s="467"/>
      <c r="U40" s="198">
        <f t="shared" si="27"/>
        <v>29</v>
      </c>
      <c r="V40" s="36">
        <f t="shared" si="11"/>
        <v>29</v>
      </c>
      <c r="W40" s="16">
        <f>INDEX('Для Перспективы'!B2:F2,MATCH($C$10,'Для Перспективы'!$B$1:$F$1,0))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 t="e">
        <f t="shared" si="38"/>
        <v>#N/A</v>
      </c>
      <c r="AG40" s="169">
        <f>AG36-$AG$35</f>
        <v>5.9000000000000004E-2</v>
      </c>
      <c r="AI40" s="2"/>
      <c r="AJ40" s="2"/>
      <c r="AK40" s="57"/>
      <c r="AL40" s="47" t="e">
        <f>AL36-$AL$35</f>
        <v>#N/A</v>
      </c>
      <c r="AM40" s="169">
        <f>AM36-$AM$35</f>
        <v>5.9000000000000004E-2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45689</v>
      </c>
      <c r="AR40" s="555">
        <f t="shared" si="37"/>
        <v>9.9000000000000005E-2</v>
      </c>
      <c r="AS40" s="546">
        <f t="shared" si="14"/>
        <v>6360</v>
      </c>
      <c r="AT40" s="546">
        <f t="shared" si="15"/>
        <v>6360</v>
      </c>
      <c r="AU40" s="546">
        <f t="shared" si="16"/>
        <v>1377.6388550309973</v>
      </c>
      <c r="AV40" s="546">
        <f t="shared" si="17"/>
        <v>4982.3611449690025</v>
      </c>
      <c r="AW40" s="546">
        <f t="shared" si="4"/>
        <v>0</v>
      </c>
      <c r="AX40" s="546">
        <v>0</v>
      </c>
      <c r="AY40" s="546">
        <f t="shared" si="18"/>
        <v>1377.6388550309973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158861.94712688308</v>
      </c>
      <c r="BH40" s="108">
        <f t="shared" si="29"/>
        <v>29</v>
      </c>
      <c r="BI40" s="108">
        <f t="shared" si="24"/>
        <v>29</v>
      </c>
      <c r="BJ40" s="22">
        <f t="shared" si="25"/>
        <v>45689</v>
      </c>
      <c r="BK40" s="108">
        <f t="shared" si="6"/>
        <v>6360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45717</v>
      </c>
      <c r="I41" s="246">
        <f t="shared" si="30"/>
        <v>9.9000000000000005E-2</v>
      </c>
      <c r="J41" s="242">
        <f t="shared" si="0"/>
        <v>6360</v>
      </c>
      <c r="K41" s="242">
        <f t="shared" si="21"/>
        <v>6360</v>
      </c>
      <c r="L41" s="242">
        <f t="shared" si="8"/>
        <v>1206.4803217416984</v>
      </c>
      <c r="M41" s="242">
        <f t="shared" si="22"/>
        <v>5153.5196782583016</v>
      </c>
      <c r="N41" s="242">
        <f t="shared" si="1"/>
        <v>0</v>
      </c>
      <c r="O41" s="242">
        <v>0</v>
      </c>
      <c r="P41" s="242">
        <f t="shared" si="23"/>
        <v>1206.4803217416984</v>
      </c>
      <c r="Q41" s="242">
        <f t="shared" si="2"/>
        <v>0</v>
      </c>
      <c r="R41" s="242">
        <f t="shared" si="9"/>
        <v>0</v>
      </c>
      <c r="S41" s="242">
        <f t="shared" si="10"/>
        <v>153708.42744862477</v>
      </c>
      <c r="T41" s="467"/>
      <c r="U41" s="198">
        <f t="shared" si="27"/>
        <v>28</v>
      </c>
      <c r="V41" s="36">
        <f t="shared" si="11"/>
        <v>28</v>
      </c>
      <c r="W41" s="16">
        <f>INDEX('Для Перспективы'!B3:F3,MATCH($C$10,'Для Перспективы'!$B$1:$F$1,0))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45717</v>
      </c>
      <c r="AR41" s="555">
        <f t="shared" si="37"/>
        <v>9.9000000000000005E-2</v>
      </c>
      <c r="AS41" s="546">
        <f t="shared" si="14"/>
        <v>6360</v>
      </c>
      <c r="AT41" s="546">
        <f t="shared" si="15"/>
        <v>6360</v>
      </c>
      <c r="AU41" s="546">
        <f t="shared" si="16"/>
        <v>1206.4803217416984</v>
      </c>
      <c r="AV41" s="546">
        <f t="shared" si="17"/>
        <v>5153.5196782583016</v>
      </c>
      <c r="AW41" s="546">
        <f t="shared" si="4"/>
        <v>0</v>
      </c>
      <c r="AX41" s="546">
        <v>0</v>
      </c>
      <c r="AY41" s="546">
        <f t="shared" si="18"/>
        <v>1206.4803217416984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153708.42744862477</v>
      </c>
      <c r="BH41" s="108">
        <f t="shared" si="29"/>
        <v>28</v>
      </c>
      <c r="BI41" s="108">
        <f t="shared" si="24"/>
        <v>28</v>
      </c>
      <c r="BJ41" s="22">
        <f t="shared" si="25"/>
        <v>45717</v>
      </c>
      <c r="BK41" s="108">
        <f t="shared" si="6"/>
        <v>6360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45748</v>
      </c>
      <c r="I42" s="246">
        <f t="shared" si="30"/>
        <v>9.9000000000000005E-2</v>
      </c>
      <c r="J42" s="242">
        <f t="shared" si="0"/>
        <v>6360</v>
      </c>
      <c r="K42" s="242">
        <f t="shared" si="21"/>
        <v>6360</v>
      </c>
      <c r="L42" s="242">
        <f t="shared" si="8"/>
        <v>1292.4141475063818</v>
      </c>
      <c r="M42" s="242">
        <f t="shared" si="22"/>
        <v>5067.5858524936184</v>
      </c>
      <c r="N42" s="242">
        <f t="shared" si="1"/>
        <v>0</v>
      </c>
      <c r="O42" s="242">
        <v>0</v>
      </c>
      <c r="P42" s="242">
        <f t="shared" si="23"/>
        <v>1292.4141475063818</v>
      </c>
      <c r="Q42" s="242">
        <f t="shared" si="2"/>
        <v>0</v>
      </c>
      <c r="R42" s="242">
        <f t="shared" si="9"/>
        <v>0</v>
      </c>
      <c r="S42" s="242">
        <f t="shared" si="10"/>
        <v>148640.84159613115</v>
      </c>
      <c r="T42" s="467"/>
      <c r="U42" s="198">
        <f t="shared" si="27"/>
        <v>27</v>
      </c>
      <c r="V42" s="36">
        <f t="shared" si="11"/>
        <v>27</v>
      </c>
      <c r="W42" s="2"/>
      <c r="X42" s="18">
        <f>K8</f>
        <v>-300000</v>
      </c>
      <c r="Y42" s="57">
        <f>H8</f>
        <v>44710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45748</v>
      </c>
      <c r="AR42" s="555">
        <f t="shared" si="37"/>
        <v>9.9000000000000005E-2</v>
      </c>
      <c r="AS42" s="546">
        <f t="shared" si="14"/>
        <v>6360</v>
      </c>
      <c r="AT42" s="546">
        <f t="shared" si="15"/>
        <v>6360</v>
      </c>
      <c r="AU42" s="546">
        <f t="shared" si="16"/>
        <v>1292.4141475063818</v>
      </c>
      <c r="AV42" s="546">
        <f t="shared" si="17"/>
        <v>5067.5858524936184</v>
      </c>
      <c r="AW42" s="546">
        <f t="shared" si="4"/>
        <v>0</v>
      </c>
      <c r="AX42" s="546">
        <v>0</v>
      </c>
      <c r="AY42" s="546">
        <f t="shared" si="18"/>
        <v>1292.4141475063818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148640.84159613115</v>
      </c>
      <c r="BH42" s="108">
        <f t="shared" si="29"/>
        <v>27</v>
      </c>
      <c r="BI42" s="108">
        <f t="shared" si="24"/>
        <v>27</v>
      </c>
      <c r="BJ42" s="22">
        <f t="shared" si="25"/>
        <v>45748</v>
      </c>
      <c r="BK42" s="108">
        <f t="shared" si="6"/>
        <v>6360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45778</v>
      </c>
      <c r="I43" s="246">
        <f t="shared" si="30"/>
        <v>9.9000000000000005E-2</v>
      </c>
      <c r="J43" s="242">
        <f t="shared" si="0"/>
        <v>6360</v>
      </c>
      <c r="K43" s="242">
        <f t="shared" si="21"/>
        <v>6360</v>
      </c>
      <c r="L43" s="242">
        <f t="shared" si="8"/>
        <v>1209.4884918918067</v>
      </c>
      <c r="M43" s="242">
        <f t="shared" si="22"/>
        <v>5150.5115081081931</v>
      </c>
      <c r="N43" s="242">
        <f t="shared" si="1"/>
        <v>0</v>
      </c>
      <c r="O43" s="242">
        <v>0</v>
      </c>
      <c r="P43" s="242">
        <f t="shared" si="23"/>
        <v>1209.4884918918067</v>
      </c>
      <c r="Q43" s="242">
        <f t="shared" si="2"/>
        <v>0</v>
      </c>
      <c r="R43" s="242">
        <f t="shared" si="9"/>
        <v>0</v>
      </c>
      <c r="S43" s="242">
        <f t="shared" si="10"/>
        <v>143490.33008802295</v>
      </c>
      <c r="T43" s="467"/>
      <c r="U43" s="198">
        <f t="shared" si="27"/>
        <v>26</v>
      </c>
      <c r="V43" s="36">
        <f t="shared" si="11"/>
        <v>26</v>
      </c>
      <c r="X43" s="34">
        <f>IF(OR(C8="Гарантия стандарт",C8="Гарантия пакет"),AH65*AH79*$C$10,0)</f>
        <v>0</v>
      </c>
      <c r="Y43" s="57">
        <f>H8</f>
        <v>44710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45778</v>
      </c>
      <c r="AR43" s="555">
        <f t="shared" si="37"/>
        <v>9.9000000000000005E-2</v>
      </c>
      <c r="AS43" s="546">
        <f t="shared" si="14"/>
        <v>6360</v>
      </c>
      <c r="AT43" s="546">
        <f t="shared" si="15"/>
        <v>6360</v>
      </c>
      <c r="AU43" s="546">
        <f t="shared" si="16"/>
        <v>1209.4884918918067</v>
      </c>
      <c r="AV43" s="546">
        <f t="shared" si="17"/>
        <v>5150.5115081081931</v>
      </c>
      <c r="AW43" s="546">
        <f t="shared" si="4"/>
        <v>0</v>
      </c>
      <c r="AX43" s="546">
        <v>0</v>
      </c>
      <c r="AY43" s="546">
        <f t="shared" si="18"/>
        <v>1209.4884918918067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143490.33008802295</v>
      </c>
      <c r="BH43" s="108">
        <f t="shared" si="29"/>
        <v>26</v>
      </c>
      <c r="BI43" s="108">
        <f t="shared" si="24"/>
        <v>26</v>
      </c>
      <c r="BJ43" s="22">
        <f t="shared" si="25"/>
        <v>45778</v>
      </c>
      <c r="BK43" s="108">
        <f t="shared" si="6"/>
        <v>6360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45809</v>
      </c>
      <c r="I44" s="250">
        <f t="shared" si="30"/>
        <v>9.9000000000000005E-2</v>
      </c>
      <c r="J44" s="252">
        <f t="shared" si="0"/>
        <v>6360</v>
      </c>
      <c r="K44" s="252">
        <f t="shared" si="21"/>
        <v>6360</v>
      </c>
      <c r="L44" s="252">
        <f t="shared" si="8"/>
        <v>1206.4981453154587</v>
      </c>
      <c r="M44" s="252">
        <f t="shared" si="22"/>
        <v>5153.5018546845413</v>
      </c>
      <c r="N44" s="252">
        <f t="shared" si="1"/>
        <v>0</v>
      </c>
      <c r="O44" s="252">
        <v>0</v>
      </c>
      <c r="P44" s="252">
        <f t="shared" si="23"/>
        <v>1206.4981453154587</v>
      </c>
      <c r="Q44" s="252">
        <f t="shared" si="2"/>
        <v>0</v>
      </c>
      <c r="R44" s="252">
        <f t="shared" si="9"/>
        <v>0</v>
      </c>
      <c r="S44" s="252">
        <f t="shared" si="10"/>
        <v>138336.8282333384</v>
      </c>
      <c r="T44" s="468"/>
      <c r="U44" s="198">
        <f t="shared" si="27"/>
        <v>25</v>
      </c>
      <c r="V44" s="36">
        <f t="shared" si="11"/>
        <v>25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6360</v>
      </c>
      <c r="Y44" s="57">
        <f>Y43+365</f>
        <v>45075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45809</v>
      </c>
      <c r="AR44" s="557">
        <f t="shared" si="37"/>
        <v>9.9000000000000005E-2</v>
      </c>
      <c r="AS44" s="547">
        <f t="shared" si="14"/>
        <v>6360</v>
      </c>
      <c r="AT44" s="547">
        <f t="shared" si="15"/>
        <v>6360</v>
      </c>
      <c r="AU44" s="547">
        <f t="shared" si="16"/>
        <v>1206.4981453154587</v>
      </c>
      <c r="AV44" s="547">
        <f t="shared" si="17"/>
        <v>5153.5018546845413</v>
      </c>
      <c r="AW44" s="547">
        <f t="shared" si="4"/>
        <v>0</v>
      </c>
      <c r="AX44" s="547">
        <v>0</v>
      </c>
      <c r="AY44" s="547">
        <f t="shared" si="18"/>
        <v>1206.4981453154587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138336.8282333384</v>
      </c>
      <c r="BH44" s="108">
        <f t="shared" si="29"/>
        <v>25</v>
      </c>
      <c r="BI44" s="108">
        <f t="shared" si="24"/>
        <v>25</v>
      </c>
      <c r="BJ44" s="22">
        <f t="shared" si="25"/>
        <v>45809</v>
      </c>
      <c r="BK44" s="108">
        <f t="shared" si="6"/>
        <v>6360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45839</v>
      </c>
      <c r="I45" s="246">
        <f t="shared" si="30"/>
        <v>9.9000000000000005E-2</v>
      </c>
      <c r="J45" s="242">
        <f t="shared" si="0"/>
        <v>6360</v>
      </c>
      <c r="K45" s="242">
        <f t="shared" si="21"/>
        <v>6360</v>
      </c>
      <c r="L45" s="242">
        <f t="shared" si="8"/>
        <v>1125.64487630963</v>
      </c>
      <c r="M45" s="242">
        <f t="shared" si="22"/>
        <v>5234.3551236903695</v>
      </c>
      <c r="N45" s="242">
        <f t="shared" si="1"/>
        <v>0</v>
      </c>
      <c r="O45" s="242">
        <v>0</v>
      </c>
      <c r="P45" s="242">
        <f t="shared" si="23"/>
        <v>1125.64487630963</v>
      </c>
      <c r="Q45" s="242">
        <f t="shared" si="2"/>
        <v>0</v>
      </c>
      <c r="R45" s="242">
        <f t="shared" si="9"/>
        <v>0</v>
      </c>
      <c r="S45" s="242">
        <f t="shared" si="10"/>
        <v>133102.47310964804</v>
      </c>
      <c r="T45" s="467"/>
      <c r="U45" s="198">
        <f t="shared" si="27"/>
        <v>24</v>
      </c>
      <c r="V45" s="36">
        <f t="shared" si="11"/>
        <v>24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6360</v>
      </c>
      <c r="Y45" s="57">
        <f t="shared" ref="Y45:Y108" si="39">Y44+365</f>
        <v>45440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45839</v>
      </c>
      <c r="AR45" s="555">
        <f t="shared" ref="AR45:AR56" si="40">IF($D$16="Да",$AM$39,$D$13)</f>
        <v>9.9000000000000005E-2</v>
      </c>
      <c r="AS45" s="546">
        <f t="shared" si="14"/>
        <v>6360</v>
      </c>
      <c r="AT45" s="546">
        <f t="shared" si="15"/>
        <v>6360</v>
      </c>
      <c r="AU45" s="546">
        <f t="shared" si="16"/>
        <v>1125.64487630963</v>
      </c>
      <c r="AV45" s="546">
        <f t="shared" si="17"/>
        <v>5234.3551236903695</v>
      </c>
      <c r="AW45" s="546">
        <f t="shared" si="4"/>
        <v>0</v>
      </c>
      <c r="AX45" s="546">
        <v>0</v>
      </c>
      <c r="AY45" s="546">
        <f t="shared" si="18"/>
        <v>1125.64487630963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133102.47310964804</v>
      </c>
      <c r="BH45" s="108">
        <f t="shared" si="29"/>
        <v>24</v>
      </c>
      <c r="BI45" s="108">
        <f t="shared" si="24"/>
        <v>24</v>
      </c>
      <c r="BJ45" s="22">
        <f t="shared" si="25"/>
        <v>45839</v>
      </c>
      <c r="BK45" s="108">
        <f t="shared" si="6"/>
        <v>6360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45870</v>
      </c>
      <c r="I46" s="246">
        <f t="shared" si="30"/>
        <v>9.9000000000000005E-2</v>
      </c>
      <c r="J46" s="242">
        <f t="shared" si="0"/>
        <v>6360</v>
      </c>
      <c r="K46" s="242">
        <f t="shared" si="21"/>
        <v>6360</v>
      </c>
      <c r="L46" s="242">
        <f t="shared" si="8"/>
        <v>1119.1547670507118</v>
      </c>
      <c r="M46" s="242">
        <f t="shared" si="22"/>
        <v>5240.8452329492884</v>
      </c>
      <c r="N46" s="242">
        <f t="shared" si="1"/>
        <v>0</v>
      </c>
      <c r="O46" s="242">
        <v>0</v>
      </c>
      <c r="P46" s="242">
        <f t="shared" si="23"/>
        <v>1119.1547670507118</v>
      </c>
      <c r="Q46" s="242">
        <f t="shared" si="2"/>
        <v>0</v>
      </c>
      <c r="R46" s="242">
        <f t="shared" si="9"/>
        <v>0</v>
      </c>
      <c r="S46" s="242">
        <f t="shared" si="10"/>
        <v>127861.62787669875</v>
      </c>
      <c r="T46" s="467"/>
      <c r="U46" s="198">
        <f t="shared" si="27"/>
        <v>23</v>
      </c>
      <c r="V46" s="36">
        <f t="shared" si="11"/>
        <v>23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6360</v>
      </c>
      <c r="Y46" s="57">
        <f t="shared" si="39"/>
        <v>45805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-300000</v>
      </c>
      <c r="AN46" s="57">
        <f>AQ8</f>
        <v>44710</v>
      </c>
      <c r="AO46" s="130">
        <f t="shared" si="12"/>
        <v>1</v>
      </c>
      <c r="AP46" s="553">
        <f t="shared" si="28"/>
        <v>38</v>
      </c>
      <c r="AQ46" s="554">
        <f t="shared" si="13"/>
        <v>45870</v>
      </c>
      <c r="AR46" s="555">
        <f t="shared" si="40"/>
        <v>9.9000000000000005E-2</v>
      </c>
      <c r="AS46" s="546">
        <f t="shared" si="14"/>
        <v>6360</v>
      </c>
      <c r="AT46" s="546">
        <f t="shared" si="15"/>
        <v>6360</v>
      </c>
      <c r="AU46" s="546">
        <f t="shared" si="16"/>
        <v>1119.1547670507118</v>
      </c>
      <c r="AV46" s="546">
        <f t="shared" si="17"/>
        <v>5240.8452329492884</v>
      </c>
      <c r="AW46" s="546">
        <f t="shared" si="4"/>
        <v>0</v>
      </c>
      <c r="AX46" s="546">
        <v>0</v>
      </c>
      <c r="AY46" s="546">
        <f t="shared" si="18"/>
        <v>1119.1547670507118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127861.62787669875</v>
      </c>
      <c r="BH46" s="108">
        <f t="shared" si="29"/>
        <v>23</v>
      </c>
      <c r="BI46" s="108">
        <f t="shared" si="24"/>
        <v>23</v>
      </c>
      <c r="BJ46" s="22">
        <f t="shared" si="25"/>
        <v>45870</v>
      </c>
      <c r="BK46" s="108">
        <f t="shared" si="6"/>
        <v>6360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45901</v>
      </c>
      <c r="I47" s="246">
        <f t="shared" si="30"/>
        <v>9.9000000000000005E-2</v>
      </c>
      <c r="J47" s="242">
        <f t="shared" si="0"/>
        <v>6360</v>
      </c>
      <c r="K47" s="242">
        <f t="shared" si="21"/>
        <v>6360</v>
      </c>
      <c r="L47" s="242">
        <f t="shared" si="8"/>
        <v>1075.088591653667</v>
      </c>
      <c r="M47" s="242">
        <f t="shared" si="22"/>
        <v>5284.9114083463328</v>
      </c>
      <c r="N47" s="242">
        <f t="shared" si="1"/>
        <v>0</v>
      </c>
      <c r="O47" s="242">
        <v>0</v>
      </c>
      <c r="P47" s="242">
        <f t="shared" si="23"/>
        <v>1075.088591653667</v>
      </c>
      <c r="Q47" s="242">
        <f t="shared" si="2"/>
        <v>0</v>
      </c>
      <c r="R47" s="242">
        <f t="shared" si="9"/>
        <v>0</v>
      </c>
      <c r="S47" s="242">
        <f t="shared" si="10"/>
        <v>122576.71646835242</v>
      </c>
      <c r="T47" s="467"/>
      <c r="U47" s="198">
        <f t="shared" si="27"/>
        <v>22</v>
      </c>
      <c r="V47" s="36">
        <f t="shared" si="11"/>
        <v>22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6360</v>
      </c>
      <c r="Y47" s="57">
        <f t="shared" si="39"/>
        <v>46170</v>
      </c>
      <c r="Z47" s="5" t="s">
        <v>42</v>
      </c>
      <c r="AA47" s="8"/>
      <c r="AB47" s="17">
        <f>AC51/C7</f>
        <v>0.27200000000000002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44710</v>
      </c>
      <c r="AO47" s="130">
        <f t="shared" si="12"/>
        <v>1</v>
      </c>
      <c r="AP47" s="553">
        <f t="shared" si="28"/>
        <v>39</v>
      </c>
      <c r="AQ47" s="554">
        <f t="shared" si="13"/>
        <v>45901</v>
      </c>
      <c r="AR47" s="555">
        <f t="shared" si="40"/>
        <v>9.9000000000000005E-2</v>
      </c>
      <c r="AS47" s="546">
        <f t="shared" si="14"/>
        <v>6360</v>
      </c>
      <c r="AT47" s="546">
        <f t="shared" si="15"/>
        <v>6360</v>
      </c>
      <c r="AU47" s="546">
        <f t="shared" si="16"/>
        <v>1075.088591653667</v>
      </c>
      <c r="AV47" s="546">
        <f t="shared" si="17"/>
        <v>5284.9114083463328</v>
      </c>
      <c r="AW47" s="546">
        <f t="shared" si="4"/>
        <v>0</v>
      </c>
      <c r="AX47" s="546">
        <v>0</v>
      </c>
      <c r="AY47" s="546">
        <f t="shared" si="18"/>
        <v>1075.088591653667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122576.71646835242</v>
      </c>
      <c r="BH47" s="108">
        <f t="shared" si="29"/>
        <v>22</v>
      </c>
      <c r="BI47" s="108">
        <f t="shared" si="24"/>
        <v>22</v>
      </c>
      <c r="BJ47" s="22">
        <f t="shared" si="25"/>
        <v>45901</v>
      </c>
      <c r="BK47" s="108">
        <f t="shared" si="6"/>
        <v>6360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45931</v>
      </c>
      <c r="I48" s="246">
        <f t="shared" si="30"/>
        <v>9.9000000000000005E-2</v>
      </c>
      <c r="J48" s="242">
        <f t="shared" si="0"/>
        <v>6360</v>
      </c>
      <c r="K48" s="242">
        <f t="shared" si="21"/>
        <v>6360</v>
      </c>
      <c r="L48" s="242">
        <f t="shared" si="8"/>
        <v>997.40506276988117</v>
      </c>
      <c r="M48" s="242">
        <f t="shared" si="22"/>
        <v>5362.5949372301184</v>
      </c>
      <c r="N48" s="242">
        <f t="shared" si="1"/>
        <v>0</v>
      </c>
      <c r="O48" s="242">
        <v>0</v>
      </c>
      <c r="P48" s="242">
        <f t="shared" si="23"/>
        <v>997.40506276988117</v>
      </c>
      <c r="Q48" s="242">
        <f t="shared" si="2"/>
        <v>0</v>
      </c>
      <c r="R48" s="242">
        <f t="shared" si="9"/>
        <v>0</v>
      </c>
      <c r="S48" s="242">
        <f t="shared" si="10"/>
        <v>117214.12153112231</v>
      </c>
      <c r="T48" s="467"/>
      <c r="U48" s="198">
        <f t="shared" si="27"/>
        <v>21</v>
      </c>
      <c r="V48" s="36">
        <f t="shared" si="11"/>
        <v>21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6360</v>
      </c>
      <c r="Y48" s="57">
        <f t="shared" si="39"/>
        <v>46535</v>
      </c>
      <c r="Z48" s="5"/>
      <c r="AA48" s="8"/>
      <c r="AB48" s="17">
        <f>IF(C8=AC59,AC65,IF(C8=AD59,AD65,IF(C8=AF59,AF65,IF(C8=AG59,AG65,IF(C8=AE59,AE65,IF(C8=AH59,AH65,IF(C8=AI59,AI65,IF(C8=AJ59,AJ65,Y23))))))))</f>
        <v>0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>
        <f>IF(AND(Y5&gt;=$W$11,Y5&lt;=$W$11+5),0,IF($C$9&gt;$AF$51,ROUND(AI8*#REF!/(DATEVALUE(CONCATENATE("01/01/",YEAR(Z5)+1))-DATEVALUE(CONCATENATE("01/01/",YEAR(Z5))))*(Z5-Z4),2),0))</f>
        <v>0</v>
      </c>
      <c r="AM48" s="34">
        <f>AT9</f>
        <v>6360</v>
      </c>
      <c r="AN48" s="57">
        <f>AN47+365</f>
        <v>45075</v>
      </c>
      <c r="AO48" s="130">
        <f t="shared" si="12"/>
        <v>1</v>
      </c>
      <c r="AP48" s="553">
        <f t="shared" si="28"/>
        <v>40</v>
      </c>
      <c r="AQ48" s="554">
        <f t="shared" si="13"/>
        <v>45931</v>
      </c>
      <c r="AR48" s="555">
        <f t="shared" si="40"/>
        <v>9.9000000000000005E-2</v>
      </c>
      <c r="AS48" s="546">
        <f t="shared" si="14"/>
        <v>6360</v>
      </c>
      <c r="AT48" s="546">
        <f t="shared" si="15"/>
        <v>6360</v>
      </c>
      <c r="AU48" s="546">
        <f t="shared" si="16"/>
        <v>997.40506276988117</v>
      </c>
      <c r="AV48" s="546">
        <f t="shared" si="17"/>
        <v>5362.5949372301184</v>
      </c>
      <c r="AW48" s="546">
        <f t="shared" si="4"/>
        <v>0</v>
      </c>
      <c r="AX48" s="546">
        <v>0</v>
      </c>
      <c r="AY48" s="546">
        <f t="shared" si="18"/>
        <v>997.40506276988117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117214.12153112231</v>
      </c>
      <c r="BH48" s="108">
        <f t="shared" si="29"/>
        <v>21</v>
      </c>
      <c r="BI48" s="108">
        <f t="shared" si="24"/>
        <v>21</v>
      </c>
      <c r="BJ48" s="22">
        <f t="shared" si="25"/>
        <v>45931</v>
      </c>
      <c r="BK48" s="108">
        <f t="shared" si="6"/>
        <v>6360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45962</v>
      </c>
      <c r="I49" s="246">
        <f t="shared" si="30"/>
        <v>9.9000000000000005E-2</v>
      </c>
      <c r="J49" s="242">
        <f t="shared" si="0"/>
        <v>6360</v>
      </c>
      <c r="K49" s="242">
        <f t="shared" si="21"/>
        <v>6360</v>
      </c>
      <c r="L49" s="242">
        <f t="shared" si="8"/>
        <v>985.56202460003931</v>
      </c>
      <c r="M49" s="242">
        <f t="shared" si="22"/>
        <v>5374.437975399961</v>
      </c>
      <c r="N49" s="242">
        <f t="shared" si="1"/>
        <v>0</v>
      </c>
      <c r="O49" s="242">
        <v>0</v>
      </c>
      <c r="P49" s="242">
        <f t="shared" si="23"/>
        <v>985.56202460003931</v>
      </c>
      <c r="Q49" s="242">
        <f t="shared" si="2"/>
        <v>0</v>
      </c>
      <c r="R49" s="242">
        <f t="shared" si="9"/>
        <v>0</v>
      </c>
      <c r="S49" s="242">
        <f t="shared" si="10"/>
        <v>111839.68355572234</v>
      </c>
      <c r="T49" s="467"/>
      <c r="U49" s="198">
        <f t="shared" si="27"/>
        <v>20</v>
      </c>
      <c r="V49" s="36">
        <f t="shared" si="11"/>
        <v>20</v>
      </c>
      <c r="W49" s="2" t="e">
        <f>IF(AND(G14&gt;=$W$11,G14&lt;=$W$11+5),0,IF($C$9&gt;$AF$51,ROUND(S13*#REF!/(DATEVALUE(CONCATENATE("01/01/",YEAR(H14)+1))-DATEVALUE(CONCATENATE("01/01/",YEAR(H14))))*(H14-H13),2),0))</f>
        <v>#REF!</v>
      </c>
      <c r="X49" s="34">
        <f t="shared" si="41"/>
        <v>6360</v>
      </c>
      <c r="Y49" s="57">
        <f t="shared" si="39"/>
        <v>46900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6360</v>
      </c>
      <c r="AI49" s="2"/>
      <c r="AJ49" s="2"/>
      <c r="AK49" s="2"/>
      <c r="AL49" s="2">
        <f>IF(AND(Y6&gt;=$W$11,Y6&lt;=$W$11+5),0,IF($C$9&gt;$AF$51,ROUND(AI9*#REF!/(DATEVALUE(CONCATENATE("01/01/",YEAR(Z6)+1))-DATEVALUE(CONCATENATE("01/01/",YEAR(Z6))))*(Z6-Z5),2),0))</f>
        <v>0</v>
      </c>
      <c r="AM49" s="34">
        <f>AT10</f>
        <v>6360</v>
      </c>
      <c r="AN49" s="57">
        <f t="shared" ref="AN49:AN112" si="42">AN48+365</f>
        <v>45440</v>
      </c>
      <c r="AO49" s="130">
        <f t="shared" si="12"/>
        <v>1</v>
      </c>
      <c r="AP49" s="553">
        <f t="shared" si="28"/>
        <v>41</v>
      </c>
      <c r="AQ49" s="554">
        <f t="shared" si="13"/>
        <v>45962</v>
      </c>
      <c r="AR49" s="555">
        <f t="shared" si="40"/>
        <v>9.9000000000000005E-2</v>
      </c>
      <c r="AS49" s="546">
        <f t="shared" si="14"/>
        <v>6360</v>
      </c>
      <c r="AT49" s="546">
        <f t="shared" si="15"/>
        <v>6360</v>
      </c>
      <c r="AU49" s="546">
        <f t="shared" si="16"/>
        <v>985.56202460003931</v>
      </c>
      <c r="AV49" s="546">
        <f t="shared" si="17"/>
        <v>5374.437975399961</v>
      </c>
      <c r="AW49" s="546">
        <f t="shared" si="4"/>
        <v>0</v>
      </c>
      <c r="AX49" s="546">
        <v>0</v>
      </c>
      <c r="AY49" s="546">
        <f t="shared" si="18"/>
        <v>985.56202460003931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111839.68355572234</v>
      </c>
      <c r="BH49" s="108">
        <f t="shared" si="29"/>
        <v>20</v>
      </c>
      <c r="BI49" s="108">
        <f t="shared" si="24"/>
        <v>20</v>
      </c>
      <c r="BJ49" s="22">
        <f t="shared" si="25"/>
        <v>45962</v>
      </c>
      <c r="BK49" s="108">
        <f t="shared" si="6"/>
        <v>6360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45992</v>
      </c>
      <c r="I50" s="246">
        <f t="shared" si="30"/>
        <v>9.9000000000000005E-2</v>
      </c>
      <c r="J50" s="242">
        <f t="shared" si="0"/>
        <v>6360</v>
      </c>
      <c r="K50" s="242">
        <f t="shared" si="21"/>
        <v>6360</v>
      </c>
      <c r="L50" s="242">
        <f t="shared" si="8"/>
        <v>910.0379730424529</v>
      </c>
      <c r="M50" s="242">
        <f t="shared" si="22"/>
        <v>5449.9620269575471</v>
      </c>
      <c r="N50" s="242">
        <f t="shared" si="1"/>
        <v>0</v>
      </c>
      <c r="O50" s="242">
        <v>0</v>
      </c>
      <c r="P50" s="242">
        <f t="shared" si="23"/>
        <v>910.0379730424529</v>
      </c>
      <c r="Q50" s="242">
        <f t="shared" si="2"/>
        <v>0</v>
      </c>
      <c r="R50" s="242">
        <f t="shared" si="9"/>
        <v>0</v>
      </c>
      <c r="S50" s="242">
        <f t="shared" si="10"/>
        <v>106389.72152876479</v>
      </c>
      <c r="T50" s="467"/>
      <c r="U50" s="198">
        <f t="shared" si="27"/>
        <v>19</v>
      </c>
      <c r="V50" s="36">
        <f t="shared" si="11"/>
        <v>19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6360</v>
      </c>
      <c r="Y50" s="57">
        <f t="shared" si="39"/>
        <v>47265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6360</v>
      </c>
      <c r="AN50" s="57">
        <f t="shared" si="42"/>
        <v>45805</v>
      </c>
      <c r="AO50" s="130">
        <f t="shared" si="12"/>
        <v>1</v>
      </c>
      <c r="AP50" s="553">
        <f t="shared" si="28"/>
        <v>42</v>
      </c>
      <c r="AQ50" s="554">
        <f t="shared" si="13"/>
        <v>45992</v>
      </c>
      <c r="AR50" s="555">
        <f t="shared" si="40"/>
        <v>9.9000000000000005E-2</v>
      </c>
      <c r="AS50" s="546">
        <f t="shared" si="14"/>
        <v>6360</v>
      </c>
      <c r="AT50" s="546">
        <f t="shared" si="15"/>
        <v>6360</v>
      </c>
      <c r="AU50" s="546">
        <f t="shared" si="16"/>
        <v>910.0379730424529</v>
      </c>
      <c r="AV50" s="546">
        <f t="shared" si="17"/>
        <v>5449.9620269575471</v>
      </c>
      <c r="AW50" s="546">
        <f t="shared" si="4"/>
        <v>0</v>
      </c>
      <c r="AX50" s="546">
        <v>0</v>
      </c>
      <c r="AY50" s="546">
        <f t="shared" si="18"/>
        <v>910.0379730424529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106389.72152876479</v>
      </c>
      <c r="BH50" s="108">
        <f t="shared" si="29"/>
        <v>19</v>
      </c>
      <c r="BI50" s="108">
        <f t="shared" si="24"/>
        <v>19</v>
      </c>
      <c r="BJ50" s="22">
        <f t="shared" si="25"/>
        <v>45992</v>
      </c>
      <c r="BK50" s="108">
        <f t="shared" si="6"/>
        <v>6360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46023</v>
      </c>
      <c r="I51" s="246">
        <f t="shared" si="30"/>
        <v>9.9000000000000005E-2</v>
      </c>
      <c r="J51" s="242">
        <f t="shared" si="0"/>
        <v>6360</v>
      </c>
      <c r="K51" s="242">
        <f t="shared" si="21"/>
        <v>6360</v>
      </c>
      <c r="L51" s="242">
        <f t="shared" si="8"/>
        <v>894.54809690898378</v>
      </c>
      <c r="M51" s="242">
        <f t="shared" si="22"/>
        <v>5465.451903091016</v>
      </c>
      <c r="N51" s="242">
        <f t="shared" si="1"/>
        <v>0</v>
      </c>
      <c r="O51" s="242">
        <v>0</v>
      </c>
      <c r="P51" s="242">
        <f t="shared" si="23"/>
        <v>894.54809690898378</v>
      </c>
      <c r="Q51" s="242">
        <f t="shared" si="2"/>
        <v>0</v>
      </c>
      <c r="R51" s="242">
        <f t="shared" si="9"/>
        <v>0</v>
      </c>
      <c r="S51" s="242">
        <f t="shared" si="10"/>
        <v>100924.26962567377</v>
      </c>
      <c r="T51" s="467"/>
      <c r="U51" s="198">
        <f t="shared" si="27"/>
        <v>18</v>
      </c>
      <c r="V51" s="36">
        <f t="shared" si="11"/>
        <v>18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6360</v>
      </c>
      <c r="Y51" s="57">
        <f t="shared" si="39"/>
        <v>47630</v>
      </c>
      <c r="Z51" s="11" t="s">
        <v>18</v>
      </c>
      <c r="AA51" s="11"/>
      <c r="AB51" s="11"/>
      <c r="AC51" s="42">
        <f>(D30-C7)</f>
        <v>81600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>
        <f>IF(AND(Y7&gt;=$W$11,Y7&lt;=$W$11+5),0,IF($C$9&gt;$AF$51,ROUND(AI11*#REF!/(DATEVALUE(CONCATENATE("01/01/",YEAR(Z7)+1))-DATEVALUE(CONCATENATE("01/01/",YEAR(Z7))))*(Z7-#REF!),2),0))</f>
        <v>0</v>
      </c>
      <c r="AM51" s="34">
        <f t="shared" si="43"/>
        <v>6360</v>
      </c>
      <c r="AN51" s="57">
        <f t="shared" si="42"/>
        <v>46170</v>
      </c>
      <c r="AO51" s="130">
        <f t="shared" si="12"/>
        <v>1</v>
      </c>
      <c r="AP51" s="553">
        <f t="shared" si="28"/>
        <v>43</v>
      </c>
      <c r="AQ51" s="554">
        <f t="shared" si="13"/>
        <v>46023</v>
      </c>
      <c r="AR51" s="555">
        <f t="shared" si="40"/>
        <v>9.9000000000000005E-2</v>
      </c>
      <c r="AS51" s="546">
        <f t="shared" si="14"/>
        <v>6360</v>
      </c>
      <c r="AT51" s="546">
        <f t="shared" si="15"/>
        <v>6360</v>
      </c>
      <c r="AU51" s="546">
        <f t="shared" si="16"/>
        <v>894.54809690898378</v>
      </c>
      <c r="AV51" s="546">
        <f t="shared" si="17"/>
        <v>5465.451903091016</v>
      </c>
      <c r="AW51" s="546">
        <f t="shared" si="4"/>
        <v>0</v>
      </c>
      <c r="AX51" s="546">
        <v>0</v>
      </c>
      <c r="AY51" s="546">
        <f t="shared" si="18"/>
        <v>894.54809690898378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100924.26962567377</v>
      </c>
      <c r="BH51" s="108">
        <f t="shared" si="29"/>
        <v>18</v>
      </c>
      <c r="BI51" s="108">
        <f t="shared" si="24"/>
        <v>18</v>
      </c>
      <c r="BJ51" s="22">
        <f t="shared" si="25"/>
        <v>46023</v>
      </c>
      <c r="BK51" s="108">
        <f t="shared" si="6"/>
        <v>6360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46054</v>
      </c>
      <c r="I52" s="246">
        <f t="shared" si="30"/>
        <v>9.9000000000000005E-2</v>
      </c>
      <c r="J52" s="242">
        <f t="shared" si="0"/>
        <v>6360</v>
      </c>
      <c r="K52" s="242">
        <f t="shared" si="21"/>
        <v>6360</v>
      </c>
      <c r="L52" s="242">
        <f t="shared" si="8"/>
        <v>848.59337940052819</v>
      </c>
      <c r="M52" s="242">
        <f t="shared" si="22"/>
        <v>5511.4066205994714</v>
      </c>
      <c r="N52" s="242">
        <f t="shared" si="1"/>
        <v>0</v>
      </c>
      <c r="O52" s="242">
        <v>0</v>
      </c>
      <c r="P52" s="242">
        <f t="shared" si="23"/>
        <v>848.59337940052819</v>
      </c>
      <c r="Q52" s="242">
        <f t="shared" si="2"/>
        <v>0</v>
      </c>
      <c r="R52" s="242">
        <f t="shared" si="9"/>
        <v>0</v>
      </c>
      <c r="S52" s="242">
        <f t="shared" si="10"/>
        <v>95412.863005074294</v>
      </c>
      <c r="T52" s="467"/>
      <c r="U52" s="198">
        <f t="shared" si="27"/>
        <v>17</v>
      </c>
      <c r="V52" s="36">
        <f t="shared" si="11"/>
        <v>17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6360</v>
      </c>
      <c r="Y52" s="57">
        <f t="shared" si="39"/>
        <v>47995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>
        <f>IF(AND(Y8&gt;=$W$11,Y8&lt;=$W$11+5),0,IF($C$9&gt;$AF$51,ROUND(AI12*#REF!/(DATEVALUE(CONCATENATE("01/01/",YEAR(Z8)+1))-DATEVALUE(CONCATENATE("01/01/",YEAR(Z8))))*(Z8-Z7),2),0))</f>
        <v>0</v>
      </c>
      <c r="AM52" s="34">
        <f t="shared" si="43"/>
        <v>6360</v>
      </c>
      <c r="AN52" s="57">
        <f t="shared" si="42"/>
        <v>46535</v>
      </c>
      <c r="AO52" s="130">
        <f t="shared" si="12"/>
        <v>1</v>
      </c>
      <c r="AP52" s="553">
        <f t="shared" si="28"/>
        <v>44</v>
      </c>
      <c r="AQ52" s="554">
        <f t="shared" si="13"/>
        <v>46054</v>
      </c>
      <c r="AR52" s="555">
        <f t="shared" si="40"/>
        <v>9.9000000000000005E-2</v>
      </c>
      <c r="AS52" s="546">
        <f t="shared" si="14"/>
        <v>6360</v>
      </c>
      <c r="AT52" s="546">
        <f t="shared" si="15"/>
        <v>6360</v>
      </c>
      <c r="AU52" s="546">
        <f t="shared" si="16"/>
        <v>848.59337940052819</v>
      </c>
      <c r="AV52" s="546">
        <f t="shared" si="17"/>
        <v>5511.4066205994714</v>
      </c>
      <c r="AW52" s="546">
        <f t="shared" si="4"/>
        <v>0</v>
      </c>
      <c r="AX52" s="546">
        <v>0</v>
      </c>
      <c r="AY52" s="546">
        <f t="shared" si="18"/>
        <v>848.59337940052819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95412.863005074294</v>
      </c>
      <c r="BH52" s="108">
        <f t="shared" si="29"/>
        <v>17</v>
      </c>
      <c r="BI52" s="108">
        <f t="shared" si="24"/>
        <v>17</v>
      </c>
      <c r="BJ52" s="22">
        <f t="shared" si="25"/>
        <v>46054</v>
      </c>
      <c r="BK52" s="108">
        <f t="shared" si="6"/>
        <v>6360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46082</v>
      </c>
      <c r="I53" s="246">
        <f t="shared" si="30"/>
        <v>9.9000000000000005E-2</v>
      </c>
      <c r="J53" s="242">
        <f t="shared" si="0"/>
        <v>6360</v>
      </c>
      <c r="K53" s="242">
        <f t="shared" si="21"/>
        <v>6360</v>
      </c>
      <c r="L53" s="242">
        <f t="shared" si="8"/>
        <v>724.6149486303176</v>
      </c>
      <c r="M53" s="242">
        <f t="shared" si="22"/>
        <v>5635.3850513696825</v>
      </c>
      <c r="N53" s="242">
        <f t="shared" si="1"/>
        <v>0</v>
      </c>
      <c r="O53" s="242">
        <v>0</v>
      </c>
      <c r="P53" s="242">
        <f t="shared" si="23"/>
        <v>724.6149486303176</v>
      </c>
      <c r="Q53" s="242">
        <f t="shared" si="2"/>
        <v>0</v>
      </c>
      <c r="R53" s="242">
        <f t="shared" si="9"/>
        <v>0</v>
      </c>
      <c r="S53" s="242">
        <f t="shared" si="10"/>
        <v>89777.477953704612</v>
      </c>
      <c r="T53" s="467"/>
      <c r="U53" s="198">
        <f t="shared" si="27"/>
        <v>16</v>
      </c>
      <c r="V53" s="36">
        <f t="shared" si="11"/>
        <v>16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6360</v>
      </c>
      <c r="Y53" s="57">
        <f t="shared" si="39"/>
        <v>48360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>
        <f>IF(AND(Y9&gt;=$W$11,Y9&lt;=$W$11+5),0,IF($C$9&gt;$AF$51,ROUND(AI13*#REF!/(DATEVALUE(CONCATENATE("01/01/",YEAR(Z9)+1))-DATEVALUE(CONCATENATE("01/01/",YEAR(Z9))))*(Z9-Z8),2),0))</f>
        <v>0</v>
      </c>
      <c r="AM53" s="34">
        <f t="shared" si="43"/>
        <v>6360</v>
      </c>
      <c r="AN53" s="57">
        <f t="shared" si="42"/>
        <v>46900</v>
      </c>
      <c r="AO53" s="130">
        <f t="shared" si="12"/>
        <v>1</v>
      </c>
      <c r="AP53" s="553">
        <f t="shared" si="28"/>
        <v>45</v>
      </c>
      <c r="AQ53" s="554">
        <f t="shared" si="13"/>
        <v>46082</v>
      </c>
      <c r="AR53" s="555">
        <f t="shared" si="40"/>
        <v>9.9000000000000005E-2</v>
      </c>
      <c r="AS53" s="546">
        <f t="shared" si="14"/>
        <v>6360</v>
      </c>
      <c r="AT53" s="546">
        <f t="shared" si="15"/>
        <v>6360</v>
      </c>
      <c r="AU53" s="546">
        <f t="shared" si="16"/>
        <v>724.6149486303176</v>
      </c>
      <c r="AV53" s="546">
        <f t="shared" si="17"/>
        <v>5635.3850513696825</v>
      </c>
      <c r="AW53" s="546">
        <f t="shared" si="4"/>
        <v>0</v>
      </c>
      <c r="AX53" s="546">
        <v>0</v>
      </c>
      <c r="AY53" s="546">
        <f t="shared" si="18"/>
        <v>724.6149486303176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89777.477953704612</v>
      </c>
      <c r="BH53" s="108">
        <f t="shared" si="29"/>
        <v>16</v>
      </c>
      <c r="BI53" s="108">
        <f t="shared" si="24"/>
        <v>16</v>
      </c>
      <c r="BJ53" s="22">
        <f t="shared" si="25"/>
        <v>46082</v>
      </c>
      <c r="BK53" s="108">
        <f t="shared" si="6"/>
        <v>6360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46113</v>
      </c>
      <c r="I54" s="246">
        <f t="shared" si="30"/>
        <v>9.9000000000000005E-2</v>
      </c>
      <c r="J54" s="242">
        <f t="shared" si="0"/>
        <v>6360</v>
      </c>
      <c r="K54" s="242">
        <f t="shared" si="21"/>
        <v>6360</v>
      </c>
      <c r="L54" s="242">
        <f t="shared" si="8"/>
        <v>754.86871189019018</v>
      </c>
      <c r="M54" s="242">
        <f t="shared" si="22"/>
        <v>5605.1312881098102</v>
      </c>
      <c r="N54" s="242">
        <f t="shared" si="1"/>
        <v>0</v>
      </c>
      <c r="O54" s="242">
        <v>0</v>
      </c>
      <c r="P54" s="242">
        <f t="shared" si="23"/>
        <v>754.86871189019018</v>
      </c>
      <c r="Q54" s="242">
        <f t="shared" si="2"/>
        <v>0</v>
      </c>
      <c r="R54" s="242">
        <f t="shared" si="9"/>
        <v>0</v>
      </c>
      <c r="S54" s="242">
        <f t="shared" si="10"/>
        <v>84172.3466655948</v>
      </c>
      <c r="T54" s="467"/>
      <c r="U54" s="198">
        <f t="shared" si="27"/>
        <v>15</v>
      </c>
      <c r="V54" s="36">
        <f t="shared" si="11"/>
        <v>15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6360</v>
      </c>
      <c r="Y54" s="57">
        <f t="shared" si="39"/>
        <v>48725</v>
      </c>
      <c r="Z54" s="2"/>
      <c r="AA54" s="2"/>
      <c r="AB54" s="2"/>
      <c r="AC54" s="1"/>
      <c r="AD54" s="7">
        <f>H8</f>
        <v>44710</v>
      </c>
      <c r="AE54" s="47">
        <f>(C23+AI51)*AG36/12*(1+AG36/12)^(C10)/((1+AG36/12)^(C10)-1)+C23/10000*IF(C10&lt;11,20,IF(C10&lt;20,2.5,IF(C10&lt;37,1.5,IF(C10&lt;60,0.7,0.5))))*IF(AG36&lt;0.3,AG36/0.2,AG36/0.1)</f>
        <v>6366.7872256098899</v>
      </c>
      <c r="AF54" s="2"/>
      <c r="AG54" s="47">
        <f>(D23+AI51)*AE14/12*(1+AE14/12)^(C10)/((1+AE14/12)^(C10)-1)+D23/10000*IF(C10&lt;11,20,IF(C10&lt;20,2.5,IF(C10&lt;37,1.5,IF(C10&lt;60,0.7,0.5))))*IF(AE14&lt;0.3,AE14/0.2,AE14/0.1)</f>
        <v>6366.7872256098899</v>
      </c>
      <c r="AH54" s="2"/>
      <c r="AI54" s="2"/>
      <c r="AJ54" s="2"/>
      <c r="AK54" s="2"/>
      <c r="AL54" s="2">
        <f>IF(AND(Y10&gt;=$W$11,Y10&lt;=$W$11+5),0,IF($C$9&gt;$AF$51,ROUND(AI14*#REF!/(DATEVALUE(CONCATENATE("01/01/",YEAR(Z10)+1))-DATEVALUE(CONCATENATE("01/01/",YEAR(Z10))))*(Z10-Z9),2),0))</f>
        <v>0</v>
      </c>
      <c r="AM54" s="34">
        <f t="shared" si="43"/>
        <v>6360</v>
      </c>
      <c r="AN54" s="57">
        <f t="shared" si="42"/>
        <v>47265</v>
      </c>
      <c r="AO54" s="130">
        <f t="shared" si="12"/>
        <v>1</v>
      </c>
      <c r="AP54" s="553">
        <f t="shared" si="28"/>
        <v>46</v>
      </c>
      <c r="AQ54" s="554">
        <f t="shared" si="13"/>
        <v>46113</v>
      </c>
      <c r="AR54" s="555">
        <f t="shared" si="40"/>
        <v>9.9000000000000005E-2</v>
      </c>
      <c r="AS54" s="546">
        <f t="shared" si="14"/>
        <v>6360</v>
      </c>
      <c r="AT54" s="546">
        <f t="shared" si="15"/>
        <v>6360</v>
      </c>
      <c r="AU54" s="546">
        <f t="shared" si="16"/>
        <v>754.86871189019018</v>
      </c>
      <c r="AV54" s="546">
        <f t="shared" si="17"/>
        <v>5605.1312881098102</v>
      </c>
      <c r="AW54" s="546">
        <f t="shared" si="4"/>
        <v>0</v>
      </c>
      <c r="AX54" s="546">
        <v>0</v>
      </c>
      <c r="AY54" s="546">
        <f t="shared" si="18"/>
        <v>754.86871189019018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84172.3466655948</v>
      </c>
      <c r="BH54" s="108">
        <f t="shared" si="29"/>
        <v>15</v>
      </c>
      <c r="BI54" s="108">
        <f t="shared" si="24"/>
        <v>15</v>
      </c>
      <c r="BJ54" s="22">
        <f t="shared" si="25"/>
        <v>46113</v>
      </c>
      <c r="BK54" s="108">
        <f t="shared" si="6"/>
        <v>6360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46143</v>
      </c>
      <c r="I55" s="246">
        <f t="shared" si="30"/>
        <v>9.9000000000000005E-2</v>
      </c>
      <c r="J55" s="242">
        <f t="shared" si="0"/>
        <v>6360</v>
      </c>
      <c r="K55" s="242">
        <f t="shared" si="21"/>
        <v>6360</v>
      </c>
      <c r="L55" s="242">
        <f t="shared" si="8"/>
        <v>684.90923177210004</v>
      </c>
      <c r="M55" s="242">
        <f t="shared" si="22"/>
        <v>5675.0907682279003</v>
      </c>
      <c r="N55" s="242">
        <f t="shared" si="1"/>
        <v>0</v>
      </c>
      <c r="O55" s="242">
        <v>0</v>
      </c>
      <c r="P55" s="242">
        <f t="shared" si="23"/>
        <v>684.90923177210004</v>
      </c>
      <c r="Q55" s="242">
        <f t="shared" si="2"/>
        <v>0</v>
      </c>
      <c r="R55" s="242">
        <f t="shared" si="9"/>
        <v>0</v>
      </c>
      <c r="S55" s="242">
        <f t="shared" si="10"/>
        <v>78497.255897366893</v>
      </c>
      <c r="T55" s="467"/>
      <c r="U55" s="198">
        <f t="shared" si="27"/>
        <v>14</v>
      </c>
      <c r="V55" s="36">
        <f t="shared" si="11"/>
        <v>14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6360</v>
      </c>
      <c r="Y55" s="57">
        <f t="shared" si="39"/>
        <v>49090</v>
      </c>
      <c r="AA55" s="170" t="s">
        <v>134</v>
      </c>
      <c r="AD55" s="47">
        <f>IF(DAY(C9)&lt;4,AE54,IF(DAY(C9)&gt;28,AE56,AE55))</f>
        <v>6359.3622256098897</v>
      </c>
      <c r="AE55" s="47">
        <f>(C23+AI51)*AG36/12*(1+AG36/12)^(C10)/((1+AG36/12)^(C10)-1)+C23/10000*IF(C10&lt;11,20,IF(C10&lt;34,0.7,IF(C10&lt;58,0.3,0.1)))*IF(AG36&lt;0.3,AG36/0.2,AG36/0.1)</f>
        <v>6360.8472256098894</v>
      </c>
      <c r="AF55" s="13">
        <f>IF(DAY(C9)&lt;4,AG54,IF(DAY(C9)&gt;28,AG56,AG55))</f>
        <v>6359.3622256098897</v>
      </c>
      <c r="AG55" s="156">
        <f>(D23+AI51)*AE14/12*(1+AE14/12)^(C10)/((1+AE14/12)^(C10)-1)+D23/10000*IF(C10&lt;11,20,IF(C10&lt;34,0.7,IF(C10&lt;58,0.3,0.1)))*IF(AE14&lt;0.3,AE14/0.2,AE14/0.1)</f>
        <v>6360.8472256098894</v>
      </c>
      <c r="AH55" s="2"/>
      <c r="AI55" s="2"/>
      <c r="AJ55" s="2"/>
      <c r="AK55" s="2"/>
      <c r="AL55" s="2">
        <f>IF(AND(Y11&gt;=$W$11,Y11&lt;=$W$11+5),0,IF($C$9&gt;$AF$51,ROUND(AI15*#REF!/(DATEVALUE(CONCATENATE("01/01/",YEAR(Z11)+1))-DATEVALUE(CONCATENATE("01/01/",YEAR(Z11))))*(Z11-Z10),2),0))</f>
        <v>0</v>
      </c>
      <c r="AM55" s="34">
        <f t="shared" si="43"/>
        <v>6360</v>
      </c>
      <c r="AN55" s="57">
        <f t="shared" si="42"/>
        <v>47630</v>
      </c>
      <c r="AO55" s="130">
        <f t="shared" si="12"/>
        <v>1</v>
      </c>
      <c r="AP55" s="553">
        <f t="shared" si="28"/>
        <v>47</v>
      </c>
      <c r="AQ55" s="554">
        <f t="shared" si="13"/>
        <v>46143</v>
      </c>
      <c r="AR55" s="555">
        <f t="shared" si="40"/>
        <v>9.9000000000000005E-2</v>
      </c>
      <c r="AS55" s="546">
        <f t="shared" si="14"/>
        <v>6360</v>
      </c>
      <c r="AT55" s="546">
        <f t="shared" si="15"/>
        <v>6360</v>
      </c>
      <c r="AU55" s="546">
        <f t="shared" si="16"/>
        <v>684.90923177210004</v>
      </c>
      <c r="AV55" s="546">
        <f t="shared" si="17"/>
        <v>5675.0907682279003</v>
      </c>
      <c r="AW55" s="546">
        <f t="shared" si="4"/>
        <v>0</v>
      </c>
      <c r="AX55" s="546">
        <v>0</v>
      </c>
      <c r="AY55" s="546">
        <f t="shared" si="18"/>
        <v>684.90923177210004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78497.255897366893</v>
      </c>
      <c r="BH55" s="108">
        <f t="shared" si="29"/>
        <v>14</v>
      </c>
      <c r="BI55" s="108">
        <f t="shared" si="24"/>
        <v>14</v>
      </c>
      <c r="BJ55" s="22">
        <f t="shared" si="25"/>
        <v>46143</v>
      </c>
      <c r="BK55" s="108">
        <f t="shared" si="6"/>
        <v>6360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46174</v>
      </c>
      <c r="I56" s="250">
        <f t="shared" si="30"/>
        <v>9.9000000000000005E-2</v>
      </c>
      <c r="J56" s="252">
        <f t="shared" si="0"/>
        <v>6360</v>
      </c>
      <c r="K56" s="252">
        <f t="shared" si="21"/>
        <v>6360</v>
      </c>
      <c r="L56" s="252">
        <f t="shared" si="8"/>
        <v>660.02213246306565</v>
      </c>
      <c r="M56" s="252">
        <f t="shared" si="22"/>
        <v>5699.9778675369344</v>
      </c>
      <c r="N56" s="252">
        <f t="shared" si="1"/>
        <v>0</v>
      </c>
      <c r="O56" s="252">
        <v>0</v>
      </c>
      <c r="P56" s="252">
        <f t="shared" si="23"/>
        <v>660.02213246306565</v>
      </c>
      <c r="Q56" s="252">
        <f t="shared" si="2"/>
        <v>0</v>
      </c>
      <c r="R56" s="252">
        <f t="shared" si="9"/>
        <v>0</v>
      </c>
      <c r="S56" s="252">
        <f t="shared" si="10"/>
        <v>72797.278029829962</v>
      </c>
      <c r="T56" s="468"/>
      <c r="U56" s="198">
        <f t="shared" si="27"/>
        <v>13</v>
      </c>
      <c r="V56" s="36">
        <f t="shared" si="11"/>
        <v>13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6360</v>
      </c>
      <c r="Y56" s="57">
        <f t="shared" si="39"/>
        <v>49455</v>
      </c>
      <c r="AA56" s="171">
        <v>20000</v>
      </c>
      <c r="AB56" s="133" t="s">
        <v>135</v>
      </c>
      <c r="AC56" s="118">
        <f>ROUNDUP(AD56/AG47,0)*AG47</f>
        <v>4560</v>
      </c>
      <c r="AD56" s="13">
        <f>(C23+AI51)*AC57/12*(1+AC57/12)^(C10+AD57)/((1+AC57/12)^(C10+AD57)-1)+10*C23/100000*IF(C10+AD57&lt;24,4,IF(C10+AD57&lt;36,3,IF(C10+AD57&lt;48,2,IF(C10+AD57&lt;60,1.5,1))))*AC57/0.2</f>
        <v>4551.2406460124921</v>
      </c>
      <c r="AE56" s="47">
        <f>(C23+AI51)*AG36/12*(1+AG36/12)^(C10)/((1+AG36/12)^(C10)-1)+C23/10000*IF(C10&lt;11,20,IF(C10&lt;34,0.7,IF(C10&lt;48,0.3,0)))*IF(AG36&lt;0.3,AG36/0.2,AG36/0.1)</f>
        <v>6359.3622256098897</v>
      </c>
      <c r="AF56" s="13">
        <f>(D23+AI51)*AF57/12*(1+AF57/12)^(C10+AD57)/((1+AF57/12)^(C10+AD57)-1)+10*D23/100000*IF(C10+AD57&lt;24,4,IF(C10+AD57&lt;36,3,IF(C10+AD57&lt;48,2,IF(C10+AD57&lt;60,1.5,1))))*AF57/0.2</f>
        <v>4551.2406460124921</v>
      </c>
      <c r="AG56" s="157">
        <f>(D23+AI51)*AE14/12*(1+AE14/12)^(C10)/((1+AE14/12)^(C10)-1)+D23/10000*IF(C10&lt;11,20,IF(C10&lt;34,0.7,IF(C10&lt;48,0.3,0)))*IF(AE14&lt;0.3,AE14/0.2,AE14/0.1)</f>
        <v>6359.3622256098897</v>
      </c>
      <c r="AH56" s="2"/>
      <c r="AI56" s="2"/>
      <c r="AJ56" s="2"/>
      <c r="AK56" s="2"/>
      <c r="AL56" s="2">
        <f>IF(AND(Y12&gt;=$W$11,Y12&lt;=$W$11+5),0,IF($C$9&gt;$AF$51,ROUND(AI16*#REF!/(DATEVALUE(CONCATENATE("01/01/",YEAR(Z12)+1))-DATEVALUE(CONCATENATE("01/01/",YEAR(Z12))))*(Z12-Z11),2),0))</f>
        <v>0</v>
      </c>
      <c r="AM56" s="34">
        <f t="shared" si="43"/>
        <v>6360</v>
      </c>
      <c r="AN56" s="57">
        <f t="shared" si="42"/>
        <v>47995</v>
      </c>
      <c r="AO56" s="130">
        <f t="shared" si="12"/>
        <v>1</v>
      </c>
      <c r="AP56" s="556">
        <f t="shared" si="28"/>
        <v>48</v>
      </c>
      <c r="AQ56" s="582">
        <f t="shared" si="13"/>
        <v>46174</v>
      </c>
      <c r="AR56" s="557">
        <f t="shared" si="40"/>
        <v>9.9000000000000005E-2</v>
      </c>
      <c r="AS56" s="547">
        <f t="shared" si="14"/>
        <v>6360</v>
      </c>
      <c r="AT56" s="547">
        <f t="shared" si="15"/>
        <v>6360</v>
      </c>
      <c r="AU56" s="547">
        <f t="shared" si="16"/>
        <v>660.02213246306565</v>
      </c>
      <c r="AV56" s="547">
        <f t="shared" si="17"/>
        <v>5699.9778675369344</v>
      </c>
      <c r="AW56" s="547">
        <f t="shared" si="4"/>
        <v>0</v>
      </c>
      <c r="AX56" s="547">
        <v>0</v>
      </c>
      <c r="AY56" s="547">
        <f t="shared" si="18"/>
        <v>660.02213246306565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72797.278029829962</v>
      </c>
      <c r="BH56" s="108">
        <f t="shared" si="29"/>
        <v>13</v>
      </c>
      <c r="BI56" s="108">
        <f t="shared" si="24"/>
        <v>13</v>
      </c>
      <c r="BJ56" s="22">
        <f t="shared" si="25"/>
        <v>46174</v>
      </c>
      <c r="BK56" s="108">
        <f t="shared" si="6"/>
        <v>6360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46204</v>
      </c>
      <c r="I57" s="246">
        <f t="shared" si="30"/>
        <v>9.9000000000000005E-2</v>
      </c>
      <c r="J57" s="242">
        <f t="shared" si="0"/>
        <v>6360</v>
      </c>
      <c r="K57" s="242">
        <f t="shared" si="21"/>
        <v>6360</v>
      </c>
      <c r="L57" s="242">
        <f t="shared" si="8"/>
        <v>592.35045410573957</v>
      </c>
      <c r="M57" s="242">
        <f t="shared" si="22"/>
        <v>5767.6495458942609</v>
      </c>
      <c r="N57" s="242">
        <f t="shared" si="1"/>
        <v>0</v>
      </c>
      <c r="O57" s="242">
        <v>0</v>
      </c>
      <c r="P57" s="242">
        <f t="shared" si="23"/>
        <v>592.35045410573957</v>
      </c>
      <c r="Q57" s="242">
        <f t="shared" si="2"/>
        <v>0</v>
      </c>
      <c r="R57" s="242">
        <f t="shared" si="9"/>
        <v>0</v>
      </c>
      <c r="S57" s="242">
        <f t="shared" si="10"/>
        <v>67029.628483935696</v>
      </c>
      <c r="T57" s="467"/>
      <c r="U57" s="198">
        <f t="shared" si="27"/>
        <v>12</v>
      </c>
      <c r="V57" s="36">
        <f t="shared" si="11"/>
        <v>12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6360</v>
      </c>
      <c r="Y57" s="57">
        <f t="shared" si="39"/>
        <v>49820</v>
      </c>
      <c r="AA57" s="171">
        <v>200000</v>
      </c>
      <c r="AB57" s="171">
        <v>200000</v>
      </c>
      <c r="AC57" s="15">
        <f>IF(C9&gt;AH48,C11,C11+0.05)</f>
        <v>9.9000000000000005E-2</v>
      </c>
      <c r="AD57" s="2">
        <f xml:space="preserve"> IF(C9&gt;AH48,36,24)</f>
        <v>36</v>
      </c>
      <c r="AE57" s="44">
        <f>(C23+AI51)*AG36/12*(1+AG36/12)^(C10)/((1+AG36/12)^(C10)-1)</f>
        <v>6359.3622256098897</v>
      </c>
      <c r="AF57" s="15">
        <f>IF(C9&gt;AH48,D13,D13+0.05)</f>
        <v>9.9000000000000005E-2</v>
      </c>
      <c r="AG57" s="118">
        <f>(D23+AI51)*AE14/12*(1+AE14/12)^(C10)/((1+AE14/12)^(C10)-1)</f>
        <v>6359.3622256098897</v>
      </c>
      <c r="AH57" s="2"/>
      <c r="AI57" s="2"/>
      <c r="AJ57" s="2"/>
      <c r="AK57" s="2"/>
      <c r="AL57" s="2">
        <f>IF(AND(Y13&gt;=$W$11,Y13&lt;=$W$11+5),0,IF($C$9&gt;$AF$51,ROUND(AI17*#REF!/(DATEVALUE(CONCATENATE("01/01/",YEAR(Z13)+1))-DATEVALUE(CONCATENATE("01/01/",YEAR(Z13))))*(Z13-Z12),2),0))</f>
        <v>0</v>
      </c>
      <c r="AM57" s="34">
        <f t="shared" si="43"/>
        <v>6360</v>
      </c>
      <c r="AN57" s="57">
        <f t="shared" si="42"/>
        <v>48360</v>
      </c>
      <c r="AO57" s="130">
        <f t="shared" si="12"/>
        <v>1</v>
      </c>
      <c r="AP57" s="553">
        <f t="shared" si="28"/>
        <v>49</v>
      </c>
      <c r="AQ57" s="554">
        <f t="shared" si="13"/>
        <v>46204</v>
      </c>
      <c r="AR57" s="555">
        <f t="shared" ref="AR57:AR108" si="44">IF($D$16="Да",$AM$40,$D$13)</f>
        <v>9.9000000000000005E-2</v>
      </c>
      <c r="AS57" s="546">
        <f t="shared" si="14"/>
        <v>6360</v>
      </c>
      <c r="AT57" s="546">
        <f t="shared" si="15"/>
        <v>6360</v>
      </c>
      <c r="AU57" s="546">
        <f t="shared" si="16"/>
        <v>592.35045410573957</v>
      </c>
      <c r="AV57" s="546">
        <f t="shared" si="17"/>
        <v>5767.6495458942609</v>
      </c>
      <c r="AW57" s="546">
        <f t="shared" si="4"/>
        <v>0</v>
      </c>
      <c r="AX57" s="546">
        <v>0</v>
      </c>
      <c r="AY57" s="546">
        <f t="shared" si="18"/>
        <v>592.35045410573957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67029.628483935696</v>
      </c>
      <c r="BH57" s="108">
        <f t="shared" si="29"/>
        <v>12</v>
      </c>
      <c r="BI57" s="108">
        <f t="shared" si="24"/>
        <v>12</v>
      </c>
      <c r="BJ57" s="22">
        <f t="shared" si="25"/>
        <v>46204</v>
      </c>
      <c r="BK57" s="108">
        <f t="shared" si="6"/>
        <v>6360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46235</v>
      </c>
      <c r="I58" s="246">
        <f t="shared" si="30"/>
        <v>9.9000000000000005E-2</v>
      </c>
      <c r="J58" s="242">
        <f t="shared" si="0"/>
        <v>6360</v>
      </c>
      <c r="K58" s="242">
        <f t="shared" si="21"/>
        <v>6360</v>
      </c>
      <c r="L58" s="242">
        <f t="shared" si="8"/>
        <v>563.59980771835239</v>
      </c>
      <c r="M58" s="242">
        <f t="shared" si="22"/>
        <v>5796.4001922816478</v>
      </c>
      <c r="N58" s="242">
        <f t="shared" si="1"/>
        <v>0</v>
      </c>
      <c r="O58" s="242">
        <v>0</v>
      </c>
      <c r="P58" s="242">
        <f t="shared" si="23"/>
        <v>563.59980771835239</v>
      </c>
      <c r="Q58" s="242">
        <f t="shared" si="2"/>
        <v>0</v>
      </c>
      <c r="R58" s="242">
        <f t="shared" si="9"/>
        <v>0</v>
      </c>
      <c r="S58" s="242">
        <f t="shared" si="10"/>
        <v>61233.22829165405</v>
      </c>
      <c r="T58" s="467"/>
      <c r="U58" s="198">
        <f t="shared" si="27"/>
        <v>11</v>
      </c>
      <c r="V58" s="36">
        <f t="shared" si="11"/>
        <v>11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6360</v>
      </c>
      <c r="Y58" s="57">
        <f t="shared" si="39"/>
        <v>50185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>
        <f>IF(AND(Y14&gt;=$W$11,Y14&lt;=$W$11+5),0,IF($C$9&gt;$AF$51,ROUND(AI18*#REF!/(DATEVALUE(CONCATENATE("01/01/",YEAR(Z14)+1))-DATEVALUE(CONCATENATE("01/01/",YEAR(Z14))))*(Z14-Z13),2),0))</f>
        <v>0</v>
      </c>
      <c r="AM58" s="34">
        <f t="shared" si="43"/>
        <v>6360</v>
      </c>
      <c r="AN58" s="57">
        <f t="shared" si="42"/>
        <v>48725</v>
      </c>
      <c r="AO58" s="130">
        <f t="shared" si="12"/>
        <v>1</v>
      </c>
      <c r="AP58" s="553">
        <f t="shared" si="28"/>
        <v>50</v>
      </c>
      <c r="AQ58" s="554">
        <f t="shared" si="13"/>
        <v>46235</v>
      </c>
      <c r="AR58" s="555">
        <f t="shared" si="44"/>
        <v>9.9000000000000005E-2</v>
      </c>
      <c r="AS58" s="546">
        <f t="shared" si="14"/>
        <v>6360</v>
      </c>
      <c r="AT58" s="546">
        <f t="shared" si="15"/>
        <v>6360</v>
      </c>
      <c r="AU58" s="546">
        <f t="shared" si="16"/>
        <v>563.59980771835239</v>
      </c>
      <c r="AV58" s="546">
        <f t="shared" si="17"/>
        <v>5796.4001922816478</v>
      </c>
      <c r="AW58" s="546">
        <f t="shared" si="4"/>
        <v>0</v>
      </c>
      <c r="AX58" s="546">
        <v>0</v>
      </c>
      <c r="AY58" s="546">
        <f t="shared" si="18"/>
        <v>563.59980771835239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61233.22829165405</v>
      </c>
      <c r="BH58" s="108">
        <f t="shared" si="29"/>
        <v>11</v>
      </c>
      <c r="BI58" s="108">
        <f t="shared" si="24"/>
        <v>11</v>
      </c>
      <c r="BJ58" s="22">
        <f t="shared" si="25"/>
        <v>46235</v>
      </c>
      <c r="BK58" s="108">
        <f t="shared" si="6"/>
        <v>6360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46266</v>
      </c>
      <c r="I59" s="246">
        <f t="shared" si="30"/>
        <v>9.9000000000000005E-2</v>
      </c>
      <c r="J59" s="242">
        <f t="shared" si="0"/>
        <v>6360</v>
      </c>
      <c r="K59" s="242">
        <f t="shared" si="21"/>
        <v>6360</v>
      </c>
      <c r="L59" s="242">
        <f t="shared" si="8"/>
        <v>514.86240445777059</v>
      </c>
      <c r="M59" s="242">
        <f t="shared" si="22"/>
        <v>5845.1375955422291</v>
      </c>
      <c r="N59" s="242">
        <f t="shared" si="1"/>
        <v>0</v>
      </c>
      <c r="O59" s="242">
        <v>0</v>
      </c>
      <c r="P59" s="242">
        <f t="shared" si="23"/>
        <v>514.86240445777059</v>
      </c>
      <c r="Q59" s="242">
        <f t="shared" si="2"/>
        <v>0</v>
      </c>
      <c r="R59" s="242">
        <f t="shared" si="9"/>
        <v>0</v>
      </c>
      <c r="S59" s="242">
        <f t="shared" si="10"/>
        <v>55388.090696111823</v>
      </c>
      <c r="T59" s="467"/>
      <c r="U59" s="198">
        <f t="shared" si="27"/>
        <v>10</v>
      </c>
      <c r="V59" s="36">
        <f t="shared" si="11"/>
        <v>10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6360</v>
      </c>
      <c r="Y59" s="57">
        <f t="shared" si="39"/>
        <v>50550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>
        <f>IF(AND(Y15&gt;=$W$11,Y15&lt;=$W$11+5),0,IF($C$9&gt;$AF$51,ROUND(AI19*#REF!/(DATEVALUE(CONCATENATE("01/01/",YEAR(Z15)+1))-DATEVALUE(CONCATENATE("01/01/",YEAR(Z15))))*(Z15-Z14),2),0))</f>
        <v>0</v>
      </c>
      <c r="AM59" s="34">
        <f t="shared" si="43"/>
        <v>6360</v>
      </c>
      <c r="AN59" s="57">
        <f t="shared" si="42"/>
        <v>49090</v>
      </c>
      <c r="AO59" s="130">
        <f t="shared" si="12"/>
        <v>1</v>
      </c>
      <c r="AP59" s="553">
        <f t="shared" si="28"/>
        <v>51</v>
      </c>
      <c r="AQ59" s="554">
        <f t="shared" si="13"/>
        <v>46266</v>
      </c>
      <c r="AR59" s="555">
        <f t="shared" si="44"/>
        <v>9.9000000000000005E-2</v>
      </c>
      <c r="AS59" s="546">
        <f t="shared" si="14"/>
        <v>6360</v>
      </c>
      <c r="AT59" s="546">
        <f t="shared" si="15"/>
        <v>6360</v>
      </c>
      <c r="AU59" s="546">
        <f t="shared" si="16"/>
        <v>514.86240445777059</v>
      </c>
      <c r="AV59" s="546">
        <f t="shared" si="17"/>
        <v>5845.1375955422291</v>
      </c>
      <c r="AW59" s="546">
        <f t="shared" si="4"/>
        <v>0</v>
      </c>
      <c r="AX59" s="546">
        <v>0</v>
      </c>
      <c r="AY59" s="546">
        <f t="shared" si="18"/>
        <v>514.86240445777059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55388.090696111823</v>
      </c>
      <c r="BH59" s="108">
        <f t="shared" si="29"/>
        <v>10</v>
      </c>
      <c r="BI59" s="108">
        <f t="shared" si="24"/>
        <v>10</v>
      </c>
      <c r="BJ59" s="22">
        <f t="shared" si="25"/>
        <v>46266</v>
      </c>
      <c r="BK59" s="108">
        <f t="shared" si="6"/>
        <v>6360</v>
      </c>
      <c r="BL59" s="2" t="e">
        <f>IF(AND(G14&gt;=$W$11,G14&lt;=$W$11+5),0,IF($C$9&gt;$AF$51,ROUND(BG13*IF(#REF!="",0,#REF!)/(DATEVALUE(CONCATENATE("01/01/",YEAR(AQ14)+1))-DATEVALUE(CONCATENATE("01/01/",YEAR(AQ14))))*(AQ14-AQ13),2),0))</f>
        <v>#REF!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46296</v>
      </c>
      <c r="I60" s="246">
        <f t="shared" si="30"/>
        <v>9.9000000000000005E-2</v>
      </c>
      <c r="J60" s="242">
        <f t="shared" si="0"/>
        <v>6360</v>
      </c>
      <c r="K60" s="242">
        <f t="shared" si="21"/>
        <v>6360</v>
      </c>
      <c r="L60" s="242">
        <f t="shared" si="8"/>
        <v>450.69213525329343</v>
      </c>
      <c r="M60" s="242">
        <f t="shared" si="22"/>
        <v>5909.3078647467064</v>
      </c>
      <c r="N60" s="242">
        <f t="shared" si="1"/>
        <v>0</v>
      </c>
      <c r="O60" s="242">
        <v>0</v>
      </c>
      <c r="P60" s="242">
        <f t="shared" si="23"/>
        <v>450.69213525329343</v>
      </c>
      <c r="Q60" s="242">
        <f t="shared" si="2"/>
        <v>0</v>
      </c>
      <c r="R60" s="242">
        <f t="shared" si="9"/>
        <v>0</v>
      </c>
      <c r="S60" s="242">
        <f t="shared" si="10"/>
        <v>49478.782831365119</v>
      </c>
      <c r="T60" s="467"/>
      <c r="U60" s="198">
        <f t="shared" si="27"/>
        <v>9</v>
      </c>
      <c r="V60" s="36">
        <f t="shared" si="11"/>
        <v>9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6360</v>
      </c>
      <c r="Y60" s="57">
        <f t="shared" si="39"/>
        <v>50915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>
        <f>IF(AND(Y16&gt;=$W$11,Y16&lt;=$W$11+5),0,IF($C$9&gt;$AF$51,ROUND(AI20*#REF!/(DATEVALUE(CONCATENATE("01/01/",YEAR(Z16)+1))-DATEVALUE(CONCATENATE("01/01/",YEAR(Z16))))*(Z16-Z15),2),0))</f>
        <v>0</v>
      </c>
      <c r="AM60" s="34">
        <f t="shared" si="43"/>
        <v>6360</v>
      </c>
      <c r="AN60" s="57">
        <f t="shared" si="42"/>
        <v>49455</v>
      </c>
      <c r="AO60" s="130">
        <f t="shared" si="12"/>
        <v>1</v>
      </c>
      <c r="AP60" s="553">
        <f t="shared" si="28"/>
        <v>52</v>
      </c>
      <c r="AQ60" s="554">
        <f t="shared" si="13"/>
        <v>46296</v>
      </c>
      <c r="AR60" s="555">
        <f t="shared" si="44"/>
        <v>9.9000000000000005E-2</v>
      </c>
      <c r="AS60" s="546">
        <f t="shared" si="14"/>
        <v>6360</v>
      </c>
      <c r="AT60" s="546">
        <f t="shared" si="15"/>
        <v>6360</v>
      </c>
      <c r="AU60" s="546">
        <f t="shared" si="16"/>
        <v>450.69213525329343</v>
      </c>
      <c r="AV60" s="546">
        <f t="shared" si="17"/>
        <v>5909.3078647467064</v>
      </c>
      <c r="AW60" s="546">
        <f t="shared" si="4"/>
        <v>0</v>
      </c>
      <c r="AX60" s="546">
        <v>0</v>
      </c>
      <c r="AY60" s="546">
        <f t="shared" si="18"/>
        <v>450.69213525329343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49478.782831365119</v>
      </c>
      <c r="BH60" s="108">
        <f t="shared" si="29"/>
        <v>9</v>
      </c>
      <c r="BI60" s="108">
        <f t="shared" si="24"/>
        <v>9</v>
      </c>
      <c r="BJ60" s="22">
        <f t="shared" si="25"/>
        <v>46296</v>
      </c>
      <c r="BK60" s="108">
        <f t="shared" si="6"/>
        <v>6360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46327</v>
      </c>
      <c r="I61" s="246">
        <f t="shared" si="30"/>
        <v>9.9000000000000005E-2</v>
      </c>
      <c r="J61" s="242">
        <f t="shared" si="0"/>
        <v>6360</v>
      </c>
      <c r="K61" s="242">
        <f t="shared" si="21"/>
        <v>6360</v>
      </c>
      <c r="L61" s="242">
        <f t="shared" si="8"/>
        <v>416.02845071084806</v>
      </c>
      <c r="M61" s="242">
        <f t="shared" si="22"/>
        <v>5943.9715492891519</v>
      </c>
      <c r="N61" s="242">
        <f t="shared" si="1"/>
        <v>0</v>
      </c>
      <c r="O61" s="242">
        <v>0</v>
      </c>
      <c r="P61" s="242">
        <f t="shared" si="23"/>
        <v>416.02845071084806</v>
      </c>
      <c r="Q61" s="242">
        <f t="shared" si="2"/>
        <v>0</v>
      </c>
      <c r="R61" s="242">
        <f t="shared" si="9"/>
        <v>0</v>
      </c>
      <c r="S61" s="242">
        <f t="shared" si="10"/>
        <v>43534.811282075971</v>
      </c>
      <c r="T61" s="467"/>
      <c r="U61" s="198">
        <f t="shared" si="27"/>
        <v>8</v>
      </c>
      <c r="V61" s="36">
        <f t="shared" si="11"/>
        <v>8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6360</v>
      </c>
      <c r="Y61" s="57">
        <f t="shared" si="39"/>
        <v>51280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>
        <f>IF(AND(Y17&gt;=$W$11,Y17&lt;=$W$11+5),0,IF($C$9&gt;$AF$51,ROUND(AI21*#REF!/(DATEVALUE(CONCATENATE("01/01/",YEAR(Z17)+1))-DATEVALUE(CONCATENATE("01/01/",YEAR(Z17))))*(Z17-Z16),2),0))</f>
        <v>0</v>
      </c>
      <c r="AM61" s="34">
        <f t="shared" si="43"/>
        <v>6360</v>
      </c>
      <c r="AN61" s="57">
        <f t="shared" si="42"/>
        <v>49820</v>
      </c>
      <c r="AO61" s="130">
        <f t="shared" si="12"/>
        <v>1</v>
      </c>
      <c r="AP61" s="553">
        <f t="shared" si="28"/>
        <v>53</v>
      </c>
      <c r="AQ61" s="554">
        <f t="shared" si="13"/>
        <v>46327</v>
      </c>
      <c r="AR61" s="555">
        <f t="shared" si="44"/>
        <v>9.9000000000000005E-2</v>
      </c>
      <c r="AS61" s="546">
        <f t="shared" si="14"/>
        <v>6360</v>
      </c>
      <c r="AT61" s="546">
        <f t="shared" si="15"/>
        <v>6360</v>
      </c>
      <c r="AU61" s="546">
        <f t="shared" si="16"/>
        <v>416.02845071084806</v>
      </c>
      <c r="AV61" s="546">
        <f t="shared" si="17"/>
        <v>5943.9715492891519</v>
      </c>
      <c r="AW61" s="546">
        <f t="shared" si="4"/>
        <v>0</v>
      </c>
      <c r="AX61" s="546">
        <v>0</v>
      </c>
      <c r="AY61" s="546">
        <f t="shared" si="18"/>
        <v>416.02845071084806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43534.811282075971</v>
      </c>
      <c r="BH61" s="108">
        <f t="shared" si="29"/>
        <v>8</v>
      </c>
      <c r="BI61" s="108">
        <f t="shared" si="24"/>
        <v>8</v>
      </c>
      <c r="BJ61" s="22">
        <f t="shared" si="25"/>
        <v>46327</v>
      </c>
      <c r="BK61" s="108">
        <f t="shared" si="6"/>
        <v>6360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46357</v>
      </c>
      <c r="I62" s="246">
        <f t="shared" si="30"/>
        <v>9.9000000000000005E-2</v>
      </c>
      <c r="J62" s="242">
        <f t="shared" si="0"/>
        <v>6360</v>
      </c>
      <c r="K62" s="242">
        <f t="shared" si="21"/>
        <v>6360</v>
      </c>
      <c r="L62" s="242">
        <f t="shared" si="8"/>
        <v>354.24216303497428</v>
      </c>
      <c r="M62" s="242">
        <f t="shared" si="22"/>
        <v>6005.7578369650255</v>
      </c>
      <c r="N62" s="242">
        <f t="shared" si="1"/>
        <v>0</v>
      </c>
      <c r="O62" s="242">
        <v>0</v>
      </c>
      <c r="P62" s="242">
        <f t="shared" si="23"/>
        <v>354.24216303497428</v>
      </c>
      <c r="Q62" s="242">
        <f t="shared" si="2"/>
        <v>0</v>
      </c>
      <c r="R62" s="242">
        <f t="shared" si="9"/>
        <v>0</v>
      </c>
      <c r="S62" s="242">
        <f t="shared" si="10"/>
        <v>37529.053445110942</v>
      </c>
      <c r="T62" s="467"/>
      <c r="U62" s="198">
        <f t="shared" si="27"/>
        <v>7</v>
      </c>
      <c r="V62" s="36">
        <f t="shared" si="11"/>
        <v>7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6360</v>
      </c>
      <c r="Y62" s="57">
        <f t="shared" si="39"/>
        <v>51645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>
        <f>IF(AND(Y18&gt;=$W$11,Y18&lt;=$W$11+5),0,IF($C$9&gt;$AF$51,ROUND(AI22*#REF!/(DATEVALUE(CONCATENATE("01/01/",YEAR(Z18)+1))-DATEVALUE(CONCATENATE("01/01/",YEAR(Z18))))*(Z18-Z17),2),0))</f>
        <v>0</v>
      </c>
      <c r="AM62" s="34">
        <f t="shared" si="43"/>
        <v>6360</v>
      </c>
      <c r="AN62" s="57">
        <f t="shared" si="42"/>
        <v>50185</v>
      </c>
      <c r="AO62" s="130">
        <f t="shared" si="12"/>
        <v>1</v>
      </c>
      <c r="AP62" s="553">
        <f t="shared" si="28"/>
        <v>54</v>
      </c>
      <c r="AQ62" s="554">
        <f t="shared" si="13"/>
        <v>46357</v>
      </c>
      <c r="AR62" s="555">
        <f t="shared" si="44"/>
        <v>9.9000000000000005E-2</v>
      </c>
      <c r="AS62" s="546">
        <f t="shared" si="14"/>
        <v>6360</v>
      </c>
      <c r="AT62" s="546">
        <f t="shared" si="15"/>
        <v>6360</v>
      </c>
      <c r="AU62" s="546">
        <f t="shared" si="16"/>
        <v>354.24216303497428</v>
      </c>
      <c r="AV62" s="546">
        <f t="shared" si="17"/>
        <v>6005.7578369650255</v>
      </c>
      <c r="AW62" s="546">
        <f t="shared" si="4"/>
        <v>0</v>
      </c>
      <c r="AX62" s="546">
        <v>0</v>
      </c>
      <c r="AY62" s="546">
        <f t="shared" si="18"/>
        <v>354.24216303497428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37529.053445110942</v>
      </c>
      <c r="BH62" s="108">
        <f t="shared" si="29"/>
        <v>7</v>
      </c>
      <c r="BI62" s="108">
        <f t="shared" si="24"/>
        <v>7</v>
      </c>
      <c r="BJ62" s="22">
        <f t="shared" si="25"/>
        <v>46357</v>
      </c>
      <c r="BK62" s="108">
        <f t="shared" si="6"/>
        <v>6360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46388</v>
      </c>
      <c r="I63" s="246">
        <f t="shared" si="30"/>
        <v>9.9000000000000005E-2</v>
      </c>
      <c r="J63" s="242">
        <f t="shared" si="0"/>
        <v>6360</v>
      </c>
      <c r="K63" s="242">
        <f t="shared" si="21"/>
        <v>6360</v>
      </c>
      <c r="L63" s="242">
        <f t="shared" si="8"/>
        <v>315.55250691245334</v>
      </c>
      <c r="M63" s="242">
        <f t="shared" si="22"/>
        <v>6044.4474930875467</v>
      </c>
      <c r="N63" s="242">
        <f t="shared" si="1"/>
        <v>0</v>
      </c>
      <c r="O63" s="242">
        <v>0</v>
      </c>
      <c r="P63" s="242">
        <f t="shared" si="23"/>
        <v>315.55250691245334</v>
      </c>
      <c r="Q63" s="242">
        <f t="shared" si="2"/>
        <v>0</v>
      </c>
      <c r="R63" s="242">
        <f t="shared" si="9"/>
        <v>0</v>
      </c>
      <c r="S63" s="242">
        <f t="shared" si="10"/>
        <v>31484.605952023394</v>
      </c>
      <c r="T63" s="467"/>
      <c r="U63" s="198">
        <f t="shared" si="27"/>
        <v>6</v>
      </c>
      <c r="V63" s="36">
        <f t="shared" si="11"/>
        <v>6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6360</v>
      </c>
      <c r="Y63" s="57">
        <f t="shared" si="39"/>
        <v>52010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>
        <f>IF(AND(Y19&gt;=$W$11,Y19&lt;=$W$11+5),0,IF($C$9&gt;$AF$51,ROUND(AI23*#REF!/(DATEVALUE(CONCATENATE("01/01/",YEAR(Z19)+1))-DATEVALUE(CONCATENATE("01/01/",YEAR(Z19))))*(Z19-Z18),2),0))</f>
        <v>0</v>
      </c>
      <c r="AM63" s="34">
        <f t="shared" si="43"/>
        <v>6360</v>
      </c>
      <c r="AN63" s="57">
        <f t="shared" si="42"/>
        <v>50550</v>
      </c>
      <c r="AO63" s="130">
        <f t="shared" si="12"/>
        <v>1</v>
      </c>
      <c r="AP63" s="553">
        <f t="shared" si="28"/>
        <v>55</v>
      </c>
      <c r="AQ63" s="554">
        <f t="shared" si="13"/>
        <v>46388</v>
      </c>
      <c r="AR63" s="555">
        <f t="shared" si="44"/>
        <v>9.9000000000000005E-2</v>
      </c>
      <c r="AS63" s="546">
        <f t="shared" si="14"/>
        <v>6360</v>
      </c>
      <c r="AT63" s="546">
        <f t="shared" si="15"/>
        <v>6360</v>
      </c>
      <c r="AU63" s="546">
        <f t="shared" si="16"/>
        <v>315.55250691245334</v>
      </c>
      <c r="AV63" s="546">
        <f t="shared" si="17"/>
        <v>6044.4474930875467</v>
      </c>
      <c r="AW63" s="546">
        <f t="shared" si="4"/>
        <v>0</v>
      </c>
      <c r="AX63" s="546">
        <v>0</v>
      </c>
      <c r="AY63" s="546">
        <f t="shared" si="18"/>
        <v>315.55250691245334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31484.605952023394</v>
      </c>
      <c r="BH63" s="108">
        <f t="shared" si="29"/>
        <v>6</v>
      </c>
      <c r="BI63" s="108">
        <f t="shared" si="24"/>
        <v>6</v>
      </c>
      <c r="BJ63" s="22">
        <f t="shared" si="25"/>
        <v>46388</v>
      </c>
      <c r="BK63" s="108">
        <f t="shared" si="6"/>
        <v>6360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46419</v>
      </c>
      <c r="I64" s="246">
        <f t="shared" si="30"/>
        <v>9.9000000000000005E-2</v>
      </c>
      <c r="J64" s="242">
        <f t="shared" si="0"/>
        <v>6360</v>
      </c>
      <c r="K64" s="242">
        <f t="shared" si="21"/>
        <v>6360</v>
      </c>
      <c r="L64" s="242">
        <f t="shared" si="8"/>
        <v>264.72946758016383</v>
      </c>
      <c r="M64" s="242">
        <f t="shared" si="22"/>
        <v>6095.2705324198359</v>
      </c>
      <c r="N64" s="242">
        <f t="shared" si="1"/>
        <v>0</v>
      </c>
      <c r="O64" s="242">
        <v>0</v>
      </c>
      <c r="P64" s="242">
        <f t="shared" si="23"/>
        <v>264.72946758016383</v>
      </c>
      <c r="Q64" s="242">
        <f t="shared" si="2"/>
        <v>0</v>
      </c>
      <c r="R64" s="242">
        <f t="shared" si="9"/>
        <v>0</v>
      </c>
      <c r="S64" s="242">
        <f t="shared" si="10"/>
        <v>25389.335419603558</v>
      </c>
      <c r="T64" s="467"/>
      <c r="U64" s="198">
        <f t="shared" si="27"/>
        <v>5</v>
      </c>
      <c r="V64" s="36">
        <f t="shared" si="11"/>
        <v>5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6360</v>
      </c>
      <c r="Y64" s="57">
        <f t="shared" si="39"/>
        <v>52375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>
        <f>IF(AND(Y20&gt;=$W$11,Y20&lt;=$W$11+5),0,IF($C$9&gt;$AF$51,ROUND(AI24*#REF!/(DATEVALUE(CONCATENATE("01/01/",YEAR(Z20)+1))-DATEVALUE(CONCATENATE("01/01/",YEAR(Z20))))*(Z20-Z19),2),0))</f>
        <v>0</v>
      </c>
      <c r="AM64" s="34">
        <f t="shared" si="43"/>
        <v>6360</v>
      </c>
      <c r="AN64" s="57">
        <f t="shared" si="42"/>
        <v>50915</v>
      </c>
      <c r="AO64" s="130">
        <f t="shared" si="12"/>
        <v>1</v>
      </c>
      <c r="AP64" s="553">
        <f t="shared" si="28"/>
        <v>56</v>
      </c>
      <c r="AQ64" s="554">
        <f t="shared" si="13"/>
        <v>46419</v>
      </c>
      <c r="AR64" s="555">
        <f t="shared" si="44"/>
        <v>9.9000000000000005E-2</v>
      </c>
      <c r="AS64" s="546">
        <f t="shared" si="14"/>
        <v>6360</v>
      </c>
      <c r="AT64" s="546">
        <f t="shared" si="15"/>
        <v>6360</v>
      </c>
      <c r="AU64" s="546">
        <f t="shared" si="16"/>
        <v>264.72946758016383</v>
      </c>
      <c r="AV64" s="546">
        <f t="shared" si="17"/>
        <v>6095.2705324198359</v>
      </c>
      <c r="AW64" s="546">
        <f t="shared" si="4"/>
        <v>0</v>
      </c>
      <c r="AX64" s="546">
        <v>0</v>
      </c>
      <c r="AY64" s="546">
        <f t="shared" si="18"/>
        <v>264.72946758016383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25389.335419603558</v>
      </c>
      <c r="BH64" s="108">
        <f t="shared" si="29"/>
        <v>5</v>
      </c>
      <c r="BI64" s="108">
        <f t="shared" si="24"/>
        <v>5</v>
      </c>
      <c r="BJ64" s="22">
        <f t="shared" si="25"/>
        <v>46419</v>
      </c>
      <c r="BK64" s="108">
        <f t="shared" si="6"/>
        <v>6360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46447</v>
      </c>
      <c r="I65" s="246">
        <f t="shared" si="30"/>
        <v>9.9000000000000005E-2</v>
      </c>
      <c r="J65" s="242">
        <f t="shared" si="0"/>
        <v>6360</v>
      </c>
      <c r="K65" s="242">
        <f t="shared" si="21"/>
        <v>6360</v>
      </c>
      <c r="L65" s="242">
        <f t="shared" si="8"/>
        <v>192.81982954285223</v>
      </c>
      <c r="M65" s="242">
        <f t="shared" si="22"/>
        <v>6167.1801704571481</v>
      </c>
      <c r="N65" s="242">
        <f t="shared" si="1"/>
        <v>0</v>
      </c>
      <c r="O65" s="242">
        <v>0</v>
      </c>
      <c r="P65" s="242">
        <f t="shared" si="23"/>
        <v>192.81982954285223</v>
      </c>
      <c r="Q65" s="242">
        <f t="shared" si="2"/>
        <v>0</v>
      </c>
      <c r="R65" s="242">
        <f t="shared" si="9"/>
        <v>0</v>
      </c>
      <c r="S65" s="242">
        <f t="shared" si="10"/>
        <v>19222.15524914641</v>
      </c>
      <c r="T65" s="467"/>
      <c r="U65" s="198">
        <f t="shared" si="27"/>
        <v>4</v>
      </c>
      <c r="V65" s="36">
        <f t="shared" si="11"/>
        <v>4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6360</v>
      </c>
      <c r="Y65" s="57">
        <f t="shared" si="39"/>
        <v>52740</v>
      </c>
      <c r="AB65" s="2"/>
      <c r="AC65" s="66">
        <f>IF(AC79&gt;$AA$59,AC64,IF(AC79&gt;$AA$58,AC63,IF(AC79&gt;$AA$57,AC62,AC61)))</f>
        <v>3.0000000000000001E-3</v>
      </c>
      <c r="AD65" s="66">
        <f>IF(AD79&gt;$AA$59,AD64,IF(AD79&gt;$AA$58,AD63,IF(AD79&gt;$AA$57,AD62,AD61)))</f>
        <v>3.0000000000000001E-3</v>
      </c>
      <c r="AE65" s="66">
        <f>IF(AE79&gt;$AA$59,AE64,IF(AE79&gt;$AA$58,AE63,IF(AE79&gt;$AA$57,AE62,AE61)))</f>
        <v>2.5000000000000001E-3</v>
      </c>
      <c r="AF65" s="66">
        <f>IF(AF79&gt;1000000,AF64,IF(AF79&gt;500000,AF63,IF(AF79&gt;200000,AF62,AF61)))</f>
        <v>3.0000000000000001E-3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4.0000000000000001E-3</v>
      </c>
      <c r="AJ65" s="15" t="s">
        <v>126</v>
      </c>
      <c r="AL65" s="2">
        <f>IF(AND(Y21&gt;=$W$11,Y21&lt;=$W$11+5),0,IF($C$9&gt;$AF$51,ROUND(AI25*#REF!/(DATEVALUE(CONCATENATE("01/01/",YEAR(Z21)+1))-DATEVALUE(CONCATENATE("01/01/",YEAR(Z21))))*(Z21-Z20),2),0))</f>
        <v>0</v>
      </c>
      <c r="AM65" s="34">
        <f t="shared" si="43"/>
        <v>6360</v>
      </c>
      <c r="AN65" s="57">
        <f t="shared" si="42"/>
        <v>51280</v>
      </c>
      <c r="AO65" s="130">
        <f t="shared" si="12"/>
        <v>1</v>
      </c>
      <c r="AP65" s="553">
        <f t="shared" si="28"/>
        <v>57</v>
      </c>
      <c r="AQ65" s="554">
        <f t="shared" si="13"/>
        <v>46447</v>
      </c>
      <c r="AR65" s="555">
        <f t="shared" si="44"/>
        <v>9.9000000000000005E-2</v>
      </c>
      <c r="AS65" s="546">
        <f t="shared" si="14"/>
        <v>6360</v>
      </c>
      <c r="AT65" s="546">
        <f t="shared" si="15"/>
        <v>6360</v>
      </c>
      <c r="AU65" s="546">
        <f t="shared" si="16"/>
        <v>192.81982954285223</v>
      </c>
      <c r="AV65" s="546">
        <f t="shared" si="17"/>
        <v>6167.1801704571481</v>
      </c>
      <c r="AW65" s="546">
        <f t="shared" si="4"/>
        <v>0</v>
      </c>
      <c r="AX65" s="546">
        <v>0</v>
      </c>
      <c r="AY65" s="546">
        <f t="shared" si="18"/>
        <v>192.81982954285223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19222.15524914641</v>
      </c>
      <c r="BH65" s="108">
        <f t="shared" si="29"/>
        <v>4</v>
      </c>
      <c r="BI65" s="108">
        <f t="shared" si="24"/>
        <v>4</v>
      </c>
      <c r="BJ65" s="22">
        <f t="shared" si="25"/>
        <v>46447</v>
      </c>
      <c r="BK65" s="108">
        <f t="shared" si="6"/>
        <v>6360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46478</v>
      </c>
      <c r="I66" s="246">
        <f t="shared" si="30"/>
        <v>9.9000000000000005E-2</v>
      </c>
      <c r="J66" s="242">
        <f t="shared" si="0"/>
        <v>6360</v>
      </c>
      <c r="K66" s="242">
        <f t="shared" si="21"/>
        <v>6360</v>
      </c>
      <c r="L66" s="242">
        <f t="shared" si="8"/>
        <v>161.62409440994611</v>
      </c>
      <c r="M66" s="242">
        <f t="shared" si="22"/>
        <v>6198.3759055900537</v>
      </c>
      <c r="N66" s="242">
        <f t="shared" si="1"/>
        <v>0</v>
      </c>
      <c r="O66" s="242">
        <v>0</v>
      </c>
      <c r="P66" s="242">
        <f t="shared" si="23"/>
        <v>161.62409440994611</v>
      </c>
      <c r="Q66" s="242">
        <f t="shared" si="2"/>
        <v>0</v>
      </c>
      <c r="R66" s="242">
        <f t="shared" si="9"/>
        <v>0</v>
      </c>
      <c r="S66" s="242">
        <f t="shared" si="10"/>
        <v>13023.779343556356</v>
      </c>
      <c r="T66" s="467"/>
      <c r="U66" s="198">
        <f t="shared" si="27"/>
        <v>3</v>
      </c>
      <c r="V66" s="36">
        <f t="shared" si="11"/>
        <v>3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6360</v>
      </c>
      <c r="Y66" s="57">
        <f t="shared" si="39"/>
        <v>53105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64800</v>
      </c>
      <c r="AG66" s="143">
        <f t="shared" ref="AG66:AH66" si="46">AG65*AG79*$C$10</f>
        <v>0</v>
      </c>
      <c r="AH66" s="143">
        <f t="shared" si="46"/>
        <v>18000</v>
      </c>
      <c r="AI66" s="143">
        <f>AI65*AI79*$C$10</f>
        <v>144000</v>
      </c>
      <c r="AJ66" s="143">
        <f>AI66+AH66</f>
        <v>162000</v>
      </c>
      <c r="AL66" s="2">
        <f>IF(AND(Y22&gt;=$W$11,Y22&lt;=$W$11+5),0,IF($C$9&gt;$AF$51,ROUND(AI26*#REF!/(DATEVALUE(CONCATENATE("01/01/",YEAR(Z22)+1))-DATEVALUE(CONCATENATE("01/01/",YEAR(Z22))))*(Z22-Z21),2),0))</f>
        <v>0</v>
      </c>
      <c r="AM66" s="34">
        <f t="shared" si="43"/>
        <v>6360</v>
      </c>
      <c r="AN66" s="57">
        <f t="shared" si="42"/>
        <v>51645</v>
      </c>
      <c r="AO66" s="130">
        <f t="shared" si="12"/>
        <v>1</v>
      </c>
      <c r="AP66" s="553">
        <f t="shared" si="28"/>
        <v>58</v>
      </c>
      <c r="AQ66" s="554">
        <f t="shared" si="13"/>
        <v>46478</v>
      </c>
      <c r="AR66" s="555">
        <f t="shared" si="44"/>
        <v>9.9000000000000005E-2</v>
      </c>
      <c r="AS66" s="546">
        <f t="shared" si="14"/>
        <v>6360</v>
      </c>
      <c r="AT66" s="546">
        <f t="shared" si="15"/>
        <v>6360</v>
      </c>
      <c r="AU66" s="546">
        <f t="shared" si="16"/>
        <v>161.62409440994611</v>
      </c>
      <c r="AV66" s="546">
        <f t="shared" si="17"/>
        <v>6198.3759055900537</v>
      </c>
      <c r="AW66" s="546">
        <f t="shared" si="4"/>
        <v>0</v>
      </c>
      <c r="AX66" s="546">
        <v>0</v>
      </c>
      <c r="AY66" s="546">
        <f t="shared" si="18"/>
        <v>161.62409440994611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13023.779343556356</v>
      </c>
      <c r="BH66" s="108">
        <f t="shared" si="29"/>
        <v>3</v>
      </c>
      <c r="BI66" s="108">
        <f t="shared" si="24"/>
        <v>3</v>
      </c>
      <c r="BJ66" s="22">
        <f t="shared" si="25"/>
        <v>46478</v>
      </c>
      <c r="BK66" s="108">
        <f t="shared" si="6"/>
        <v>6360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46508</v>
      </c>
      <c r="I67" s="246">
        <f t="shared" si="30"/>
        <v>9.9000000000000005E-2</v>
      </c>
      <c r="J67" s="242">
        <f t="shared" si="0"/>
        <v>6360</v>
      </c>
      <c r="K67" s="242">
        <f t="shared" si="21"/>
        <v>6360</v>
      </c>
      <c r="L67" s="242">
        <f t="shared" si="8"/>
        <v>105.97431411058184</v>
      </c>
      <c r="M67" s="242">
        <f t="shared" si="22"/>
        <v>6254.0256858894181</v>
      </c>
      <c r="N67" s="242">
        <f t="shared" si="1"/>
        <v>0</v>
      </c>
      <c r="O67" s="242">
        <v>0</v>
      </c>
      <c r="P67" s="242">
        <f t="shared" si="23"/>
        <v>105.97431411058184</v>
      </c>
      <c r="Q67" s="242">
        <f t="shared" si="2"/>
        <v>0</v>
      </c>
      <c r="R67" s="242">
        <f t="shared" si="9"/>
        <v>0</v>
      </c>
      <c r="S67" s="242">
        <f t="shared" si="10"/>
        <v>6769.7536576669381</v>
      </c>
      <c r="T67" s="467"/>
      <c r="U67" s="198">
        <f t="shared" si="27"/>
        <v>2</v>
      </c>
      <c r="V67" s="36">
        <f t="shared" si="11"/>
        <v>2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6360</v>
      </c>
      <c r="Y67" s="57">
        <f t="shared" si="39"/>
        <v>53470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6360</v>
      </c>
      <c r="AN67" s="57">
        <f t="shared" si="42"/>
        <v>52010</v>
      </c>
      <c r="AO67" s="130">
        <f t="shared" si="12"/>
        <v>1</v>
      </c>
      <c r="AP67" s="553">
        <f t="shared" si="28"/>
        <v>59</v>
      </c>
      <c r="AQ67" s="554">
        <f t="shared" si="13"/>
        <v>46508</v>
      </c>
      <c r="AR67" s="555">
        <f t="shared" si="44"/>
        <v>9.9000000000000005E-2</v>
      </c>
      <c r="AS67" s="546">
        <f t="shared" si="14"/>
        <v>6360</v>
      </c>
      <c r="AT67" s="546">
        <f t="shared" si="15"/>
        <v>6360</v>
      </c>
      <c r="AU67" s="546">
        <f t="shared" si="16"/>
        <v>105.97431411058184</v>
      </c>
      <c r="AV67" s="546">
        <f t="shared" si="17"/>
        <v>6254.0256858894181</v>
      </c>
      <c r="AW67" s="546">
        <f t="shared" si="4"/>
        <v>0</v>
      </c>
      <c r="AX67" s="546">
        <v>0</v>
      </c>
      <c r="AY67" s="546">
        <f t="shared" si="18"/>
        <v>105.97431411058184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6769.7536576669381</v>
      </c>
      <c r="BH67" s="108">
        <f t="shared" si="29"/>
        <v>2</v>
      </c>
      <c r="BI67" s="108">
        <f t="shared" si="24"/>
        <v>2</v>
      </c>
      <c r="BJ67" s="22">
        <f t="shared" si="25"/>
        <v>46508</v>
      </c>
      <c r="BK67" s="108">
        <f t="shared" si="6"/>
        <v>6360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46539</v>
      </c>
      <c r="I68" s="250">
        <f t="shared" si="30"/>
        <v>9.9000000000000005E-2</v>
      </c>
      <c r="J68" s="242">
        <f t="shared" si="0"/>
        <v>6360</v>
      </c>
      <c r="K68" s="252">
        <f t="shared" si="21"/>
        <v>6360</v>
      </c>
      <c r="L68" s="252">
        <f t="shared" si="8"/>
        <v>56.921572535287211</v>
      </c>
      <c r="M68" s="252">
        <f t="shared" si="22"/>
        <v>6303.0784274647131</v>
      </c>
      <c r="N68" s="252">
        <f t="shared" si="1"/>
        <v>0</v>
      </c>
      <c r="O68" s="252">
        <v>0</v>
      </c>
      <c r="P68" s="252">
        <f t="shared" si="23"/>
        <v>56.921572535287211</v>
      </c>
      <c r="Q68" s="252">
        <f t="shared" si="2"/>
        <v>0</v>
      </c>
      <c r="R68" s="252">
        <f t="shared" si="9"/>
        <v>0</v>
      </c>
      <c r="S68" s="252">
        <f t="shared" si="10"/>
        <v>466.67523020222507</v>
      </c>
      <c r="T68" s="252"/>
      <c r="U68" s="198">
        <f t="shared" si="27"/>
        <v>1</v>
      </c>
      <c r="V68" s="36">
        <f t="shared" si="11"/>
        <v>1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6360</v>
      </c>
      <c r="Y68" s="57">
        <f t="shared" si="39"/>
        <v>53835</v>
      </c>
      <c r="AA68" s="170">
        <v>300001</v>
      </c>
      <c r="AB68" s="135">
        <v>160000</v>
      </c>
      <c r="AL68" s="2">
        <f>IF(AND(Y24&gt;=$W$11,Y24&lt;=$W$11+5),0,IF($C$9&gt;$AF$51,ROUND(AI28*#REF!/(DATEVALUE(CONCATENATE("01/01/",YEAR(Z24)+1))-DATEVALUE(CONCATENATE("01/01/",YEAR(Z24))))*(Z24-Z23),2),0))</f>
        <v>0</v>
      </c>
      <c r="AM68" s="34">
        <f t="shared" si="43"/>
        <v>6360</v>
      </c>
      <c r="AN68" s="57">
        <f t="shared" si="42"/>
        <v>52375</v>
      </c>
      <c r="AO68" s="130">
        <f t="shared" si="12"/>
        <v>1</v>
      </c>
      <c r="AP68" s="556">
        <f t="shared" si="28"/>
        <v>60</v>
      </c>
      <c r="AQ68" s="582">
        <f t="shared" si="13"/>
        <v>46539</v>
      </c>
      <c r="AR68" s="557">
        <f t="shared" si="44"/>
        <v>9.9000000000000005E-2</v>
      </c>
      <c r="AS68" s="547">
        <f t="shared" si="14"/>
        <v>6360</v>
      </c>
      <c r="AT68" s="547">
        <f t="shared" si="15"/>
        <v>6360</v>
      </c>
      <c r="AU68" s="547">
        <f t="shared" si="16"/>
        <v>56.921572535287211</v>
      </c>
      <c r="AV68" s="547">
        <f t="shared" si="17"/>
        <v>6769.7536576669381</v>
      </c>
      <c r="AW68" s="547">
        <f t="shared" si="4"/>
        <v>0</v>
      </c>
      <c r="AX68" s="547">
        <v>0</v>
      </c>
      <c r="AY68" s="547">
        <f t="shared" si="18"/>
        <v>56.921572535287211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0</v>
      </c>
      <c r="BH68" s="108">
        <f t="shared" si="29"/>
        <v>1</v>
      </c>
      <c r="BI68" s="108">
        <f t="shared" si="24"/>
        <v>1</v>
      </c>
      <c r="BJ68" s="22">
        <f t="shared" si="25"/>
        <v>46539</v>
      </c>
      <c r="BK68" s="108">
        <f t="shared" si="6"/>
        <v>6360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46569</v>
      </c>
      <c r="I69" s="246">
        <f t="shared" si="30"/>
        <v>9.9000000000000005E-2</v>
      </c>
      <c r="J69" s="242">
        <f t="shared" si="0"/>
        <v>0</v>
      </c>
      <c r="K69" s="242">
        <f t="shared" si="21"/>
        <v>0</v>
      </c>
      <c r="L69" s="242">
        <f t="shared" si="8"/>
        <v>3.7973299553441322</v>
      </c>
      <c r="M69" s="242">
        <f t="shared" si="22"/>
        <v>466.67523020222507</v>
      </c>
      <c r="N69" s="242">
        <f t="shared" si="1"/>
        <v>0</v>
      </c>
      <c r="O69" s="242">
        <v>0</v>
      </c>
      <c r="P69" s="242">
        <f t="shared" si="23"/>
        <v>3.7973299553441322</v>
      </c>
      <c r="Q69" s="242">
        <f t="shared" si="2"/>
        <v>0</v>
      </c>
      <c r="R69" s="242">
        <f t="shared" si="9"/>
        <v>0</v>
      </c>
      <c r="S69" s="242">
        <f t="shared" si="10"/>
        <v>0</v>
      </c>
      <c r="T69" s="467"/>
      <c r="U69" s="36">
        <f t="shared" si="27"/>
        <v>0</v>
      </c>
      <c r="V69" s="36">
        <f t="shared" si="11"/>
        <v>0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6360</v>
      </c>
      <c r="Y69" s="57">
        <f t="shared" si="39"/>
        <v>54200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6360</v>
      </c>
      <c r="AN69" s="57">
        <f t="shared" si="42"/>
        <v>52740</v>
      </c>
      <c r="AO69" s="130">
        <f t="shared" si="12"/>
        <v>0</v>
      </c>
      <c r="AP69" s="553">
        <f t="shared" si="28"/>
        <v>61</v>
      </c>
      <c r="AQ69" s="554">
        <f t="shared" si="13"/>
        <v>46569</v>
      </c>
      <c r="AR69" s="555">
        <f t="shared" si="44"/>
        <v>9.9000000000000005E-2</v>
      </c>
      <c r="AS69" s="546">
        <f t="shared" si="14"/>
        <v>0</v>
      </c>
      <c r="AT69" s="546">
        <f t="shared" si="15"/>
        <v>0</v>
      </c>
      <c r="AU69" s="546">
        <f t="shared" si="16"/>
        <v>0</v>
      </c>
      <c r="AV69" s="546">
        <f t="shared" si="17"/>
        <v>0</v>
      </c>
      <c r="AW69" s="546">
        <f t="shared" si="4"/>
        <v>0</v>
      </c>
      <c r="AX69" s="546">
        <v>0</v>
      </c>
      <c r="AY69" s="546">
        <f t="shared" si="18"/>
        <v>0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0</v>
      </c>
      <c r="BH69" s="108">
        <f t="shared" si="29"/>
        <v>0</v>
      </c>
      <c r="BI69" s="108">
        <f t="shared" si="24"/>
        <v>0</v>
      </c>
      <c r="BJ69" s="22">
        <f t="shared" si="25"/>
        <v>46569</v>
      </c>
      <c r="BK69" s="108">
        <f t="shared" si="6"/>
        <v>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46600</v>
      </c>
      <c r="I70" s="246">
        <f t="shared" si="30"/>
        <v>9.9000000000000005E-2</v>
      </c>
      <c r="J70" s="242">
        <f t="shared" si="0"/>
        <v>0</v>
      </c>
      <c r="K70" s="242">
        <f t="shared" si="21"/>
        <v>0</v>
      </c>
      <c r="L70" s="242">
        <f t="shared" si="8"/>
        <v>0</v>
      </c>
      <c r="M70" s="242">
        <f t="shared" si="22"/>
        <v>0</v>
      </c>
      <c r="N70" s="242">
        <f t="shared" si="1"/>
        <v>0</v>
      </c>
      <c r="O70" s="242">
        <v>0</v>
      </c>
      <c r="P70" s="242">
        <f t="shared" si="23"/>
        <v>0</v>
      </c>
      <c r="Q70" s="242">
        <f t="shared" si="2"/>
        <v>0</v>
      </c>
      <c r="R70" s="242">
        <f t="shared" si="9"/>
        <v>0</v>
      </c>
      <c r="S70" s="242">
        <f t="shared" si="10"/>
        <v>0</v>
      </c>
      <c r="T70" s="467"/>
      <c r="U70" s="36">
        <f t="shared" si="27"/>
        <v>0</v>
      </c>
      <c r="V70" s="36">
        <f t="shared" si="11"/>
        <v>0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6360</v>
      </c>
      <c r="Y70" s="57">
        <f t="shared" si="39"/>
        <v>54565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>
        <f>IF(AND(Y26&gt;=$W$11,Y26&lt;=$W$11+5),0,IF($C$9&gt;$AF$51,ROUND(AI30*#REF!/(DATEVALUE(CONCATENATE("01/01/",YEAR(Z26)+1))-DATEVALUE(CONCATENATE("01/01/",YEAR(Z26))))*(Z26-Z25),2),0))</f>
        <v>0</v>
      </c>
      <c r="AM70" s="34">
        <f t="shared" si="43"/>
        <v>6360</v>
      </c>
      <c r="AN70" s="57">
        <f t="shared" si="42"/>
        <v>53105</v>
      </c>
      <c r="AO70" s="130">
        <f t="shared" si="12"/>
        <v>0</v>
      </c>
      <c r="AP70" s="553">
        <f t="shared" si="28"/>
        <v>62</v>
      </c>
      <c r="AQ70" s="554">
        <f t="shared" si="13"/>
        <v>46600</v>
      </c>
      <c r="AR70" s="555">
        <f t="shared" si="44"/>
        <v>9.9000000000000005E-2</v>
      </c>
      <c r="AS70" s="546">
        <f t="shared" si="14"/>
        <v>0</v>
      </c>
      <c r="AT70" s="546">
        <f t="shared" si="15"/>
        <v>0</v>
      </c>
      <c r="AU70" s="546">
        <f t="shared" si="16"/>
        <v>0</v>
      </c>
      <c r="AV70" s="546">
        <f t="shared" si="17"/>
        <v>0</v>
      </c>
      <c r="AW70" s="546">
        <f t="shared" si="4"/>
        <v>0</v>
      </c>
      <c r="AX70" s="546">
        <v>0</v>
      </c>
      <c r="AY70" s="546">
        <f t="shared" si="18"/>
        <v>0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0</v>
      </c>
      <c r="BH70" s="108">
        <f t="shared" si="29"/>
        <v>0</v>
      </c>
      <c r="BI70" s="108">
        <f t="shared" si="24"/>
        <v>0</v>
      </c>
      <c r="BJ70" s="22">
        <f t="shared" si="25"/>
        <v>46600</v>
      </c>
      <c r="BK70" s="108">
        <f t="shared" si="6"/>
        <v>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46631</v>
      </c>
      <c r="I71" s="246">
        <f t="shared" si="30"/>
        <v>9.9000000000000005E-2</v>
      </c>
      <c r="J71" s="242">
        <f t="shared" si="0"/>
        <v>0</v>
      </c>
      <c r="K71" s="242">
        <f t="shared" si="21"/>
        <v>0</v>
      </c>
      <c r="L71" s="242">
        <f t="shared" si="8"/>
        <v>0</v>
      </c>
      <c r="M71" s="242">
        <f t="shared" si="22"/>
        <v>0</v>
      </c>
      <c r="N71" s="242">
        <f t="shared" si="1"/>
        <v>0</v>
      </c>
      <c r="O71" s="242">
        <v>0</v>
      </c>
      <c r="P71" s="242">
        <f t="shared" si="23"/>
        <v>0</v>
      </c>
      <c r="Q71" s="242">
        <f t="shared" si="2"/>
        <v>0</v>
      </c>
      <c r="R71" s="242">
        <f t="shared" si="9"/>
        <v>0</v>
      </c>
      <c r="S71" s="242">
        <f t="shared" si="10"/>
        <v>0</v>
      </c>
      <c r="T71" s="467"/>
      <c r="U71" s="36">
        <f t="shared" si="27"/>
        <v>0</v>
      </c>
      <c r="V71" s="36">
        <f t="shared" si="11"/>
        <v>0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6360</v>
      </c>
      <c r="Y71" s="57">
        <f t="shared" si="39"/>
        <v>54930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>
        <f>IF(AND(Y27&gt;=$W$11,Y27&lt;=$W$11+5),0,IF($C$9&gt;$AF$51,ROUND(AI31*#REF!/(DATEVALUE(CONCATENATE("01/01/",YEAR(Z27)+1))-DATEVALUE(CONCATENATE("01/01/",YEAR(Z27))))*(Z27-Z26),2),0))</f>
        <v>0</v>
      </c>
      <c r="AM71" s="34">
        <f t="shared" si="43"/>
        <v>6360</v>
      </c>
      <c r="AN71" s="57">
        <f t="shared" si="42"/>
        <v>53470</v>
      </c>
      <c r="AO71" s="130">
        <f t="shared" si="12"/>
        <v>0</v>
      </c>
      <c r="AP71" s="553">
        <f t="shared" si="28"/>
        <v>63</v>
      </c>
      <c r="AQ71" s="554">
        <f t="shared" si="13"/>
        <v>46631</v>
      </c>
      <c r="AR71" s="555">
        <f t="shared" si="44"/>
        <v>9.9000000000000005E-2</v>
      </c>
      <c r="AS71" s="546">
        <f t="shared" si="14"/>
        <v>0</v>
      </c>
      <c r="AT71" s="546">
        <f t="shared" si="15"/>
        <v>0</v>
      </c>
      <c r="AU71" s="546">
        <f t="shared" si="16"/>
        <v>0</v>
      </c>
      <c r="AV71" s="546">
        <f t="shared" si="17"/>
        <v>0</v>
      </c>
      <c r="AW71" s="546">
        <f t="shared" si="4"/>
        <v>0</v>
      </c>
      <c r="AX71" s="546">
        <v>0</v>
      </c>
      <c r="AY71" s="546">
        <f t="shared" si="18"/>
        <v>0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0</v>
      </c>
      <c r="BH71" s="108">
        <f t="shared" si="29"/>
        <v>0</v>
      </c>
      <c r="BI71" s="108">
        <f t="shared" si="24"/>
        <v>0</v>
      </c>
      <c r="BJ71" s="22">
        <f t="shared" si="25"/>
        <v>46631</v>
      </c>
      <c r="BK71" s="108">
        <f t="shared" si="6"/>
        <v>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46661</v>
      </c>
      <c r="I72" s="246">
        <f t="shared" si="30"/>
        <v>9.9000000000000005E-2</v>
      </c>
      <c r="J72" s="242">
        <f t="shared" si="0"/>
        <v>0</v>
      </c>
      <c r="K72" s="242">
        <f t="shared" si="21"/>
        <v>0</v>
      </c>
      <c r="L72" s="242">
        <f t="shared" si="8"/>
        <v>0</v>
      </c>
      <c r="M72" s="242">
        <f t="shared" si="22"/>
        <v>0</v>
      </c>
      <c r="N72" s="242">
        <f t="shared" si="1"/>
        <v>0</v>
      </c>
      <c r="O72" s="242">
        <v>0</v>
      </c>
      <c r="P72" s="242">
        <f t="shared" si="23"/>
        <v>0</v>
      </c>
      <c r="Q72" s="242">
        <f t="shared" si="2"/>
        <v>0</v>
      </c>
      <c r="R72" s="242">
        <f t="shared" si="9"/>
        <v>0</v>
      </c>
      <c r="S72" s="242">
        <f t="shared" si="10"/>
        <v>0</v>
      </c>
      <c r="T72" s="467"/>
      <c r="U72" s="36">
        <f t="shared" si="27"/>
        <v>0</v>
      </c>
      <c r="V72" s="36">
        <f t="shared" si="11"/>
        <v>0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6360</v>
      </c>
      <c r="Y72" s="57">
        <f t="shared" si="39"/>
        <v>55295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6360</v>
      </c>
      <c r="AN72" s="57">
        <f t="shared" si="42"/>
        <v>53835</v>
      </c>
      <c r="AO72" s="130">
        <f t="shared" si="12"/>
        <v>0</v>
      </c>
      <c r="AP72" s="553">
        <f t="shared" si="28"/>
        <v>64</v>
      </c>
      <c r="AQ72" s="554">
        <f t="shared" si="13"/>
        <v>46661</v>
      </c>
      <c r="AR72" s="555">
        <f t="shared" si="44"/>
        <v>9.9000000000000005E-2</v>
      </c>
      <c r="AS72" s="546">
        <f t="shared" si="14"/>
        <v>0</v>
      </c>
      <c r="AT72" s="546">
        <f t="shared" si="15"/>
        <v>0</v>
      </c>
      <c r="AU72" s="546">
        <f t="shared" si="16"/>
        <v>0</v>
      </c>
      <c r="AV72" s="546">
        <f t="shared" si="17"/>
        <v>0</v>
      </c>
      <c r="AW72" s="546">
        <f t="shared" si="4"/>
        <v>0</v>
      </c>
      <c r="AX72" s="546">
        <v>0</v>
      </c>
      <c r="AY72" s="546">
        <f t="shared" si="18"/>
        <v>0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0</v>
      </c>
      <c r="BH72" s="108">
        <f t="shared" si="29"/>
        <v>0</v>
      </c>
      <c r="BI72" s="108">
        <f t="shared" si="24"/>
        <v>0</v>
      </c>
      <c r="BJ72" s="22">
        <f t="shared" si="25"/>
        <v>46661</v>
      </c>
      <c r="BK72" s="108">
        <f t="shared" si="6"/>
        <v>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46692</v>
      </c>
      <c r="I73" s="246">
        <f t="shared" si="30"/>
        <v>9.9000000000000005E-2</v>
      </c>
      <c r="J73" s="242">
        <f t="shared" si="0"/>
        <v>0</v>
      </c>
      <c r="K73" s="242">
        <f t="shared" si="21"/>
        <v>0</v>
      </c>
      <c r="L73" s="242">
        <f t="shared" si="8"/>
        <v>0</v>
      </c>
      <c r="M73" s="242">
        <f t="shared" si="22"/>
        <v>0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0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0</v>
      </c>
      <c r="T73" s="467"/>
      <c r="U73" s="36">
        <f t="shared" si="27"/>
        <v>0</v>
      </c>
      <c r="V73" s="36">
        <f t="shared" si="11"/>
        <v>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6360</v>
      </c>
      <c r="Y73" s="57">
        <f t="shared" si="39"/>
        <v>55660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>
        <f>IF(AND(Y29&gt;=$W$11,Y29&lt;=$W$11+5),0,IF($C$9&gt;$AF$51,ROUND(AI33*#REF!/(DATEVALUE(CONCATENATE("01/01/",YEAR(Z29)+1))-DATEVALUE(CONCATENATE("01/01/",YEAR(Z29))))*(Z29-Z28),2),0))</f>
        <v>0</v>
      </c>
      <c r="AM73" s="34">
        <f t="shared" si="43"/>
        <v>6360</v>
      </c>
      <c r="AN73" s="57">
        <f t="shared" si="42"/>
        <v>54200</v>
      </c>
      <c r="AO73" s="130">
        <f t="shared" si="12"/>
        <v>0</v>
      </c>
      <c r="AP73" s="553">
        <f t="shared" si="28"/>
        <v>65</v>
      </c>
      <c r="AQ73" s="554">
        <f t="shared" si="13"/>
        <v>46692</v>
      </c>
      <c r="AR73" s="555">
        <f t="shared" si="44"/>
        <v>9.9000000000000005E-2</v>
      </c>
      <c r="AS73" s="546">
        <f t="shared" si="14"/>
        <v>0</v>
      </c>
      <c r="AT73" s="546">
        <f t="shared" si="15"/>
        <v>0</v>
      </c>
      <c r="AU73" s="546">
        <f t="shared" si="16"/>
        <v>0</v>
      </c>
      <c r="AV73" s="546">
        <f t="shared" si="17"/>
        <v>0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0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0</v>
      </c>
      <c r="BH73" s="108">
        <f t="shared" si="29"/>
        <v>0</v>
      </c>
      <c r="BI73" s="108">
        <f t="shared" si="24"/>
        <v>0</v>
      </c>
      <c r="BJ73" s="22">
        <f t="shared" si="25"/>
        <v>46692</v>
      </c>
      <c r="BK73" s="108">
        <f t="shared" ref="BK73:BK114" si="50">K73</f>
        <v>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46722</v>
      </c>
      <c r="I74" s="246">
        <f t="shared" si="30"/>
        <v>9.9000000000000005E-2</v>
      </c>
      <c r="J74" s="242">
        <f t="shared" ref="J74:J108" si="52">K74+Q74</f>
        <v>0</v>
      </c>
      <c r="K74" s="242">
        <f t="shared" si="21"/>
        <v>0</v>
      </c>
      <c r="L74" s="242">
        <f t="shared" ref="L74:L92" si="53">S73*($C$11/365*(H74-H73))</f>
        <v>0</v>
      </c>
      <c r="M74" s="242">
        <f t="shared" si="22"/>
        <v>0</v>
      </c>
      <c r="N74" s="242">
        <f t="shared" si="47"/>
        <v>0</v>
      </c>
      <c r="O74" s="242">
        <v>0</v>
      </c>
      <c r="P74" s="242">
        <f t="shared" si="23"/>
        <v>0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0</v>
      </c>
      <c r="T74" s="467"/>
      <c r="U74" s="36">
        <f t="shared" si="27"/>
        <v>0</v>
      </c>
      <c r="V74" s="36">
        <f t="shared" ref="V74:V107" si="56">U74</f>
        <v>0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6360</v>
      </c>
      <c r="Y74" s="57">
        <f t="shared" si="39"/>
        <v>56025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>
        <f>IF(AND(Y30&gt;=$W$11,Y30&lt;=$W$11+5),0,IF($C$9&gt;$AF$51,ROUND(AI34*#REF!/(DATEVALUE(CONCATENATE("01/01/",YEAR(Z30)+1))-DATEVALUE(CONCATENATE("01/01/",YEAR(Z30))))*(Z30-Z29),2),0))</f>
        <v>0</v>
      </c>
      <c r="AM74" s="34">
        <f t="shared" si="43"/>
        <v>6360</v>
      </c>
      <c r="AN74" s="57">
        <f t="shared" si="42"/>
        <v>54565</v>
      </c>
      <c r="AO74" s="130">
        <f t="shared" ref="AO74:AO108" si="57">IF(OR(AT74="",AT74=0),0,1)</f>
        <v>0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46722</v>
      </c>
      <c r="AR74" s="555">
        <f t="shared" si="44"/>
        <v>9.9000000000000005E-2</v>
      </c>
      <c r="AS74" s="546">
        <f t="shared" ref="AS74:AS108" si="59">AT74+AZ74</f>
        <v>0</v>
      </c>
      <c r="AT74" s="546">
        <f t="shared" ref="AT74:AT92" si="60">IF(AP74&gt;$C$10,0,ROUNDUP($BG$8*$C$11/12/((1-(1+$C$11/12)^(0-$C$10))),0))</f>
        <v>0</v>
      </c>
      <c r="AU74" s="546">
        <f t="shared" ref="AU74:AU92" si="61">BG73*($C$11/365*(AQ74-AQ73))</f>
        <v>0</v>
      </c>
      <c r="AV74" s="546">
        <f t="shared" ref="AV74:AV108" si="62">IF(BI74=0,0,IF(BI74=1,BG73,IF(BG73+AW74+AU74&gt;AT73,AT74-AU74-AW74,BG73)))</f>
        <v>0</v>
      </c>
      <c r="AW74" s="546">
        <f t="shared" si="49"/>
        <v>0</v>
      </c>
      <c r="AX74" s="546">
        <v>0</v>
      </c>
      <c r="AY74" s="546">
        <f t="shared" si="18"/>
        <v>0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0</v>
      </c>
      <c r="BH74" s="108">
        <f t="shared" si="29"/>
        <v>0</v>
      </c>
      <c r="BI74" s="108">
        <f t="shared" si="24"/>
        <v>0</v>
      </c>
      <c r="BJ74" s="22">
        <f t="shared" si="25"/>
        <v>46722</v>
      </c>
      <c r="BK74" s="108">
        <f t="shared" si="50"/>
        <v>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46753</v>
      </c>
      <c r="I75" s="246">
        <f t="shared" si="30"/>
        <v>9.9000000000000005E-2</v>
      </c>
      <c r="J75" s="242">
        <f t="shared" si="52"/>
        <v>0</v>
      </c>
      <c r="K75" s="242">
        <f t="shared" ref="K75:K92" si="64">IF(G75&gt;$C$10,0,IF(T74=0,K74,ROUNDUP(S74*$C$11/12/((1-(1+$C$11/12)^(0-($C$10-G75)))),0)))</f>
        <v>0</v>
      </c>
      <c r="L75" s="242">
        <f t="shared" si="53"/>
        <v>0</v>
      </c>
      <c r="M75" s="242">
        <f t="shared" ref="M75:M92" si="65">IF(S74=0,0,IF(S74+L75&gt;K74,K75-L75,S74))</f>
        <v>0</v>
      </c>
      <c r="N75" s="242">
        <f t="shared" si="47"/>
        <v>0</v>
      </c>
      <c r="O75" s="242">
        <v>0</v>
      </c>
      <c r="P75" s="242">
        <f t="shared" si="23"/>
        <v>0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0</v>
      </c>
      <c r="T75" s="467"/>
      <c r="U75" s="36">
        <f t="shared" si="27"/>
        <v>0</v>
      </c>
      <c r="V75" s="36">
        <f t="shared" si="56"/>
        <v>0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6360</v>
      </c>
      <c r="Y75" s="57">
        <f t="shared" si="39"/>
        <v>56390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>
        <f>IF(AND(Y31&gt;=$W$11,Y31&lt;=$W$11+5),0,IF($C$9&gt;$AF$51,ROUND(AI35*#REF!/(DATEVALUE(CONCATENATE("01/01/",YEAR(Z31)+1))-DATEVALUE(CONCATENATE("01/01/",YEAR(Z31))))*(Z31-Z30),2),0))</f>
        <v>0</v>
      </c>
      <c r="AM75" s="34">
        <f t="shared" si="43"/>
        <v>6360</v>
      </c>
      <c r="AN75" s="57">
        <f t="shared" si="42"/>
        <v>54930</v>
      </c>
      <c r="AO75" s="130">
        <f t="shared" si="57"/>
        <v>0</v>
      </c>
      <c r="AP75" s="553">
        <f t="shared" si="28"/>
        <v>67</v>
      </c>
      <c r="AQ75" s="554">
        <f t="shared" si="58"/>
        <v>46753</v>
      </c>
      <c r="AR75" s="555">
        <f t="shared" si="44"/>
        <v>9.9000000000000005E-2</v>
      </c>
      <c r="AS75" s="559">
        <f t="shared" si="59"/>
        <v>0</v>
      </c>
      <c r="AT75" s="546">
        <f t="shared" si="60"/>
        <v>0</v>
      </c>
      <c r="AU75" s="546">
        <f t="shared" si="61"/>
        <v>0</v>
      </c>
      <c r="AV75" s="546">
        <f t="shared" si="62"/>
        <v>0</v>
      </c>
      <c r="AW75" s="559">
        <f t="shared" si="49"/>
        <v>0</v>
      </c>
      <c r="AX75" s="559">
        <v>0</v>
      </c>
      <c r="AY75" s="559">
        <f t="shared" si="18"/>
        <v>0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0</v>
      </c>
      <c r="BH75" s="108">
        <f t="shared" si="29"/>
        <v>0</v>
      </c>
      <c r="BI75" s="108">
        <f t="shared" ref="BI75:BI114" si="67">BH75</f>
        <v>0</v>
      </c>
      <c r="BJ75" s="22">
        <f t="shared" ref="BJ75:BJ114" si="68">H75</f>
        <v>46753</v>
      </c>
      <c r="BK75" s="108">
        <f t="shared" si="50"/>
        <v>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46784</v>
      </c>
      <c r="I76" s="246">
        <f t="shared" si="30"/>
        <v>9.9000000000000005E-2</v>
      </c>
      <c r="J76" s="242">
        <f t="shared" si="52"/>
        <v>0</v>
      </c>
      <c r="K76" s="242">
        <f t="shared" si="64"/>
        <v>0</v>
      </c>
      <c r="L76" s="242">
        <f t="shared" si="53"/>
        <v>0</v>
      </c>
      <c r="M76" s="242">
        <f t="shared" si="65"/>
        <v>0</v>
      </c>
      <c r="N76" s="242">
        <f t="shared" si="47"/>
        <v>0</v>
      </c>
      <c r="O76" s="242">
        <v>0</v>
      </c>
      <c r="P76" s="242">
        <f t="shared" si="23"/>
        <v>0</v>
      </c>
      <c r="Q76" s="242">
        <f t="shared" si="48"/>
        <v>0</v>
      </c>
      <c r="R76" s="242">
        <f t="shared" si="54"/>
        <v>0</v>
      </c>
      <c r="S76" s="242">
        <f t="shared" si="66"/>
        <v>0</v>
      </c>
      <c r="T76" s="467"/>
      <c r="U76" s="36">
        <f t="shared" ref="U76:U108" si="70">IF((U75-1)&lt;0,0,U75-1)</f>
        <v>0</v>
      </c>
      <c r="V76" s="36">
        <f t="shared" si="56"/>
        <v>0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6360</v>
      </c>
      <c r="Y76" s="57">
        <f t="shared" si="39"/>
        <v>56755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>
        <f>IF(AND(Y32&gt;=$W$11,Y32&lt;=$W$11+5),0,IF($C$9&gt;$AF$51,ROUND(AI36*#REF!/(DATEVALUE(CONCATENATE("01/01/",YEAR(Z32)+1))-DATEVALUE(CONCATENATE("01/01/",YEAR(Z32))))*(Z32-Z31),2),0))</f>
        <v>0</v>
      </c>
      <c r="AM76" s="34">
        <f t="shared" si="43"/>
        <v>6360</v>
      </c>
      <c r="AN76" s="57">
        <f t="shared" si="42"/>
        <v>55295</v>
      </c>
      <c r="AO76" s="130">
        <f t="shared" si="57"/>
        <v>0</v>
      </c>
      <c r="AP76" s="553">
        <f t="shared" ref="AP76:AP108" si="71">AP75+1</f>
        <v>68</v>
      </c>
      <c r="AQ76" s="554">
        <f t="shared" si="58"/>
        <v>46784</v>
      </c>
      <c r="AR76" s="555">
        <f t="shared" si="44"/>
        <v>9.9000000000000005E-2</v>
      </c>
      <c r="AS76" s="559">
        <f t="shared" si="59"/>
        <v>0</v>
      </c>
      <c r="AT76" s="546">
        <f t="shared" si="60"/>
        <v>0</v>
      </c>
      <c r="AU76" s="546">
        <f t="shared" si="61"/>
        <v>0</v>
      </c>
      <c r="AV76" s="546">
        <f t="shared" si="62"/>
        <v>0</v>
      </c>
      <c r="AW76" s="559">
        <f t="shared" si="49"/>
        <v>0</v>
      </c>
      <c r="AX76" s="559">
        <v>0</v>
      </c>
      <c r="AY76" s="559">
        <f t="shared" si="18"/>
        <v>0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0</v>
      </c>
      <c r="BH76" s="108">
        <f t="shared" ref="BH76:BH114" si="72">IF((BH75-1)&lt;0,0,BH75-1)</f>
        <v>0</v>
      </c>
      <c r="BI76" s="108">
        <f t="shared" si="67"/>
        <v>0</v>
      </c>
      <c r="BJ76" s="22">
        <f t="shared" si="68"/>
        <v>46784</v>
      </c>
      <c r="BK76" s="108">
        <f t="shared" si="50"/>
        <v>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46813</v>
      </c>
      <c r="I77" s="246">
        <f t="shared" si="30"/>
        <v>9.9000000000000005E-2</v>
      </c>
      <c r="J77" s="242">
        <f t="shared" si="52"/>
        <v>0</v>
      </c>
      <c r="K77" s="242">
        <f t="shared" si="64"/>
        <v>0</v>
      </c>
      <c r="L77" s="242">
        <f t="shared" si="53"/>
        <v>0</v>
      </c>
      <c r="M77" s="242">
        <f t="shared" si="65"/>
        <v>0</v>
      </c>
      <c r="N77" s="242">
        <f t="shared" si="47"/>
        <v>0</v>
      </c>
      <c r="O77" s="242">
        <v>0</v>
      </c>
      <c r="P77" s="242">
        <f t="shared" si="23"/>
        <v>0</v>
      </c>
      <c r="Q77" s="242">
        <f t="shared" si="48"/>
        <v>0</v>
      </c>
      <c r="R77" s="242">
        <f t="shared" si="54"/>
        <v>0</v>
      </c>
      <c r="S77" s="242">
        <f t="shared" si="66"/>
        <v>0</v>
      </c>
      <c r="T77" s="467"/>
      <c r="U77" s="36">
        <f t="shared" si="70"/>
        <v>0</v>
      </c>
      <c r="V77" s="36">
        <f t="shared" si="56"/>
        <v>0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6360</v>
      </c>
      <c r="Y77" s="57">
        <f t="shared" si="39"/>
        <v>57120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1.5</v>
      </c>
      <c r="AF77" s="16">
        <f>IF($C$7&gt;=$AA$71,AF76,IF($C$7&gt;=$AA$70,AF75,IF($C$7&gt;=$AA$69,AF74,IF($C$7&gt;=$AA$68,AF73,AF72))))</f>
        <v>1.5</v>
      </c>
      <c r="AG77" s="16">
        <f t="shared" si="73"/>
        <v>0</v>
      </c>
      <c r="AH77" s="16">
        <f t="shared" si="73"/>
        <v>1</v>
      </c>
      <c r="AI77" s="16">
        <f t="shared" si="73"/>
        <v>2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6360</v>
      </c>
      <c r="AN77" s="57">
        <f t="shared" si="42"/>
        <v>55660</v>
      </c>
      <c r="AO77" s="130">
        <f t="shared" si="57"/>
        <v>0</v>
      </c>
      <c r="AP77" s="553">
        <f t="shared" si="71"/>
        <v>69</v>
      </c>
      <c r="AQ77" s="554">
        <f t="shared" si="58"/>
        <v>46813</v>
      </c>
      <c r="AR77" s="555">
        <f t="shared" si="44"/>
        <v>9.9000000000000005E-2</v>
      </c>
      <c r="AS77" s="559">
        <f t="shared" si="59"/>
        <v>0</v>
      </c>
      <c r="AT77" s="546">
        <f t="shared" si="60"/>
        <v>0</v>
      </c>
      <c r="AU77" s="546">
        <f t="shared" si="61"/>
        <v>0</v>
      </c>
      <c r="AV77" s="546">
        <f t="shared" si="62"/>
        <v>0</v>
      </c>
      <c r="AW77" s="559">
        <f t="shared" si="49"/>
        <v>0</v>
      </c>
      <c r="AX77" s="559">
        <v>0</v>
      </c>
      <c r="AY77" s="559">
        <f t="shared" si="18"/>
        <v>0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0</v>
      </c>
      <c r="BH77" s="108">
        <f t="shared" si="72"/>
        <v>0</v>
      </c>
      <c r="BI77" s="108">
        <f t="shared" si="67"/>
        <v>0</v>
      </c>
      <c r="BJ77" s="22">
        <f t="shared" si="68"/>
        <v>46813</v>
      </c>
      <c r="BK77" s="108">
        <f t="shared" si="50"/>
        <v>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46844</v>
      </c>
      <c r="I78" s="246">
        <f t="shared" si="30"/>
        <v>9.9000000000000005E-2</v>
      </c>
      <c r="J78" s="242">
        <f t="shared" si="52"/>
        <v>0</v>
      </c>
      <c r="K78" s="242">
        <f t="shared" si="64"/>
        <v>0</v>
      </c>
      <c r="L78" s="242">
        <f t="shared" si="53"/>
        <v>0</v>
      </c>
      <c r="M78" s="242">
        <f t="shared" si="65"/>
        <v>0</v>
      </c>
      <c r="N78" s="242">
        <f t="shared" si="47"/>
        <v>0</v>
      </c>
      <c r="O78" s="242">
        <v>0</v>
      </c>
      <c r="P78" s="242">
        <f t="shared" si="23"/>
        <v>0</v>
      </c>
      <c r="Q78" s="242">
        <f t="shared" si="48"/>
        <v>0</v>
      </c>
      <c r="R78" s="242">
        <f t="shared" si="54"/>
        <v>0</v>
      </c>
      <c r="S78" s="242">
        <f t="shared" si="66"/>
        <v>0</v>
      </c>
      <c r="T78" s="467"/>
      <c r="U78" s="36">
        <f t="shared" si="70"/>
        <v>0</v>
      </c>
      <c r="V78" s="36">
        <f t="shared" si="56"/>
        <v>0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6360</v>
      </c>
      <c r="Y78" s="57">
        <f t="shared" si="39"/>
        <v>57485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6360</v>
      </c>
      <c r="AN78" s="57">
        <f t="shared" si="42"/>
        <v>56025</v>
      </c>
      <c r="AO78" s="130">
        <f t="shared" si="57"/>
        <v>0</v>
      </c>
      <c r="AP78" s="553">
        <f t="shared" si="71"/>
        <v>70</v>
      </c>
      <c r="AQ78" s="554">
        <f t="shared" si="58"/>
        <v>46844</v>
      </c>
      <c r="AR78" s="555">
        <f t="shared" si="44"/>
        <v>9.9000000000000005E-2</v>
      </c>
      <c r="AS78" s="559">
        <f t="shared" si="59"/>
        <v>0</v>
      </c>
      <c r="AT78" s="546">
        <f t="shared" si="60"/>
        <v>0</v>
      </c>
      <c r="AU78" s="546">
        <f t="shared" si="61"/>
        <v>0</v>
      </c>
      <c r="AV78" s="546">
        <f t="shared" si="62"/>
        <v>0</v>
      </c>
      <c r="AW78" s="559">
        <f t="shared" si="49"/>
        <v>0</v>
      </c>
      <c r="AX78" s="559">
        <v>0</v>
      </c>
      <c r="AY78" s="559">
        <f t="shared" si="18"/>
        <v>0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0</v>
      </c>
      <c r="BH78" s="108">
        <f t="shared" si="72"/>
        <v>0</v>
      </c>
      <c r="BI78" s="108">
        <f t="shared" si="67"/>
        <v>0</v>
      </c>
      <c r="BJ78" s="22">
        <f t="shared" si="68"/>
        <v>46844</v>
      </c>
      <c r="BK78" s="108">
        <f t="shared" si="50"/>
        <v>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46874</v>
      </c>
      <c r="I79" s="246">
        <f t="shared" ref="I79:I108" si="74">IF(AND($W$11=1,G79&gt;=$W$11,G79&lt;=$W$11+5),0%,$C$11)</f>
        <v>9.9000000000000005E-2</v>
      </c>
      <c r="J79" s="242">
        <f t="shared" si="52"/>
        <v>0</v>
      </c>
      <c r="K79" s="242">
        <f t="shared" si="64"/>
        <v>0</v>
      </c>
      <c r="L79" s="242">
        <f t="shared" si="53"/>
        <v>0</v>
      </c>
      <c r="M79" s="242">
        <f t="shared" si="65"/>
        <v>0</v>
      </c>
      <c r="N79" s="242">
        <f t="shared" si="47"/>
        <v>0</v>
      </c>
      <c r="O79" s="242">
        <v>0</v>
      </c>
      <c r="P79" s="242">
        <f t="shared" si="23"/>
        <v>0</v>
      </c>
      <c r="Q79" s="242">
        <f t="shared" si="48"/>
        <v>0</v>
      </c>
      <c r="R79" s="242">
        <f t="shared" si="54"/>
        <v>0</v>
      </c>
      <c r="S79" s="242">
        <f t="shared" si="66"/>
        <v>0</v>
      </c>
      <c r="T79" s="467"/>
      <c r="U79" s="36">
        <f t="shared" si="70"/>
        <v>0</v>
      </c>
      <c r="V79" s="36">
        <f t="shared" si="56"/>
        <v>0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6360</v>
      </c>
      <c r="Y79" s="57">
        <f t="shared" si="39"/>
        <v>57850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MIN(5000000,$C$7*IF($C$7&gt;500000,AF76,IF($C$7&gt;200000,AF75,AF72)))</f>
        <v>360000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6360</v>
      </c>
      <c r="AN79" s="57">
        <f t="shared" si="42"/>
        <v>56390</v>
      </c>
      <c r="AO79" s="130">
        <f t="shared" si="57"/>
        <v>0</v>
      </c>
      <c r="AP79" s="553">
        <f t="shared" si="71"/>
        <v>71</v>
      </c>
      <c r="AQ79" s="554">
        <f t="shared" si="58"/>
        <v>46874</v>
      </c>
      <c r="AR79" s="555">
        <f t="shared" si="44"/>
        <v>9.9000000000000005E-2</v>
      </c>
      <c r="AS79" s="559">
        <f t="shared" si="59"/>
        <v>0</v>
      </c>
      <c r="AT79" s="546">
        <f t="shared" si="60"/>
        <v>0</v>
      </c>
      <c r="AU79" s="546">
        <f t="shared" si="61"/>
        <v>0</v>
      </c>
      <c r="AV79" s="546">
        <f t="shared" si="62"/>
        <v>0</v>
      </c>
      <c r="AW79" s="559">
        <f t="shared" si="49"/>
        <v>0</v>
      </c>
      <c r="AX79" s="559">
        <v>0</v>
      </c>
      <c r="AY79" s="559">
        <f t="shared" si="18"/>
        <v>0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0</v>
      </c>
      <c r="BH79" s="108">
        <f t="shared" si="72"/>
        <v>0</v>
      </c>
      <c r="BI79" s="108">
        <f t="shared" si="67"/>
        <v>0</v>
      </c>
      <c r="BJ79" s="22">
        <f t="shared" si="68"/>
        <v>46874</v>
      </c>
      <c r="BK79" s="108">
        <f t="shared" si="50"/>
        <v>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46905</v>
      </c>
      <c r="I80" s="250">
        <f t="shared" si="74"/>
        <v>9.9000000000000005E-2</v>
      </c>
      <c r="J80" s="242">
        <f t="shared" si="52"/>
        <v>0</v>
      </c>
      <c r="K80" s="252">
        <f t="shared" si="64"/>
        <v>0</v>
      </c>
      <c r="L80" s="252">
        <f t="shared" si="53"/>
        <v>0</v>
      </c>
      <c r="M80" s="252">
        <f t="shared" si="65"/>
        <v>0</v>
      </c>
      <c r="N80" s="252">
        <f t="shared" si="47"/>
        <v>0</v>
      </c>
      <c r="O80" s="252">
        <v>0</v>
      </c>
      <c r="P80" s="252">
        <f t="shared" si="23"/>
        <v>0</v>
      </c>
      <c r="Q80" s="252">
        <f t="shared" si="48"/>
        <v>0</v>
      </c>
      <c r="R80" s="252">
        <f t="shared" si="54"/>
        <v>0</v>
      </c>
      <c r="S80" s="252">
        <f t="shared" si="66"/>
        <v>0</v>
      </c>
      <c r="T80" s="252"/>
      <c r="U80" s="36">
        <f t="shared" si="70"/>
        <v>0</v>
      </c>
      <c r="V80" s="36">
        <f t="shared" si="56"/>
        <v>0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6360</v>
      </c>
      <c r="Y80" s="57">
        <f t="shared" si="39"/>
        <v>58215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6360</v>
      </c>
      <c r="AN80" s="57">
        <f t="shared" si="42"/>
        <v>56755</v>
      </c>
      <c r="AO80" s="130">
        <f t="shared" si="57"/>
        <v>0</v>
      </c>
      <c r="AP80" s="556">
        <f t="shared" si="71"/>
        <v>72</v>
      </c>
      <c r="AQ80" s="582">
        <f t="shared" si="58"/>
        <v>46905</v>
      </c>
      <c r="AR80" s="557">
        <f t="shared" si="44"/>
        <v>9.9000000000000005E-2</v>
      </c>
      <c r="AS80" s="560">
        <f t="shared" si="59"/>
        <v>0</v>
      </c>
      <c r="AT80" s="547">
        <f t="shared" si="60"/>
        <v>0</v>
      </c>
      <c r="AU80" s="547">
        <f t="shared" si="61"/>
        <v>0</v>
      </c>
      <c r="AV80" s="547">
        <f t="shared" si="62"/>
        <v>0</v>
      </c>
      <c r="AW80" s="560">
        <f t="shared" si="49"/>
        <v>0</v>
      </c>
      <c r="AX80" s="560">
        <v>0</v>
      </c>
      <c r="AY80" s="560">
        <f t="shared" si="18"/>
        <v>0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0</v>
      </c>
      <c r="BH80" s="108">
        <f t="shared" si="72"/>
        <v>0</v>
      </c>
      <c r="BI80" s="108">
        <f t="shared" si="67"/>
        <v>0</v>
      </c>
      <c r="BJ80" s="22">
        <f t="shared" si="68"/>
        <v>46905</v>
      </c>
      <c r="BK80" s="108">
        <f t="shared" si="50"/>
        <v>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46935</v>
      </c>
      <c r="I81" s="246">
        <f t="shared" si="74"/>
        <v>9.9000000000000005E-2</v>
      </c>
      <c r="J81" s="242">
        <f t="shared" si="52"/>
        <v>0</v>
      </c>
      <c r="K81" s="242">
        <f t="shared" si="64"/>
        <v>0</v>
      </c>
      <c r="L81" s="242">
        <f t="shared" si="53"/>
        <v>0</v>
      </c>
      <c r="M81" s="242">
        <f t="shared" si="65"/>
        <v>0</v>
      </c>
      <c r="N81" s="242">
        <f t="shared" si="47"/>
        <v>0</v>
      </c>
      <c r="O81" s="242">
        <v>0</v>
      </c>
      <c r="P81" s="242">
        <f t="shared" si="23"/>
        <v>0</v>
      </c>
      <c r="Q81" s="242">
        <f t="shared" si="48"/>
        <v>0</v>
      </c>
      <c r="R81" s="242">
        <f t="shared" si="54"/>
        <v>0</v>
      </c>
      <c r="S81" s="242">
        <f t="shared" si="66"/>
        <v>0</v>
      </c>
      <c r="T81" s="467"/>
      <c r="U81" s="36">
        <f t="shared" si="70"/>
        <v>0</v>
      </c>
      <c r="V81" s="36">
        <f t="shared" si="56"/>
        <v>0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6360</v>
      </c>
      <c r="Y81" s="57">
        <f t="shared" si="39"/>
        <v>58580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6360</v>
      </c>
      <c r="AN81" s="57">
        <f t="shared" si="42"/>
        <v>57120</v>
      </c>
      <c r="AO81" s="130">
        <f t="shared" si="57"/>
        <v>0</v>
      </c>
      <c r="AP81" s="553">
        <f t="shared" si="71"/>
        <v>73</v>
      </c>
      <c r="AQ81" s="554">
        <f t="shared" si="58"/>
        <v>46935</v>
      </c>
      <c r="AR81" s="555">
        <f t="shared" si="44"/>
        <v>9.9000000000000005E-2</v>
      </c>
      <c r="AS81" s="559">
        <f t="shared" si="59"/>
        <v>0</v>
      </c>
      <c r="AT81" s="546">
        <f t="shared" si="60"/>
        <v>0</v>
      </c>
      <c r="AU81" s="546">
        <f t="shared" si="61"/>
        <v>0</v>
      </c>
      <c r="AV81" s="546">
        <f t="shared" si="62"/>
        <v>0</v>
      </c>
      <c r="AW81" s="559">
        <f t="shared" si="49"/>
        <v>0</v>
      </c>
      <c r="AX81" s="559">
        <v>0</v>
      </c>
      <c r="AY81" s="559">
        <f t="shared" si="18"/>
        <v>0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0</v>
      </c>
      <c r="BH81" s="108">
        <f t="shared" si="72"/>
        <v>0</v>
      </c>
      <c r="BI81" s="108">
        <f t="shared" si="67"/>
        <v>0</v>
      </c>
      <c r="BJ81" s="22">
        <f t="shared" si="68"/>
        <v>46935</v>
      </c>
      <c r="BK81" s="108">
        <f t="shared" si="50"/>
        <v>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46966</v>
      </c>
      <c r="I82" s="246">
        <f t="shared" si="74"/>
        <v>9.9000000000000005E-2</v>
      </c>
      <c r="J82" s="242">
        <f t="shared" si="52"/>
        <v>0</v>
      </c>
      <c r="K82" s="242">
        <f t="shared" si="64"/>
        <v>0</v>
      </c>
      <c r="L82" s="242">
        <f t="shared" si="53"/>
        <v>0</v>
      </c>
      <c r="M82" s="242">
        <f t="shared" si="65"/>
        <v>0</v>
      </c>
      <c r="N82" s="242">
        <f t="shared" si="47"/>
        <v>0</v>
      </c>
      <c r="O82" s="242">
        <v>0</v>
      </c>
      <c r="P82" s="242">
        <f t="shared" si="23"/>
        <v>0</v>
      </c>
      <c r="Q82" s="242">
        <f t="shared" si="48"/>
        <v>0</v>
      </c>
      <c r="R82" s="242">
        <f t="shared" si="54"/>
        <v>0</v>
      </c>
      <c r="S82" s="242">
        <f t="shared" si="66"/>
        <v>0</v>
      </c>
      <c r="T82" s="467"/>
      <c r="U82" s="36">
        <f t="shared" si="70"/>
        <v>0</v>
      </c>
      <c r="V82" s="36">
        <f t="shared" si="56"/>
        <v>0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6360</v>
      </c>
      <c r="Y82" s="57">
        <f t="shared" si="39"/>
        <v>58945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6360</v>
      </c>
      <c r="AN82" s="57">
        <f t="shared" si="42"/>
        <v>57485</v>
      </c>
      <c r="AO82" s="130">
        <f t="shared" si="57"/>
        <v>0</v>
      </c>
      <c r="AP82" s="553">
        <f t="shared" si="71"/>
        <v>74</v>
      </c>
      <c r="AQ82" s="554">
        <f t="shared" si="58"/>
        <v>46966</v>
      </c>
      <c r="AR82" s="555">
        <f t="shared" si="44"/>
        <v>9.9000000000000005E-2</v>
      </c>
      <c r="AS82" s="559">
        <f t="shared" si="59"/>
        <v>0</v>
      </c>
      <c r="AT82" s="546">
        <f t="shared" si="60"/>
        <v>0</v>
      </c>
      <c r="AU82" s="546">
        <f t="shared" si="61"/>
        <v>0</v>
      </c>
      <c r="AV82" s="546">
        <f t="shared" si="62"/>
        <v>0</v>
      </c>
      <c r="AW82" s="559">
        <f t="shared" si="49"/>
        <v>0</v>
      </c>
      <c r="AX82" s="559">
        <v>0</v>
      </c>
      <c r="AY82" s="559">
        <f t="shared" si="18"/>
        <v>0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0</v>
      </c>
      <c r="BH82" s="108">
        <f t="shared" si="72"/>
        <v>0</v>
      </c>
      <c r="BI82" s="108">
        <f t="shared" si="67"/>
        <v>0</v>
      </c>
      <c r="BJ82" s="22">
        <f t="shared" si="68"/>
        <v>46966</v>
      </c>
      <c r="BK82" s="108">
        <f t="shared" si="50"/>
        <v>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46997</v>
      </c>
      <c r="I83" s="246">
        <f t="shared" si="74"/>
        <v>9.9000000000000005E-2</v>
      </c>
      <c r="J83" s="242">
        <f t="shared" si="52"/>
        <v>0</v>
      </c>
      <c r="K83" s="242">
        <f t="shared" si="64"/>
        <v>0</v>
      </c>
      <c r="L83" s="242">
        <f t="shared" si="53"/>
        <v>0</v>
      </c>
      <c r="M83" s="242">
        <f t="shared" si="65"/>
        <v>0</v>
      </c>
      <c r="N83" s="242">
        <f t="shared" si="47"/>
        <v>0</v>
      </c>
      <c r="O83" s="242">
        <v>0</v>
      </c>
      <c r="P83" s="242">
        <f t="shared" si="23"/>
        <v>0</v>
      </c>
      <c r="Q83" s="242">
        <f t="shared" si="48"/>
        <v>0</v>
      </c>
      <c r="R83" s="242">
        <f t="shared" si="54"/>
        <v>0</v>
      </c>
      <c r="S83" s="242">
        <f t="shared" si="66"/>
        <v>0</v>
      </c>
      <c r="T83" s="467"/>
      <c r="U83" s="36">
        <f t="shared" si="70"/>
        <v>0</v>
      </c>
      <c r="V83" s="36">
        <f t="shared" si="56"/>
        <v>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6360</v>
      </c>
      <c r="Y83" s="57">
        <f t="shared" si="39"/>
        <v>59310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6360</v>
      </c>
      <c r="AN83" s="57">
        <f t="shared" si="42"/>
        <v>57850</v>
      </c>
      <c r="AO83" s="130">
        <f t="shared" si="57"/>
        <v>0</v>
      </c>
      <c r="AP83" s="553">
        <f t="shared" si="71"/>
        <v>75</v>
      </c>
      <c r="AQ83" s="554">
        <f t="shared" si="58"/>
        <v>46997</v>
      </c>
      <c r="AR83" s="555">
        <f t="shared" si="44"/>
        <v>9.9000000000000005E-2</v>
      </c>
      <c r="AS83" s="559">
        <f t="shared" si="59"/>
        <v>0</v>
      </c>
      <c r="AT83" s="546">
        <f t="shared" si="60"/>
        <v>0</v>
      </c>
      <c r="AU83" s="546">
        <f t="shared" si="61"/>
        <v>0</v>
      </c>
      <c r="AV83" s="546">
        <f t="shared" si="62"/>
        <v>0</v>
      </c>
      <c r="AW83" s="559">
        <f t="shared" si="49"/>
        <v>0</v>
      </c>
      <c r="AX83" s="559">
        <v>0</v>
      </c>
      <c r="AY83" s="559">
        <f t="shared" si="18"/>
        <v>0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0</v>
      </c>
      <c r="BH83" s="108">
        <f t="shared" si="72"/>
        <v>0</v>
      </c>
      <c r="BI83" s="108">
        <f t="shared" si="67"/>
        <v>0</v>
      </c>
      <c r="BJ83" s="22">
        <f t="shared" si="68"/>
        <v>46997</v>
      </c>
      <c r="BK83" s="108">
        <f t="shared" si="50"/>
        <v>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47027</v>
      </c>
      <c r="I84" s="246">
        <f t="shared" si="74"/>
        <v>9.9000000000000005E-2</v>
      </c>
      <c r="J84" s="242">
        <f t="shared" si="52"/>
        <v>0</v>
      </c>
      <c r="K84" s="242">
        <f t="shared" si="64"/>
        <v>0</v>
      </c>
      <c r="L84" s="242">
        <f t="shared" si="53"/>
        <v>0</v>
      </c>
      <c r="M84" s="242">
        <f t="shared" si="65"/>
        <v>0</v>
      </c>
      <c r="N84" s="242">
        <f t="shared" si="47"/>
        <v>0</v>
      </c>
      <c r="O84" s="242">
        <v>0</v>
      </c>
      <c r="P84" s="242">
        <f t="shared" si="23"/>
        <v>0</v>
      </c>
      <c r="Q84" s="242">
        <f t="shared" si="48"/>
        <v>0</v>
      </c>
      <c r="R84" s="242">
        <f t="shared" si="54"/>
        <v>0</v>
      </c>
      <c r="S84" s="242">
        <f t="shared" si="66"/>
        <v>0</v>
      </c>
      <c r="T84" s="467"/>
      <c r="U84" s="36">
        <f t="shared" si="70"/>
        <v>0</v>
      </c>
      <c r="V84" s="36">
        <f t="shared" si="56"/>
        <v>0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6360</v>
      </c>
      <c r="Y84" s="57">
        <f t="shared" si="39"/>
        <v>59675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6360</v>
      </c>
      <c r="AN84" s="57">
        <f t="shared" si="42"/>
        <v>58215</v>
      </c>
      <c r="AO84" s="130">
        <f t="shared" si="57"/>
        <v>0</v>
      </c>
      <c r="AP84" s="553">
        <f t="shared" si="71"/>
        <v>76</v>
      </c>
      <c r="AQ84" s="554">
        <f t="shared" si="58"/>
        <v>47027</v>
      </c>
      <c r="AR84" s="555">
        <f t="shared" si="44"/>
        <v>9.9000000000000005E-2</v>
      </c>
      <c r="AS84" s="559">
        <f t="shared" si="59"/>
        <v>0</v>
      </c>
      <c r="AT84" s="546">
        <f t="shared" si="60"/>
        <v>0</v>
      </c>
      <c r="AU84" s="546">
        <f t="shared" si="61"/>
        <v>0</v>
      </c>
      <c r="AV84" s="546">
        <f t="shared" si="62"/>
        <v>0</v>
      </c>
      <c r="AW84" s="559">
        <f t="shared" si="49"/>
        <v>0</v>
      </c>
      <c r="AX84" s="559">
        <v>0</v>
      </c>
      <c r="AY84" s="559">
        <f t="shared" si="18"/>
        <v>0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0</v>
      </c>
      <c r="BH84" s="108">
        <f t="shared" si="72"/>
        <v>0</v>
      </c>
      <c r="BI84" s="108">
        <f t="shared" si="67"/>
        <v>0</v>
      </c>
      <c r="BJ84" s="22">
        <f t="shared" si="68"/>
        <v>47027</v>
      </c>
      <c r="BK84" s="108">
        <f t="shared" si="50"/>
        <v>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47058</v>
      </c>
      <c r="I85" s="246">
        <f t="shared" si="74"/>
        <v>9.9000000000000005E-2</v>
      </c>
      <c r="J85" s="242">
        <f t="shared" si="52"/>
        <v>0</v>
      </c>
      <c r="K85" s="242">
        <f t="shared" si="64"/>
        <v>0</v>
      </c>
      <c r="L85" s="242">
        <f t="shared" si="53"/>
        <v>0</v>
      </c>
      <c r="M85" s="242">
        <f t="shared" si="65"/>
        <v>0</v>
      </c>
      <c r="N85" s="242">
        <f t="shared" si="47"/>
        <v>0</v>
      </c>
      <c r="O85" s="242">
        <v>0</v>
      </c>
      <c r="P85" s="242">
        <f t="shared" si="23"/>
        <v>0</v>
      </c>
      <c r="Q85" s="242">
        <f t="shared" si="48"/>
        <v>0</v>
      </c>
      <c r="R85" s="242">
        <f t="shared" si="54"/>
        <v>0</v>
      </c>
      <c r="S85" s="242">
        <f t="shared" si="66"/>
        <v>0</v>
      </c>
      <c r="T85" s="467"/>
      <c r="U85" s="36">
        <f t="shared" si="70"/>
        <v>0</v>
      </c>
      <c r="V85" s="36">
        <f t="shared" si="56"/>
        <v>0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6360</v>
      </c>
      <c r="Y85" s="57">
        <f t="shared" si="39"/>
        <v>60040</v>
      </c>
      <c r="AC85" s="803" t="s">
        <v>104</v>
      </c>
      <c r="AD85" s="803"/>
      <c r="AE85" s="803"/>
      <c r="AF85" s="803"/>
      <c r="AG85" s="803"/>
      <c r="AH85" s="803"/>
      <c r="AI85" s="803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6360</v>
      </c>
      <c r="AN85" s="57">
        <f t="shared" si="42"/>
        <v>58580</v>
      </c>
      <c r="AO85" s="130">
        <f t="shared" si="57"/>
        <v>0</v>
      </c>
      <c r="AP85" s="553">
        <f t="shared" si="71"/>
        <v>77</v>
      </c>
      <c r="AQ85" s="554">
        <f t="shared" si="58"/>
        <v>47058</v>
      </c>
      <c r="AR85" s="555">
        <f t="shared" si="44"/>
        <v>9.9000000000000005E-2</v>
      </c>
      <c r="AS85" s="559">
        <f t="shared" si="59"/>
        <v>0</v>
      </c>
      <c r="AT85" s="546">
        <f t="shared" si="60"/>
        <v>0</v>
      </c>
      <c r="AU85" s="546">
        <f t="shared" si="61"/>
        <v>0</v>
      </c>
      <c r="AV85" s="546">
        <f t="shared" si="62"/>
        <v>0</v>
      </c>
      <c r="AW85" s="559">
        <f t="shared" si="49"/>
        <v>0</v>
      </c>
      <c r="AX85" s="559">
        <v>0</v>
      </c>
      <c r="AY85" s="559">
        <f t="shared" si="18"/>
        <v>0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0</v>
      </c>
      <c r="BH85" s="108">
        <f t="shared" si="72"/>
        <v>0</v>
      </c>
      <c r="BI85" s="108">
        <f t="shared" si="67"/>
        <v>0</v>
      </c>
      <c r="BJ85" s="22">
        <f t="shared" si="68"/>
        <v>47058</v>
      </c>
      <c r="BK85" s="108">
        <f t="shared" si="50"/>
        <v>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47088</v>
      </c>
      <c r="I86" s="246">
        <f t="shared" si="74"/>
        <v>9.9000000000000005E-2</v>
      </c>
      <c r="J86" s="242">
        <f t="shared" si="52"/>
        <v>0</v>
      </c>
      <c r="K86" s="242">
        <f t="shared" si="64"/>
        <v>0</v>
      </c>
      <c r="L86" s="242">
        <f t="shared" si="53"/>
        <v>0</v>
      </c>
      <c r="M86" s="242">
        <f t="shared" si="65"/>
        <v>0</v>
      </c>
      <c r="N86" s="242">
        <f t="shared" si="47"/>
        <v>0</v>
      </c>
      <c r="O86" s="242">
        <v>0</v>
      </c>
      <c r="P86" s="242">
        <f t="shared" ref="P86:P108" si="77">L86+Q86</f>
        <v>0</v>
      </c>
      <c r="Q86" s="242">
        <f t="shared" si="48"/>
        <v>0</v>
      </c>
      <c r="R86" s="242">
        <f t="shared" si="54"/>
        <v>0</v>
      </c>
      <c r="S86" s="242">
        <f t="shared" si="66"/>
        <v>0</v>
      </c>
      <c r="T86" s="467"/>
      <c r="U86" s="36">
        <f t="shared" si="70"/>
        <v>0</v>
      </c>
      <c r="V86" s="36">
        <f t="shared" si="56"/>
        <v>0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6360</v>
      </c>
      <c r="Y86" s="57">
        <f t="shared" si="39"/>
        <v>60405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6360</v>
      </c>
      <c r="AN86" s="57">
        <f t="shared" si="42"/>
        <v>58945</v>
      </c>
      <c r="AO86" s="130">
        <f t="shared" si="57"/>
        <v>0</v>
      </c>
      <c r="AP86" s="553">
        <f t="shared" si="71"/>
        <v>78</v>
      </c>
      <c r="AQ86" s="554">
        <f t="shared" si="58"/>
        <v>47088</v>
      </c>
      <c r="AR86" s="555">
        <f t="shared" si="44"/>
        <v>9.9000000000000005E-2</v>
      </c>
      <c r="AS86" s="559">
        <f t="shared" si="59"/>
        <v>0</v>
      </c>
      <c r="AT86" s="546">
        <f t="shared" si="60"/>
        <v>0</v>
      </c>
      <c r="AU86" s="546">
        <f t="shared" si="61"/>
        <v>0</v>
      </c>
      <c r="AV86" s="546">
        <f t="shared" si="62"/>
        <v>0</v>
      </c>
      <c r="AW86" s="559">
        <f t="shared" si="49"/>
        <v>0</v>
      </c>
      <c r="AX86" s="559">
        <v>0</v>
      </c>
      <c r="AY86" s="559">
        <f t="shared" ref="AY86:AY108" si="78">AU86+AZ86</f>
        <v>0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0</v>
      </c>
      <c r="BH86" s="108">
        <f t="shared" si="72"/>
        <v>0</v>
      </c>
      <c r="BI86" s="108">
        <f t="shared" si="67"/>
        <v>0</v>
      </c>
      <c r="BJ86" s="22">
        <f t="shared" si="68"/>
        <v>47088</v>
      </c>
      <c r="BK86" s="108">
        <f t="shared" si="50"/>
        <v>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47119</v>
      </c>
      <c r="I87" s="246">
        <f t="shared" si="74"/>
        <v>9.9000000000000005E-2</v>
      </c>
      <c r="J87" s="242">
        <f t="shared" si="52"/>
        <v>0</v>
      </c>
      <c r="K87" s="242">
        <f t="shared" si="64"/>
        <v>0</v>
      </c>
      <c r="L87" s="242">
        <f t="shared" si="53"/>
        <v>0</v>
      </c>
      <c r="M87" s="242">
        <f t="shared" si="65"/>
        <v>0</v>
      </c>
      <c r="N87" s="242">
        <f t="shared" si="47"/>
        <v>0</v>
      </c>
      <c r="O87" s="242">
        <v>0</v>
      </c>
      <c r="P87" s="242">
        <f t="shared" si="77"/>
        <v>0</v>
      </c>
      <c r="Q87" s="242">
        <f t="shared" si="48"/>
        <v>0</v>
      </c>
      <c r="R87" s="242">
        <f t="shared" si="54"/>
        <v>0</v>
      </c>
      <c r="S87" s="242">
        <f t="shared" si="66"/>
        <v>0</v>
      </c>
      <c r="T87" s="467"/>
      <c r="U87" s="36">
        <f t="shared" si="70"/>
        <v>0</v>
      </c>
      <c r="V87" s="36">
        <f t="shared" si="56"/>
        <v>0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6360</v>
      </c>
      <c r="Y87" s="57">
        <f t="shared" si="39"/>
        <v>60770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6360</v>
      </c>
      <c r="AN87" s="57">
        <f t="shared" si="42"/>
        <v>59310</v>
      </c>
      <c r="AO87" s="130">
        <f t="shared" si="57"/>
        <v>0</v>
      </c>
      <c r="AP87" s="553">
        <f t="shared" si="71"/>
        <v>79</v>
      </c>
      <c r="AQ87" s="554">
        <f t="shared" si="58"/>
        <v>47119</v>
      </c>
      <c r="AR87" s="555">
        <f t="shared" si="44"/>
        <v>9.9000000000000005E-2</v>
      </c>
      <c r="AS87" s="559">
        <f t="shared" si="59"/>
        <v>0</v>
      </c>
      <c r="AT87" s="546">
        <f t="shared" si="60"/>
        <v>0</v>
      </c>
      <c r="AU87" s="546">
        <f t="shared" si="61"/>
        <v>0</v>
      </c>
      <c r="AV87" s="546">
        <f t="shared" si="62"/>
        <v>0</v>
      </c>
      <c r="AW87" s="559">
        <f t="shared" si="49"/>
        <v>0</v>
      </c>
      <c r="AX87" s="559">
        <v>0</v>
      </c>
      <c r="AY87" s="559">
        <f t="shared" si="78"/>
        <v>0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0</v>
      </c>
      <c r="BH87" s="108">
        <f t="shared" si="72"/>
        <v>0</v>
      </c>
      <c r="BI87" s="108">
        <f t="shared" si="67"/>
        <v>0</v>
      </c>
      <c r="BJ87" s="22">
        <f t="shared" si="68"/>
        <v>47119</v>
      </c>
      <c r="BK87" s="108">
        <f t="shared" si="50"/>
        <v>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47150</v>
      </c>
      <c r="I88" s="246">
        <f t="shared" si="74"/>
        <v>9.9000000000000005E-2</v>
      </c>
      <c r="J88" s="242">
        <f t="shared" si="52"/>
        <v>0</v>
      </c>
      <c r="K88" s="242">
        <f t="shared" si="64"/>
        <v>0</v>
      </c>
      <c r="L88" s="242">
        <f t="shared" si="53"/>
        <v>0</v>
      </c>
      <c r="M88" s="242">
        <f t="shared" si="65"/>
        <v>0</v>
      </c>
      <c r="N88" s="242">
        <f t="shared" si="47"/>
        <v>0</v>
      </c>
      <c r="O88" s="242">
        <v>0</v>
      </c>
      <c r="P88" s="242">
        <f t="shared" si="77"/>
        <v>0</v>
      </c>
      <c r="Q88" s="242">
        <f t="shared" si="48"/>
        <v>0</v>
      </c>
      <c r="R88" s="242">
        <f t="shared" si="54"/>
        <v>0</v>
      </c>
      <c r="S88" s="242">
        <f t="shared" si="66"/>
        <v>0</v>
      </c>
      <c r="T88" s="467"/>
      <c r="U88" s="36">
        <f t="shared" si="70"/>
        <v>0</v>
      </c>
      <c r="V88" s="36">
        <f t="shared" si="56"/>
        <v>0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6360</v>
      </c>
      <c r="Y88" s="57">
        <f t="shared" si="39"/>
        <v>61135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6360</v>
      </c>
      <c r="AN88" s="57">
        <f t="shared" si="42"/>
        <v>59675</v>
      </c>
      <c r="AO88" s="130">
        <f t="shared" si="57"/>
        <v>0</v>
      </c>
      <c r="AP88" s="553">
        <f t="shared" si="71"/>
        <v>80</v>
      </c>
      <c r="AQ88" s="554">
        <f t="shared" si="58"/>
        <v>47150</v>
      </c>
      <c r="AR88" s="555">
        <f t="shared" si="44"/>
        <v>9.9000000000000005E-2</v>
      </c>
      <c r="AS88" s="559">
        <f t="shared" si="59"/>
        <v>0</v>
      </c>
      <c r="AT88" s="546">
        <f t="shared" si="60"/>
        <v>0</v>
      </c>
      <c r="AU88" s="546">
        <f t="shared" si="61"/>
        <v>0</v>
      </c>
      <c r="AV88" s="546">
        <f t="shared" si="62"/>
        <v>0</v>
      </c>
      <c r="AW88" s="559">
        <f t="shared" si="49"/>
        <v>0</v>
      </c>
      <c r="AX88" s="559">
        <v>0</v>
      </c>
      <c r="AY88" s="559">
        <f t="shared" si="78"/>
        <v>0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0</v>
      </c>
      <c r="BH88" s="108">
        <f t="shared" si="72"/>
        <v>0</v>
      </c>
      <c r="BI88" s="108">
        <f t="shared" si="67"/>
        <v>0</v>
      </c>
      <c r="BJ88" s="22">
        <f t="shared" si="68"/>
        <v>47150</v>
      </c>
      <c r="BK88" s="108">
        <f t="shared" si="50"/>
        <v>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47178</v>
      </c>
      <c r="I89" s="246">
        <f t="shared" si="74"/>
        <v>9.9000000000000005E-2</v>
      </c>
      <c r="J89" s="242">
        <f t="shared" si="52"/>
        <v>0</v>
      </c>
      <c r="K89" s="242">
        <f t="shared" si="64"/>
        <v>0</v>
      </c>
      <c r="L89" s="242">
        <f t="shared" si="53"/>
        <v>0</v>
      </c>
      <c r="M89" s="242">
        <f t="shared" si="65"/>
        <v>0</v>
      </c>
      <c r="N89" s="242">
        <f t="shared" si="47"/>
        <v>0</v>
      </c>
      <c r="O89" s="242">
        <v>0</v>
      </c>
      <c r="P89" s="242">
        <f t="shared" si="77"/>
        <v>0</v>
      </c>
      <c r="Q89" s="242">
        <f t="shared" si="48"/>
        <v>0</v>
      </c>
      <c r="R89" s="242">
        <f t="shared" si="54"/>
        <v>0</v>
      </c>
      <c r="S89" s="242">
        <f t="shared" si="66"/>
        <v>0</v>
      </c>
      <c r="T89" s="467"/>
      <c r="U89" s="36">
        <f t="shared" si="70"/>
        <v>0</v>
      </c>
      <c r="V89" s="36">
        <f t="shared" si="56"/>
        <v>0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6360</v>
      </c>
      <c r="Y89" s="57">
        <f t="shared" si="39"/>
        <v>61500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6360</v>
      </c>
      <c r="AN89" s="57">
        <f t="shared" si="42"/>
        <v>60040</v>
      </c>
      <c r="AO89" s="130">
        <f t="shared" si="57"/>
        <v>0</v>
      </c>
      <c r="AP89" s="553">
        <f t="shared" si="71"/>
        <v>81</v>
      </c>
      <c r="AQ89" s="554">
        <f t="shared" si="58"/>
        <v>47178</v>
      </c>
      <c r="AR89" s="555">
        <f t="shared" si="44"/>
        <v>9.9000000000000005E-2</v>
      </c>
      <c r="AS89" s="559">
        <f t="shared" si="59"/>
        <v>0</v>
      </c>
      <c r="AT89" s="546">
        <f t="shared" si="60"/>
        <v>0</v>
      </c>
      <c r="AU89" s="546">
        <f t="shared" si="61"/>
        <v>0</v>
      </c>
      <c r="AV89" s="546">
        <f t="shared" si="62"/>
        <v>0</v>
      </c>
      <c r="AW89" s="559">
        <f t="shared" si="49"/>
        <v>0</v>
      </c>
      <c r="AX89" s="559">
        <v>0</v>
      </c>
      <c r="AY89" s="559">
        <f t="shared" si="78"/>
        <v>0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0</v>
      </c>
      <c r="BH89" s="108">
        <f t="shared" si="72"/>
        <v>0</v>
      </c>
      <c r="BI89" s="108">
        <f t="shared" si="67"/>
        <v>0</v>
      </c>
      <c r="BJ89" s="22">
        <f t="shared" si="68"/>
        <v>47178</v>
      </c>
      <c r="BK89" s="108">
        <f t="shared" si="50"/>
        <v>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47209</v>
      </c>
      <c r="I90" s="246">
        <f t="shared" si="74"/>
        <v>9.9000000000000005E-2</v>
      </c>
      <c r="J90" s="242">
        <f t="shared" si="52"/>
        <v>0</v>
      </c>
      <c r="K90" s="242">
        <f t="shared" si="64"/>
        <v>0</v>
      </c>
      <c r="L90" s="242">
        <f t="shared" si="53"/>
        <v>0</v>
      </c>
      <c r="M90" s="242">
        <f t="shared" si="65"/>
        <v>0</v>
      </c>
      <c r="N90" s="242">
        <f t="shared" si="47"/>
        <v>0</v>
      </c>
      <c r="O90" s="242">
        <v>0</v>
      </c>
      <c r="P90" s="242">
        <f t="shared" si="77"/>
        <v>0</v>
      </c>
      <c r="Q90" s="242">
        <f t="shared" si="48"/>
        <v>0</v>
      </c>
      <c r="R90" s="242">
        <f t="shared" si="54"/>
        <v>0</v>
      </c>
      <c r="S90" s="242">
        <f t="shared" si="66"/>
        <v>0</v>
      </c>
      <c r="T90" s="467"/>
      <c r="U90" s="36">
        <f t="shared" si="70"/>
        <v>0</v>
      </c>
      <c r="V90" s="36">
        <f t="shared" si="56"/>
        <v>0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6360</v>
      </c>
      <c r="Y90" s="57">
        <f t="shared" si="39"/>
        <v>61865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6360</v>
      </c>
      <c r="AN90" s="57">
        <f t="shared" si="42"/>
        <v>60405</v>
      </c>
      <c r="AO90" s="130">
        <f t="shared" si="57"/>
        <v>0</v>
      </c>
      <c r="AP90" s="553">
        <f t="shared" si="71"/>
        <v>82</v>
      </c>
      <c r="AQ90" s="554">
        <f t="shared" si="58"/>
        <v>47209</v>
      </c>
      <c r="AR90" s="555">
        <f t="shared" si="44"/>
        <v>9.9000000000000005E-2</v>
      </c>
      <c r="AS90" s="559">
        <f t="shared" si="59"/>
        <v>0</v>
      </c>
      <c r="AT90" s="546">
        <f t="shared" si="60"/>
        <v>0</v>
      </c>
      <c r="AU90" s="546">
        <f t="shared" si="61"/>
        <v>0</v>
      </c>
      <c r="AV90" s="546">
        <f t="shared" si="62"/>
        <v>0</v>
      </c>
      <c r="AW90" s="559">
        <f t="shared" si="49"/>
        <v>0</v>
      </c>
      <c r="AX90" s="559">
        <v>0</v>
      </c>
      <c r="AY90" s="559">
        <f t="shared" si="78"/>
        <v>0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0</v>
      </c>
      <c r="BH90" s="108">
        <f t="shared" si="72"/>
        <v>0</v>
      </c>
      <c r="BI90" s="108">
        <f t="shared" si="67"/>
        <v>0</v>
      </c>
      <c r="BJ90" s="22">
        <f t="shared" si="68"/>
        <v>47209</v>
      </c>
      <c r="BK90" s="108">
        <f t="shared" si="50"/>
        <v>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47239</v>
      </c>
      <c r="I91" s="246">
        <f t="shared" si="74"/>
        <v>9.9000000000000005E-2</v>
      </c>
      <c r="J91" s="242">
        <f t="shared" si="52"/>
        <v>0</v>
      </c>
      <c r="K91" s="242">
        <f t="shared" si="64"/>
        <v>0</v>
      </c>
      <c r="L91" s="242">
        <f t="shared" si="53"/>
        <v>0</v>
      </c>
      <c r="M91" s="242">
        <f t="shared" si="65"/>
        <v>0</v>
      </c>
      <c r="N91" s="242">
        <f t="shared" si="47"/>
        <v>0</v>
      </c>
      <c r="O91" s="242">
        <v>0</v>
      </c>
      <c r="P91" s="242">
        <f t="shared" si="77"/>
        <v>0</v>
      </c>
      <c r="Q91" s="242">
        <f t="shared" si="48"/>
        <v>0</v>
      </c>
      <c r="R91" s="242">
        <f t="shared" si="54"/>
        <v>0</v>
      </c>
      <c r="S91" s="242">
        <f t="shared" si="66"/>
        <v>0</v>
      </c>
      <c r="T91" s="467"/>
      <c r="U91" s="36">
        <f t="shared" si="70"/>
        <v>0</v>
      </c>
      <c r="V91" s="36">
        <f t="shared" si="56"/>
        <v>0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6360</v>
      </c>
      <c r="Y91" s="57">
        <f t="shared" si="39"/>
        <v>62230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6360</v>
      </c>
      <c r="AN91" s="57">
        <f t="shared" si="42"/>
        <v>60770</v>
      </c>
      <c r="AO91" s="130">
        <f t="shared" si="57"/>
        <v>0</v>
      </c>
      <c r="AP91" s="553">
        <f t="shared" si="71"/>
        <v>83</v>
      </c>
      <c r="AQ91" s="554">
        <f t="shared" si="58"/>
        <v>47239</v>
      </c>
      <c r="AR91" s="555">
        <f t="shared" si="44"/>
        <v>9.9000000000000005E-2</v>
      </c>
      <c r="AS91" s="559">
        <f t="shared" si="59"/>
        <v>0</v>
      </c>
      <c r="AT91" s="546">
        <f t="shared" si="60"/>
        <v>0</v>
      </c>
      <c r="AU91" s="546">
        <f t="shared" si="61"/>
        <v>0</v>
      </c>
      <c r="AV91" s="546">
        <f t="shared" si="62"/>
        <v>0</v>
      </c>
      <c r="AW91" s="559">
        <f t="shared" si="49"/>
        <v>0</v>
      </c>
      <c r="AX91" s="559">
        <v>0</v>
      </c>
      <c r="AY91" s="559">
        <f t="shared" si="78"/>
        <v>0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0</v>
      </c>
      <c r="BH91" s="108">
        <f t="shared" si="72"/>
        <v>0</v>
      </c>
      <c r="BI91" s="108">
        <f t="shared" si="67"/>
        <v>0</v>
      </c>
      <c r="BJ91" s="22">
        <f t="shared" si="68"/>
        <v>47239</v>
      </c>
      <c r="BK91" s="108">
        <f t="shared" si="50"/>
        <v>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47270</v>
      </c>
      <c r="I92" s="246">
        <f t="shared" si="74"/>
        <v>9.9000000000000005E-2</v>
      </c>
      <c r="J92" s="242">
        <f t="shared" si="52"/>
        <v>0</v>
      </c>
      <c r="K92" s="242">
        <f t="shared" si="64"/>
        <v>0</v>
      </c>
      <c r="L92" s="242">
        <f t="shared" si="53"/>
        <v>0</v>
      </c>
      <c r="M92" s="242">
        <f t="shared" si="65"/>
        <v>0</v>
      </c>
      <c r="N92" s="242">
        <f t="shared" si="47"/>
        <v>0</v>
      </c>
      <c r="O92" s="242">
        <v>0</v>
      </c>
      <c r="P92" s="242">
        <f t="shared" si="77"/>
        <v>0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0</v>
      </c>
      <c r="V92" s="36">
        <f t="shared" si="56"/>
        <v>0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6360</v>
      </c>
      <c r="Y92" s="57">
        <f t="shared" si="39"/>
        <v>62595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6360</v>
      </c>
      <c r="AN92" s="57">
        <f t="shared" si="42"/>
        <v>61135</v>
      </c>
      <c r="AO92" s="130">
        <f t="shared" si="57"/>
        <v>0</v>
      </c>
      <c r="AP92" s="553">
        <f t="shared" si="71"/>
        <v>84</v>
      </c>
      <c r="AQ92" s="554">
        <f t="shared" si="58"/>
        <v>47270</v>
      </c>
      <c r="AR92" s="555">
        <f t="shared" si="44"/>
        <v>9.9000000000000005E-2</v>
      </c>
      <c r="AS92" s="559">
        <f t="shared" si="59"/>
        <v>0</v>
      </c>
      <c r="AT92" s="546">
        <f t="shared" si="60"/>
        <v>0</v>
      </c>
      <c r="AU92" s="546">
        <f t="shared" si="61"/>
        <v>0</v>
      </c>
      <c r="AV92" s="546">
        <f t="shared" si="62"/>
        <v>0</v>
      </c>
      <c r="AW92" s="559">
        <f t="shared" si="49"/>
        <v>0</v>
      </c>
      <c r="AX92" s="559">
        <v>0</v>
      </c>
      <c r="AY92" s="559">
        <f t="shared" si="78"/>
        <v>0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0</v>
      </c>
      <c r="BI92" s="108">
        <f t="shared" si="67"/>
        <v>0</v>
      </c>
      <c r="BJ92" s="22">
        <f t="shared" si="68"/>
        <v>47270</v>
      </c>
      <c r="BK92" s="108">
        <f t="shared" si="50"/>
        <v>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47295</v>
      </c>
      <c r="I93" s="176">
        <f t="shared" si="74"/>
        <v>9.9000000000000005E-2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6360</v>
      </c>
      <c r="Y93" s="57">
        <f t="shared" si="39"/>
        <v>62960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6360</v>
      </c>
      <c r="AN93" s="57">
        <f t="shared" si="42"/>
        <v>61500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47295</v>
      </c>
      <c r="AR93" s="177">
        <f t="shared" si="44"/>
        <v>9.9000000000000005E-2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47295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47325</v>
      </c>
      <c r="I94" s="176">
        <f t="shared" si="74"/>
        <v>9.9000000000000005E-2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6360</v>
      </c>
      <c r="Y94" s="57">
        <f t="shared" si="39"/>
        <v>63325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6360</v>
      </c>
      <c r="AN94" s="57">
        <f t="shared" si="42"/>
        <v>61865</v>
      </c>
      <c r="AO94" s="130">
        <f t="shared" si="57"/>
        <v>0</v>
      </c>
      <c r="AP94" s="109">
        <f t="shared" si="71"/>
        <v>86</v>
      </c>
      <c r="AQ94" s="110">
        <f t="shared" si="83"/>
        <v>47325</v>
      </c>
      <c r="AR94" s="177">
        <f t="shared" si="44"/>
        <v>9.9000000000000005E-2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47325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47356</v>
      </c>
      <c r="I95" s="176">
        <f t="shared" si="74"/>
        <v>9.9000000000000005E-2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6360</v>
      </c>
      <c r="Y95" s="57">
        <f t="shared" si="39"/>
        <v>63690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6360</v>
      </c>
      <c r="AN95" s="57">
        <f t="shared" si="42"/>
        <v>62230</v>
      </c>
      <c r="AO95" s="130">
        <f t="shared" si="57"/>
        <v>0</v>
      </c>
      <c r="AP95" s="109">
        <f t="shared" si="71"/>
        <v>87</v>
      </c>
      <c r="AQ95" s="110">
        <f t="shared" si="83"/>
        <v>47356</v>
      </c>
      <c r="AR95" s="177">
        <f t="shared" si="44"/>
        <v>9.9000000000000005E-2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47356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47387</v>
      </c>
      <c r="I96" s="176">
        <f t="shared" si="74"/>
        <v>9.9000000000000005E-2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6360</v>
      </c>
      <c r="Y96" s="57">
        <f t="shared" si="39"/>
        <v>64055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6360</v>
      </c>
      <c r="AN96" s="57">
        <f t="shared" si="42"/>
        <v>62595</v>
      </c>
      <c r="AO96" s="130">
        <f t="shared" si="57"/>
        <v>0</v>
      </c>
      <c r="AP96" s="109">
        <f t="shared" si="71"/>
        <v>88</v>
      </c>
      <c r="AQ96" s="110">
        <f t="shared" si="83"/>
        <v>47387</v>
      </c>
      <c r="AR96" s="177">
        <f t="shared" si="44"/>
        <v>9.9000000000000005E-2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47387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47417</v>
      </c>
      <c r="I97" s="176">
        <f t="shared" si="74"/>
        <v>9.9000000000000005E-2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6360</v>
      </c>
      <c r="Y97" s="57">
        <f t="shared" si="39"/>
        <v>64420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6360</v>
      </c>
      <c r="AN97" s="57">
        <f t="shared" si="42"/>
        <v>62960</v>
      </c>
      <c r="AO97" s="130">
        <f t="shared" si="57"/>
        <v>0</v>
      </c>
      <c r="AP97" s="109">
        <f t="shared" si="71"/>
        <v>89</v>
      </c>
      <c r="AQ97" s="110">
        <f t="shared" si="83"/>
        <v>47417</v>
      </c>
      <c r="AR97" s="177">
        <f t="shared" si="44"/>
        <v>9.9000000000000005E-2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47417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47448</v>
      </c>
      <c r="I98" s="176">
        <f t="shared" si="74"/>
        <v>9.9000000000000005E-2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6360</v>
      </c>
      <c r="Y98" s="57">
        <f t="shared" si="39"/>
        <v>64785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6360</v>
      </c>
      <c r="AN98" s="57">
        <f t="shared" si="42"/>
        <v>63325</v>
      </c>
      <c r="AO98" s="130">
        <f t="shared" si="57"/>
        <v>0</v>
      </c>
      <c r="AP98" s="109">
        <f t="shared" si="71"/>
        <v>90</v>
      </c>
      <c r="AQ98" s="110">
        <f t="shared" si="83"/>
        <v>47448</v>
      </c>
      <c r="AR98" s="177">
        <f t="shared" si="44"/>
        <v>9.9000000000000005E-2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47448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47478</v>
      </c>
      <c r="I99" s="176">
        <f t="shared" si="74"/>
        <v>9.9000000000000005E-2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6360</v>
      </c>
      <c r="Y99" s="57">
        <f t="shared" si="39"/>
        <v>65150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6360</v>
      </c>
      <c r="AN99" s="57">
        <f t="shared" si="42"/>
        <v>63690</v>
      </c>
      <c r="AO99" s="130">
        <f t="shared" si="57"/>
        <v>0</v>
      </c>
      <c r="AP99" s="109">
        <f t="shared" si="71"/>
        <v>91</v>
      </c>
      <c r="AQ99" s="110">
        <f t="shared" si="83"/>
        <v>47478</v>
      </c>
      <c r="AR99" s="177">
        <f t="shared" si="44"/>
        <v>9.9000000000000005E-2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47478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47509</v>
      </c>
      <c r="I100" s="176">
        <f t="shared" si="74"/>
        <v>9.9000000000000005E-2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6360</v>
      </c>
      <c r="Y100" s="57">
        <f t="shared" si="39"/>
        <v>65515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6360</v>
      </c>
      <c r="AN100" s="57">
        <f t="shared" si="42"/>
        <v>64055</v>
      </c>
      <c r="AO100" s="130">
        <f t="shared" si="57"/>
        <v>0</v>
      </c>
      <c r="AP100" s="109">
        <f t="shared" si="71"/>
        <v>92</v>
      </c>
      <c r="AQ100" s="110">
        <f t="shared" si="83"/>
        <v>47509</v>
      </c>
      <c r="AR100" s="177">
        <f t="shared" si="44"/>
        <v>9.9000000000000005E-2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47509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47540</v>
      </c>
      <c r="I101" s="176">
        <f t="shared" si="74"/>
        <v>9.9000000000000005E-2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6360</v>
      </c>
      <c r="Y101" s="57">
        <f t="shared" si="39"/>
        <v>65880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6360</v>
      </c>
      <c r="AN101" s="57">
        <f t="shared" si="42"/>
        <v>64420</v>
      </c>
      <c r="AO101" s="130">
        <f t="shared" si="57"/>
        <v>0</v>
      </c>
      <c r="AP101" s="109">
        <f t="shared" si="71"/>
        <v>93</v>
      </c>
      <c r="AQ101" s="110">
        <f t="shared" si="83"/>
        <v>47540</v>
      </c>
      <c r="AR101" s="177">
        <f t="shared" si="44"/>
        <v>9.9000000000000005E-2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47540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47568</v>
      </c>
      <c r="I102" s="176">
        <f t="shared" si="74"/>
        <v>9.9000000000000005E-2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6360</v>
      </c>
      <c r="Y102" s="57">
        <f t="shared" si="39"/>
        <v>66245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6360</v>
      </c>
      <c r="AN102" s="57">
        <f t="shared" si="42"/>
        <v>64785</v>
      </c>
      <c r="AO102" s="130">
        <f t="shared" si="57"/>
        <v>0</v>
      </c>
      <c r="AP102" s="109">
        <f t="shared" si="71"/>
        <v>94</v>
      </c>
      <c r="AQ102" s="110">
        <f t="shared" si="83"/>
        <v>47568</v>
      </c>
      <c r="AR102" s="177">
        <f t="shared" si="44"/>
        <v>9.9000000000000005E-2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47568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47599</v>
      </c>
      <c r="I103" s="176">
        <f t="shared" si="74"/>
        <v>9.9000000000000005E-2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6360</v>
      </c>
      <c r="Y103" s="57">
        <f t="shared" si="39"/>
        <v>66610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6360</v>
      </c>
      <c r="AN103" s="57">
        <f t="shared" si="42"/>
        <v>65150</v>
      </c>
      <c r="AO103" s="130">
        <f t="shared" si="57"/>
        <v>0</v>
      </c>
      <c r="AP103" s="109">
        <f t="shared" si="71"/>
        <v>95</v>
      </c>
      <c r="AQ103" s="110">
        <f t="shared" si="83"/>
        <v>47599</v>
      </c>
      <c r="AR103" s="177">
        <f t="shared" si="44"/>
        <v>9.9000000000000005E-2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47599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47629</v>
      </c>
      <c r="I104" s="176">
        <f t="shared" si="74"/>
        <v>9.9000000000000005E-2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0</v>
      </c>
      <c r="Y104" s="57">
        <f t="shared" si="39"/>
        <v>66975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6360</v>
      </c>
      <c r="AN104" s="57">
        <f t="shared" si="42"/>
        <v>65515</v>
      </c>
      <c r="AO104" s="130">
        <f t="shared" si="57"/>
        <v>0</v>
      </c>
      <c r="AP104" s="109">
        <f t="shared" si="71"/>
        <v>96</v>
      </c>
      <c r="AQ104" s="110">
        <f t="shared" si="83"/>
        <v>47629</v>
      </c>
      <c r="AR104" s="177">
        <f t="shared" si="44"/>
        <v>9.9000000000000005E-2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47629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47660</v>
      </c>
      <c r="I105" s="176">
        <f t="shared" si="74"/>
        <v>9.9000000000000005E-2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0</v>
      </c>
      <c r="Y105" s="57">
        <f t="shared" si="39"/>
        <v>67340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6360</v>
      </c>
      <c r="AN105" s="57">
        <f t="shared" si="42"/>
        <v>65880</v>
      </c>
      <c r="AO105" s="130">
        <f t="shared" si="57"/>
        <v>0</v>
      </c>
      <c r="AP105" s="109">
        <f t="shared" si="71"/>
        <v>97</v>
      </c>
      <c r="AQ105" s="110">
        <f t="shared" si="83"/>
        <v>47660</v>
      </c>
      <c r="AR105" s="177">
        <f t="shared" si="44"/>
        <v>9.9000000000000005E-2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47660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47690</v>
      </c>
      <c r="I106" s="176">
        <f t="shared" si="74"/>
        <v>9.9000000000000005E-2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0</v>
      </c>
      <c r="Y106" s="57">
        <f t="shared" si="39"/>
        <v>67705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6360</v>
      </c>
      <c r="AN106" s="57">
        <f t="shared" si="42"/>
        <v>66245</v>
      </c>
      <c r="AO106" s="130">
        <f t="shared" si="57"/>
        <v>0</v>
      </c>
      <c r="AP106" s="109">
        <f t="shared" si="71"/>
        <v>98</v>
      </c>
      <c r="AQ106" s="110">
        <f t="shared" si="83"/>
        <v>47690</v>
      </c>
      <c r="AR106" s="177">
        <f t="shared" si="44"/>
        <v>9.9000000000000005E-2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47690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47721</v>
      </c>
      <c r="I107" s="176">
        <f t="shared" si="74"/>
        <v>9.9000000000000005E-2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0</v>
      </c>
      <c r="Y107" s="57">
        <f t="shared" si="39"/>
        <v>68070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6360</v>
      </c>
      <c r="AN107" s="57">
        <f t="shared" si="42"/>
        <v>66610</v>
      </c>
      <c r="AO107" s="130">
        <f t="shared" si="57"/>
        <v>0</v>
      </c>
      <c r="AP107" s="109">
        <f t="shared" si="71"/>
        <v>99</v>
      </c>
      <c r="AQ107" s="110">
        <f t="shared" si="83"/>
        <v>47721</v>
      </c>
      <c r="AR107" s="177">
        <f t="shared" si="44"/>
        <v>9.9000000000000005E-2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47721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47752</v>
      </c>
      <c r="I108" s="176">
        <f t="shared" si="74"/>
        <v>9.9000000000000005E-2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0</v>
      </c>
      <c r="Y108" s="57">
        <f t="shared" si="39"/>
        <v>68435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0</v>
      </c>
      <c r="AN108" s="57">
        <f t="shared" si="42"/>
        <v>66975</v>
      </c>
      <c r="AO108" s="130">
        <f t="shared" si="57"/>
        <v>0</v>
      </c>
      <c r="AP108" s="109">
        <f t="shared" si="71"/>
        <v>100</v>
      </c>
      <c r="AQ108" s="110">
        <f t="shared" si="83"/>
        <v>47752</v>
      </c>
      <c r="AR108" s="177">
        <f t="shared" si="44"/>
        <v>9.9000000000000005E-2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47752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381600</v>
      </c>
      <c r="K109" s="30">
        <f>(SUM(K9:K108)-IF(CODE(C12)=209,AI51,0))</f>
        <v>381600</v>
      </c>
      <c r="L109" s="30">
        <f t="shared" ref="L109:R109" si="86">SUM(L9:L108)</f>
        <v>82070.472560157548</v>
      </c>
      <c r="M109" s="30">
        <f t="shared" si="86"/>
        <v>300000</v>
      </c>
      <c r="N109" s="31">
        <f t="shared" si="86"/>
        <v>0</v>
      </c>
      <c r="O109" s="31">
        <f t="shared" si="86"/>
        <v>0</v>
      </c>
      <c r="P109" s="31">
        <f t="shared" si="86"/>
        <v>82070.472560157548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0</v>
      </c>
      <c r="Y109" s="57">
        <f t="shared" ref="Y109:Y143" si="87">Y108+365</f>
        <v>68800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3499</v>
      </c>
      <c r="AF109" s="16">
        <f t="shared" ref="AF109:AI109" si="88">IF($C$7&lt;=$AE$89,AE89,IF($C$7&lt;=$AD$90,AF90,IF($C$7&lt;=$AD$91,AF91,AF92)))</f>
        <v>4999</v>
      </c>
      <c r="AG109" s="16">
        <f t="shared" si="88"/>
        <v>6999</v>
      </c>
      <c r="AH109" s="16">
        <f t="shared" si="88"/>
        <v>0</v>
      </c>
      <c r="AI109" s="16">
        <f t="shared" si="88"/>
        <v>0</v>
      </c>
      <c r="AJ109" s="16">
        <f>IF($C$10&lt;=AE88,AE109,IF($C$10&lt;=AF88,AF109,IF($C$10&lt;=AG88,AG109,IF($C$10&lt;=AH88,AH109,AI109))))</f>
        <v>6999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0</v>
      </c>
      <c r="AN109" s="57">
        <f t="shared" si="42"/>
        <v>67340</v>
      </c>
      <c r="AO109" s="130"/>
      <c r="AP109" s="28"/>
      <c r="AQ109" s="29" t="s">
        <v>7</v>
      </c>
      <c r="AR109" s="29"/>
      <c r="AS109" s="30">
        <f>SUM(AS9:AS108)</f>
        <v>381600</v>
      </c>
      <c r="AT109" s="30">
        <f>(SUM(AT9:AT108)-IF(CODE(C12)=209,BX57,0))</f>
        <v>381600</v>
      </c>
      <c r="AU109" s="30">
        <f>SUM(AU9:AU108)</f>
        <v>82066.675230202207</v>
      </c>
      <c r="AV109" s="30">
        <f>SUM(AV9:AV108)</f>
        <v>300000.00000000006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381600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0</v>
      </c>
      <c r="Y110" s="57">
        <f t="shared" si="87"/>
        <v>69165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0</v>
      </c>
      <c r="AN110" s="57">
        <f t="shared" si="42"/>
        <v>67705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0</v>
      </c>
      <c r="Y111" s="57">
        <f t="shared" si="87"/>
        <v>69530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0</v>
      </c>
      <c r="AN111" s="57">
        <f t="shared" si="42"/>
        <v>68070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0</v>
      </c>
      <c r="Y112" s="57">
        <f t="shared" si="87"/>
        <v>69895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0</v>
      </c>
      <c r="AN112" s="57">
        <f t="shared" si="42"/>
        <v>68435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0</v>
      </c>
      <c r="Y113" s="57">
        <f t="shared" si="87"/>
        <v>70260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0</v>
      </c>
      <c r="AN113" s="57">
        <f t="shared" ref="AN113:AN147" si="90">AN112+365</f>
        <v>68800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0</v>
      </c>
      <c r="Y114" s="57">
        <f>Y83+365</f>
        <v>59675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0</v>
      </c>
      <c r="AN114" s="57">
        <f t="shared" si="90"/>
        <v>69165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0</v>
      </c>
      <c r="Y115" s="57">
        <f t="shared" si="87"/>
        <v>60040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0</v>
      </c>
      <c r="AN115" s="57">
        <f t="shared" si="90"/>
        <v>69530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0</v>
      </c>
      <c r="Y116" s="57">
        <f t="shared" si="87"/>
        <v>60405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0</v>
      </c>
      <c r="AN116" s="57">
        <f t="shared" si="90"/>
        <v>69895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0</v>
      </c>
      <c r="Y117" s="57">
        <f t="shared" si="87"/>
        <v>60770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0</v>
      </c>
      <c r="AN117" s="57">
        <f t="shared" si="90"/>
        <v>70260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0</v>
      </c>
      <c r="Y118" s="57">
        <f t="shared" si="87"/>
        <v>61135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0</v>
      </c>
      <c r="AN118" s="57">
        <f>AN87+365</f>
        <v>59675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0</v>
      </c>
      <c r="Y119" s="57">
        <f t="shared" si="87"/>
        <v>61500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0</v>
      </c>
      <c r="AN119" s="57">
        <f t="shared" si="90"/>
        <v>60040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0</v>
      </c>
      <c r="Y120" s="57">
        <f t="shared" si="87"/>
        <v>61865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0</v>
      </c>
      <c r="AN120" s="57">
        <f t="shared" si="90"/>
        <v>60405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0</v>
      </c>
      <c r="Y121" s="57">
        <f t="shared" si="87"/>
        <v>62230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0</v>
      </c>
      <c r="AN121" s="57">
        <f t="shared" si="90"/>
        <v>60770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0</v>
      </c>
      <c r="Y122" s="57">
        <f t="shared" si="87"/>
        <v>62595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0</v>
      </c>
      <c r="AN122" s="57">
        <f t="shared" si="90"/>
        <v>61135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0</v>
      </c>
      <c r="Y123" s="57">
        <f t="shared" si="87"/>
        <v>62960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0</v>
      </c>
      <c r="AN123" s="57">
        <f t="shared" si="90"/>
        <v>61500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0</v>
      </c>
      <c r="Y124" s="57">
        <f t="shared" si="87"/>
        <v>63325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0</v>
      </c>
      <c r="AN124" s="57">
        <f t="shared" si="90"/>
        <v>61865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0</v>
      </c>
      <c r="Y125" s="57">
        <f t="shared" si="87"/>
        <v>63690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IF(AND(Y82&gt;=$W$11,Y82&lt;=$W$11+5),0,IF($C$9&gt;$AF$51,ROUND(AI85*#REF!/(DATEVALUE(CONCATENATE("01/01/",YEAR(Z82)+1))-DATEVALUE(CONCATENATE("01/01/",YEAR(Z82))))*(Z82-Z81),2),0))</f>
        <v>#REF!</v>
      </c>
      <c r="AM125" s="34">
        <f t="shared" si="91"/>
        <v>0</v>
      </c>
      <c r="AN125" s="57">
        <f t="shared" si="90"/>
        <v>62230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0</v>
      </c>
      <c r="Y126" s="57">
        <f t="shared" si="87"/>
        <v>64055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IF(AND(Y83&gt;=$W$11,Y83&lt;=$W$11+5),0,IF($C$9&gt;$AF$51,ROUND(AI86*#REF!/(DATEVALUE(CONCATENATE("01/01/",YEAR(Z83)+1))-DATEVALUE(CONCATENATE("01/01/",YEAR(Z83))))*(Z83-Z82),2),0))</f>
        <v>#VALUE!</v>
      </c>
      <c r="AM126" s="34">
        <f t="shared" si="91"/>
        <v>0</v>
      </c>
      <c r="AN126" s="57">
        <f t="shared" si="90"/>
        <v>62595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0</v>
      </c>
      <c r="Y127" s="57">
        <f t="shared" si="87"/>
        <v>64420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IF(AND(Y84&gt;=$W$11,Y84&lt;=$W$11+5),0,IF($C$9&gt;$AF$51,ROUND(AI87*#REF!/(DATEVALUE(CONCATENATE("01/01/",YEAR(Z84)+1))-DATEVALUE(CONCATENATE("01/01/",YEAR(Z84))))*(Z84-Z83),2),0))</f>
        <v>#REF!</v>
      </c>
      <c r="AM127" s="34">
        <f t="shared" si="91"/>
        <v>0</v>
      </c>
      <c r="AN127" s="57">
        <f t="shared" si="90"/>
        <v>62960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64785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IF(AND(Y85&gt;=$W$11,Y85&lt;=$W$11+5),0,IF($C$9&gt;$AF$51,ROUND(AI88*#REF!/(DATEVALUE(CONCATENATE("01/01/",YEAR(Z85)+1))-DATEVALUE(CONCATENATE("01/01/",YEAR(Z85))))*(Z85-Z84),2),0))</f>
        <v>#REF!</v>
      </c>
      <c r="AM128" s="34">
        <f t="shared" si="91"/>
        <v>0</v>
      </c>
      <c r="AN128" s="57">
        <f t="shared" si="90"/>
        <v>63325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65150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IF(AND(Y86&gt;=$W$11,Y86&lt;=$W$11+5),0,IF($C$9&gt;$AF$51,ROUND(AI89*#REF!/(DATEVALUE(CONCATENATE("01/01/",YEAR(Z86)+1))-DATEVALUE(CONCATENATE("01/01/",YEAR(Z86))))*(Z86-Z85),2),0))</f>
        <v>#REF!</v>
      </c>
      <c r="AM129" s="34">
        <f t="shared" si="91"/>
        <v>0</v>
      </c>
      <c r="AN129" s="57">
        <f t="shared" si="90"/>
        <v>63690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65515</v>
      </c>
      <c r="AL130" s="2" t="e">
        <f>IF(AND(Y87&gt;=$W$11,Y87&lt;=$W$11+5),0,IF($C$9&gt;$AF$51,ROUND(AI90*#REF!/(DATEVALUE(CONCATENATE("01/01/",YEAR(Z87)+1))-DATEVALUE(CONCATENATE("01/01/",YEAR(Z87))))*(Z87-Z86),2),0))</f>
        <v>#REF!</v>
      </c>
      <c r="AM130" s="34">
        <f t="shared" si="91"/>
        <v>0</v>
      </c>
      <c r="AN130" s="57">
        <f t="shared" si="90"/>
        <v>64055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65880</v>
      </c>
      <c r="AL131" s="2" t="e">
        <f>IF(AND(Y88&gt;=$W$11,Y88&lt;=$W$11+5),0,IF($C$9&gt;$AF$51,ROUND(AI91*#REF!/(DATEVALUE(CONCATENATE("01/01/",YEAR(Z88)+1))-DATEVALUE(CONCATENATE("01/01/",YEAR(Z88))))*(Z88-Z87),2),0))</f>
        <v>#REF!</v>
      </c>
      <c r="AM131" s="34">
        <f t="shared" si="91"/>
        <v>0</v>
      </c>
      <c r="AN131" s="57">
        <f t="shared" si="90"/>
        <v>64420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66245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64785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66610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65150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66975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65515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67340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65880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67705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66245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68070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66610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68435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66975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68800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67340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69165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67705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69530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68070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69895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68435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70260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68800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381600</v>
      </c>
      <c r="Y144" s="154">
        <f>XIRR(X42:X143,Y42:Y143)*12</f>
        <v>9.9043285846710197E-2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69165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69530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69895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70260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381600</v>
      </c>
      <c r="AN148" s="154">
        <f>XIRR(AM46:AM147,AN46:AN147)*12</f>
        <v>9.9043285846710197E-2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A32:E32"/>
    <mergeCell ref="A33:A34"/>
    <mergeCell ref="BN33:BN35"/>
    <mergeCell ref="A35:B35"/>
    <mergeCell ref="A36:B36"/>
    <mergeCell ref="A31:B31"/>
    <mergeCell ref="A20:E20"/>
    <mergeCell ref="A21:E21"/>
    <mergeCell ref="A22:C22"/>
    <mergeCell ref="A23:B23"/>
    <mergeCell ref="A24:B24"/>
    <mergeCell ref="A25:B25"/>
    <mergeCell ref="A26:B26"/>
    <mergeCell ref="A27:B27"/>
    <mergeCell ref="A28:B28"/>
    <mergeCell ref="A29:B29"/>
    <mergeCell ref="A30:B30"/>
    <mergeCell ref="A12:B12"/>
    <mergeCell ref="A13:B13"/>
    <mergeCell ref="BN13:BN14"/>
    <mergeCell ref="BO13:BO14"/>
    <mergeCell ref="A14:A15"/>
    <mergeCell ref="BO10:BO11"/>
    <mergeCell ref="A11:B11"/>
    <mergeCell ref="AR6:AR7"/>
    <mergeCell ref="AT6:AT7"/>
    <mergeCell ref="AU6:AU7"/>
    <mergeCell ref="AV6:AV7"/>
    <mergeCell ref="BG6:BG7"/>
    <mergeCell ref="BN6:BT6"/>
    <mergeCell ref="A9:B9"/>
    <mergeCell ref="C9:D9"/>
    <mergeCell ref="A10:B10"/>
    <mergeCell ref="C10:D10"/>
    <mergeCell ref="BN10:BN11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C85:AI85"/>
    <mergeCell ref="AP3:BH4"/>
    <mergeCell ref="BN3:BT3"/>
    <mergeCell ref="A5:E5"/>
    <mergeCell ref="K6:K7"/>
    <mergeCell ref="A7:B7"/>
    <mergeCell ref="C7:D7"/>
    <mergeCell ref="BN7:BN8"/>
    <mergeCell ref="BO7:BO8"/>
    <mergeCell ref="BR7:BR8"/>
    <mergeCell ref="BS7:BS8"/>
    <mergeCell ref="AP6:AP7"/>
    <mergeCell ref="AQ6:AQ7"/>
    <mergeCell ref="A16:A18"/>
    <mergeCell ref="BT7:BT8"/>
    <mergeCell ref="A8:B8"/>
  </mergeCells>
  <conditionalFormatting sqref="D17">
    <cfRule type="cellIs" dxfId="9" priority="1" operator="notEqual">
      <formula>""</formula>
    </cfRule>
  </conditionalFormatting>
  <dataValidations count="6">
    <dataValidation type="list" allowBlank="1" showInputMessage="1" showErrorMessage="1" sqref="C16">
      <formula1>$AC$30:$AD$30</formula1>
    </dataValidation>
    <dataValidation type="list" allowBlank="1" showInputMessage="1" showErrorMessage="1" sqref="C10:D10">
      <formula1>$G$44:$G$68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8">
      <formula1>$AG$59</formula1>
    </dataValidation>
    <dataValidation type="list" allowBlank="1" showInputMessage="1" showErrorMessage="1" sqref="C11">
      <formula1>$AB$4:$AB$13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S154"/>
  <sheetViews>
    <sheetView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41.7109375" style="2" customWidth="1"/>
    <col min="2" max="2" width="35.7109375" style="2" customWidth="1"/>
    <col min="3" max="3" width="24.140625" style="1" customWidth="1"/>
    <col min="4" max="4" width="31.42578125" style="1" hidden="1" customWidth="1"/>
    <col min="5" max="5" width="2.7109375" style="1" hidden="1" customWidth="1"/>
    <col min="6" max="6" width="7" style="1" customWidth="1"/>
    <col min="7" max="7" width="7.7109375" style="1" customWidth="1"/>
    <col min="8" max="9" width="13.42578125" style="1" customWidth="1"/>
    <col min="10" max="10" width="15.42578125" style="1" customWidth="1"/>
    <col min="11" max="11" width="15.42578125" style="2" customWidth="1"/>
    <col min="12" max="12" width="12.140625" style="1" customWidth="1"/>
    <col min="13" max="16" width="15" style="3" hidden="1" customWidth="1"/>
    <col min="17" max="17" width="14.42578125" style="3" hidden="1" customWidth="1"/>
    <col min="18" max="18" width="14.42578125" style="2" customWidth="1"/>
    <col min="19" max="20" width="14.42578125" style="2" hidden="1" customWidth="1"/>
    <col min="21" max="21" width="14.42578125" style="44" hidden="1" customWidth="1"/>
    <col min="22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37.285156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6.28515625" style="2" hidden="1" customWidth="1"/>
    <col min="43" max="44" width="14.42578125" style="2" hidden="1" customWidth="1"/>
    <col min="45" max="45" width="13.140625" style="2" hidden="1" customWidth="1"/>
    <col min="46" max="46" width="13.7109375" style="2" hidden="1" customWidth="1"/>
    <col min="47" max="47" width="12" style="2" hidden="1" customWidth="1"/>
    <col min="48" max="49" width="13.7109375" style="2" hidden="1" customWidth="1"/>
    <col min="50" max="56" width="8.7109375" style="2" hidden="1" customWidth="1"/>
    <col min="57" max="57" width="14" style="2" hidden="1" customWidth="1"/>
    <col min="58" max="59" width="8.7109375" style="2" hidden="1" customWidth="1"/>
    <col min="60" max="60" width="9.7109375" style="1" hidden="1" customWidth="1"/>
    <col min="61" max="61" width="11.42578125" style="2" hidden="1" customWidth="1"/>
    <col min="62" max="62" width="10.42578125" style="2" hidden="1" customWidth="1"/>
    <col min="63" max="63" width="3.7109375" style="2" customWidth="1"/>
    <col min="64" max="64" width="24.140625" style="2" customWidth="1"/>
    <col min="65" max="65" width="3.7109375" style="2" customWidth="1"/>
    <col min="66" max="66" width="41.42578125" style="2" customWidth="1"/>
    <col min="67" max="67" width="4.42578125" style="2" customWidth="1"/>
    <col min="68" max="68" width="18" style="2" customWidth="1"/>
    <col min="69" max="69" width="4.7109375" style="2" customWidth="1"/>
    <col min="70" max="70" width="7.7109375" style="2" customWidth="1"/>
    <col min="71" max="74" width="8.7109375" style="2" customWidth="1"/>
    <col min="75" max="75" width="8.7109375" style="2" hidden="1" customWidth="1"/>
    <col min="76" max="76" width="13.42578125" style="2" hidden="1" customWidth="1"/>
    <col min="77" max="77" width="8.7109375" style="2" hidden="1" customWidth="1"/>
    <col min="78" max="127" width="8.7109375" style="2" customWidth="1"/>
    <col min="128" max="16384" width="8.7109375" style="2"/>
  </cols>
  <sheetData>
    <row r="1" spans="1:77" ht="30.75" customHeight="1" x14ac:dyDescent="0.2">
      <c r="A1" s="757" t="s">
        <v>128</v>
      </c>
      <c r="B1" s="758"/>
      <c r="C1" s="758"/>
      <c r="D1" s="758"/>
      <c r="E1" s="759"/>
      <c r="F1" s="292"/>
      <c r="G1" s="2"/>
      <c r="H1" s="2"/>
      <c r="I1" s="2"/>
      <c r="J1" s="2"/>
      <c r="L1" s="2"/>
      <c r="M1" s="2"/>
      <c r="N1" s="2"/>
      <c r="O1" s="2"/>
      <c r="P1" s="2"/>
      <c r="Q1" s="2"/>
      <c r="U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H1" s="2"/>
    </row>
    <row r="2" spans="1:77" ht="33" customHeight="1" x14ac:dyDescent="0.2">
      <c r="A2" s="760"/>
      <c r="B2" s="761"/>
      <c r="C2" s="761"/>
      <c r="D2" s="761"/>
      <c r="E2" s="762"/>
      <c r="F2" s="292"/>
      <c r="G2" s="2"/>
      <c r="H2" s="2"/>
      <c r="I2" s="2"/>
      <c r="J2" s="2"/>
      <c r="L2" s="2"/>
      <c r="M2" s="2"/>
      <c r="N2" s="2"/>
      <c r="O2" s="2"/>
      <c r="P2" s="2"/>
      <c r="Q2" s="2"/>
      <c r="U2" s="2"/>
      <c r="AE2" s="2"/>
      <c r="AF2" s="2"/>
      <c r="AG2" s="2"/>
      <c r="AH2" s="2"/>
      <c r="BH2" s="2"/>
    </row>
    <row r="3" spans="1:77" ht="25.9" customHeight="1" x14ac:dyDescent="0.25">
      <c r="A3" s="892" t="s">
        <v>197</v>
      </c>
      <c r="B3" s="893"/>
      <c r="C3" s="893"/>
      <c r="D3" s="893"/>
      <c r="E3" s="893"/>
      <c r="F3" s="310"/>
      <c r="G3" s="865" t="s">
        <v>328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146"/>
      <c r="V3" s="63"/>
      <c r="W3" s="63" t="s">
        <v>33</v>
      </c>
      <c r="X3" s="63" t="s">
        <v>71</v>
      </c>
      <c r="Y3" s="63" t="s">
        <v>72</v>
      </c>
      <c r="Z3" s="63" t="s">
        <v>73</v>
      </c>
      <c r="AA3" s="63" t="s">
        <v>74</v>
      </c>
      <c r="AB3" s="63" t="s">
        <v>129</v>
      </c>
      <c r="AC3" s="63" t="s">
        <v>71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35" t="str">
        <f>CONCATENATE("График платежей - Тариф ",D28)</f>
        <v>График платежей - Тариф Базовый</v>
      </c>
      <c r="AQ3" s="835"/>
      <c r="AR3" s="835"/>
      <c r="AS3" s="835"/>
      <c r="AT3" s="835"/>
      <c r="AU3" s="835"/>
      <c r="AV3" s="835"/>
      <c r="AW3" s="835"/>
      <c r="AX3" s="835"/>
      <c r="AY3" s="835"/>
      <c r="AZ3" s="835"/>
      <c r="BA3" s="835"/>
      <c r="BB3" s="835"/>
      <c r="BC3" s="835"/>
      <c r="BD3" s="835"/>
      <c r="BE3" s="835"/>
      <c r="BF3" s="835"/>
      <c r="BG3" s="102"/>
      <c r="BH3" s="102"/>
      <c r="BI3" s="102"/>
      <c r="BL3" s="794" t="s">
        <v>94</v>
      </c>
      <c r="BM3" s="794"/>
      <c r="BN3" s="794"/>
      <c r="BO3" s="794"/>
      <c r="BP3" s="794"/>
      <c r="BQ3" s="794"/>
      <c r="BR3" s="794"/>
    </row>
    <row r="4" spans="1:77" ht="13.5" hidden="1" customHeight="1" x14ac:dyDescent="0.2">
      <c r="A4" s="311"/>
      <c r="B4" s="311"/>
      <c r="C4" s="311"/>
      <c r="D4" s="311"/>
      <c r="E4" s="311"/>
      <c r="F4" s="293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146"/>
      <c r="V4" s="147"/>
      <c r="W4" s="147">
        <v>0.11899999999999999</v>
      </c>
      <c r="X4" s="147">
        <v>9.9000000000000005E-2</v>
      </c>
      <c r="Y4" s="147">
        <v>9.9000000000000005E-2</v>
      </c>
      <c r="Z4" s="147">
        <v>9.9000000000000005E-2</v>
      </c>
      <c r="AA4" s="147">
        <v>9.9000000000000005E-2</v>
      </c>
      <c r="AB4" s="147"/>
      <c r="AC4" s="63" t="s">
        <v>72</v>
      </c>
      <c r="AD4" s="147">
        <f>IF(OR(C$8="Гарантия стандарт",C$8="Гарантия пакет"),$AB$4,$W$4)</f>
        <v>0.11899999999999999</v>
      </c>
      <c r="AE4" s="147">
        <f>IF(OR($D$8="Гарантия стандарт",$D$8="Гарантия пакет"),AB4,W4)</f>
        <v>0.11899999999999999</v>
      </c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35"/>
      <c r="AQ4" s="835"/>
      <c r="AR4" s="835"/>
      <c r="AS4" s="835"/>
      <c r="AT4" s="835"/>
      <c r="AU4" s="835"/>
      <c r="AV4" s="835"/>
      <c r="AW4" s="835"/>
      <c r="AX4" s="835"/>
      <c r="AY4" s="835"/>
      <c r="AZ4" s="835"/>
      <c r="BA4" s="835"/>
      <c r="BB4" s="835"/>
      <c r="BC4" s="835"/>
      <c r="BD4" s="835"/>
      <c r="BE4" s="835"/>
      <c r="BF4" s="835"/>
      <c r="BG4" s="102"/>
      <c r="BH4" s="102"/>
      <c r="BI4" s="102"/>
      <c r="BJ4" s="57"/>
    </row>
    <row r="5" spans="1:77" ht="12" hidden="1" customHeight="1" thickBot="1" x14ac:dyDescent="0.25">
      <c r="A5" s="831"/>
      <c r="B5" s="831"/>
      <c r="C5" s="831"/>
      <c r="D5" s="831"/>
      <c r="E5" s="831"/>
      <c r="F5" s="294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49"/>
      <c r="V5" s="15"/>
      <c r="W5" s="15">
        <v>0.129</v>
      </c>
      <c r="X5" s="15">
        <f>$W5-2%</f>
        <v>0.109</v>
      </c>
      <c r="Y5" s="15">
        <f t="shared" ref="Y5:AA5" si="0">$W5-2%</f>
        <v>0.109</v>
      </c>
      <c r="Z5" s="15">
        <f t="shared" si="0"/>
        <v>0.109</v>
      </c>
      <c r="AA5" s="15">
        <f t="shared" si="0"/>
        <v>0.109</v>
      </c>
      <c r="AB5" s="15">
        <v>5.8999999999999997E-2</v>
      </c>
      <c r="AC5" s="63" t="s">
        <v>73</v>
      </c>
      <c r="AD5" s="147">
        <f>IF(OR($C$8="Гарантия стандарт",$C$8="Гарантия пакет"),AB5,W5)</f>
        <v>0.129</v>
      </c>
      <c r="AE5" s="147">
        <f t="shared" ref="AE5:AE12" si="1">IF(OR($D$8="Гарантия стандарт",$D$8="Гарантия пакет"),AB5,W5)</f>
        <v>0.129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2"/>
      <c r="BH5" s="117"/>
      <c r="BI5" s="102"/>
      <c r="BJ5" s="57"/>
    </row>
    <row r="6" spans="1:77" ht="28.9" customHeight="1" thickBot="1" x14ac:dyDescent="0.25">
      <c r="A6" s="775" t="s">
        <v>164</v>
      </c>
      <c r="B6" s="775"/>
      <c r="C6" s="775" t="s">
        <v>165</v>
      </c>
      <c r="D6" s="775"/>
      <c r="E6" s="283" t="s">
        <v>82</v>
      </c>
      <c r="F6" s="295"/>
      <c r="G6" s="776" t="s">
        <v>148</v>
      </c>
      <c r="H6" s="776" t="s">
        <v>215</v>
      </c>
      <c r="I6" s="776" t="s">
        <v>329</v>
      </c>
      <c r="J6" s="776" t="s">
        <v>216</v>
      </c>
      <c r="K6" s="776" t="s">
        <v>217</v>
      </c>
      <c r="L6" s="776" t="s">
        <v>192</v>
      </c>
      <c r="M6" s="338"/>
      <c r="N6" s="338"/>
      <c r="O6" s="338"/>
      <c r="P6" s="338"/>
      <c r="Q6" s="338"/>
      <c r="R6" s="776" t="s">
        <v>193</v>
      </c>
      <c r="S6" s="776" t="s">
        <v>289</v>
      </c>
      <c r="T6" s="117"/>
      <c r="U6" s="49"/>
      <c r="V6" s="479"/>
      <c r="W6" s="479">
        <v>0.159</v>
      </c>
      <c r="X6" s="480">
        <f>W6</f>
        <v>0.159</v>
      </c>
      <c r="Y6" s="480">
        <f t="shared" ref="Y6:AB6" si="2">X6</f>
        <v>0.159</v>
      </c>
      <c r="Z6" s="480">
        <f t="shared" si="2"/>
        <v>0.159</v>
      </c>
      <c r="AA6" s="480">
        <f t="shared" si="2"/>
        <v>0.159</v>
      </c>
      <c r="AB6" s="480">
        <f t="shared" si="2"/>
        <v>0.159</v>
      </c>
      <c r="AC6" s="63" t="s">
        <v>74</v>
      </c>
      <c r="AD6" s="147">
        <f t="shared" ref="AD6:AD11" si="3">IF(OR($C$8="Гарантия стандарт",$C$8="Гарантия пакет"),AB6,W6)</f>
        <v>0.159</v>
      </c>
      <c r="AE6" s="147">
        <f t="shared" si="1"/>
        <v>0.159</v>
      </c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2"/>
      <c r="BH6" s="117"/>
      <c r="BI6" s="102"/>
      <c r="BJ6" s="57"/>
      <c r="BL6" s="795" t="s">
        <v>95</v>
      </c>
      <c r="BM6" s="795"/>
      <c r="BN6" s="795"/>
      <c r="BO6" s="795"/>
      <c r="BP6" s="795"/>
      <c r="BQ6" s="795"/>
      <c r="BR6" s="795"/>
    </row>
    <row r="7" spans="1:77" ht="22.9" customHeight="1" x14ac:dyDescent="0.5">
      <c r="A7" s="763" t="s">
        <v>200</v>
      </c>
      <c r="B7" s="763"/>
      <c r="C7" s="767">
        <v>300000</v>
      </c>
      <c r="D7" s="767"/>
      <c r="E7" s="889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296"/>
      <c r="G7" s="776"/>
      <c r="H7" s="776"/>
      <c r="I7" s="776"/>
      <c r="J7" s="776"/>
      <c r="K7" s="776"/>
      <c r="L7" s="776"/>
      <c r="M7" s="339" t="s">
        <v>36</v>
      </c>
      <c r="N7" s="339" t="s">
        <v>39</v>
      </c>
      <c r="O7" s="339" t="s">
        <v>38</v>
      </c>
      <c r="P7" s="339" t="s">
        <v>37</v>
      </c>
      <c r="Q7" s="339" t="s">
        <v>288</v>
      </c>
      <c r="R7" s="776"/>
      <c r="S7" s="776"/>
      <c r="T7" s="149" t="s">
        <v>32</v>
      </c>
      <c r="U7" s="150" t="s">
        <v>31</v>
      </c>
      <c r="V7" s="479"/>
      <c r="W7" s="479">
        <v>0.13900000000000001</v>
      </c>
      <c r="X7" s="480">
        <f t="shared" ref="X7:AB11" si="4">W7</f>
        <v>0.13900000000000001</v>
      </c>
      <c r="Y7" s="480">
        <f t="shared" si="4"/>
        <v>0.13900000000000001</v>
      </c>
      <c r="Z7" s="480">
        <f t="shared" si="4"/>
        <v>0.13900000000000001</v>
      </c>
      <c r="AA7" s="480">
        <f t="shared" si="4"/>
        <v>0.13900000000000001</v>
      </c>
      <c r="AB7" s="480">
        <f t="shared" si="4"/>
        <v>0.13900000000000001</v>
      </c>
      <c r="AC7" s="101"/>
      <c r="AD7" s="147">
        <f t="shared" si="3"/>
        <v>0.13900000000000001</v>
      </c>
      <c r="AE7" s="147">
        <f t="shared" si="1"/>
        <v>0.13900000000000001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51" t="e">
        <f>SUM(AO9:AO108)</f>
        <v>#DIV/0!</v>
      </c>
      <c r="AP7" s="160" t="s">
        <v>3</v>
      </c>
      <c r="AQ7" s="161" t="s">
        <v>4</v>
      </c>
      <c r="AR7" s="161" t="s">
        <v>5</v>
      </c>
      <c r="AS7" s="162" t="s">
        <v>12</v>
      </c>
      <c r="AT7" s="162" t="s">
        <v>26</v>
      </c>
      <c r="AU7" s="162" t="s">
        <v>36</v>
      </c>
      <c r="AV7" s="162" t="s">
        <v>39</v>
      </c>
      <c r="AW7" s="162" t="s">
        <v>38</v>
      </c>
      <c r="AX7" s="162" t="s">
        <v>37</v>
      </c>
      <c r="AY7" s="162" t="s">
        <v>40</v>
      </c>
      <c r="AZ7" s="162"/>
      <c r="BA7" s="162"/>
      <c r="BB7" s="162"/>
      <c r="BC7" s="162"/>
      <c r="BD7" s="162"/>
      <c r="BE7" s="161" t="s">
        <v>6</v>
      </c>
      <c r="BF7" s="163" t="s">
        <v>32</v>
      </c>
      <c r="BG7" s="104" t="s">
        <v>31</v>
      </c>
      <c r="BH7" s="153">
        <f>BH8</f>
        <v>44443</v>
      </c>
      <c r="BI7" s="108">
        <f>J8</f>
        <v>-346640</v>
      </c>
      <c r="BJ7" s="61"/>
      <c r="BL7" s="784" t="s">
        <v>84</v>
      </c>
      <c r="BM7" s="777" t="s">
        <v>85</v>
      </c>
      <c r="BN7" s="127" t="s">
        <v>86</v>
      </c>
      <c r="BO7" s="124" t="s">
        <v>88</v>
      </c>
      <c r="BP7" s="798" t="s">
        <v>9</v>
      </c>
      <c r="BQ7" s="800" t="s">
        <v>89</v>
      </c>
      <c r="BR7" s="796">
        <v>1</v>
      </c>
    </row>
    <row r="8" spans="1:77" ht="18" customHeight="1" thickBot="1" x14ac:dyDescent="0.55000000000000004">
      <c r="A8" s="763" t="s">
        <v>204</v>
      </c>
      <c r="B8" s="763"/>
      <c r="C8" s="193" t="s">
        <v>111</v>
      </c>
      <c r="D8" s="193" t="s">
        <v>35</v>
      </c>
      <c r="E8" s="889"/>
      <c r="F8" s="296"/>
      <c r="G8" s="420"/>
      <c r="H8" s="421">
        <f>C9</f>
        <v>44443</v>
      </c>
      <c r="I8" s="421"/>
      <c r="J8" s="422">
        <f>-C24</f>
        <v>-346640</v>
      </c>
      <c r="K8" s="423"/>
      <c r="L8" s="424"/>
      <c r="M8" s="424"/>
      <c r="N8" s="424"/>
      <c r="O8" s="424"/>
      <c r="P8" s="424"/>
      <c r="Q8" s="424"/>
      <c r="R8" s="425">
        <f>C24</f>
        <v>346640</v>
      </c>
      <c r="S8" s="469"/>
      <c r="T8" s="25"/>
      <c r="U8" s="36"/>
      <c r="V8" s="479"/>
      <c r="W8" s="479">
        <v>0.11899999999999999</v>
      </c>
      <c r="X8" s="480">
        <f t="shared" si="4"/>
        <v>0.11899999999999999</v>
      </c>
      <c r="Y8" s="480">
        <f t="shared" si="4"/>
        <v>0.11899999999999999</v>
      </c>
      <c r="Z8" s="480">
        <f t="shared" si="4"/>
        <v>0.11899999999999999</v>
      </c>
      <c r="AA8" s="480">
        <f t="shared" si="4"/>
        <v>0.11899999999999999</v>
      </c>
      <c r="AB8" s="480">
        <f t="shared" si="4"/>
        <v>0.11899999999999999</v>
      </c>
      <c r="AC8" s="15"/>
      <c r="AD8" s="147">
        <f t="shared" si="3"/>
        <v>0.11899999999999999</v>
      </c>
      <c r="AE8" s="147">
        <f t="shared" si="1"/>
        <v>0.11899999999999999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64"/>
      <c r="AQ8" s="165">
        <f>C9</f>
        <v>44443</v>
      </c>
      <c r="AR8" s="23">
        <f>-D38</f>
        <v>-302900</v>
      </c>
      <c r="AS8" s="105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7">
        <f>D38</f>
        <v>302900</v>
      </c>
      <c r="BF8" s="106"/>
      <c r="BG8" s="108"/>
      <c r="BH8" s="22">
        <f t="shared" ref="BH8:BH18" si="5">H8</f>
        <v>44443</v>
      </c>
      <c r="BI8" s="104">
        <f>$C$27</f>
        <v>43740</v>
      </c>
      <c r="BL8" s="785"/>
      <c r="BM8" s="778"/>
      <c r="BN8" s="125" t="s">
        <v>87</v>
      </c>
      <c r="BO8" s="126" t="s">
        <v>88</v>
      </c>
      <c r="BP8" s="799"/>
      <c r="BQ8" s="801"/>
      <c r="BR8" s="797"/>
    </row>
    <row r="9" spans="1:77" ht="18" customHeight="1" thickBot="1" x14ac:dyDescent="0.25">
      <c r="A9" s="763" t="s">
        <v>199</v>
      </c>
      <c r="B9" s="763"/>
      <c r="C9" s="788">
        <v>44443</v>
      </c>
      <c r="D9" s="788"/>
      <c r="E9" s="889"/>
      <c r="F9" s="296"/>
      <c r="G9" s="426">
        <f>1</f>
        <v>1</v>
      </c>
      <c r="H9" s="427">
        <f t="shared" ref="H9:H72" si="6">IF((OR(DAY($AD$54)=29,DAY($AD$54)=30,DAY($AD$54)=31)),(EDATE($C$9-3,G9)),(IF((OR(DAY($AD$54)=1,DAY($AD$54)=2,DAY($AD$54)=3)),(EDATE($C$9,G9)+3),EDATE($C$9,G9))))</f>
        <v>44473</v>
      </c>
      <c r="I9" s="494">
        <f>$AF$94</f>
        <v>0.159</v>
      </c>
      <c r="J9" s="423">
        <f>IF(AND($C$8&lt;&gt;"Нет",G9&gt;=$W$14,G9&lt;=$W$14+5),$W$15,IF(AND(R8+M9+K9&gt;J8,J8&lt;&gt;0),$C$25,IF(R8=0,0,R8+M9+K9+K10)))</f>
        <v>1700</v>
      </c>
      <c r="K9" s="423">
        <f>IF(AND($C$8&lt;&gt;"Нет",G9&gt;=$W$14,G9&lt;=$W$14+5),0,IF($C$9&gt;$AF$51,ROUND(R8*I9*((H9-DATE(YEAR(H9),MONTH(H9),1)+1)/(DATE(YEAR(H9)+1,1,1)-DATE(YEAR(H9),1,1))+(EOMONTH(H8,0)-H8)/(DATE(YEAR(H8)+1,1,1)-DATE(YEAR(H8),1,1))),2),0))</f>
        <v>0</v>
      </c>
      <c r="L9" s="423">
        <f>IF(R8+M9+K9&gt;J8,J9-K9-M9,R8)</f>
        <v>1700</v>
      </c>
      <c r="M9" s="423">
        <f>IF(O9&gt;$C$25,$C$25-K9,IF(U9=0,0,Q9)+AI51)</f>
        <v>0</v>
      </c>
      <c r="N9" s="423">
        <f>P8-M8</f>
        <v>0</v>
      </c>
      <c r="O9" s="423">
        <f t="shared" ref="O9:O72" si="7">K9+P9</f>
        <v>0</v>
      </c>
      <c r="P9" s="423">
        <f>IF(U9=0,0,0)</f>
        <v>0</v>
      </c>
      <c r="Q9" s="423">
        <f>IF(U9=0,0,0)</f>
        <v>0</v>
      </c>
      <c r="R9" s="423">
        <f>R8-L9-S9</f>
        <v>344940</v>
      </c>
      <c r="S9" s="470"/>
      <c r="T9" s="36">
        <f>C10</f>
        <v>36</v>
      </c>
      <c r="U9" s="36">
        <f>T9</f>
        <v>36</v>
      </c>
      <c r="V9" s="479"/>
      <c r="W9" s="479">
        <v>0.13900000000000001</v>
      </c>
      <c r="X9" s="480">
        <f t="shared" si="4"/>
        <v>0.13900000000000001</v>
      </c>
      <c r="Y9" s="480">
        <f t="shared" si="4"/>
        <v>0.13900000000000001</v>
      </c>
      <c r="Z9" s="480">
        <f t="shared" si="4"/>
        <v>0.13900000000000001</v>
      </c>
      <c r="AA9" s="480">
        <f t="shared" si="4"/>
        <v>0.13900000000000001</v>
      </c>
      <c r="AB9" s="480">
        <f t="shared" si="4"/>
        <v>0.13900000000000001</v>
      </c>
      <c r="AC9" s="132"/>
      <c r="AD9" s="147">
        <f t="shared" si="3"/>
        <v>0.13900000000000001</v>
      </c>
      <c r="AE9" s="147">
        <f t="shared" si="1"/>
        <v>0.13900000000000001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IF(OR(AR9="",AR9=0),0,1)</f>
        <v>1</v>
      </c>
      <c r="AP9" s="109">
        <f>1</f>
        <v>1</v>
      </c>
      <c r="AQ9" s="110">
        <f t="shared" ref="AQ9:AQ38" si="8">IF((OR(DAY($AD$54)=29,DAY($AD$54)=30,DAY($AD$54)=31)),(EDATE($C$9-3,AP9)),(IF((OR(DAY($AD$54)=1,DAY($AD$54)=2,DAY($AD$54)=3)),(EDATE($C$9,AP9)+3),EDATE($C$9,AP9))))</f>
        <v>44473</v>
      </c>
      <c r="AR9" s="105">
        <f t="shared" ref="AR9:AR37" si="9">IF(AND(G9&gt;=$W$14,G9&lt;=$W$14+5),$W$15,IF(AND(BE8+AU9+AS9&gt;AR8,AR8&lt;&gt;0),$D$39,IF(BE8=0,0,BE8+AU9+AS9+AS10)))</f>
        <v>1700</v>
      </c>
      <c r="AS9" s="105">
        <f t="shared" ref="AS9:AS38" si="10">IF(AND(G9&gt;=$W$14,G9&lt;=$W$14+5),0,IF($C$9&gt;$AF$51,ROUND(BE8*$AE$14*((AQ9-DATE(YEAR(AQ9),MONTH(AQ9),1)+1)/(DATE(YEAR(AQ9)+1,1,1)-DATE(YEAR(AQ9),1,1))+(EOMONTH(AQ8,0)-AQ8)/(DATE(YEAR(AQ8)+1,1,1)-DATE(YEAR(AQ8),1,1))),2),0))</f>
        <v>0</v>
      </c>
      <c r="AT9" s="105" t="e">
        <f>IF(BG9=0,0,IF(BG9=1,BE8,IF(BE8+AU9+AS9&gt;AR8,AR9-AS9-AU9,BE8)))</f>
        <v>#DIV/0!</v>
      </c>
      <c r="AU9" s="105" t="e">
        <f>IF(AW9&gt;$D$39,$D$39-AS9,IF(BG9=0,0,AY9)+BV57)</f>
        <v>#DIV/0!</v>
      </c>
      <c r="AV9" s="105"/>
      <c r="AW9" s="105">
        <f>AS9+AX9</f>
        <v>0</v>
      </c>
      <c r="AX9" s="105">
        <f>IF(BG9=0,0,0)</f>
        <v>0</v>
      </c>
      <c r="AY9" s="105">
        <f>IF(BG9=0,0,0)</f>
        <v>0</v>
      </c>
      <c r="AZ9" s="105"/>
      <c r="BA9" s="105"/>
      <c r="BB9" s="105"/>
      <c r="BC9" s="105"/>
      <c r="BD9" s="105"/>
      <c r="BE9" s="105" t="e">
        <f>IF(OR(BG9=1,BE8=0),0,BE8-AT9)</f>
        <v>#DIV/0!</v>
      </c>
      <c r="BF9" s="108">
        <f>C10</f>
        <v>36</v>
      </c>
      <c r="BG9" s="108">
        <f t="shared" ref="BG9:BG18" si="11">IF(ISERR(CEILING(FLOOR(NPER($C$11/12,-$AD$55,BE8),0.1),1))=TRUE,0,CEILING(FLOOR(NPER($C$11/12,-$AD$55,BE8),0.1),1))</f>
        <v>31</v>
      </c>
      <c r="BH9" s="22">
        <f t="shared" si="5"/>
        <v>44473</v>
      </c>
      <c r="BI9" s="108">
        <f t="shared" ref="BI9:BI18" si="12">J9</f>
        <v>1700</v>
      </c>
    </row>
    <row r="10" spans="1:77" ht="18" customHeight="1" x14ac:dyDescent="0.2">
      <c r="A10" s="763" t="s">
        <v>198</v>
      </c>
      <c r="B10" s="763"/>
      <c r="C10" s="787">
        <v>36</v>
      </c>
      <c r="D10" s="787"/>
      <c r="E10" s="889"/>
      <c r="F10" s="296"/>
      <c r="G10" s="426">
        <f>G9+1</f>
        <v>2</v>
      </c>
      <c r="H10" s="427">
        <f t="shared" si="6"/>
        <v>44504</v>
      </c>
      <c r="I10" s="494">
        <f t="shared" ref="I10:I20" si="13">$AF$94</f>
        <v>0.159</v>
      </c>
      <c r="J10" s="423">
        <f t="shared" ref="J10:J20" si="14">IF(AND($C$8&lt;&gt;"Нет",G10&gt;=$W$14,G10&lt;=$W$14+5),$W$15,IF(AND(R9+M10+K10&gt;J9,J9&lt;&gt;0),$C$25,IF(R9=0,0,R9+M10+K10+K11)))</f>
        <v>1700</v>
      </c>
      <c r="K10" s="423">
        <f t="shared" ref="K10:K73" si="15">IF(AND($C$8&lt;&gt;"Нет",G10&gt;=$W$14,G10&lt;=$W$14+5),0,IF($C$9&gt;$AF$51,ROUND(R9*I10*((H10-DATE(YEAR(H10),MONTH(H10),1)+1)/(DATE(YEAR(H10)+1,1,1)-DATE(YEAR(H10),1,1))+(EOMONTH(H9,0)-H9)/(DATE(YEAR(H9)+1,1,1)-DATE(YEAR(H9),1,1))),2),0))</f>
        <v>0</v>
      </c>
      <c r="L10" s="423">
        <f t="shared" ref="L10:L73" si="16">IF(R9+M10+K10&gt;J9,J10-K10-M10,R9)</f>
        <v>1700</v>
      </c>
      <c r="M10" s="423">
        <f t="shared" ref="M10:M41" si="17">IF(O10&gt;$C$25,$C$25-K10,IF(U10=0,0,P10))</f>
        <v>0</v>
      </c>
      <c r="N10" s="423">
        <f>P9-M9</f>
        <v>0</v>
      </c>
      <c r="O10" s="423">
        <f t="shared" si="7"/>
        <v>0</v>
      </c>
      <c r="P10" s="423">
        <f t="shared" ref="P10:P73" si="18">IF(U10=0,0,0)</f>
        <v>0</v>
      </c>
      <c r="Q10" s="423">
        <f t="shared" ref="Q10:Q73" si="19">IF(U10=0,0,0)</f>
        <v>0</v>
      </c>
      <c r="R10" s="423">
        <f t="shared" ref="R10:R73" si="20">R9-L10-S10</f>
        <v>343240</v>
      </c>
      <c r="S10" s="470"/>
      <c r="T10" s="36">
        <f>IF((T9-1)&lt;0,0,T9-1)</f>
        <v>35</v>
      </c>
      <c r="U10" s="36">
        <f t="shared" ref="U10:U73" si="21">T10</f>
        <v>35</v>
      </c>
      <c r="V10" s="479"/>
      <c r="W10" s="479">
        <v>0.11899999999999999</v>
      </c>
      <c r="X10" s="480">
        <f t="shared" si="4"/>
        <v>0.11899999999999999</v>
      </c>
      <c r="Y10" s="480">
        <f t="shared" si="4"/>
        <v>0.11899999999999999</v>
      </c>
      <c r="Z10" s="480">
        <f t="shared" si="4"/>
        <v>0.11899999999999999</v>
      </c>
      <c r="AA10" s="480">
        <f t="shared" si="4"/>
        <v>0.11899999999999999</v>
      </c>
      <c r="AB10" s="480">
        <f t="shared" si="4"/>
        <v>0.11899999999999999</v>
      </c>
      <c r="AC10" s="15"/>
      <c r="AD10" s="147">
        <f t="shared" si="3"/>
        <v>0.11899999999999999</v>
      </c>
      <c r="AE10" s="147">
        <f t="shared" si="1"/>
        <v>0.11899999999999999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P73" si="22">IF(OR(AR10="",AR10=0),0,1)</f>
        <v>1</v>
      </c>
      <c r="AP10" s="109">
        <f>AP9+1</f>
        <v>2</v>
      </c>
      <c r="AQ10" s="110">
        <f t="shared" si="8"/>
        <v>44504</v>
      </c>
      <c r="AR10" s="105">
        <f t="shared" si="9"/>
        <v>1700</v>
      </c>
      <c r="AS10" s="105">
        <f t="shared" si="10"/>
        <v>0</v>
      </c>
      <c r="AT10" s="105">
        <f t="shared" ref="AT10:AT18" si="23">IF(BG10=0,0,IF(BG10=1,BE9,IF(BE9+AU10+AS10&gt;AR9,AR10-AS10-AU10,BE9)))</f>
        <v>0</v>
      </c>
      <c r="AU10" s="105" t="e">
        <f>IF(AW10&gt;$D$39,$D$39-AS10,IF(BG10=0,0,AY10)+BV58)</f>
        <v>#DIV/0!</v>
      </c>
      <c r="AV10" s="105" t="e">
        <f>AX9-AU9</f>
        <v>#DIV/0!</v>
      </c>
      <c r="AW10" s="105">
        <f t="shared" ref="AW10:AX85" si="24">AS10+AX10</f>
        <v>0</v>
      </c>
      <c r="AX10" s="105">
        <f t="shared" ref="AX10:AX18" si="25">IF(BG10=0,0,0)</f>
        <v>0</v>
      </c>
      <c r="AY10" s="105">
        <f t="shared" ref="AY10:AY18" si="26">IF(BG10=0,0,0)</f>
        <v>0</v>
      </c>
      <c r="AZ10" s="105"/>
      <c r="BA10" s="105"/>
      <c r="BB10" s="105"/>
      <c r="BC10" s="105"/>
      <c r="BD10" s="105"/>
      <c r="BE10" s="105" t="e">
        <f t="shared" ref="BE10:BE18" si="27">IF(OR(BG10=1,BE9=0),0,BE9-AT10)</f>
        <v>#DIV/0!</v>
      </c>
      <c r="BF10" s="108">
        <f>IF((BF9-1)&lt;0,0,BF9-1)</f>
        <v>35</v>
      </c>
      <c r="BG10" s="108">
        <f t="shared" si="11"/>
        <v>0</v>
      </c>
      <c r="BH10" s="22">
        <f t="shared" si="5"/>
        <v>44504</v>
      </c>
      <c r="BI10" s="108">
        <f t="shared" si="12"/>
        <v>1700</v>
      </c>
      <c r="BL10" s="784" t="s">
        <v>90</v>
      </c>
      <c r="BM10" s="777" t="s">
        <v>85</v>
      </c>
      <c r="BN10" s="129" t="s">
        <v>84</v>
      </c>
    </row>
    <row r="11" spans="1:77" ht="18" customHeight="1" thickBot="1" x14ac:dyDescent="0.25">
      <c r="A11" s="805" t="s">
        <v>201</v>
      </c>
      <c r="B11" s="805"/>
      <c r="C11" s="220">
        <v>0.159</v>
      </c>
      <c r="D11" s="397" t="s">
        <v>29</v>
      </c>
      <c r="E11" s="889"/>
      <c r="F11" s="296"/>
      <c r="G11" s="426">
        <f>G10+1</f>
        <v>3</v>
      </c>
      <c r="H11" s="427">
        <f t="shared" si="6"/>
        <v>44534</v>
      </c>
      <c r="I11" s="494">
        <f t="shared" si="13"/>
        <v>0.159</v>
      </c>
      <c r="J11" s="423">
        <f t="shared" si="14"/>
        <v>1700</v>
      </c>
      <c r="K11" s="423">
        <f t="shared" si="15"/>
        <v>0</v>
      </c>
      <c r="L11" s="423">
        <f t="shared" si="16"/>
        <v>1700</v>
      </c>
      <c r="M11" s="423">
        <f t="shared" si="17"/>
        <v>0</v>
      </c>
      <c r="N11" s="423">
        <f>P10-M10</f>
        <v>0</v>
      </c>
      <c r="O11" s="423">
        <f t="shared" si="7"/>
        <v>0</v>
      </c>
      <c r="P11" s="423">
        <f t="shared" si="18"/>
        <v>0</v>
      </c>
      <c r="Q11" s="423">
        <f t="shared" si="19"/>
        <v>0</v>
      </c>
      <c r="R11" s="423">
        <f t="shared" si="20"/>
        <v>341540</v>
      </c>
      <c r="S11" s="470"/>
      <c r="T11" s="36">
        <f>IF((T10-1)&lt;0,0,T10-1)</f>
        <v>34</v>
      </c>
      <c r="U11" s="36">
        <f t="shared" si="21"/>
        <v>34</v>
      </c>
      <c r="V11" s="479"/>
      <c r="W11" s="479">
        <v>9.9000000000000005E-2</v>
      </c>
      <c r="X11" s="480">
        <f t="shared" si="4"/>
        <v>9.9000000000000005E-2</v>
      </c>
      <c r="Y11" s="480">
        <f t="shared" si="4"/>
        <v>9.9000000000000005E-2</v>
      </c>
      <c r="Z11" s="480">
        <f t="shared" si="4"/>
        <v>9.9000000000000005E-2</v>
      </c>
      <c r="AA11" s="480">
        <f t="shared" si="4"/>
        <v>9.9000000000000005E-2</v>
      </c>
      <c r="AB11" s="480">
        <f t="shared" si="4"/>
        <v>9.9000000000000005E-2</v>
      </c>
      <c r="AC11" s="15"/>
      <c r="AD11" s="147">
        <f t="shared" si="3"/>
        <v>9.9000000000000005E-2</v>
      </c>
      <c r="AE11" s="147">
        <f t="shared" si="1"/>
        <v>9.9000000000000005E-2</v>
      </c>
      <c r="AF11" s="15"/>
      <c r="AG11" s="15"/>
      <c r="AH11" s="15"/>
      <c r="AI11" s="15"/>
      <c r="AJ11" s="15"/>
      <c r="AK11" s="15"/>
      <c r="AL11" s="15"/>
      <c r="AM11" s="3"/>
      <c r="AN11" s="3"/>
      <c r="AO11" s="130">
        <f t="shared" si="22"/>
        <v>1</v>
      </c>
      <c r="AP11" s="109">
        <f>AP10+1</f>
        <v>3</v>
      </c>
      <c r="AQ11" s="110">
        <f t="shared" si="8"/>
        <v>44534</v>
      </c>
      <c r="AR11" s="105">
        <f t="shared" si="9"/>
        <v>1700</v>
      </c>
      <c r="AS11" s="105">
        <f t="shared" si="10"/>
        <v>0</v>
      </c>
      <c r="AT11" s="105">
        <f t="shared" si="23"/>
        <v>0</v>
      </c>
      <c r="AU11" s="105" t="e">
        <f t="shared" ref="AU11:AU18" si="28">IF(AW11&gt;$D$39,$D$39-AS11,IF(BG11=0,0,AY11)+BW59)</f>
        <v>#DIV/0!</v>
      </c>
      <c r="AV11" s="105" t="e">
        <f>AX10-AU10</f>
        <v>#DIV/0!</v>
      </c>
      <c r="AW11" s="105">
        <f t="shared" si="24"/>
        <v>0</v>
      </c>
      <c r="AX11" s="105">
        <f t="shared" si="25"/>
        <v>0</v>
      </c>
      <c r="AY11" s="105">
        <f t="shared" si="26"/>
        <v>0</v>
      </c>
      <c r="AZ11" s="105"/>
      <c r="BA11" s="105"/>
      <c r="BB11" s="105"/>
      <c r="BC11" s="105"/>
      <c r="BD11" s="105"/>
      <c r="BE11" s="105" t="e">
        <f t="shared" si="27"/>
        <v>#DIV/0!</v>
      </c>
      <c r="BF11" s="108">
        <f>IF((BF10-1)&lt;0,0,BF10-1)</f>
        <v>34</v>
      </c>
      <c r="BG11" s="108">
        <f t="shared" si="11"/>
        <v>0</v>
      </c>
      <c r="BH11" s="22">
        <f t="shared" si="5"/>
        <v>44534</v>
      </c>
      <c r="BI11" s="108">
        <f t="shared" si="12"/>
        <v>1700</v>
      </c>
      <c r="BL11" s="785"/>
      <c r="BM11" s="778"/>
      <c r="BN11" s="128" t="s">
        <v>91</v>
      </c>
    </row>
    <row r="12" spans="1:77" ht="18" customHeight="1" thickBot="1" x14ac:dyDescent="0.25">
      <c r="A12" s="805" t="s">
        <v>202</v>
      </c>
      <c r="B12" s="805"/>
      <c r="C12" s="221" t="s">
        <v>33</v>
      </c>
      <c r="D12" s="216" t="e">
        <f>IF(OR(D8="Гарантия стандарт",D8="Гарантия плюс",D8="Гарантия пакет"),$AF$39,#REF!)</f>
        <v>#REF!</v>
      </c>
      <c r="E12" s="889"/>
      <c r="F12" s="296"/>
      <c r="G12" s="426">
        <f t="shared" ref="G12:G75" si="29">G11+1</f>
        <v>4</v>
      </c>
      <c r="H12" s="427">
        <f t="shared" si="6"/>
        <v>44565</v>
      </c>
      <c r="I12" s="494">
        <f t="shared" si="13"/>
        <v>0.159</v>
      </c>
      <c r="J12" s="423">
        <f t="shared" si="14"/>
        <v>1700</v>
      </c>
      <c r="K12" s="423">
        <f t="shared" si="15"/>
        <v>0</v>
      </c>
      <c r="L12" s="423">
        <f t="shared" si="16"/>
        <v>1700</v>
      </c>
      <c r="M12" s="423">
        <f t="shared" si="17"/>
        <v>0</v>
      </c>
      <c r="N12" s="423">
        <f t="shared" ref="N12:N85" si="30">P11-M11</f>
        <v>0</v>
      </c>
      <c r="O12" s="423">
        <f t="shared" si="7"/>
        <v>0</v>
      </c>
      <c r="P12" s="423">
        <f t="shared" si="18"/>
        <v>0</v>
      </c>
      <c r="Q12" s="423">
        <f t="shared" si="19"/>
        <v>0</v>
      </c>
      <c r="R12" s="423">
        <f t="shared" si="20"/>
        <v>339840</v>
      </c>
      <c r="S12" s="470"/>
      <c r="T12" s="36">
        <f t="shared" ref="T12:T75" si="31">IF((T11-1)&lt;0,0,T11-1)</f>
        <v>33</v>
      </c>
      <c r="U12" s="36">
        <f t="shared" si="21"/>
        <v>33</v>
      </c>
      <c r="V12" s="15"/>
      <c r="W12" s="15">
        <v>0.19900000000000001</v>
      </c>
      <c r="X12" s="15">
        <f t="shared" ref="X12:AA12" si="32">$W12-2%</f>
        <v>0.17900000000000002</v>
      </c>
      <c r="Y12" s="15">
        <f t="shared" si="32"/>
        <v>0.17900000000000002</v>
      </c>
      <c r="Z12" s="15">
        <f t="shared" si="32"/>
        <v>0.17900000000000002</v>
      </c>
      <c r="AA12" s="15">
        <f t="shared" si="32"/>
        <v>0.17900000000000002</v>
      </c>
      <c r="AB12" s="15"/>
      <c r="AC12" s="15"/>
      <c r="AD12" s="147">
        <f>IF(OR($C$8="Гарантия стандарт",$C$8="Гарантия пакет"),AB12,W12)</f>
        <v>0.19900000000000001</v>
      </c>
      <c r="AE12" s="147">
        <f t="shared" si="1"/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22"/>
        <v>1</v>
      </c>
      <c r="AP12" s="109">
        <f t="shared" ref="AP12:AQ40" si="33">AP11+1</f>
        <v>4</v>
      </c>
      <c r="AQ12" s="110">
        <f t="shared" si="8"/>
        <v>44565</v>
      </c>
      <c r="AR12" s="105">
        <f t="shared" si="9"/>
        <v>1700</v>
      </c>
      <c r="AS12" s="105">
        <f t="shared" si="10"/>
        <v>0</v>
      </c>
      <c r="AT12" s="105">
        <f t="shared" si="23"/>
        <v>0</v>
      </c>
      <c r="AU12" s="105" t="e">
        <f t="shared" si="28"/>
        <v>#DIV/0!</v>
      </c>
      <c r="AV12" s="105" t="e">
        <f t="shared" ref="AV12:AV13" si="34">AX11-AU11</f>
        <v>#DIV/0!</v>
      </c>
      <c r="AW12" s="105">
        <f t="shared" si="24"/>
        <v>0</v>
      </c>
      <c r="AX12" s="105">
        <f t="shared" si="25"/>
        <v>0</v>
      </c>
      <c r="AY12" s="105">
        <f t="shared" si="26"/>
        <v>0</v>
      </c>
      <c r="AZ12" s="105"/>
      <c r="BA12" s="105"/>
      <c r="BB12" s="105"/>
      <c r="BC12" s="105"/>
      <c r="BD12" s="105"/>
      <c r="BE12" s="105" t="e">
        <f t="shared" si="27"/>
        <v>#DIV/0!</v>
      </c>
      <c r="BF12" s="108">
        <f t="shared" ref="BF12:BG40" si="35">IF((BF11-1)&lt;0,0,BF11-1)</f>
        <v>33</v>
      </c>
      <c r="BG12" s="108">
        <f t="shared" si="11"/>
        <v>0</v>
      </c>
      <c r="BH12" s="22">
        <f t="shared" si="5"/>
        <v>44565</v>
      </c>
      <c r="BI12" s="108">
        <f t="shared" si="12"/>
        <v>1700</v>
      </c>
      <c r="BW12" s="2">
        <v>0</v>
      </c>
      <c r="BX12" s="398">
        <f>DATE(YEAR($C$9),MONTH($C$9)+BW12,1)</f>
        <v>44440</v>
      </c>
      <c r="BY12" s="2">
        <v>1</v>
      </c>
    </row>
    <row r="13" spans="1:77" ht="18" customHeight="1" x14ac:dyDescent="0.2">
      <c r="A13" s="805" t="s">
        <v>203</v>
      </c>
      <c r="B13" s="805"/>
      <c r="C13" s="222">
        <f>C11</f>
        <v>0.159</v>
      </c>
      <c r="D13" s="216"/>
      <c r="E13" s="475"/>
      <c r="F13" s="296"/>
      <c r="G13" s="426">
        <f>G12+1</f>
        <v>5</v>
      </c>
      <c r="H13" s="427">
        <f t="shared" si="6"/>
        <v>44596</v>
      </c>
      <c r="I13" s="494">
        <f t="shared" si="13"/>
        <v>0.159</v>
      </c>
      <c r="J13" s="423">
        <f t="shared" si="14"/>
        <v>1700</v>
      </c>
      <c r="K13" s="423">
        <f t="shared" si="15"/>
        <v>0</v>
      </c>
      <c r="L13" s="423">
        <f t="shared" si="16"/>
        <v>1700</v>
      </c>
      <c r="M13" s="423">
        <f t="shared" si="17"/>
        <v>0</v>
      </c>
      <c r="N13" s="423">
        <f t="shared" si="30"/>
        <v>0</v>
      </c>
      <c r="O13" s="423">
        <f t="shared" si="7"/>
        <v>0</v>
      </c>
      <c r="P13" s="423">
        <f t="shared" si="18"/>
        <v>0</v>
      </c>
      <c r="Q13" s="423">
        <f t="shared" si="19"/>
        <v>0</v>
      </c>
      <c r="R13" s="423">
        <f t="shared" si="20"/>
        <v>338140</v>
      </c>
      <c r="S13" s="470"/>
      <c r="T13" s="36">
        <f>IF((T12-1)&lt;0,0,T12-1)</f>
        <v>32</v>
      </c>
      <c r="U13" s="36">
        <f t="shared" si="21"/>
        <v>32</v>
      </c>
      <c r="V13" s="15"/>
      <c r="W13" s="15"/>
      <c r="X13" s="15"/>
      <c r="Y13" s="15"/>
      <c r="Z13" s="15"/>
      <c r="AA13" s="15"/>
      <c r="AB13" s="15"/>
      <c r="AC13" s="15"/>
      <c r="AD13" s="62">
        <f>INDEX(AD4:AD12,MATCH(C11,$W$4:$W$12,0))</f>
        <v>0.159</v>
      </c>
      <c r="AE13" s="62">
        <f>INDEX(AE4:AE12,MATCH(D27,$W$4:$W$12,0))</f>
        <v>0.159</v>
      </c>
      <c r="AF13" s="15"/>
      <c r="AG13" s="15"/>
      <c r="AH13" s="15"/>
      <c r="AI13" s="15"/>
      <c r="AJ13" s="15"/>
      <c r="AK13" s="15"/>
      <c r="AL13" s="15"/>
      <c r="AO13" s="130">
        <f t="shared" si="22"/>
        <v>1</v>
      </c>
      <c r="AP13" s="166">
        <f>AP12+1</f>
        <v>5</v>
      </c>
      <c r="AQ13" s="167">
        <f t="shared" si="8"/>
        <v>44596</v>
      </c>
      <c r="AR13" s="105">
        <f t="shared" si="9"/>
        <v>1700</v>
      </c>
      <c r="AS13" s="105">
        <f t="shared" si="10"/>
        <v>0</v>
      </c>
      <c r="AT13" s="105">
        <f t="shared" si="23"/>
        <v>0</v>
      </c>
      <c r="AU13" s="105" t="e">
        <f t="shared" si="28"/>
        <v>#DIV/0!</v>
      </c>
      <c r="AV13" s="105" t="e">
        <f t="shared" si="34"/>
        <v>#DIV/0!</v>
      </c>
      <c r="AW13" s="105">
        <f t="shared" si="24"/>
        <v>0</v>
      </c>
      <c r="AX13" s="105">
        <f t="shared" si="25"/>
        <v>0</v>
      </c>
      <c r="AY13" s="105">
        <f t="shared" si="26"/>
        <v>0</v>
      </c>
      <c r="AZ13" s="105"/>
      <c r="BA13" s="105"/>
      <c r="BB13" s="105"/>
      <c r="BC13" s="105"/>
      <c r="BD13" s="105"/>
      <c r="BE13" s="105" t="e">
        <f t="shared" si="27"/>
        <v>#DIV/0!</v>
      </c>
      <c r="BF13" s="108">
        <f>IF((BF12-1)&lt;0,0,BF12-1)</f>
        <v>32</v>
      </c>
      <c r="BG13" s="108">
        <f t="shared" si="11"/>
        <v>0</v>
      </c>
      <c r="BH13" s="22">
        <f t="shared" si="5"/>
        <v>44596</v>
      </c>
      <c r="BI13" s="108">
        <f t="shared" si="12"/>
        <v>1700</v>
      </c>
      <c r="BL13" s="784" t="s">
        <v>92</v>
      </c>
      <c r="BM13" s="777" t="s">
        <v>85</v>
      </c>
      <c r="BN13" s="129" t="s">
        <v>90</v>
      </c>
      <c r="BW13" s="2">
        <f>BW12+1</f>
        <v>1</v>
      </c>
      <c r="BX13" s="398">
        <f t="shared" ref="BX13:BX24" si="36">DATE(YEAR($C$9),MONTH($C$9)+BW13,1)</f>
        <v>44470</v>
      </c>
      <c r="BY13" s="2">
        <f>BY12+1</f>
        <v>2</v>
      </c>
    </row>
    <row r="14" spans="1:77" ht="21" customHeight="1" thickBot="1" x14ac:dyDescent="0.25">
      <c r="A14" s="805" t="s">
        <v>67</v>
      </c>
      <c r="B14" s="805"/>
      <c r="C14" s="373">
        <f>Y149</f>
        <v>9.6517574787139876E-2</v>
      </c>
      <c r="D14" s="216"/>
      <c r="E14" s="475"/>
      <c r="F14" s="296"/>
      <c r="G14" s="426">
        <f>G13+1</f>
        <v>6</v>
      </c>
      <c r="H14" s="427">
        <f t="shared" si="6"/>
        <v>44624</v>
      </c>
      <c r="I14" s="494">
        <f t="shared" si="13"/>
        <v>0.159</v>
      </c>
      <c r="J14" s="423">
        <f t="shared" si="14"/>
        <v>1700</v>
      </c>
      <c r="K14" s="423">
        <f t="shared" si="15"/>
        <v>0</v>
      </c>
      <c r="L14" s="423">
        <f t="shared" si="16"/>
        <v>1700</v>
      </c>
      <c r="M14" s="423">
        <f t="shared" si="17"/>
        <v>0</v>
      </c>
      <c r="N14" s="423">
        <f>P13-M13</f>
        <v>0</v>
      </c>
      <c r="O14" s="423">
        <f t="shared" si="7"/>
        <v>0</v>
      </c>
      <c r="P14" s="423">
        <f t="shared" si="18"/>
        <v>0</v>
      </c>
      <c r="Q14" s="423">
        <f t="shared" si="19"/>
        <v>0</v>
      </c>
      <c r="R14" s="423">
        <f t="shared" si="20"/>
        <v>336440</v>
      </c>
      <c r="S14" s="470"/>
      <c r="T14" s="36">
        <f>IF((T13-1)&lt;0,0,T13-1)</f>
        <v>31</v>
      </c>
      <c r="U14" s="36">
        <f t="shared" si="21"/>
        <v>31</v>
      </c>
      <c r="V14" s="130"/>
      <c r="W14" s="130">
        <f>VLOOKUP(C19,$BX$12:$BY$24,2,FALSE)</f>
        <v>1</v>
      </c>
      <c r="X14" s="15"/>
      <c r="Y14" s="15"/>
      <c r="Z14" s="15"/>
      <c r="AA14" s="15"/>
      <c r="AB14" s="15"/>
      <c r="AC14" s="15"/>
      <c r="AE14" s="15">
        <f>IF(OR(D$8="Гарантия стандарт",D$8="Гарантия пакет"),AE13,D29)</f>
        <v>0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22"/>
        <v>1</v>
      </c>
      <c r="AP14" s="109">
        <f>AP13+1</f>
        <v>6</v>
      </c>
      <c r="AQ14" s="110">
        <f t="shared" si="8"/>
        <v>44624</v>
      </c>
      <c r="AR14" s="105">
        <f t="shared" si="9"/>
        <v>1700</v>
      </c>
      <c r="AS14" s="105">
        <f t="shared" si="10"/>
        <v>0</v>
      </c>
      <c r="AT14" s="105">
        <f t="shared" si="23"/>
        <v>0</v>
      </c>
      <c r="AU14" s="105" t="e">
        <f t="shared" si="28"/>
        <v>#DIV/0!</v>
      </c>
      <c r="AV14" s="105" t="e">
        <f>AX13-AU13</f>
        <v>#DIV/0!</v>
      </c>
      <c r="AW14" s="105">
        <f t="shared" si="24"/>
        <v>0</v>
      </c>
      <c r="AX14" s="105">
        <f t="shared" si="25"/>
        <v>0</v>
      </c>
      <c r="AY14" s="105">
        <f t="shared" si="26"/>
        <v>0</v>
      </c>
      <c r="AZ14" s="105"/>
      <c r="BA14" s="105"/>
      <c r="BB14" s="105"/>
      <c r="BC14" s="105"/>
      <c r="BD14" s="105"/>
      <c r="BE14" s="105" t="e">
        <f t="shared" si="27"/>
        <v>#DIV/0!</v>
      </c>
      <c r="BF14" s="108">
        <f>IF((BF13-1)&lt;0,0,BF13-1)</f>
        <v>31</v>
      </c>
      <c r="BG14" s="108">
        <f t="shared" si="11"/>
        <v>0</v>
      </c>
      <c r="BH14" s="22">
        <f t="shared" si="5"/>
        <v>44624</v>
      </c>
      <c r="BI14" s="108">
        <f t="shared" si="12"/>
        <v>1700</v>
      </c>
      <c r="BL14" s="785"/>
      <c r="BM14" s="778"/>
      <c r="BN14" s="128" t="s">
        <v>93</v>
      </c>
      <c r="BW14" s="2">
        <f t="shared" ref="BW14:BW21" si="37">BW13+1</f>
        <v>2</v>
      </c>
      <c r="BX14" s="398">
        <f t="shared" si="36"/>
        <v>44501</v>
      </c>
      <c r="BY14" s="2">
        <f t="shared" ref="BY14:BY24" si="38">BY13+1</f>
        <v>3</v>
      </c>
    </row>
    <row r="15" spans="1:77" ht="22.15" customHeight="1" x14ac:dyDescent="0.2">
      <c r="A15" s="821" t="s">
        <v>205</v>
      </c>
      <c r="B15" s="327" t="s">
        <v>102</v>
      </c>
      <c r="C15" s="397" t="s">
        <v>20</v>
      </c>
      <c r="D15" s="216"/>
      <c r="E15" s="475"/>
      <c r="F15" s="296"/>
      <c r="G15" s="426">
        <f t="shared" si="29"/>
        <v>7</v>
      </c>
      <c r="H15" s="427">
        <f t="shared" si="6"/>
        <v>44655</v>
      </c>
      <c r="I15" s="494">
        <f t="shared" si="13"/>
        <v>0.159</v>
      </c>
      <c r="J15" s="423">
        <f t="shared" si="14"/>
        <v>12190</v>
      </c>
      <c r="K15" s="423">
        <f t="shared" si="15"/>
        <v>4543.32</v>
      </c>
      <c r="L15" s="423">
        <f t="shared" si="16"/>
        <v>7646.68</v>
      </c>
      <c r="M15" s="423">
        <f t="shared" si="17"/>
        <v>0</v>
      </c>
      <c r="N15" s="423">
        <f t="shared" si="30"/>
        <v>0</v>
      </c>
      <c r="O15" s="423">
        <f t="shared" si="7"/>
        <v>4543.32</v>
      </c>
      <c r="P15" s="423">
        <f t="shared" si="18"/>
        <v>0</v>
      </c>
      <c r="Q15" s="423">
        <f t="shared" si="19"/>
        <v>0</v>
      </c>
      <c r="R15" s="423">
        <f t="shared" si="20"/>
        <v>328793.32</v>
      </c>
      <c r="S15" s="470"/>
      <c r="T15" s="36">
        <f t="shared" si="31"/>
        <v>30</v>
      </c>
      <c r="U15" s="36">
        <f t="shared" si="21"/>
        <v>30</v>
      </c>
      <c r="V15" s="54"/>
      <c r="W15" s="54">
        <f>ROUND(R8*0.5%,-2)</f>
        <v>1700</v>
      </c>
      <c r="X15" s="54">
        <f>ROUND(R8*0.5%,0)</f>
        <v>1733</v>
      </c>
      <c r="Y15" s="15"/>
      <c r="Z15" s="15"/>
      <c r="AA15" s="15"/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 t="e">
        <f t="shared" si="22"/>
        <v>#DIV/0!</v>
      </c>
      <c r="AP15" s="109">
        <f t="shared" si="33"/>
        <v>7</v>
      </c>
      <c r="AQ15" s="110">
        <f t="shared" si="8"/>
        <v>44655</v>
      </c>
      <c r="AR15" s="105" t="e">
        <f t="shared" si="9"/>
        <v>#DIV/0!</v>
      </c>
      <c r="AS15" s="105" t="e">
        <f t="shared" si="10"/>
        <v>#DIV/0!</v>
      </c>
      <c r="AT15" s="105">
        <f t="shared" si="23"/>
        <v>0</v>
      </c>
      <c r="AU15" s="105" t="e">
        <f t="shared" si="28"/>
        <v>#DIV/0!</v>
      </c>
      <c r="AV15" s="105" t="e">
        <f t="shared" ref="AV15:AV18" si="39">AX14-AU14</f>
        <v>#DIV/0!</v>
      </c>
      <c r="AW15" s="105" t="e">
        <f t="shared" si="24"/>
        <v>#DIV/0!</v>
      </c>
      <c r="AX15" s="105">
        <f t="shared" si="25"/>
        <v>0</v>
      </c>
      <c r="AY15" s="105">
        <f t="shared" si="26"/>
        <v>0</v>
      </c>
      <c r="AZ15" s="105"/>
      <c r="BA15" s="105"/>
      <c r="BB15" s="105"/>
      <c r="BC15" s="105"/>
      <c r="BD15" s="105"/>
      <c r="BE15" s="105" t="e">
        <f t="shared" si="27"/>
        <v>#DIV/0!</v>
      </c>
      <c r="BF15" s="108">
        <f t="shared" si="35"/>
        <v>30</v>
      </c>
      <c r="BG15" s="108">
        <f t="shared" si="11"/>
        <v>0</v>
      </c>
      <c r="BH15" s="22">
        <f t="shared" si="5"/>
        <v>44655</v>
      </c>
      <c r="BI15" s="108">
        <f t="shared" si="12"/>
        <v>12190</v>
      </c>
      <c r="BW15" s="2">
        <f t="shared" si="37"/>
        <v>3</v>
      </c>
      <c r="BX15" s="398">
        <f t="shared" si="36"/>
        <v>44531</v>
      </c>
      <c r="BY15" s="2">
        <f t="shared" si="38"/>
        <v>4</v>
      </c>
    </row>
    <row r="16" spans="1:77" ht="25.15" customHeight="1" x14ac:dyDescent="0.2">
      <c r="A16" s="881"/>
      <c r="B16" s="327" t="s">
        <v>105</v>
      </c>
      <c r="C16" s="216">
        <f>IF(C15="да",IF(C10=36,Y38,IF(C10=48,Z38,IF(C10=60,AA38,IF(C10=72,AB38,IF(C10=84,AC38,""))))),0)</f>
        <v>2900</v>
      </c>
      <c r="D16" s="314"/>
      <c r="E16" s="475"/>
      <c r="F16" s="296"/>
      <c r="G16" s="426">
        <f t="shared" si="29"/>
        <v>8</v>
      </c>
      <c r="H16" s="427">
        <f t="shared" si="6"/>
        <v>44685</v>
      </c>
      <c r="I16" s="494">
        <f t="shared" si="13"/>
        <v>0.159</v>
      </c>
      <c r="J16" s="423">
        <f t="shared" si="14"/>
        <v>12190</v>
      </c>
      <c r="K16" s="423">
        <f t="shared" si="15"/>
        <v>4296.83</v>
      </c>
      <c r="L16" s="423">
        <f t="shared" si="16"/>
        <v>7893.17</v>
      </c>
      <c r="M16" s="423">
        <f t="shared" si="17"/>
        <v>0</v>
      </c>
      <c r="N16" s="423">
        <f t="shared" si="30"/>
        <v>0</v>
      </c>
      <c r="O16" s="423">
        <f t="shared" si="7"/>
        <v>4296.83</v>
      </c>
      <c r="P16" s="423">
        <f t="shared" si="18"/>
        <v>0</v>
      </c>
      <c r="Q16" s="423">
        <f t="shared" si="19"/>
        <v>0</v>
      </c>
      <c r="R16" s="423">
        <f t="shared" si="20"/>
        <v>320900.15000000002</v>
      </c>
      <c r="S16" s="470"/>
      <c r="T16" s="36">
        <f t="shared" si="31"/>
        <v>29</v>
      </c>
      <c r="U16" s="36">
        <f t="shared" si="21"/>
        <v>29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 t="e">
        <f t="shared" si="22"/>
        <v>#DIV/0!</v>
      </c>
      <c r="AP16" s="109">
        <f t="shared" si="33"/>
        <v>8</v>
      </c>
      <c r="AQ16" s="110">
        <f t="shared" si="8"/>
        <v>44685</v>
      </c>
      <c r="AR16" s="105" t="e">
        <f t="shared" si="9"/>
        <v>#DIV/0!</v>
      </c>
      <c r="AS16" s="105" t="e">
        <f t="shared" si="10"/>
        <v>#DIV/0!</v>
      </c>
      <c r="AT16" s="105">
        <f t="shared" si="23"/>
        <v>0</v>
      </c>
      <c r="AU16" s="105" t="e">
        <f t="shared" si="28"/>
        <v>#DIV/0!</v>
      </c>
      <c r="AV16" s="105" t="e">
        <f t="shared" si="39"/>
        <v>#DIV/0!</v>
      </c>
      <c r="AW16" s="105" t="e">
        <f t="shared" si="24"/>
        <v>#DIV/0!</v>
      </c>
      <c r="AX16" s="105">
        <f t="shared" si="25"/>
        <v>0</v>
      </c>
      <c r="AY16" s="105">
        <f t="shared" si="26"/>
        <v>0</v>
      </c>
      <c r="AZ16" s="105"/>
      <c r="BA16" s="105"/>
      <c r="BB16" s="105"/>
      <c r="BC16" s="105"/>
      <c r="BD16" s="105"/>
      <c r="BE16" s="105" t="e">
        <f t="shared" si="27"/>
        <v>#DIV/0!</v>
      </c>
      <c r="BF16" s="108">
        <f t="shared" si="35"/>
        <v>29</v>
      </c>
      <c r="BG16" s="108">
        <f t="shared" si="11"/>
        <v>0</v>
      </c>
      <c r="BH16" s="22">
        <f t="shared" si="5"/>
        <v>44685</v>
      </c>
      <c r="BI16" s="108">
        <f t="shared" si="12"/>
        <v>12190</v>
      </c>
      <c r="BW16" s="2">
        <f t="shared" si="37"/>
        <v>4</v>
      </c>
      <c r="BX16" s="398">
        <f t="shared" si="36"/>
        <v>44562</v>
      </c>
      <c r="BY16" s="2">
        <f t="shared" si="38"/>
        <v>5</v>
      </c>
    </row>
    <row r="17" spans="1:391" ht="25.9" customHeight="1" x14ac:dyDescent="0.2">
      <c r="A17" s="885" t="str">
        <f>IF($C$8="Нет","АКЦИЯ НЕДОСТУПНА ","ДОСТУПНА АКЦИЯ НОЛЬ СОМНЕНИЙ (0% на 6 мес.)")</f>
        <v>ДОСТУПНА АКЦИЯ НОЛЬ СОМНЕНИЙ (0% на 6 мес.)</v>
      </c>
      <c r="B17" s="885"/>
      <c r="C17" s="885"/>
      <c r="D17" s="885"/>
      <c r="E17" s="885"/>
      <c r="F17" s="296"/>
      <c r="G17" s="426">
        <f t="shared" si="29"/>
        <v>9</v>
      </c>
      <c r="H17" s="427">
        <f t="shared" si="6"/>
        <v>44716</v>
      </c>
      <c r="I17" s="494">
        <f t="shared" si="13"/>
        <v>0.159</v>
      </c>
      <c r="J17" s="423">
        <f t="shared" si="14"/>
        <v>12190</v>
      </c>
      <c r="K17" s="423">
        <f t="shared" si="15"/>
        <v>4333.47</v>
      </c>
      <c r="L17" s="423">
        <f t="shared" si="16"/>
        <v>7856.53</v>
      </c>
      <c r="M17" s="423">
        <f t="shared" si="17"/>
        <v>0</v>
      </c>
      <c r="N17" s="423">
        <f t="shared" si="30"/>
        <v>0</v>
      </c>
      <c r="O17" s="423">
        <f t="shared" si="7"/>
        <v>4333.47</v>
      </c>
      <c r="P17" s="423">
        <f t="shared" si="18"/>
        <v>0</v>
      </c>
      <c r="Q17" s="423">
        <f t="shared" si="19"/>
        <v>0</v>
      </c>
      <c r="R17" s="423">
        <f t="shared" si="20"/>
        <v>313043.62</v>
      </c>
      <c r="S17" s="470"/>
      <c r="T17" s="36">
        <f t="shared" si="31"/>
        <v>28</v>
      </c>
      <c r="U17" s="36">
        <f t="shared" si="21"/>
        <v>28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 t="e">
        <f t="shared" si="22"/>
        <v>#DIV/0!</v>
      </c>
      <c r="AP17" s="109">
        <f t="shared" si="33"/>
        <v>9</v>
      </c>
      <c r="AQ17" s="110">
        <f t="shared" si="8"/>
        <v>44716</v>
      </c>
      <c r="AR17" s="105" t="e">
        <f t="shared" si="9"/>
        <v>#DIV/0!</v>
      </c>
      <c r="AS17" s="105" t="e">
        <f t="shared" si="10"/>
        <v>#DIV/0!</v>
      </c>
      <c r="AT17" s="105">
        <f t="shared" si="23"/>
        <v>0</v>
      </c>
      <c r="AU17" s="105" t="e">
        <f t="shared" si="28"/>
        <v>#DIV/0!</v>
      </c>
      <c r="AV17" s="105" t="e">
        <f t="shared" si="39"/>
        <v>#DIV/0!</v>
      </c>
      <c r="AW17" s="105" t="e">
        <f t="shared" si="24"/>
        <v>#DIV/0!</v>
      </c>
      <c r="AX17" s="105">
        <f t="shared" si="25"/>
        <v>0</v>
      </c>
      <c r="AY17" s="105">
        <f t="shared" si="26"/>
        <v>0</v>
      </c>
      <c r="AZ17" s="105"/>
      <c r="BA17" s="105"/>
      <c r="BB17" s="105"/>
      <c r="BC17" s="105"/>
      <c r="BD17" s="105"/>
      <c r="BE17" s="105" t="e">
        <f t="shared" si="27"/>
        <v>#DIV/0!</v>
      </c>
      <c r="BF17" s="108">
        <f t="shared" si="35"/>
        <v>28</v>
      </c>
      <c r="BG17" s="108">
        <f t="shared" si="11"/>
        <v>0</v>
      </c>
      <c r="BH17" s="22">
        <f t="shared" si="5"/>
        <v>44716</v>
      </c>
      <c r="BI17" s="108">
        <f t="shared" si="12"/>
        <v>12190</v>
      </c>
      <c r="BW17" s="2">
        <f t="shared" si="37"/>
        <v>5</v>
      </c>
      <c r="BX17" s="398">
        <f t="shared" si="36"/>
        <v>44593</v>
      </c>
      <c r="BY17" s="2">
        <f t="shared" si="38"/>
        <v>6</v>
      </c>
    </row>
    <row r="18" spans="1:391" ht="30" customHeight="1" x14ac:dyDescent="0.2">
      <c r="A18" s="886" t="s">
        <v>273</v>
      </c>
      <c r="B18" s="886"/>
      <c r="C18" s="886"/>
      <c r="D18" s="886"/>
      <c r="E18" s="886"/>
      <c r="F18" s="296"/>
      <c r="G18" s="426">
        <f t="shared" si="29"/>
        <v>10</v>
      </c>
      <c r="H18" s="427">
        <f t="shared" si="6"/>
        <v>44746</v>
      </c>
      <c r="I18" s="494">
        <f t="shared" si="13"/>
        <v>0.159</v>
      </c>
      <c r="J18" s="423">
        <f t="shared" si="14"/>
        <v>12190</v>
      </c>
      <c r="K18" s="423">
        <f t="shared" si="15"/>
        <v>4091.01</v>
      </c>
      <c r="L18" s="423">
        <f t="shared" si="16"/>
        <v>8098.99</v>
      </c>
      <c r="M18" s="423">
        <f t="shared" si="17"/>
        <v>0</v>
      </c>
      <c r="N18" s="423">
        <f t="shared" si="30"/>
        <v>0</v>
      </c>
      <c r="O18" s="423">
        <f t="shared" si="7"/>
        <v>4091.01</v>
      </c>
      <c r="P18" s="423">
        <f t="shared" si="18"/>
        <v>0</v>
      </c>
      <c r="Q18" s="423">
        <f t="shared" si="19"/>
        <v>0</v>
      </c>
      <c r="R18" s="423">
        <f t="shared" si="20"/>
        <v>304944.63</v>
      </c>
      <c r="S18" s="470"/>
      <c r="T18" s="36">
        <f>IF((T17-1)&lt;0,0,T17-1)</f>
        <v>27</v>
      </c>
      <c r="U18" s="36">
        <f t="shared" si="21"/>
        <v>27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 t="e">
        <f t="shared" si="22"/>
        <v>#DIV/0!</v>
      </c>
      <c r="AP18" s="109">
        <f t="shared" si="33"/>
        <v>10</v>
      </c>
      <c r="AQ18" s="110">
        <f t="shared" si="8"/>
        <v>44746</v>
      </c>
      <c r="AR18" s="105" t="e">
        <f t="shared" si="9"/>
        <v>#DIV/0!</v>
      </c>
      <c r="AS18" s="105" t="e">
        <f t="shared" si="10"/>
        <v>#DIV/0!</v>
      </c>
      <c r="AT18" s="105">
        <f t="shared" si="23"/>
        <v>0</v>
      </c>
      <c r="AU18" s="105" t="e">
        <f t="shared" si="28"/>
        <v>#DIV/0!</v>
      </c>
      <c r="AV18" s="105" t="e">
        <f t="shared" si="39"/>
        <v>#DIV/0!</v>
      </c>
      <c r="AW18" s="105" t="e">
        <f t="shared" si="24"/>
        <v>#DIV/0!</v>
      </c>
      <c r="AX18" s="105">
        <f t="shared" si="25"/>
        <v>0</v>
      </c>
      <c r="AY18" s="105">
        <f t="shared" si="26"/>
        <v>0</v>
      </c>
      <c r="AZ18" s="105"/>
      <c r="BA18" s="105"/>
      <c r="BB18" s="105"/>
      <c r="BC18" s="105"/>
      <c r="BD18" s="105"/>
      <c r="BE18" s="105" t="e">
        <f t="shared" si="27"/>
        <v>#DIV/0!</v>
      </c>
      <c r="BF18" s="108">
        <f t="shared" si="35"/>
        <v>27</v>
      </c>
      <c r="BG18" s="108">
        <f t="shared" si="11"/>
        <v>0</v>
      </c>
      <c r="BH18" s="22">
        <f t="shared" si="5"/>
        <v>44746</v>
      </c>
      <c r="BI18" s="108">
        <f t="shared" si="12"/>
        <v>12190</v>
      </c>
      <c r="BW18" s="2">
        <f t="shared" si="37"/>
        <v>6</v>
      </c>
      <c r="BX18" s="398">
        <f t="shared" si="36"/>
        <v>44621</v>
      </c>
      <c r="BY18" s="2">
        <f t="shared" si="38"/>
        <v>7</v>
      </c>
    </row>
    <row r="19" spans="1:391" ht="25.9" customHeight="1" x14ac:dyDescent="0.2">
      <c r="A19" s="887" t="s">
        <v>269</v>
      </c>
      <c r="B19" s="887"/>
      <c r="C19" s="888">
        <f>BX12</f>
        <v>44440</v>
      </c>
      <c r="D19" s="888"/>
      <c r="E19" s="403" t="e">
        <f>IF(#REF!="Нет","НЕТ ПРОГРАММЫ СТРАХОВАНИЯ",IF(#REF!-VLOOKUP(C19,#REF!,2,FALSE)&lt;2,"Слишком поздняя активация",IF(VLOOKUP(C19,#REF!,2,FALSE)&lt;1,"Слишком ранняя активация","")))</f>
        <v>#REF!</v>
      </c>
      <c r="F19" s="296"/>
      <c r="G19" s="426">
        <f>G18+1</f>
        <v>11</v>
      </c>
      <c r="H19" s="427">
        <f t="shared" si="6"/>
        <v>44777</v>
      </c>
      <c r="I19" s="494">
        <f t="shared" si="13"/>
        <v>0.159</v>
      </c>
      <c r="J19" s="423">
        <f t="shared" si="14"/>
        <v>12190</v>
      </c>
      <c r="K19" s="423">
        <f t="shared" si="15"/>
        <v>4118.01</v>
      </c>
      <c r="L19" s="423">
        <f t="shared" si="16"/>
        <v>8071.99</v>
      </c>
      <c r="M19" s="423">
        <f t="shared" si="17"/>
        <v>0</v>
      </c>
      <c r="N19" s="423">
        <f>P18-M18</f>
        <v>0</v>
      </c>
      <c r="O19" s="423">
        <f t="shared" si="7"/>
        <v>4118.01</v>
      </c>
      <c r="P19" s="423">
        <f t="shared" si="18"/>
        <v>0</v>
      </c>
      <c r="Q19" s="423">
        <f t="shared" si="19"/>
        <v>0</v>
      </c>
      <c r="R19" s="423">
        <f t="shared" si="20"/>
        <v>296872.64</v>
      </c>
      <c r="S19" s="470"/>
      <c r="T19" s="36">
        <f>IF((T18-1)&lt;0,0,T18-1)</f>
        <v>26</v>
      </c>
      <c r="U19" s="36">
        <f t="shared" si="21"/>
        <v>26</v>
      </c>
      <c r="V19" s="84"/>
      <c r="W19" s="84">
        <v>9.9000000000000005E-2</v>
      </c>
      <c r="X19" s="84">
        <v>7.9000000000000001E-2</v>
      </c>
      <c r="Y19" s="84">
        <v>7.9000000000000001E-2</v>
      </c>
      <c r="Z19" s="84">
        <v>7.9000000000000001E-2</v>
      </c>
      <c r="AA19" s="84">
        <v>7.9000000000000001E-2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 t="e">
        <f t="shared" si="22"/>
        <v>#DIV/0!</v>
      </c>
      <c r="AP19" s="109">
        <f>AP18+1</f>
        <v>11</v>
      </c>
      <c r="AQ19" s="110">
        <f t="shared" si="8"/>
        <v>44777</v>
      </c>
      <c r="AR19" s="105" t="e">
        <f t="shared" si="9"/>
        <v>#DIV/0!</v>
      </c>
      <c r="AS19" s="105" t="e">
        <f t="shared" si="10"/>
        <v>#DIV/0!</v>
      </c>
      <c r="AT19" s="105">
        <f t="shared" ref="AT19:AU60" si="40">IF(BG25=0,0,IF(BG25=1,BE18,IF(BE18+AU19+AS19&gt;AR18,AR19-AS19-AU19,BE18)))</f>
        <v>0</v>
      </c>
      <c r="AU19" s="105" t="e">
        <f t="shared" ref="AU19:AU58" si="41">IF(AW19&gt;$D$39,$D$39-AS19,IF(BG19=0,0,AY19)+BV67)</f>
        <v>#DIV/0!</v>
      </c>
      <c r="AV19" s="105" t="e">
        <f>AX18-AU18</f>
        <v>#DIV/0!</v>
      </c>
      <c r="AW19" s="105" t="e">
        <f t="shared" si="24"/>
        <v>#DIV/0!</v>
      </c>
      <c r="AX19" s="105">
        <f t="shared" ref="AX19:AY59" si="42">IF(BG25=0,0,0)</f>
        <v>0</v>
      </c>
      <c r="AY19" s="105">
        <f t="shared" ref="AY19:AZ59" si="43">IF(BG25=0,0,0)</f>
        <v>0</v>
      </c>
      <c r="AZ19" s="105"/>
      <c r="BA19" s="105"/>
      <c r="BB19" s="105"/>
      <c r="BC19" s="105"/>
      <c r="BD19" s="105"/>
      <c r="BE19" s="105" t="e">
        <f t="shared" ref="BE19:BF60" si="44">IF(OR(BG25=1,BE18=0),0,BE18-AT19)</f>
        <v>#DIV/0!</v>
      </c>
      <c r="BF19" s="108"/>
      <c r="BG19" s="108"/>
      <c r="BH19" s="22"/>
      <c r="BI19" s="108"/>
      <c r="BW19" s="2">
        <f t="shared" si="37"/>
        <v>7</v>
      </c>
      <c r="BX19" s="398">
        <f t="shared" si="36"/>
        <v>44652</v>
      </c>
      <c r="BY19" s="2">
        <f t="shared" si="38"/>
        <v>8</v>
      </c>
    </row>
    <row r="20" spans="1:391" ht="18" customHeight="1" x14ac:dyDescent="0.3">
      <c r="A20" s="890" t="s">
        <v>274</v>
      </c>
      <c r="B20" s="890"/>
      <c r="C20" s="891">
        <f>IF(C8&lt;&gt;"Нет",W15,"Не предусмотрен")</f>
        <v>1700</v>
      </c>
      <c r="D20" s="891"/>
      <c r="E20" s="178"/>
      <c r="F20" s="296"/>
      <c r="G20" s="426">
        <f>G19+1</f>
        <v>12</v>
      </c>
      <c r="H20" s="427">
        <f t="shared" si="6"/>
        <v>44808</v>
      </c>
      <c r="I20" s="494">
        <f t="shared" si="13"/>
        <v>0.159</v>
      </c>
      <c r="J20" s="423">
        <f t="shared" si="14"/>
        <v>12190</v>
      </c>
      <c r="K20" s="423">
        <f t="shared" si="15"/>
        <v>4009</v>
      </c>
      <c r="L20" s="423">
        <f t="shared" si="16"/>
        <v>8181</v>
      </c>
      <c r="M20" s="423">
        <f t="shared" si="17"/>
        <v>0</v>
      </c>
      <c r="N20" s="423">
        <f>P19-M19</f>
        <v>0</v>
      </c>
      <c r="O20" s="423">
        <f t="shared" si="7"/>
        <v>4009</v>
      </c>
      <c r="P20" s="423">
        <f t="shared" si="18"/>
        <v>0</v>
      </c>
      <c r="Q20" s="423">
        <f t="shared" si="19"/>
        <v>0</v>
      </c>
      <c r="R20" s="423">
        <f t="shared" si="20"/>
        <v>288691.64</v>
      </c>
      <c r="S20" s="470"/>
      <c r="T20" s="36">
        <f>IF((T19-1)&lt;0,0,T19-1)</f>
        <v>25</v>
      </c>
      <c r="U20" s="36">
        <f t="shared" si="21"/>
        <v>25</v>
      </c>
      <c r="V20" s="112"/>
      <c r="W20" s="112">
        <v>0</v>
      </c>
      <c r="X20" s="112">
        <v>7.9000000000000001E-2</v>
      </c>
      <c r="Y20" s="112">
        <v>7.9000000000000001E-2</v>
      </c>
      <c r="Z20" s="112">
        <v>7.9000000000000001E-2</v>
      </c>
      <c r="AA20" s="112">
        <v>7.9000000000000001E-2</v>
      </c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 t="e">
        <f t="shared" si="22"/>
        <v>#DIV/0!</v>
      </c>
      <c r="AP20" s="166">
        <f>AP19+1</f>
        <v>12</v>
      </c>
      <c r="AQ20" s="167">
        <f t="shared" si="8"/>
        <v>44808</v>
      </c>
      <c r="AR20" s="105" t="e">
        <f t="shared" si="9"/>
        <v>#DIV/0!</v>
      </c>
      <c r="AS20" s="105" t="e">
        <f t="shared" si="10"/>
        <v>#DIV/0!</v>
      </c>
      <c r="AT20" s="105">
        <f t="shared" si="40"/>
        <v>0</v>
      </c>
      <c r="AU20" s="105" t="e">
        <f t="shared" si="41"/>
        <v>#DIV/0!</v>
      </c>
      <c r="AV20" s="105" t="e">
        <f>AX19-AU19</f>
        <v>#DIV/0!</v>
      </c>
      <c r="AW20" s="105" t="e">
        <f t="shared" si="24"/>
        <v>#DIV/0!</v>
      </c>
      <c r="AX20" s="105">
        <f t="shared" si="42"/>
        <v>0</v>
      </c>
      <c r="AY20" s="105">
        <f t="shared" si="43"/>
        <v>0</v>
      </c>
      <c r="AZ20" s="105"/>
      <c r="BA20" s="105"/>
      <c r="BB20" s="105"/>
      <c r="BC20" s="105"/>
      <c r="BD20" s="105"/>
      <c r="BE20" s="105" t="e">
        <f t="shared" si="44"/>
        <v>#DIV/0!</v>
      </c>
      <c r="BF20" s="108"/>
      <c r="BG20" s="108"/>
      <c r="BH20" s="22"/>
      <c r="BI20" s="108"/>
      <c r="BW20" s="2">
        <f t="shared" si="37"/>
        <v>8</v>
      </c>
      <c r="BX20" s="398">
        <f t="shared" si="36"/>
        <v>44682</v>
      </c>
      <c r="BY20" s="2">
        <f t="shared" si="38"/>
        <v>9</v>
      </c>
    </row>
    <row r="21" spans="1:391" ht="30" customHeight="1" x14ac:dyDescent="0.2">
      <c r="A21" s="779" t="s">
        <v>307</v>
      </c>
      <c r="B21" s="779"/>
      <c r="C21" s="481" t="str">
        <f>IF(C7&lt;=1000000,"НА 3%",IF(C11=13.9%,"НА 3%","НА 2%"))</f>
        <v>НА 3%</v>
      </c>
      <c r="D21" s="314"/>
      <c r="E21" s="475"/>
      <c r="F21" s="296"/>
      <c r="G21" s="426">
        <f t="shared" si="29"/>
        <v>13</v>
      </c>
      <c r="H21" s="427">
        <f t="shared" si="6"/>
        <v>44838</v>
      </c>
      <c r="I21" s="494">
        <f>$AF$95</f>
        <v>0.129</v>
      </c>
      <c r="J21" s="423">
        <f>IF(AND($C$8&lt;&gt;"Нет",G21&gt;=$W$14,G21&lt;=$W$14+5),$W$15,IF(AND(R20+M21+K21&gt;J20,J20&lt;&gt;0),$AE$95,IF(R20=0,0,R20+M21+K21+K22)))</f>
        <v>11958</v>
      </c>
      <c r="K21" s="423">
        <f t="shared" si="15"/>
        <v>3060.92</v>
      </c>
      <c r="L21" s="423">
        <f t="shared" si="16"/>
        <v>8897.08</v>
      </c>
      <c r="M21" s="423">
        <f t="shared" si="17"/>
        <v>0</v>
      </c>
      <c r="N21" s="423">
        <f t="shared" si="30"/>
        <v>0</v>
      </c>
      <c r="O21" s="423">
        <f t="shared" si="7"/>
        <v>3060.92</v>
      </c>
      <c r="P21" s="423">
        <f t="shared" si="18"/>
        <v>0</v>
      </c>
      <c r="Q21" s="423">
        <f t="shared" si="19"/>
        <v>0</v>
      </c>
      <c r="R21" s="423">
        <f t="shared" si="20"/>
        <v>279794.56</v>
      </c>
      <c r="S21" s="470"/>
      <c r="T21" s="36">
        <f t="shared" si="31"/>
        <v>24</v>
      </c>
      <c r="U21" s="36">
        <f t="shared" si="21"/>
        <v>24</v>
      </c>
      <c r="V21" s="101"/>
      <c r="W21" s="101">
        <v>9.9000000000000005E-2</v>
      </c>
      <c r="X21" s="101">
        <f>IF($D$27=X4,X20,IF($D$27=X5,X19,IF($D$27=X6,X19,IF($D$27=X7,X19,IF($D$27=X8,X19,IF($D$27=X9,X19,IF($D$27=X10,X19,IF($D$27=X11,X19,IF($D$27=X12,X19,IF($D$27=X13,X19,IF($D$27=X14,X19,IF($D$27=X15,X19,X20))))))))))))</f>
        <v>7.9000000000000001E-2</v>
      </c>
      <c r="Y21" s="101">
        <f>IF($D$27=Y4,Y20,IF($D$27=Y5,Y19,IF($D$27=Y6,Y19,IF($D$27=Y7,Y19,IF($D$27=Y8,Y19,IF($D$27=Y9,Y19,IF($D$27=Y10,Y19,IF($D$27=Y11,Y19,IF($D$27=Y12,Y19,IF($D$27=Y13,Y19,IF($D$27=Y14,Y19,IF($D$27=Y15,Y19,Y20))))))))))))</f>
        <v>7.9000000000000001E-2</v>
      </c>
      <c r="Z21" s="101">
        <f>IF($D$27=Z4,Z20,IF($D$27=Z5,Z19,IF($D$27=Z6,Z19,IF($D$27=Z7,Z19,IF($D$27=Z8,Z19,IF($D$27=Z9,Z19,IF($D$27=Z10,Z19,IF($D$27=Z11,Z19,IF($D$27=Z12,Z19,IF($D$27=Z13,Z19,IF($D$27=Z14,Z19,IF($D$27=Z15,Z19,Z20))))))))))))</f>
        <v>7.9000000000000001E-2</v>
      </c>
      <c r="AA21" s="101">
        <f>IF($D$27=AA4,AA20,IF($D$27=AA5,AA19,IF($D$27=AA6,AA19,IF($D$27=AA7,AA19,IF($D$27=AA8,AA19,IF($D$27=AA9,AA19,IF($D$27=AA10,AA19,IF($D$27=AA11,AA19,IF($D$27=AA12,AA19,IF($D$27=AA13,AA19,IF($D$27=AA14,AA19,IF($D$27=AA15,AA19,AA20))))))))))))</f>
        <v>7.9000000000000001E-2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 t="e">
        <f t="shared" si="22"/>
        <v>#DIV/0!</v>
      </c>
      <c r="AP21" s="109">
        <f t="shared" si="33"/>
        <v>13</v>
      </c>
      <c r="AQ21" s="110">
        <f t="shared" si="8"/>
        <v>44838</v>
      </c>
      <c r="AR21" s="105" t="e">
        <f t="shared" si="9"/>
        <v>#DIV/0!</v>
      </c>
      <c r="AS21" s="105" t="e">
        <f t="shared" si="10"/>
        <v>#DIV/0!</v>
      </c>
      <c r="AT21" s="105">
        <f t="shared" si="40"/>
        <v>0</v>
      </c>
      <c r="AU21" s="105" t="e">
        <f t="shared" si="41"/>
        <v>#DIV/0!</v>
      </c>
      <c r="AV21" s="105" t="e">
        <f t="shared" ref="AV21:AW85" si="45">AX20-AU20</f>
        <v>#DIV/0!</v>
      </c>
      <c r="AW21" s="105" t="e">
        <f t="shared" si="24"/>
        <v>#DIV/0!</v>
      </c>
      <c r="AX21" s="105">
        <f t="shared" si="42"/>
        <v>0</v>
      </c>
      <c r="AY21" s="105">
        <f t="shared" si="43"/>
        <v>0</v>
      </c>
      <c r="AZ21" s="105"/>
      <c r="BA21" s="105"/>
      <c r="BB21" s="105"/>
      <c r="BC21" s="105"/>
      <c r="BD21" s="105"/>
      <c r="BE21" s="105" t="e">
        <f t="shared" si="44"/>
        <v>#DIV/0!</v>
      </c>
      <c r="BF21" s="108"/>
      <c r="BG21" s="108"/>
      <c r="BH21" s="22"/>
      <c r="BI21" s="108"/>
      <c r="BW21" s="2">
        <f t="shared" si="37"/>
        <v>9</v>
      </c>
      <c r="BX21" s="398">
        <f t="shared" si="36"/>
        <v>44713</v>
      </c>
      <c r="BY21" s="2">
        <f t="shared" si="38"/>
        <v>10</v>
      </c>
    </row>
    <row r="22" spans="1:391" ht="23.25" customHeight="1" x14ac:dyDescent="0.2">
      <c r="A22" s="882" t="str">
        <f>IF(C7&gt;1000000,IF(C11=13.9%,"13,9% - 10,9% - 7,9% - 5,9% - 5,9% - 5,9% - 5,9%",IF(C11=11.9%,"11,9% - 9,9% - 7,9% - 5,9% - 5,9% - 5,9% - 5,9%","9,9% - 7,9% - 5,9% - 5,9% - 5,9% - 5,9% - 5,9%")),IF(C11=15.9%,"15,9% - 12,9% - 9,9% - 6,9% - 5,9% - 5,9% - 5,9%",IF(C11=13.9%,"13,9% - 10,9% - 7,9% - 5,9% - 5,9% - 5,9% - 5,9%","11,9% - 8,9% - 5,9% - 5,9% - 5,9% - 5,9% - 5,9%")))</f>
        <v>15,9% - 12,9% - 9,9% - 6,9% - 5,9% - 5,9% - 5,9%</v>
      </c>
      <c r="B22" s="882"/>
      <c r="C22" s="882"/>
      <c r="D22" s="314"/>
      <c r="E22" s="475"/>
      <c r="F22" s="296"/>
      <c r="G22" s="426">
        <f t="shared" si="29"/>
        <v>14</v>
      </c>
      <c r="H22" s="427">
        <f t="shared" si="6"/>
        <v>44869</v>
      </c>
      <c r="I22" s="494">
        <f t="shared" ref="I22:I32" si="46">$AF$95</f>
        <v>0.129</v>
      </c>
      <c r="J22" s="423">
        <f t="shared" ref="J22:J32" si="47">IF(AND($C$8&lt;&gt;"Нет",G22&gt;=$W$14,G22&lt;=$W$14+5),$W$15,IF(AND(R21+M22+K22&gt;J21,J21&lt;&gt;0),$AE$95,IF(R21=0,0,R21+M22+K22+K23)))</f>
        <v>11958</v>
      </c>
      <c r="K22" s="423">
        <f t="shared" si="15"/>
        <v>3065.48</v>
      </c>
      <c r="L22" s="423">
        <f t="shared" si="16"/>
        <v>8892.52</v>
      </c>
      <c r="M22" s="423">
        <f t="shared" si="17"/>
        <v>0</v>
      </c>
      <c r="N22" s="423">
        <f t="shared" si="30"/>
        <v>0</v>
      </c>
      <c r="O22" s="423">
        <f t="shared" si="7"/>
        <v>3065.48</v>
      </c>
      <c r="P22" s="423">
        <f t="shared" si="18"/>
        <v>0</v>
      </c>
      <c r="Q22" s="423">
        <f t="shared" si="19"/>
        <v>0</v>
      </c>
      <c r="R22" s="423">
        <f t="shared" si="20"/>
        <v>270902.03999999998</v>
      </c>
      <c r="S22" s="470"/>
      <c r="T22" s="36">
        <f t="shared" si="31"/>
        <v>23</v>
      </c>
      <c r="U22" s="36">
        <f t="shared" si="21"/>
        <v>23</v>
      </c>
      <c r="V22" s="101"/>
      <c r="W22" s="101">
        <f>IF(C11=W4,W23,IF(C11=W5,W23,IF(C11=W6,W24,IF(C11=W7,W24,IF(C11=W8,W25,IF(C11=W9,W26,IF(C11=W10,W26,IF(C11=W11,W26,IF(C11=W12,W27,IF(C11=W13,W26,IF(C11=W14,W27,IF(C11=W15,W27,IF(C11=W16,W27,IF(C11=W17,W27,W23))))))))))))))</f>
        <v>1.9E-2</v>
      </c>
      <c r="X22" s="101">
        <f>IF($D$27=X4,X23,IF($D$27=X5,X23,IF($D$27=X6,X23,IF($D$27=X7,X23,IF($D$27=X8,X24,IF($D$27=X9,X24,IF($D$27=X10,X25,IF($D$27=X11,X26,IF($D$27=X12,X26,"")))))))))</f>
        <v>8.9999999999999993E-3</v>
      </c>
      <c r="Y22" s="101">
        <f>IF($D$27=Y4,Y23,IF($D$27=Y5,Y23,IF($D$27=Y6,Y23,IF($D$27=Y7,Y23,IF($D$27=Y8,Y24,IF($D$27=Y9,Y24,IF($D$27=Y10,Y25,IF($D$27=Y11,Y26,IF($D$27=Y12,Y26,"")))))))))</f>
        <v>8.9999999999999993E-3</v>
      </c>
      <c r="Z22" s="101">
        <f>IF($D$27=Z4,Z23,IF($D$27=Z5,Z23,IF($D$27=Z6,Z23,IF($D$27=Z7,Z23,IF($D$27=Z8,Z24,IF($D$27=Z9,Z24,IF($D$27=Z10,Z25,IF($D$27=Z11,Z26,IF($D$27=Z12,Z26,"")))))))))</f>
        <v>8.9999999999999993E-3</v>
      </c>
      <c r="AA22" s="101">
        <f>IF($D$27=AA4,AA23,IF($D$27=AA5,AA23,IF($D$27=AA6,AA23,IF($D$27=AA7,AA23,IF($D$27=AA8,AA24,IF($D$27=AA9,AA24,IF($D$27=AA10,AA25,IF($D$27=AA11,AA26,IF($D$27=AA12,AA26,"")))))))))</f>
        <v>8.9999999999999993E-3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 t="e">
        <f t="shared" si="22"/>
        <v>#DIV/0!</v>
      </c>
      <c r="AP22" s="109">
        <f t="shared" si="33"/>
        <v>14</v>
      </c>
      <c r="AQ22" s="110">
        <f t="shared" si="8"/>
        <v>44869</v>
      </c>
      <c r="AR22" s="105" t="e">
        <f t="shared" si="9"/>
        <v>#DIV/0!</v>
      </c>
      <c r="AS22" s="105" t="e">
        <f t="shared" si="10"/>
        <v>#DIV/0!</v>
      </c>
      <c r="AT22" s="105">
        <f t="shared" si="40"/>
        <v>0</v>
      </c>
      <c r="AU22" s="105" t="e">
        <f t="shared" si="41"/>
        <v>#DIV/0!</v>
      </c>
      <c r="AV22" s="105" t="e">
        <f t="shared" si="45"/>
        <v>#DIV/0!</v>
      </c>
      <c r="AW22" s="105" t="e">
        <f t="shared" si="24"/>
        <v>#DIV/0!</v>
      </c>
      <c r="AX22" s="105">
        <f t="shared" si="42"/>
        <v>0</v>
      </c>
      <c r="AY22" s="105">
        <f t="shared" si="43"/>
        <v>0</v>
      </c>
      <c r="AZ22" s="105"/>
      <c r="BA22" s="105"/>
      <c r="BB22" s="105"/>
      <c r="BC22" s="105"/>
      <c r="BD22" s="105"/>
      <c r="BE22" s="105" t="e">
        <f t="shared" si="44"/>
        <v>#DIV/0!</v>
      </c>
      <c r="BF22" s="108"/>
      <c r="BG22" s="108"/>
      <c r="BH22" s="22"/>
      <c r="BI22" s="108"/>
      <c r="BW22" s="2">
        <f>BW21+1</f>
        <v>10</v>
      </c>
      <c r="BX22" s="398">
        <f t="shared" si="36"/>
        <v>44743</v>
      </c>
      <c r="BY22" s="2">
        <f t="shared" si="38"/>
        <v>11</v>
      </c>
    </row>
    <row r="23" spans="1:391" ht="16.5" customHeight="1" x14ac:dyDescent="0.2">
      <c r="A23" s="883" t="s">
        <v>208</v>
      </c>
      <c r="B23" s="883"/>
      <c r="C23" s="883"/>
      <c r="D23" s="317"/>
      <c r="E23" s="284"/>
      <c r="F23" s="489"/>
      <c r="G23" s="426">
        <f t="shared" si="29"/>
        <v>15</v>
      </c>
      <c r="H23" s="427">
        <f t="shared" si="6"/>
        <v>44899</v>
      </c>
      <c r="I23" s="494">
        <f t="shared" si="46"/>
        <v>0.129</v>
      </c>
      <c r="J23" s="423">
        <f t="shared" si="47"/>
        <v>11958</v>
      </c>
      <c r="K23" s="423">
        <f t="shared" si="15"/>
        <v>2872.3</v>
      </c>
      <c r="L23" s="423">
        <f t="shared" si="16"/>
        <v>9085.7000000000007</v>
      </c>
      <c r="M23" s="423">
        <f t="shared" si="17"/>
        <v>0</v>
      </c>
      <c r="N23" s="423">
        <f t="shared" si="30"/>
        <v>0</v>
      </c>
      <c r="O23" s="423">
        <f t="shared" si="7"/>
        <v>2872.3</v>
      </c>
      <c r="P23" s="423">
        <f t="shared" si="18"/>
        <v>0</v>
      </c>
      <c r="Q23" s="423">
        <f t="shared" si="19"/>
        <v>0</v>
      </c>
      <c r="R23" s="423">
        <f t="shared" si="20"/>
        <v>261816.33999999997</v>
      </c>
      <c r="S23" s="470"/>
      <c r="T23" s="36">
        <f t="shared" si="31"/>
        <v>22</v>
      </c>
      <c r="U23" s="36">
        <f t="shared" si="21"/>
        <v>22</v>
      </c>
      <c r="V23" s="84"/>
      <c r="W23" s="84">
        <v>8.9999999999999993E-3</v>
      </c>
      <c r="X23" s="84">
        <v>8.9999999999999993E-3</v>
      </c>
      <c r="Y23" s="84">
        <v>8.9999999999999993E-3</v>
      </c>
      <c r="Z23" s="84">
        <v>8.9999999999999993E-3</v>
      </c>
      <c r="AA23" s="84">
        <v>8.9999999999999993E-3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 t="e">
        <f t="shared" si="22"/>
        <v>#DIV/0!</v>
      </c>
      <c r="AP23" s="109">
        <f t="shared" si="33"/>
        <v>15</v>
      </c>
      <c r="AQ23" s="110">
        <f t="shared" si="8"/>
        <v>44899</v>
      </c>
      <c r="AR23" s="105" t="e">
        <f t="shared" si="9"/>
        <v>#DIV/0!</v>
      </c>
      <c r="AS23" s="105" t="e">
        <f t="shared" si="10"/>
        <v>#DIV/0!</v>
      </c>
      <c r="AT23" s="105">
        <f t="shared" si="40"/>
        <v>0</v>
      </c>
      <c r="AU23" s="105" t="e">
        <f t="shared" si="41"/>
        <v>#DIV/0!</v>
      </c>
      <c r="AV23" s="105" t="e">
        <f t="shared" si="45"/>
        <v>#DIV/0!</v>
      </c>
      <c r="AW23" s="105" t="e">
        <f t="shared" si="24"/>
        <v>#DIV/0!</v>
      </c>
      <c r="AX23" s="105">
        <f t="shared" si="42"/>
        <v>0</v>
      </c>
      <c r="AY23" s="105">
        <f t="shared" si="43"/>
        <v>0</v>
      </c>
      <c r="AZ23" s="105"/>
      <c r="BA23" s="105"/>
      <c r="BB23" s="105"/>
      <c r="BC23" s="105"/>
      <c r="BD23" s="105"/>
      <c r="BE23" s="105" t="e">
        <f t="shared" si="44"/>
        <v>#DIV/0!</v>
      </c>
      <c r="BF23" s="108"/>
      <c r="BG23" s="108"/>
      <c r="BH23" s="22"/>
      <c r="BI23" s="108"/>
      <c r="BW23" s="2">
        <f t="shared" ref="BW23:BW24" si="48">BW22+1</f>
        <v>11</v>
      </c>
      <c r="BX23" s="398">
        <f t="shared" si="36"/>
        <v>44774</v>
      </c>
      <c r="BY23" s="2">
        <f t="shared" si="38"/>
        <v>12</v>
      </c>
    </row>
    <row r="24" spans="1:391" ht="16.5" customHeight="1" x14ac:dyDescent="0.2">
      <c r="A24" s="769" t="str">
        <f>IF(AND($C$8&lt;&gt;"Нет",$D$8&lt;&gt;"Нет",$C$15&lt;&gt;"Нет"),"Сумма кредита с учетом страховой премии и 
комиссии за пакет услуг Всё под контролем, руб.",IF(AND($C$8&lt;&gt;"Нет",$D$8&lt;&gt;"Нет",$C$15&lt;&gt;"Да"),"Сумма кредита с учетом страховой премии, руб.",IF(AND($D$8&lt;&gt;"Нет",$C$15&lt;&gt;"Нет"),"Сумма кредита с учетом комиссии за пакет услуг Всё под контролем, руб.","Сумма кредита, руб.")))</f>
        <v>Сумма кредита, руб.</v>
      </c>
      <c r="B24" s="769"/>
      <c r="C24" s="328">
        <f>$C$7+(IF($C$8="Нет",0,IF($C$27&lt;&gt;"",$C$27,0))+IF(C42="Нет",0,IF($C$45&lt;&gt;"",$C$45,0))+IF(C15="Нет",0,IF(C15="Да",C16,0)))</f>
        <v>346640</v>
      </c>
      <c r="D24" s="318">
        <v>0</v>
      </c>
      <c r="E24" s="285" t="str">
        <f>IF(C8="Нет","Нет программы страхования",IF(C10-D24&lt;2,"Слишком поздняя активация",IF(D24&lt;1,"Слишком ранняя активация","")))</f>
        <v>Слишком ранняя активация</v>
      </c>
      <c r="F24" s="298"/>
      <c r="G24" s="426">
        <f t="shared" si="29"/>
        <v>16</v>
      </c>
      <c r="H24" s="427">
        <f t="shared" si="6"/>
        <v>44930</v>
      </c>
      <c r="I24" s="494">
        <f t="shared" si="46"/>
        <v>0.129</v>
      </c>
      <c r="J24" s="423">
        <f t="shared" si="47"/>
        <v>11958</v>
      </c>
      <c r="K24" s="423">
        <f t="shared" si="15"/>
        <v>2868.5</v>
      </c>
      <c r="L24" s="423">
        <f t="shared" si="16"/>
        <v>9089.5</v>
      </c>
      <c r="M24" s="423">
        <f t="shared" si="17"/>
        <v>0</v>
      </c>
      <c r="N24" s="423">
        <f t="shared" si="30"/>
        <v>0</v>
      </c>
      <c r="O24" s="423">
        <f t="shared" si="7"/>
        <v>2868.5</v>
      </c>
      <c r="P24" s="423">
        <f t="shared" si="18"/>
        <v>0</v>
      </c>
      <c r="Q24" s="423">
        <f t="shared" si="19"/>
        <v>0</v>
      </c>
      <c r="R24" s="423">
        <f t="shared" si="20"/>
        <v>252726.83999999997</v>
      </c>
      <c r="S24" s="470"/>
      <c r="T24" s="36">
        <f t="shared" si="31"/>
        <v>21</v>
      </c>
      <c r="U24" s="36">
        <f t="shared" si="21"/>
        <v>21</v>
      </c>
      <c r="V24" s="84"/>
      <c r="W24" s="84">
        <v>1.9E-2</v>
      </c>
      <c r="X24" s="84">
        <v>1.9E-2</v>
      </c>
      <c r="Y24" s="84">
        <v>1.9E-2</v>
      </c>
      <c r="Z24" s="84">
        <v>1.9E-2</v>
      </c>
      <c r="AA24" s="84">
        <v>1.9E-2</v>
      </c>
      <c r="AB24" s="15">
        <v>4.9000000000000002E-2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 t="e">
        <f t="shared" si="22"/>
        <v>#DIV/0!</v>
      </c>
      <c r="AP24" s="109">
        <f t="shared" si="33"/>
        <v>16</v>
      </c>
      <c r="AQ24" s="110">
        <f t="shared" si="8"/>
        <v>44930</v>
      </c>
      <c r="AR24" s="105" t="e">
        <f t="shared" si="9"/>
        <v>#DIV/0!</v>
      </c>
      <c r="AS24" s="105" t="e">
        <f t="shared" si="10"/>
        <v>#DIV/0!</v>
      </c>
      <c r="AT24" s="105">
        <f t="shared" si="40"/>
        <v>0</v>
      </c>
      <c r="AU24" s="105" t="e">
        <f t="shared" si="41"/>
        <v>#DIV/0!</v>
      </c>
      <c r="AV24" s="105" t="e">
        <f t="shared" si="45"/>
        <v>#DIV/0!</v>
      </c>
      <c r="AW24" s="105" t="e">
        <f t="shared" si="24"/>
        <v>#DIV/0!</v>
      </c>
      <c r="AX24" s="105">
        <f t="shared" si="42"/>
        <v>0</v>
      </c>
      <c r="AY24" s="105">
        <f t="shared" si="43"/>
        <v>0</v>
      </c>
      <c r="AZ24" s="105"/>
      <c r="BA24" s="105"/>
      <c r="BB24" s="105"/>
      <c r="BC24" s="105"/>
      <c r="BD24" s="105"/>
      <c r="BE24" s="105" t="e">
        <f t="shared" si="44"/>
        <v>#DIV/0!</v>
      </c>
      <c r="BF24" s="108"/>
      <c r="BG24" s="108"/>
      <c r="BH24" s="22"/>
      <c r="BI24" s="108"/>
      <c r="BW24" s="2">
        <f t="shared" si="48"/>
        <v>12</v>
      </c>
      <c r="BX24" s="398">
        <f t="shared" si="36"/>
        <v>44805</v>
      </c>
      <c r="BY24" s="2">
        <f t="shared" si="38"/>
        <v>13</v>
      </c>
    </row>
    <row r="25" spans="1:391" ht="16.5" customHeight="1" x14ac:dyDescent="0.2">
      <c r="A25" s="884" t="s">
        <v>206</v>
      </c>
      <c r="B25" s="884"/>
      <c r="C25" s="328">
        <f>ROUNDUP(AG94/AG91*C24/AG47,0)*AG47</f>
        <v>12190</v>
      </c>
      <c r="D25" s="317"/>
      <c r="E25" s="284"/>
      <c r="F25" s="297"/>
      <c r="G25" s="426">
        <f t="shared" si="29"/>
        <v>17</v>
      </c>
      <c r="H25" s="427">
        <f t="shared" si="6"/>
        <v>44961</v>
      </c>
      <c r="I25" s="494">
        <f t="shared" si="46"/>
        <v>0.129</v>
      </c>
      <c r="J25" s="423">
        <f t="shared" si="47"/>
        <v>11958</v>
      </c>
      <c r="K25" s="423">
        <f t="shared" si="15"/>
        <v>2768.92</v>
      </c>
      <c r="L25" s="423">
        <f t="shared" si="16"/>
        <v>9189.08</v>
      </c>
      <c r="M25" s="423">
        <f t="shared" si="17"/>
        <v>0</v>
      </c>
      <c r="N25" s="423">
        <f t="shared" si="30"/>
        <v>0</v>
      </c>
      <c r="O25" s="423">
        <f t="shared" si="7"/>
        <v>2768.92</v>
      </c>
      <c r="P25" s="423">
        <f t="shared" si="18"/>
        <v>0</v>
      </c>
      <c r="Q25" s="423">
        <f t="shared" si="19"/>
        <v>0</v>
      </c>
      <c r="R25" s="423">
        <f t="shared" si="20"/>
        <v>243537.75999999998</v>
      </c>
      <c r="S25" s="470"/>
      <c r="T25" s="36">
        <f t="shared" si="31"/>
        <v>20</v>
      </c>
      <c r="U25" s="36">
        <f t="shared" si="21"/>
        <v>20</v>
      </c>
      <c r="V25" s="122"/>
      <c r="W25" s="122">
        <v>2.9000000000000001E-2</v>
      </c>
      <c r="X25" s="122">
        <v>2.9000000000000001E-2</v>
      </c>
      <c r="Y25" s="122">
        <v>2.9000000000000001E-2</v>
      </c>
      <c r="Z25" s="122">
        <v>2.9000000000000001E-2</v>
      </c>
      <c r="AA25" s="122">
        <v>2.9000000000000001E-2</v>
      </c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 t="e">
        <f t="shared" si="22"/>
        <v>#DIV/0!</v>
      </c>
      <c r="AP25" s="168">
        <f t="shared" si="33"/>
        <v>17</v>
      </c>
      <c r="AQ25" s="167">
        <f t="shared" si="8"/>
        <v>44961</v>
      </c>
      <c r="AR25" s="105" t="e">
        <f t="shared" si="9"/>
        <v>#DIV/0!</v>
      </c>
      <c r="AS25" s="105" t="e">
        <f t="shared" si="10"/>
        <v>#DIV/0!</v>
      </c>
      <c r="AT25" s="105">
        <f t="shared" si="40"/>
        <v>0</v>
      </c>
      <c r="AU25" s="105" t="e">
        <f t="shared" si="41"/>
        <v>#DIV/0!</v>
      </c>
      <c r="AV25" s="105" t="e">
        <f t="shared" si="45"/>
        <v>#DIV/0!</v>
      </c>
      <c r="AW25" s="105" t="e">
        <f t="shared" si="24"/>
        <v>#DIV/0!</v>
      </c>
      <c r="AX25" s="105">
        <f t="shared" si="42"/>
        <v>0</v>
      </c>
      <c r="AY25" s="105">
        <f t="shared" si="43"/>
        <v>0</v>
      </c>
      <c r="AZ25" s="105"/>
      <c r="BA25" s="105"/>
      <c r="BB25" s="105"/>
      <c r="BC25" s="105"/>
      <c r="BD25" s="105"/>
      <c r="BE25" s="105" t="e">
        <f t="shared" si="44"/>
        <v>#DIV/0!</v>
      </c>
      <c r="BF25" s="108">
        <f>IF((BF18-1)&lt;0,0,BF18-1)</f>
        <v>26</v>
      </c>
      <c r="BG25" s="108">
        <f t="shared" ref="BG25:BG58" si="49">IF(ISERR(CEILING(FLOOR(NPER($C$11/12,-$AD$55,BE18),0.1),1))=TRUE,0,CEILING(FLOOR(NPER($C$11/12,-$AD$55,BE18),0.1),1))</f>
        <v>0</v>
      </c>
      <c r="BH25" s="22">
        <f t="shared" ref="BH25:BH38" si="50">H19</f>
        <v>44777</v>
      </c>
      <c r="BI25" s="108">
        <f t="shared" ref="BI25:BI58" si="51">J19</f>
        <v>12190</v>
      </c>
    </row>
    <row r="26" spans="1:391" ht="16.5" customHeight="1" x14ac:dyDescent="0.2">
      <c r="A26" s="769" t="s">
        <v>207</v>
      </c>
      <c r="B26" s="769"/>
      <c r="C26" s="328">
        <f>IF(C10=36,J33,IF(C10=48,J45,J57))</f>
        <v>11726</v>
      </c>
      <c r="D26" s="319" t="str">
        <f>IF(AND($C$8=$D$8,$C$42=$D$32),"В течение срока кредита","При обращении")</f>
        <v>При обращении</v>
      </c>
      <c r="E26" s="285"/>
      <c r="F26" s="298"/>
      <c r="G26" s="426">
        <f t="shared" si="29"/>
        <v>18</v>
      </c>
      <c r="H26" s="427">
        <f t="shared" si="6"/>
        <v>44989</v>
      </c>
      <c r="I26" s="494">
        <f t="shared" si="46"/>
        <v>0.129</v>
      </c>
      <c r="J26" s="423">
        <f t="shared" si="47"/>
        <v>11958</v>
      </c>
      <c r="K26" s="423">
        <f t="shared" si="15"/>
        <v>2410.02</v>
      </c>
      <c r="L26" s="423">
        <f t="shared" si="16"/>
        <v>9547.98</v>
      </c>
      <c r="M26" s="423">
        <f t="shared" si="17"/>
        <v>0</v>
      </c>
      <c r="N26" s="423">
        <f t="shared" si="30"/>
        <v>0</v>
      </c>
      <c r="O26" s="423">
        <f t="shared" si="7"/>
        <v>2410.02</v>
      </c>
      <c r="P26" s="423">
        <f t="shared" si="18"/>
        <v>0</v>
      </c>
      <c r="Q26" s="423">
        <f t="shared" si="19"/>
        <v>0</v>
      </c>
      <c r="R26" s="423">
        <f t="shared" si="20"/>
        <v>233989.77999999997</v>
      </c>
      <c r="S26" s="470"/>
      <c r="T26" s="36">
        <f t="shared" si="31"/>
        <v>19</v>
      </c>
      <c r="U26" s="36">
        <f t="shared" si="21"/>
        <v>19</v>
      </c>
      <c r="V26" s="84"/>
      <c r="W26" s="84">
        <v>4.9000000000000002E-2</v>
      </c>
      <c r="X26" s="84">
        <v>4.9000000000000002E-2</v>
      </c>
      <c r="Y26" s="84">
        <v>4.9000000000000002E-2</v>
      </c>
      <c r="Z26" s="84">
        <v>4.9000000000000002E-2</v>
      </c>
      <c r="AA26" s="84">
        <v>4.9000000000000002E-2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 t="e">
        <f t="shared" si="22"/>
        <v>#DIV/0!</v>
      </c>
      <c r="AP26" s="109">
        <f t="shared" si="33"/>
        <v>18</v>
      </c>
      <c r="AQ26" s="110">
        <f t="shared" si="8"/>
        <v>44989</v>
      </c>
      <c r="AR26" s="105" t="e">
        <f t="shared" si="9"/>
        <v>#DIV/0!</v>
      </c>
      <c r="AS26" s="105" t="e">
        <f t="shared" si="10"/>
        <v>#DIV/0!</v>
      </c>
      <c r="AT26" s="105">
        <f t="shared" si="40"/>
        <v>0</v>
      </c>
      <c r="AU26" s="105" t="e">
        <f t="shared" si="41"/>
        <v>#DIV/0!</v>
      </c>
      <c r="AV26" s="105" t="e">
        <f t="shared" si="45"/>
        <v>#DIV/0!</v>
      </c>
      <c r="AW26" s="105" t="e">
        <f t="shared" si="24"/>
        <v>#DIV/0!</v>
      </c>
      <c r="AX26" s="105">
        <f t="shared" si="42"/>
        <v>0</v>
      </c>
      <c r="AY26" s="105">
        <f t="shared" si="43"/>
        <v>0</v>
      </c>
      <c r="AZ26" s="105"/>
      <c r="BA26" s="105"/>
      <c r="BB26" s="105"/>
      <c r="BC26" s="105"/>
      <c r="BD26" s="105"/>
      <c r="BE26" s="105" t="e">
        <f t="shared" si="44"/>
        <v>#DIV/0!</v>
      </c>
      <c r="BF26" s="108">
        <f>IF((BF25-1)&lt;0,0,BF25-1)</f>
        <v>25</v>
      </c>
      <c r="BG26" s="108">
        <f t="shared" si="49"/>
        <v>0</v>
      </c>
      <c r="BH26" s="22">
        <f t="shared" si="50"/>
        <v>44808</v>
      </c>
      <c r="BI26" s="108">
        <f t="shared" si="51"/>
        <v>12190</v>
      </c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</row>
    <row r="27" spans="1:391" ht="22.15" customHeight="1" x14ac:dyDescent="0.2">
      <c r="A27" s="763" t="s">
        <v>185</v>
      </c>
      <c r="B27" s="763"/>
      <c r="C27" s="329">
        <f>IF(C8="Нет",0,INDEX($AC$79:$AI$79,MATCH(C$8,$AC$59:$AJ$59,0))*C28)*MIN($C$10,60)</f>
        <v>43740</v>
      </c>
      <c r="D27" s="315">
        <f>C11</f>
        <v>0.159</v>
      </c>
      <c r="E27" s="286">
        <f>C11-D27</f>
        <v>0</v>
      </c>
      <c r="F27" s="299"/>
      <c r="G27" s="426">
        <f t="shared" si="29"/>
        <v>19</v>
      </c>
      <c r="H27" s="427">
        <f t="shared" si="6"/>
        <v>45020</v>
      </c>
      <c r="I27" s="494">
        <f t="shared" si="46"/>
        <v>0.129</v>
      </c>
      <c r="J27" s="423">
        <f t="shared" si="47"/>
        <v>11958</v>
      </c>
      <c r="K27" s="423">
        <f t="shared" si="15"/>
        <v>2563.63</v>
      </c>
      <c r="L27" s="423">
        <f t="shared" si="16"/>
        <v>9394.369999999999</v>
      </c>
      <c r="M27" s="423">
        <f t="shared" si="17"/>
        <v>0</v>
      </c>
      <c r="N27" s="423">
        <f t="shared" si="30"/>
        <v>0</v>
      </c>
      <c r="O27" s="423">
        <f t="shared" si="7"/>
        <v>2563.63</v>
      </c>
      <c r="P27" s="423">
        <f t="shared" si="18"/>
        <v>0</v>
      </c>
      <c r="Q27" s="423">
        <f t="shared" si="19"/>
        <v>0</v>
      </c>
      <c r="R27" s="423">
        <f t="shared" si="20"/>
        <v>224595.40999999997</v>
      </c>
      <c r="S27" s="470"/>
      <c r="T27" s="36">
        <f t="shared" si="31"/>
        <v>18</v>
      </c>
      <c r="U27" s="36">
        <f t="shared" si="21"/>
        <v>18</v>
      </c>
      <c r="V27" s="84"/>
      <c r="W27" s="84">
        <v>6.9000000000000006E-2</v>
      </c>
      <c r="X27" s="84">
        <v>6.9000000000000006E-2</v>
      </c>
      <c r="Y27" s="84">
        <v>6.9000000000000006E-2</v>
      </c>
      <c r="Z27" s="84">
        <v>6.9000000000000006E-2</v>
      </c>
      <c r="AA27" s="84">
        <v>6.9000000000000006E-2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 t="e">
        <f t="shared" si="22"/>
        <v>#DIV/0!</v>
      </c>
      <c r="AP27" s="109">
        <f t="shared" si="33"/>
        <v>19</v>
      </c>
      <c r="AQ27" s="110">
        <f t="shared" si="8"/>
        <v>45020</v>
      </c>
      <c r="AR27" s="105" t="e">
        <f t="shared" si="9"/>
        <v>#DIV/0!</v>
      </c>
      <c r="AS27" s="105" t="e">
        <f t="shared" si="10"/>
        <v>#DIV/0!</v>
      </c>
      <c r="AT27" s="105">
        <f t="shared" si="40"/>
        <v>0</v>
      </c>
      <c r="AU27" s="105" t="e">
        <f t="shared" si="41"/>
        <v>#DIV/0!</v>
      </c>
      <c r="AV27" s="105" t="e">
        <f t="shared" si="45"/>
        <v>#DIV/0!</v>
      </c>
      <c r="AW27" s="105" t="e">
        <f t="shared" si="24"/>
        <v>#DIV/0!</v>
      </c>
      <c r="AX27" s="105">
        <f t="shared" si="42"/>
        <v>0</v>
      </c>
      <c r="AY27" s="105">
        <f t="shared" si="43"/>
        <v>0</v>
      </c>
      <c r="AZ27" s="105"/>
      <c r="BA27" s="105"/>
      <c r="BB27" s="105"/>
      <c r="BC27" s="105"/>
      <c r="BD27" s="105"/>
      <c r="BE27" s="105" t="e">
        <f t="shared" si="44"/>
        <v>#DIV/0!</v>
      </c>
      <c r="BF27" s="108">
        <f t="shared" si="35"/>
        <v>24</v>
      </c>
      <c r="BG27" s="108">
        <f t="shared" si="49"/>
        <v>0</v>
      </c>
      <c r="BH27" s="22">
        <f t="shared" si="50"/>
        <v>44838</v>
      </c>
      <c r="BI27" s="108">
        <f t="shared" si="51"/>
        <v>11958</v>
      </c>
    </row>
    <row r="28" spans="1:391" ht="23.25" customHeight="1" x14ac:dyDescent="0.2">
      <c r="A28" s="763" t="s">
        <v>100</v>
      </c>
      <c r="B28" s="763"/>
      <c r="C28" s="482">
        <f>IF(C8=AC59,AC65,IF(C8=AD59,AD65,IF(C8=AF59,AF65,IF(C8=AG59,AG65,IF(C8=AE59,AE65,IF(C8=AH59,AH65,IF(C8=AI59,AI65,IF(C8=AJ59,AJ65,Y28))))))))</f>
        <v>3.0000000000000001E-3</v>
      </c>
      <c r="D28" s="313" t="s">
        <v>33</v>
      </c>
      <c r="E28" s="287"/>
      <c r="F28" s="300"/>
      <c r="G28" s="426">
        <f t="shared" si="29"/>
        <v>20</v>
      </c>
      <c r="H28" s="427">
        <f t="shared" si="6"/>
        <v>45050</v>
      </c>
      <c r="I28" s="494">
        <f t="shared" si="46"/>
        <v>0.129</v>
      </c>
      <c r="J28" s="423">
        <f t="shared" si="47"/>
        <v>11958</v>
      </c>
      <c r="K28" s="423">
        <f t="shared" si="15"/>
        <v>2381.33</v>
      </c>
      <c r="L28" s="423">
        <f t="shared" si="16"/>
        <v>9576.67</v>
      </c>
      <c r="M28" s="423">
        <f t="shared" si="17"/>
        <v>0</v>
      </c>
      <c r="N28" s="423">
        <f t="shared" si="30"/>
        <v>0</v>
      </c>
      <c r="O28" s="423">
        <f t="shared" si="7"/>
        <v>2381.33</v>
      </c>
      <c r="P28" s="423">
        <f t="shared" si="18"/>
        <v>0</v>
      </c>
      <c r="Q28" s="423">
        <f t="shared" si="19"/>
        <v>0</v>
      </c>
      <c r="R28" s="423">
        <f t="shared" si="20"/>
        <v>215018.73999999996</v>
      </c>
      <c r="S28" s="470"/>
      <c r="T28" s="36">
        <f t="shared" si="31"/>
        <v>17</v>
      </c>
      <c r="U28" s="36">
        <f t="shared" si="21"/>
        <v>17</v>
      </c>
      <c r="W28" s="2">
        <v>1</v>
      </c>
      <c r="X28" s="2">
        <v>1</v>
      </c>
      <c r="Y28" s="3">
        <v>1</v>
      </c>
      <c r="Z28" s="2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 t="e">
        <f t="shared" si="22"/>
        <v>#DIV/0!</v>
      </c>
      <c r="AP28" s="109">
        <f t="shared" si="33"/>
        <v>20</v>
      </c>
      <c r="AQ28" s="110">
        <f t="shared" si="8"/>
        <v>45050</v>
      </c>
      <c r="AR28" s="105" t="e">
        <f t="shared" si="9"/>
        <v>#DIV/0!</v>
      </c>
      <c r="AS28" s="105" t="e">
        <f t="shared" si="10"/>
        <v>#DIV/0!</v>
      </c>
      <c r="AT28" s="105">
        <f t="shared" si="40"/>
        <v>0</v>
      </c>
      <c r="AU28" s="105" t="e">
        <f t="shared" si="41"/>
        <v>#DIV/0!</v>
      </c>
      <c r="AV28" s="105" t="e">
        <f t="shared" si="45"/>
        <v>#DIV/0!</v>
      </c>
      <c r="AW28" s="105" t="e">
        <f t="shared" si="24"/>
        <v>#DIV/0!</v>
      </c>
      <c r="AX28" s="105">
        <f t="shared" si="42"/>
        <v>0</v>
      </c>
      <c r="AY28" s="105">
        <f t="shared" si="43"/>
        <v>0</v>
      </c>
      <c r="AZ28" s="105"/>
      <c r="BA28" s="105"/>
      <c r="BB28" s="105"/>
      <c r="BC28" s="105"/>
      <c r="BD28" s="105"/>
      <c r="BE28" s="105" t="e">
        <f t="shared" si="44"/>
        <v>#DIV/0!</v>
      </c>
      <c r="BF28" s="108">
        <f t="shared" si="35"/>
        <v>23</v>
      </c>
      <c r="BG28" s="108">
        <f t="shared" si="49"/>
        <v>0</v>
      </c>
      <c r="BH28" s="22">
        <f t="shared" si="50"/>
        <v>44869</v>
      </c>
      <c r="BI28" s="108">
        <f t="shared" si="51"/>
        <v>11958</v>
      </c>
    </row>
    <row r="29" spans="1:391" ht="19.5" customHeight="1" x14ac:dyDescent="0.2">
      <c r="A29" s="763" t="s">
        <v>324</v>
      </c>
      <c r="B29" s="763"/>
      <c r="C29" s="329">
        <f>IF(C8="Нет",0,INDEX($AC$79:$AI$79,MATCH(C$8,$AC$59:$AJ$59,0)))</f>
        <v>405000</v>
      </c>
      <c r="D29" s="476"/>
      <c r="E29" s="476"/>
      <c r="F29" s="299"/>
      <c r="G29" s="426">
        <f t="shared" si="29"/>
        <v>21</v>
      </c>
      <c r="H29" s="427">
        <f t="shared" si="6"/>
        <v>45081</v>
      </c>
      <c r="I29" s="494">
        <f t="shared" si="46"/>
        <v>0.129</v>
      </c>
      <c r="J29" s="423">
        <f t="shared" si="47"/>
        <v>11958</v>
      </c>
      <c r="K29" s="423">
        <f t="shared" si="15"/>
        <v>2355.7800000000002</v>
      </c>
      <c r="L29" s="423">
        <f t="shared" si="16"/>
        <v>9602.2199999999993</v>
      </c>
      <c r="M29" s="423">
        <f t="shared" si="17"/>
        <v>0</v>
      </c>
      <c r="N29" s="423">
        <f t="shared" si="30"/>
        <v>0</v>
      </c>
      <c r="O29" s="423">
        <f t="shared" si="7"/>
        <v>2355.7800000000002</v>
      </c>
      <c r="P29" s="423">
        <f t="shared" si="18"/>
        <v>0</v>
      </c>
      <c r="Q29" s="423">
        <f t="shared" si="19"/>
        <v>0</v>
      </c>
      <c r="R29" s="423">
        <f t="shared" si="20"/>
        <v>205416.51999999996</v>
      </c>
      <c r="S29" s="470"/>
      <c r="T29" s="36">
        <f t="shared" si="31"/>
        <v>16</v>
      </c>
      <c r="U29" s="36">
        <f t="shared" si="21"/>
        <v>16</v>
      </c>
      <c r="AE29" s="82"/>
      <c r="AF29" s="2"/>
      <c r="AG29" s="2"/>
      <c r="AH29" s="2"/>
      <c r="AI29" s="3"/>
      <c r="AJ29" s="3"/>
      <c r="AK29" s="3"/>
      <c r="AL29" s="3"/>
      <c r="AO29" s="130" t="e">
        <f t="shared" si="22"/>
        <v>#DIV/0!</v>
      </c>
      <c r="AP29" s="109">
        <f t="shared" si="33"/>
        <v>21</v>
      </c>
      <c r="AQ29" s="110">
        <f t="shared" si="8"/>
        <v>45081</v>
      </c>
      <c r="AR29" s="105" t="e">
        <f t="shared" si="9"/>
        <v>#DIV/0!</v>
      </c>
      <c r="AS29" s="105" t="e">
        <f t="shared" si="10"/>
        <v>#DIV/0!</v>
      </c>
      <c r="AT29" s="105">
        <f t="shared" si="40"/>
        <v>0</v>
      </c>
      <c r="AU29" s="105" t="e">
        <f t="shared" si="41"/>
        <v>#DIV/0!</v>
      </c>
      <c r="AV29" s="105" t="e">
        <f t="shared" si="45"/>
        <v>#DIV/0!</v>
      </c>
      <c r="AW29" s="105" t="e">
        <f t="shared" si="24"/>
        <v>#DIV/0!</v>
      </c>
      <c r="AX29" s="105">
        <f t="shared" si="42"/>
        <v>0</v>
      </c>
      <c r="AY29" s="105">
        <f t="shared" si="43"/>
        <v>0</v>
      </c>
      <c r="AZ29" s="105"/>
      <c r="BA29" s="105"/>
      <c r="BB29" s="105"/>
      <c r="BC29" s="105"/>
      <c r="BD29" s="105"/>
      <c r="BE29" s="105" t="e">
        <f t="shared" si="44"/>
        <v>#DIV/0!</v>
      </c>
      <c r="BF29" s="108">
        <f t="shared" si="35"/>
        <v>22</v>
      </c>
      <c r="BG29" s="108">
        <f t="shared" si="49"/>
        <v>0</v>
      </c>
      <c r="BH29" s="22">
        <f t="shared" si="50"/>
        <v>44899</v>
      </c>
      <c r="BI29" s="108">
        <f t="shared" si="51"/>
        <v>11958</v>
      </c>
    </row>
    <row r="30" spans="1:391" ht="19.5" customHeight="1" x14ac:dyDescent="0.2">
      <c r="A30" s="763" t="s">
        <v>162</v>
      </c>
      <c r="B30" s="763"/>
      <c r="C30" s="329">
        <f>C27/$C$10</f>
        <v>1215</v>
      </c>
      <c r="D30" s="315" t="str">
        <f>D8</f>
        <v>Нет</v>
      </c>
      <c r="E30" s="286"/>
      <c r="F30" s="299"/>
      <c r="G30" s="426">
        <f t="shared" si="29"/>
        <v>22</v>
      </c>
      <c r="H30" s="427">
        <f t="shared" si="6"/>
        <v>45111</v>
      </c>
      <c r="I30" s="494">
        <f t="shared" si="46"/>
        <v>0.129</v>
      </c>
      <c r="J30" s="423">
        <f t="shared" si="47"/>
        <v>11958</v>
      </c>
      <c r="K30" s="423">
        <f t="shared" si="15"/>
        <v>2177.98</v>
      </c>
      <c r="L30" s="423">
        <f t="shared" si="16"/>
        <v>9780.02</v>
      </c>
      <c r="M30" s="423">
        <f t="shared" si="17"/>
        <v>0</v>
      </c>
      <c r="N30" s="423">
        <f t="shared" si="30"/>
        <v>0</v>
      </c>
      <c r="O30" s="423">
        <f t="shared" si="7"/>
        <v>2177.98</v>
      </c>
      <c r="P30" s="423">
        <f t="shared" si="18"/>
        <v>0</v>
      </c>
      <c r="Q30" s="423">
        <f t="shared" si="19"/>
        <v>0</v>
      </c>
      <c r="R30" s="423">
        <f t="shared" si="20"/>
        <v>195636.49999999997</v>
      </c>
      <c r="S30" s="470"/>
      <c r="T30" s="36">
        <f t="shared" si="31"/>
        <v>15</v>
      </c>
      <c r="U30" s="36">
        <f t="shared" si="21"/>
        <v>15</v>
      </c>
      <c r="W30" s="2">
        <v>0</v>
      </c>
      <c r="X30" s="2">
        <v>1</v>
      </c>
      <c r="Y30" s="2">
        <v>2</v>
      </c>
      <c r="Z30" s="2">
        <v>3</v>
      </c>
      <c r="AA30" s="2">
        <v>4</v>
      </c>
      <c r="AB30" s="13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 t="e">
        <f t="shared" si="22"/>
        <v>#DIV/0!</v>
      </c>
      <c r="AP30" s="109">
        <f t="shared" si="33"/>
        <v>22</v>
      </c>
      <c r="AQ30" s="110">
        <f t="shared" si="8"/>
        <v>45111</v>
      </c>
      <c r="AR30" s="105" t="e">
        <f t="shared" si="9"/>
        <v>#DIV/0!</v>
      </c>
      <c r="AS30" s="105" t="e">
        <f t="shared" si="10"/>
        <v>#DIV/0!</v>
      </c>
      <c r="AT30" s="105">
        <f t="shared" si="40"/>
        <v>0</v>
      </c>
      <c r="AU30" s="105" t="e">
        <f t="shared" si="41"/>
        <v>#DIV/0!</v>
      </c>
      <c r="AV30" s="105" t="e">
        <f t="shared" si="45"/>
        <v>#DIV/0!</v>
      </c>
      <c r="AW30" s="105" t="e">
        <f t="shared" si="24"/>
        <v>#DIV/0!</v>
      </c>
      <c r="AX30" s="105">
        <f t="shared" si="42"/>
        <v>0</v>
      </c>
      <c r="AY30" s="105">
        <f t="shared" si="43"/>
        <v>0</v>
      </c>
      <c r="AZ30" s="105"/>
      <c r="BA30" s="105"/>
      <c r="BB30" s="105"/>
      <c r="BC30" s="105"/>
      <c r="BD30" s="105"/>
      <c r="BE30" s="105" t="e">
        <f t="shared" si="44"/>
        <v>#DIV/0!</v>
      </c>
      <c r="BF30" s="108">
        <f t="shared" si="35"/>
        <v>21</v>
      </c>
      <c r="BG30" s="108">
        <f t="shared" si="49"/>
        <v>0</v>
      </c>
      <c r="BH30" s="22">
        <f t="shared" si="50"/>
        <v>44930</v>
      </c>
      <c r="BI30" s="108">
        <f t="shared" si="51"/>
        <v>11958</v>
      </c>
    </row>
    <row r="31" spans="1:391" ht="21.75" customHeight="1" x14ac:dyDescent="0.2">
      <c r="A31" s="763" t="s">
        <v>163</v>
      </c>
      <c r="B31" s="763"/>
      <c r="C31" s="331">
        <f>ROUND($C$30/30.4,2)</f>
        <v>39.97</v>
      </c>
      <c r="D31" s="320" t="str">
        <f>IF(AE$15 &gt; 0,AE$15,"Эта ставка с Гарантией не оформляется")</f>
        <v/>
      </c>
      <c r="E31" s="286"/>
      <c r="F31" s="299"/>
      <c r="G31" s="426">
        <f t="shared" si="29"/>
        <v>23</v>
      </c>
      <c r="H31" s="427">
        <f t="shared" si="6"/>
        <v>45142</v>
      </c>
      <c r="I31" s="494">
        <f t="shared" si="46"/>
        <v>0.129</v>
      </c>
      <c r="J31" s="423">
        <f t="shared" si="47"/>
        <v>11958</v>
      </c>
      <c r="K31" s="423">
        <f t="shared" si="15"/>
        <v>2143.4299999999998</v>
      </c>
      <c r="L31" s="423">
        <f t="shared" si="16"/>
        <v>9814.57</v>
      </c>
      <c r="M31" s="423">
        <f t="shared" si="17"/>
        <v>0</v>
      </c>
      <c r="N31" s="423">
        <f t="shared" si="30"/>
        <v>0</v>
      </c>
      <c r="O31" s="423">
        <f t="shared" si="7"/>
        <v>2143.4299999999998</v>
      </c>
      <c r="P31" s="423">
        <f t="shared" si="18"/>
        <v>0</v>
      </c>
      <c r="Q31" s="423">
        <f t="shared" si="19"/>
        <v>0</v>
      </c>
      <c r="R31" s="423">
        <f t="shared" si="20"/>
        <v>185821.92999999996</v>
      </c>
      <c r="S31" s="470"/>
      <c r="T31" s="36">
        <f t="shared" si="31"/>
        <v>14</v>
      </c>
      <c r="U31" s="36">
        <f t="shared" si="21"/>
        <v>14</v>
      </c>
      <c r="AB31" s="13" t="s">
        <v>79</v>
      </c>
      <c r="AC31" s="15">
        <f>IF(C12=W3,W22,IF(C12=Y3,Y22,IF(C12=Z3,Z22,IF(C12=AA3,AA22,IF(C12=X3,X22,)))))</f>
        <v>1.9E-2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 t="e">
        <f t="shared" si="22"/>
        <v>#DIV/0!</v>
      </c>
      <c r="AP31" s="109">
        <f t="shared" si="33"/>
        <v>23</v>
      </c>
      <c r="AQ31" s="110">
        <f t="shared" si="8"/>
        <v>45142</v>
      </c>
      <c r="AR31" s="105" t="e">
        <f t="shared" si="9"/>
        <v>#DIV/0!</v>
      </c>
      <c r="AS31" s="105" t="e">
        <f t="shared" si="10"/>
        <v>#DIV/0!</v>
      </c>
      <c r="AT31" s="105">
        <f t="shared" si="40"/>
        <v>0</v>
      </c>
      <c r="AU31" s="105" t="e">
        <f t="shared" si="41"/>
        <v>#DIV/0!</v>
      </c>
      <c r="AV31" s="105" t="e">
        <f t="shared" si="45"/>
        <v>#DIV/0!</v>
      </c>
      <c r="AW31" s="105" t="e">
        <f t="shared" si="24"/>
        <v>#DIV/0!</v>
      </c>
      <c r="AX31" s="105">
        <f t="shared" si="42"/>
        <v>0</v>
      </c>
      <c r="AY31" s="105">
        <f t="shared" si="43"/>
        <v>0</v>
      </c>
      <c r="AZ31" s="105"/>
      <c r="BA31" s="105"/>
      <c r="BB31" s="105"/>
      <c r="BC31" s="105"/>
      <c r="BD31" s="105"/>
      <c r="BE31" s="105" t="e">
        <f t="shared" si="44"/>
        <v>#DIV/0!</v>
      </c>
      <c r="BF31" s="108">
        <f t="shared" si="35"/>
        <v>20</v>
      </c>
      <c r="BG31" s="108">
        <f t="shared" si="49"/>
        <v>0</v>
      </c>
      <c r="BH31" s="22">
        <f t="shared" si="50"/>
        <v>44961</v>
      </c>
      <c r="BI31" s="108">
        <f t="shared" si="51"/>
        <v>11958</v>
      </c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</row>
    <row r="32" spans="1:391" ht="22.15" customHeight="1" x14ac:dyDescent="0.2">
      <c r="A32" s="763" t="s">
        <v>78</v>
      </c>
      <c r="B32" s="763"/>
      <c r="C32" s="332">
        <f>J109</f>
        <v>415093.14999999997</v>
      </c>
      <c r="D32" s="312" t="s">
        <v>35</v>
      </c>
      <c r="E32" s="288"/>
      <c r="F32" s="301"/>
      <c r="G32" s="426">
        <f t="shared" si="29"/>
        <v>24</v>
      </c>
      <c r="H32" s="427">
        <f t="shared" si="6"/>
        <v>45173</v>
      </c>
      <c r="I32" s="494">
        <f t="shared" si="46"/>
        <v>0.129</v>
      </c>
      <c r="J32" s="423">
        <f t="shared" si="47"/>
        <v>11958</v>
      </c>
      <c r="K32" s="423">
        <f t="shared" si="15"/>
        <v>2035.9</v>
      </c>
      <c r="L32" s="423">
        <f t="shared" si="16"/>
        <v>9922.1</v>
      </c>
      <c r="M32" s="423">
        <f t="shared" si="17"/>
        <v>0</v>
      </c>
      <c r="N32" s="423">
        <f t="shared" si="30"/>
        <v>0</v>
      </c>
      <c r="O32" s="423">
        <f t="shared" si="7"/>
        <v>2035.9</v>
      </c>
      <c r="P32" s="423">
        <f t="shared" si="18"/>
        <v>0</v>
      </c>
      <c r="Q32" s="423">
        <f t="shared" si="19"/>
        <v>0</v>
      </c>
      <c r="R32" s="423">
        <f t="shared" si="20"/>
        <v>175899.82999999996</v>
      </c>
      <c r="S32" s="470"/>
      <c r="T32" s="36">
        <f t="shared" si="31"/>
        <v>13</v>
      </c>
      <c r="U32" s="36">
        <f t="shared" si="21"/>
        <v>13</v>
      </c>
      <c r="V32" s="16"/>
      <c r="W32" s="16"/>
      <c r="X32" s="16"/>
      <c r="Y32" s="57"/>
      <c r="AB32" s="13" t="s">
        <v>80</v>
      </c>
      <c r="AC32" s="15">
        <f>IF(D28=W3,W22,IF(D28=Y3,Y22,IF(D28=Z3,Z22,IF(D28=AA3,AA22,IF(D28=X3,X22,)))))</f>
        <v>1.9E-2</v>
      </c>
      <c r="AD32" s="15">
        <v>0</v>
      </c>
      <c r="AE32" s="15"/>
      <c r="AF32" s="2"/>
      <c r="AG32" s="2"/>
      <c r="AH32" s="2"/>
      <c r="AK32" s="2"/>
      <c r="AN32" s="16"/>
      <c r="AO32" s="130" t="e">
        <f t="shared" si="22"/>
        <v>#DIV/0!</v>
      </c>
      <c r="AP32" s="109">
        <f t="shared" si="33"/>
        <v>24</v>
      </c>
      <c r="AQ32" s="110">
        <f t="shared" si="8"/>
        <v>45173</v>
      </c>
      <c r="AR32" s="105" t="e">
        <f t="shared" si="9"/>
        <v>#DIV/0!</v>
      </c>
      <c r="AS32" s="105" t="e">
        <f t="shared" si="10"/>
        <v>#DIV/0!</v>
      </c>
      <c r="AT32" s="105">
        <f t="shared" si="40"/>
        <v>0</v>
      </c>
      <c r="AU32" s="105" t="e">
        <f t="shared" si="41"/>
        <v>#DIV/0!</v>
      </c>
      <c r="AV32" s="105" t="e">
        <f t="shared" si="45"/>
        <v>#DIV/0!</v>
      </c>
      <c r="AW32" s="105" t="e">
        <f t="shared" si="24"/>
        <v>#DIV/0!</v>
      </c>
      <c r="AX32" s="105">
        <f t="shared" si="42"/>
        <v>0</v>
      </c>
      <c r="AY32" s="105">
        <f t="shared" si="43"/>
        <v>0</v>
      </c>
      <c r="AZ32" s="105"/>
      <c r="BA32" s="105"/>
      <c r="BB32" s="105"/>
      <c r="BC32" s="105"/>
      <c r="BD32" s="105"/>
      <c r="BE32" s="105" t="e">
        <f t="shared" si="44"/>
        <v>#DIV/0!</v>
      </c>
      <c r="BF32" s="108">
        <f t="shared" si="35"/>
        <v>19</v>
      </c>
      <c r="BG32" s="108">
        <f t="shared" si="49"/>
        <v>0</v>
      </c>
      <c r="BH32" s="22">
        <f t="shared" si="50"/>
        <v>44989</v>
      </c>
      <c r="BI32" s="108">
        <f t="shared" si="51"/>
        <v>11958</v>
      </c>
    </row>
    <row r="33" spans="1:1215" ht="22.9" customHeight="1" x14ac:dyDescent="0.2">
      <c r="A33" s="763" t="s">
        <v>75</v>
      </c>
      <c r="B33" s="763"/>
      <c r="C33" s="333">
        <f>K109</f>
        <v>68453.149999999994</v>
      </c>
      <c r="D33" s="321" t="str">
        <f>IF(OR(D8="Гарантия стандарт",D8="Гарантия пакет"),"",IF(D32="Да",IF(D28=$W$3,X21,IF(D28=$Y$3,Z21,IF(D28=$Z$3,AA21,IF(D28=$AA$3,AB21,IF(D28=$X$3,Y21,AB21))))),""))</f>
        <v/>
      </c>
      <c r="E33" s="287" t="str">
        <f>IF(OR(D33="",D33=0),C43,IF(OR(C43="",C43=0),D33,C43-D33))</f>
        <v/>
      </c>
      <c r="F33" s="300"/>
      <c r="G33" s="426">
        <f t="shared" si="29"/>
        <v>25</v>
      </c>
      <c r="H33" s="427">
        <f t="shared" si="6"/>
        <v>45203</v>
      </c>
      <c r="I33" s="494">
        <f>$AF$96</f>
        <v>9.9000000000000005E-2</v>
      </c>
      <c r="J33" s="423">
        <f t="shared" ref="J33:J43" si="52">IF(AND($C$8&lt;&gt;"Нет",G33&gt;=$W$14,G33&lt;=$W$14+5),$W$15,IF(AND(R32+M33+K33&gt;J32,J32&lt;&gt;0),$AE$96,IF(R32=0,0,R32+M33+K33+K34)))</f>
        <v>11726</v>
      </c>
      <c r="K33" s="423">
        <f t="shared" si="15"/>
        <v>1431.29</v>
      </c>
      <c r="L33" s="423">
        <f t="shared" si="16"/>
        <v>10294.709999999999</v>
      </c>
      <c r="M33" s="423">
        <f t="shared" si="17"/>
        <v>0</v>
      </c>
      <c r="N33" s="423">
        <f t="shared" si="30"/>
        <v>0</v>
      </c>
      <c r="O33" s="423">
        <f t="shared" si="7"/>
        <v>1431.29</v>
      </c>
      <c r="P33" s="423">
        <f t="shared" si="18"/>
        <v>0</v>
      </c>
      <c r="Q33" s="423">
        <f t="shared" si="19"/>
        <v>0</v>
      </c>
      <c r="R33" s="423">
        <f t="shared" si="20"/>
        <v>165605.11999999997</v>
      </c>
      <c r="S33" s="470"/>
      <c r="T33" s="36">
        <f t="shared" si="31"/>
        <v>12</v>
      </c>
      <c r="U33" s="36">
        <f t="shared" si="21"/>
        <v>12</v>
      </c>
      <c r="V33" s="138"/>
      <c r="W33" s="138" t="s">
        <v>104</v>
      </c>
      <c r="X33" s="139"/>
      <c r="Y33" s="139" t="s">
        <v>20</v>
      </c>
      <c r="Z33" s="139" t="s">
        <v>29</v>
      </c>
      <c r="AA33" s="139"/>
      <c r="AE33" s="15"/>
      <c r="AM33" s="16"/>
      <c r="AN33" s="16"/>
      <c r="AO33" s="130" t="e">
        <f t="shared" si="22"/>
        <v>#DIV/0!</v>
      </c>
      <c r="AP33" s="109">
        <f t="shared" si="33"/>
        <v>25</v>
      </c>
      <c r="AQ33" s="110">
        <f t="shared" si="8"/>
        <v>45203</v>
      </c>
      <c r="AR33" s="105" t="e">
        <f t="shared" si="9"/>
        <v>#DIV/0!</v>
      </c>
      <c r="AS33" s="105" t="e">
        <f t="shared" si="10"/>
        <v>#DIV/0!</v>
      </c>
      <c r="AT33" s="105">
        <f>IF(BH39=0,0,IF(BH39=1,BE32,IF(BE32+AU33+AS33&gt;AR32,AR33-AS33-AU33,BE32)))</f>
        <v>0</v>
      </c>
      <c r="AU33" s="105" t="e">
        <f t="shared" si="41"/>
        <v>#DIV/0!</v>
      </c>
      <c r="AV33" s="105" t="e">
        <f t="shared" si="45"/>
        <v>#DIV/0!</v>
      </c>
      <c r="AW33" s="105" t="e">
        <f t="shared" si="24"/>
        <v>#DIV/0!</v>
      </c>
      <c r="AX33" s="105">
        <f>IF(BH39=0,0,0)</f>
        <v>0</v>
      </c>
      <c r="AY33" s="105">
        <f>IF(BH39=0,0,0)</f>
        <v>0</v>
      </c>
      <c r="AZ33" s="105"/>
      <c r="BA33" s="105"/>
      <c r="BB33" s="105"/>
      <c r="BC33" s="105"/>
      <c r="BD33" s="105"/>
      <c r="BE33" s="105" t="e">
        <f>IF(OR(BH39=1,BE32=0),0,BE32-AT33)</f>
        <v>#DIV/0!</v>
      </c>
      <c r="BF33" s="108">
        <f t="shared" si="35"/>
        <v>18</v>
      </c>
      <c r="BG33" s="108">
        <f t="shared" si="49"/>
        <v>0</v>
      </c>
      <c r="BH33" s="22">
        <f t="shared" si="50"/>
        <v>45020</v>
      </c>
      <c r="BI33" s="108">
        <f t="shared" si="51"/>
        <v>11958</v>
      </c>
      <c r="BL33" s="879" t="e">
        <f>IF(AO7&lt;C10,CONCATENATE("← Срок с учетом перехода на иной тарифный план равен ",AO7," мес."),"")</f>
        <v>#DIV/0!</v>
      </c>
      <c r="BN33" s="131"/>
    </row>
    <row r="34" spans="1:1215" ht="38.25" customHeight="1" x14ac:dyDescent="0.25">
      <c r="A34" s="874" t="s">
        <v>209</v>
      </c>
      <c r="B34" s="874"/>
      <c r="C34" s="334">
        <f>C33+IF(C45&lt;&gt;"",C45,0)-IF(C46&lt;&gt;"",C46,0)</f>
        <v>68453.149999999994</v>
      </c>
      <c r="D34" s="315" t="str">
        <f>IF(AND(D33&lt;&gt;0,D32&lt;&gt;"нет"),IF(D32="Нет","",IF(D32=$AC$30,$AC$31,$AD$31)),"")</f>
        <v/>
      </c>
      <c r="E34" s="286" t="str">
        <f>IF(D34="",C44,IF(C44="",D34,C44-D34))</f>
        <v/>
      </c>
      <c r="F34" s="299"/>
      <c r="G34" s="426">
        <f t="shared" si="29"/>
        <v>26</v>
      </c>
      <c r="H34" s="427">
        <f t="shared" si="6"/>
        <v>45234</v>
      </c>
      <c r="I34" s="494">
        <f t="shared" ref="I34:I44" si="53">$AF$96</f>
        <v>9.9000000000000005E-2</v>
      </c>
      <c r="J34" s="423">
        <f t="shared" si="52"/>
        <v>11726</v>
      </c>
      <c r="K34" s="423">
        <f t="shared" si="15"/>
        <v>1392.44</v>
      </c>
      <c r="L34" s="423">
        <f t="shared" si="16"/>
        <v>10333.56</v>
      </c>
      <c r="M34" s="423">
        <f t="shared" si="17"/>
        <v>0</v>
      </c>
      <c r="N34" s="423">
        <f t="shared" si="30"/>
        <v>0</v>
      </c>
      <c r="O34" s="423">
        <f t="shared" si="7"/>
        <v>1392.44</v>
      </c>
      <c r="P34" s="423">
        <f t="shared" si="18"/>
        <v>0</v>
      </c>
      <c r="Q34" s="423">
        <f t="shared" si="19"/>
        <v>0</v>
      </c>
      <c r="R34" s="423">
        <f t="shared" si="20"/>
        <v>155271.55999999997</v>
      </c>
      <c r="S34" s="470"/>
      <c r="T34" s="36">
        <f t="shared" si="31"/>
        <v>11</v>
      </c>
      <c r="U34" s="36">
        <f t="shared" si="21"/>
        <v>11</v>
      </c>
      <c r="V34" s="140"/>
      <c r="W34" s="140" t="s">
        <v>106</v>
      </c>
      <c r="X34" s="140" t="s">
        <v>107</v>
      </c>
      <c r="Y34" s="140" t="s">
        <v>108</v>
      </c>
      <c r="Z34" s="140" t="s">
        <v>109</v>
      </c>
      <c r="AA34" s="140" t="s">
        <v>110</v>
      </c>
      <c r="AB34" s="140" t="s">
        <v>326</v>
      </c>
      <c r="AC34" s="140" t="s">
        <v>327</v>
      </c>
      <c r="AE34" s="2"/>
      <c r="AM34" s="16"/>
      <c r="AN34" s="16"/>
      <c r="AO34" s="130" t="e">
        <f t="shared" si="22"/>
        <v>#DIV/0!</v>
      </c>
      <c r="AP34" s="109">
        <f t="shared" si="33"/>
        <v>26</v>
      </c>
      <c r="AQ34" s="110">
        <f t="shared" si="8"/>
        <v>45234</v>
      </c>
      <c r="AR34" s="105" t="e">
        <f t="shared" si="9"/>
        <v>#DIV/0!</v>
      </c>
      <c r="AS34" s="105" t="e">
        <f t="shared" si="10"/>
        <v>#DIV/0!</v>
      </c>
      <c r="AT34" s="105">
        <f>IF(BH40=0,0,IF(BH40=1,BE33,IF(BE33+AU34+AS34&gt;AR33,AR34-AS34-AU34,BE33)))</f>
        <v>0</v>
      </c>
      <c r="AU34" s="105" t="e">
        <f t="shared" si="41"/>
        <v>#DIV/0!</v>
      </c>
      <c r="AV34" s="105" t="e">
        <f t="shared" si="45"/>
        <v>#DIV/0!</v>
      </c>
      <c r="AW34" s="105" t="e">
        <f t="shared" si="24"/>
        <v>#DIV/0!</v>
      </c>
      <c r="AX34" s="105">
        <f>IF(BH40=0,0,0)</f>
        <v>0</v>
      </c>
      <c r="AY34" s="105">
        <f>IF(BH40=0,0,0)</f>
        <v>0</v>
      </c>
      <c r="AZ34" s="105"/>
      <c r="BA34" s="105"/>
      <c r="BB34" s="105"/>
      <c r="BC34" s="105"/>
      <c r="BD34" s="105"/>
      <c r="BE34" s="105" t="e">
        <f>IF(OR(BH40=1,BE33=0),0,BE33-AT34)</f>
        <v>#DIV/0!</v>
      </c>
      <c r="BF34" s="108">
        <f t="shared" si="35"/>
        <v>17</v>
      </c>
      <c r="BG34" s="108">
        <f t="shared" si="49"/>
        <v>0</v>
      </c>
      <c r="BH34" s="22">
        <f t="shared" si="50"/>
        <v>45050</v>
      </c>
      <c r="BI34" s="108">
        <f t="shared" si="51"/>
        <v>11958</v>
      </c>
      <c r="BL34" s="879"/>
    </row>
    <row r="35" spans="1:1215" ht="22.9" customHeight="1" x14ac:dyDescent="0.25">
      <c r="A35" s="875" t="s">
        <v>175</v>
      </c>
      <c r="B35" s="876"/>
      <c r="C35" s="877"/>
      <c r="D35" s="322" t="str">
        <f>IF(AND(D33&lt;&gt;0,D32&lt;&gt;"нет"),IF(D32="Нет","",ROUND($C$7*D34,2)),"")</f>
        <v/>
      </c>
      <c r="E35" s="289" t="str">
        <f>IF(D35="",C45,IF(C45="",D35,C45-D35))</f>
        <v/>
      </c>
      <c r="F35" s="302"/>
      <c r="G35" s="426">
        <f t="shared" si="29"/>
        <v>27</v>
      </c>
      <c r="H35" s="427">
        <f t="shared" si="6"/>
        <v>45264</v>
      </c>
      <c r="I35" s="494">
        <f t="shared" si="53"/>
        <v>9.9000000000000005E-2</v>
      </c>
      <c r="J35" s="423">
        <f t="shared" si="52"/>
        <v>11726</v>
      </c>
      <c r="K35" s="423">
        <f t="shared" si="15"/>
        <v>1263.44</v>
      </c>
      <c r="L35" s="423">
        <f t="shared" si="16"/>
        <v>10462.56</v>
      </c>
      <c r="M35" s="423">
        <f t="shared" si="17"/>
        <v>0</v>
      </c>
      <c r="N35" s="423">
        <f t="shared" si="30"/>
        <v>0</v>
      </c>
      <c r="O35" s="423">
        <f t="shared" si="7"/>
        <v>1263.44</v>
      </c>
      <c r="P35" s="423">
        <f t="shared" si="18"/>
        <v>0</v>
      </c>
      <c r="Q35" s="423">
        <f t="shared" si="19"/>
        <v>0</v>
      </c>
      <c r="R35" s="423">
        <f t="shared" si="20"/>
        <v>144808.99999999997</v>
      </c>
      <c r="S35" s="470"/>
      <c r="T35" s="36">
        <f t="shared" si="31"/>
        <v>10</v>
      </c>
      <c r="U35" s="36">
        <f t="shared" si="21"/>
        <v>10</v>
      </c>
      <c r="V35" s="141"/>
      <c r="W35" s="141">
        <v>13</v>
      </c>
      <c r="X35" s="142">
        <v>19</v>
      </c>
      <c r="Y35" s="142">
        <v>31</v>
      </c>
      <c r="Z35" s="141">
        <v>43</v>
      </c>
      <c r="AA35" s="141">
        <v>55</v>
      </c>
      <c r="AB35" s="141">
        <v>67</v>
      </c>
      <c r="AC35" s="141">
        <v>79</v>
      </c>
      <c r="AE35" s="15"/>
      <c r="AM35" s="16"/>
      <c r="AN35" s="16"/>
      <c r="AO35" s="130" t="e">
        <f t="shared" si="22"/>
        <v>#DIV/0!</v>
      </c>
      <c r="AP35" s="109">
        <f t="shared" si="33"/>
        <v>27</v>
      </c>
      <c r="AQ35" s="110">
        <f t="shared" si="8"/>
        <v>45264</v>
      </c>
      <c r="AR35" s="105" t="e">
        <f t="shared" si="9"/>
        <v>#DIV/0!</v>
      </c>
      <c r="AS35" s="105" t="e">
        <f t="shared" si="10"/>
        <v>#DIV/0!</v>
      </c>
      <c r="AT35" s="105">
        <f>IF(BH41=0,0,IF(BH41=1,BE34,IF(BE34+AU35+AS35&gt;AR34,AR35-AS35-AU35,BE34)))</f>
        <v>0</v>
      </c>
      <c r="AU35" s="105" t="e">
        <f t="shared" si="41"/>
        <v>#DIV/0!</v>
      </c>
      <c r="AV35" s="105" t="e">
        <f t="shared" si="45"/>
        <v>#DIV/0!</v>
      </c>
      <c r="AW35" s="105" t="e">
        <f t="shared" si="24"/>
        <v>#DIV/0!</v>
      </c>
      <c r="AX35" s="105">
        <f>IF(BH41=0,0,0)</f>
        <v>0</v>
      </c>
      <c r="AY35" s="105">
        <f>IF(BH41=0,0,0)</f>
        <v>0</v>
      </c>
      <c r="AZ35" s="105"/>
      <c r="BA35" s="105"/>
      <c r="BB35" s="105"/>
      <c r="BC35" s="105"/>
      <c r="BD35" s="105"/>
      <c r="BE35" s="105" t="e">
        <f>IF(OR(BH41=1,BE34=0),0,BE34-AT35)</f>
        <v>#DIV/0!</v>
      </c>
      <c r="BF35" s="108">
        <f t="shared" si="35"/>
        <v>16</v>
      </c>
      <c r="BG35" s="108">
        <f t="shared" si="49"/>
        <v>0</v>
      </c>
      <c r="BH35" s="22">
        <f t="shared" si="50"/>
        <v>45081</v>
      </c>
      <c r="BI35" s="108">
        <f t="shared" si="51"/>
        <v>11958</v>
      </c>
      <c r="BL35" s="879"/>
    </row>
    <row r="36" spans="1:1215" ht="23.25" customHeight="1" x14ac:dyDescent="0.2">
      <c r="A36" s="792" t="s">
        <v>219</v>
      </c>
      <c r="B36" s="213" t="s">
        <v>210</v>
      </c>
      <c r="C36" s="191">
        <f>C34/($C$10/12)</f>
        <v>22817.716666666664</v>
      </c>
      <c r="D36" s="322" t="str">
        <f>IF(AND($D$33&lt;&gt;0,$D$32&lt;&gt;"нет"),AS109-BJ154,"")</f>
        <v/>
      </c>
      <c r="E36" s="289" t="str">
        <f>IF(D36="",C46,IF(C46="",D36,C46-D36))</f>
        <v/>
      </c>
      <c r="F36" s="302"/>
      <c r="G36" s="426">
        <f t="shared" si="29"/>
        <v>28</v>
      </c>
      <c r="H36" s="427">
        <f t="shared" si="6"/>
        <v>45295</v>
      </c>
      <c r="I36" s="494">
        <f t="shared" si="53"/>
        <v>9.9000000000000005E-2</v>
      </c>
      <c r="J36" s="423">
        <f t="shared" si="52"/>
        <v>11726</v>
      </c>
      <c r="K36" s="423">
        <f t="shared" si="15"/>
        <v>1217.1600000000001</v>
      </c>
      <c r="L36" s="423">
        <f t="shared" si="16"/>
        <v>10508.84</v>
      </c>
      <c r="M36" s="423">
        <f t="shared" si="17"/>
        <v>0</v>
      </c>
      <c r="N36" s="423">
        <f t="shared" si="30"/>
        <v>0</v>
      </c>
      <c r="O36" s="423">
        <f t="shared" si="7"/>
        <v>1217.1600000000001</v>
      </c>
      <c r="P36" s="423">
        <f t="shared" si="18"/>
        <v>0</v>
      </c>
      <c r="Q36" s="423">
        <f t="shared" si="19"/>
        <v>0</v>
      </c>
      <c r="R36" s="423">
        <f t="shared" si="20"/>
        <v>134300.15999999997</v>
      </c>
      <c r="S36" s="470"/>
      <c r="T36" s="36">
        <f t="shared" si="31"/>
        <v>9</v>
      </c>
      <c r="U36" s="36">
        <f t="shared" si="21"/>
        <v>9</v>
      </c>
      <c r="V36" s="142"/>
      <c r="W36" s="142">
        <v>18</v>
      </c>
      <c r="X36" s="142">
        <v>30</v>
      </c>
      <c r="Y36" s="142">
        <v>42</v>
      </c>
      <c r="Z36" s="142">
        <v>54</v>
      </c>
      <c r="AA36" s="142">
        <v>60</v>
      </c>
      <c r="AB36" s="142">
        <v>78</v>
      </c>
      <c r="AC36" s="142">
        <v>84</v>
      </c>
      <c r="AE36" s="15"/>
      <c r="AM36" s="16"/>
      <c r="AN36" s="16"/>
      <c r="AO36" s="130" t="e">
        <f t="shared" si="22"/>
        <v>#DIV/0!</v>
      </c>
      <c r="AP36" s="109">
        <f t="shared" si="33"/>
        <v>28</v>
      </c>
      <c r="AQ36" s="110">
        <f t="shared" si="8"/>
        <v>45295</v>
      </c>
      <c r="AR36" s="105" t="e">
        <f t="shared" si="9"/>
        <v>#DIV/0!</v>
      </c>
      <c r="AS36" s="105" t="e">
        <f t="shared" si="10"/>
        <v>#DIV/0!</v>
      </c>
      <c r="AT36" s="105">
        <f t="shared" si="40"/>
        <v>0</v>
      </c>
      <c r="AU36" s="105" t="e">
        <f t="shared" si="41"/>
        <v>#DIV/0!</v>
      </c>
      <c r="AV36" s="105" t="e">
        <f t="shared" si="45"/>
        <v>#DIV/0!</v>
      </c>
      <c r="AW36" s="105" t="e">
        <f t="shared" si="24"/>
        <v>#DIV/0!</v>
      </c>
      <c r="AX36" s="105">
        <f t="shared" si="42"/>
        <v>0</v>
      </c>
      <c r="AY36" s="105">
        <f t="shared" si="43"/>
        <v>0</v>
      </c>
      <c r="AZ36" s="105"/>
      <c r="BA36" s="105"/>
      <c r="BB36" s="105"/>
      <c r="BC36" s="105"/>
      <c r="BD36" s="105"/>
      <c r="BE36" s="105" t="e">
        <f t="shared" si="44"/>
        <v>#DIV/0!</v>
      </c>
      <c r="BF36" s="108">
        <f t="shared" si="35"/>
        <v>15</v>
      </c>
      <c r="BG36" s="108">
        <f t="shared" si="49"/>
        <v>0</v>
      </c>
      <c r="BH36" s="22">
        <f t="shared" si="50"/>
        <v>45111</v>
      </c>
      <c r="BI36" s="108">
        <f t="shared" si="51"/>
        <v>11958</v>
      </c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</row>
    <row r="37" spans="1:1215" s="16" customFormat="1" ht="18" customHeight="1" x14ac:dyDescent="0.2">
      <c r="A37" s="792"/>
      <c r="B37" s="213" t="s">
        <v>211</v>
      </c>
      <c r="C37" s="201">
        <f>C36/C24</f>
        <v>6.5825400030771586E-2</v>
      </c>
      <c r="D37" s="315" t="str">
        <f>IF(AND($D$33&lt;&gt;0,$D$32&lt;&gt;"нет"),IF(D32="Нет","",D36/C7),"")</f>
        <v/>
      </c>
      <c r="E37" s="286" t="str">
        <f>IF(D37="",C47,IF(C47="",D37,C47-D37))</f>
        <v/>
      </c>
      <c r="F37" s="299"/>
      <c r="G37" s="426">
        <f t="shared" si="29"/>
        <v>29</v>
      </c>
      <c r="H37" s="427">
        <f t="shared" si="6"/>
        <v>45326</v>
      </c>
      <c r="I37" s="494">
        <f t="shared" si="53"/>
        <v>9.9000000000000005E-2</v>
      </c>
      <c r="J37" s="423">
        <f t="shared" si="52"/>
        <v>11726</v>
      </c>
      <c r="K37" s="423">
        <f t="shared" si="15"/>
        <v>1126.1400000000001</v>
      </c>
      <c r="L37" s="423">
        <f t="shared" si="16"/>
        <v>10599.86</v>
      </c>
      <c r="M37" s="423">
        <f t="shared" si="17"/>
        <v>0</v>
      </c>
      <c r="N37" s="423">
        <f t="shared" si="30"/>
        <v>0</v>
      </c>
      <c r="O37" s="423">
        <f t="shared" si="7"/>
        <v>1126.1400000000001</v>
      </c>
      <c r="P37" s="423">
        <f t="shared" si="18"/>
        <v>0</v>
      </c>
      <c r="Q37" s="423">
        <f t="shared" si="19"/>
        <v>0</v>
      </c>
      <c r="R37" s="423">
        <f t="shared" si="20"/>
        <v>123700.29999999997</v>
      </c>
      <c r="S37" s="470"/>
      <c r="T37" s="36">
        <f t="shared" si="31"/>
        <v>8</v>
      </c>
      <c r="U37" s="36">
        <f t="shared" si="21"/>
        <v>8</v>
      </c>
      <c r="V37" s="142"/>
      <c r="W37" s="142">
        <v>2400</v>
      </c>
      <c r="X37" s="142">
        <v>2900</v>
      </c>
      <c r="Y37" s="142">
        <v>3900</v>
      </c>
      <c r="Z37" s="142">
        <v>4900</v>
      </c>
      <c r="AA37" s="142">
        <v>5900</v>
      </c>
      <c r="AB37" s="142">
        <v>6900</v>
      </c>
      <c r="AC37" s="142">
        <v>7900</v>
      </c>
      <c r="AD37" s="2"/>
      <c r="AE37" s="15"/>
      <c r="AF37" s="3"/>
      <c r="AG37" s="3"/>
      <c r="AH37" s="3"/>
      <c r="AI37" s="2"/>
      <c r="AJ37" s="2"/>
      <c r="AK37" s="57"/>
      <c r="AL37" s="2"/>
      <c r="AO37" s="130" t="e">
        <f t="shared" si="22"/>
        <v>#DIV/0!</v>
      </c>
      <c r="AP37" s="109">
        <f t="shared" si="33"/>
        <v>29</v>
      </c>
      <c r="AQ37" s="110">
        <f t="shared" si="8"/>
        <v>45326</v>
      </c>
      <c r="AR37" s="105" t="e">
        <f t="shared" si="9"/>
        <v>#DIV/0!</v>
      </c>
      <c r="AS37" s="105" t="e">
        <f t="shared" si="10"/>
        <v>#DIV/0!</v>
      </c>
      <c r="AT37" s="105">
        <f t="shared" si="40"/>
        <v>0</v>
      </c>
      <c r="AU37" s="105" t="e">
        <f t="shared" si="41"/>
        <v>#DIV/0!</v>
      </c>
      <c r="AV37" s="105" t="e">
        <f t="shared" si="45"/>
        <v>#DIV/0!</v>
      </c>
      <c r="AW37" s="105" t="e">
        <f t="shared" si="24"/>
        <v>#DIV/0!</v>
      </c>
      <c r="AX37" s="105">
        <f t="shared" si="42"/>
        <v>0</v>
      </c>
      <c r="AY37" s="105">
        <f t="shared" si="43"/>
        <v>0</v>
      </c>
      <c r="AZ37" s="105"/>
      <c r="BA37" s="105"/>
      <c r="BB37" s="105"/>
      <c r="BC37" s="105"/>
      <c r="BD37" s="105"/>
      <c r="BE37" s="105" t="e">
        <f t="shared" si="44"/>
        <v>#DIV/0!</v>
      </c>
      <c r="BF37" s="108">
        <f t="shared" si="35"/>
        <v>14</v>
      </c>
      <c r="BG37" s="108">
        <f t="shared" si="49"/>
        <v>0</v>
      </c>
      <c r="BH37" s="22">
        <f t="shared" si="50"/>
        <v>45142</v>
      </c>
      <c r="BI37" s="108">
        <f t="shared" si="51"/>
        <v>11958</v>
      </c>
    </row>
    <row r="38" spans="1:1215" s="16" customFormat="1" ht="24" customHeight="1" x14ac:dyDescent="0.2">
      <c r="A38" s="878" t="s">
        <v>212</v>
      </c>
      <c r="B38" s="878"/>
      <c r="C38" s="191">
        <f>C36/12</f>
        <v>1901.4763888888886</v>
      </c>
      <c r="D38" s="324">
        <f>$C$7+(IF($D$8="Нет",0,IF($D$41&lt;&gt;"",$D$41,0))+IF(D32="Нет",0,IF($D$35&lt;&gt;"",$D$35,0))+IF(C15="Нет",0,IF(C15="Да",C16,0)))</f>
        <v>302900</v>
      </c>
      <c r="E38" s="290">
        <f>C24-D38</f>
        <v>43740</v>
      </c>
      <c r="F38" s="303"/>
      <c r="G38" s="426">
        <f t="shared" si="29"/>
        <v>30</v>
      </c>
      <c r="H38" s="427">
        <f t="shared" si="6"/>
        <v>45355</v>
      </c>
      <c r="I38" s="494">
        <f t="shared" si="53"/>
        <v>9.9000000000000005E-2</v>
      </c>
      <c r="J38" s="423">
        <f t="shared" si="52"/>
        <v>11726</v>
      </c>
      <c r="K38" s="423">
        <f t="shared" si="15"/>
        <v>970.34</v>
      </c>
      <c r="L38" s="423">
        <f t="shared" si="16"/>
        <v>10755.66</v>
      </c>
      <c r="M38" s="423">
        <f t="shared" si="17"/>
        <v>0</v>
      </c>
      <c r="N38" s="423">
        <f t="shared" si="30"/>
        <v>0</v>
      </c>
      <c r="O38" s="423">
        <f t="shared" si="7"/>
        <v>970.34</v>
      </c>
      <c r="P38" s="423">
        <f t="shared" si="18"/>
        <v>0</v>
      </c>
      <c r="Q38" s="423">
        <f t="shared" si="19"/>
        <v>0</v>
      </c>
      <c r="R38" s="423">
        <f t="shared" si="20"/>
        <v>112944.63999999997</v>
      </c>
      <c r="S38" s="470"/>
      <c r="T38" s="36">
        <f t="shared" si="31"/>
        <v>7</v>
      </c>
      <c r="U38" s="36">
        <f t="shared" si="21"/>
        <v>7</v>
      </c>
      <c r="V38" s="158"/>
      <c r="W38" s="158">
        <v>1400</v>
      </c>
      <c r="X38" s="158">
        <v>1900</v>
      </c>
      <c r="Y38" s="158">
        <v>2900</v>
      </c>
      <c r="Z38" s="158">
        <v>3900</v>
      </c>
      <c r="AA38" s="158">
        <v>4900</v>
      </c>
      <c r="AB38" s="158">
        <v>5900</v>
      </c>
      <c r="AC38" s="158">
        <v>6900</v>
      </c>
      <c r="AE38" s="3"/>
      <c r="AF38" s="3"/>
      <c r="AG38" s="3"/>
      <c r="AH38" s="3"/>
      <c r="AI38" s="2"/>
      <c r="AJ38" s="2"/>
      <c r="AK38" s="57"/>
      <c r="AL38" s="2"/>
      <c r="AN38" s="63"/>
      <c r="AO38" s="130" t="e">
        <f t="shared" si="22"/>
        <v>#DIV/0!</v>
      </c>
      <c r="AP38" s="109">
        <f t="shared" si="33"/>
        <v>30</v>
      </c>
      <c r="AQ38" s="110">
        <f t="shared" si="8"/>
        <v>45355</v>
      </c>
      <c r="AR38" s="105" t="e">
        <f>IF(AND(G38&gt;=$W$14,G38&lt;=$W$14+5),$W$15,IF(AND(BE37+AU38+AS38&gt;AR37,AR37&lt;&gt;0),$D$39,IF(BE37=0,0,BE37+AU38+AS38+AT39)))</f>
        <v>#DIV/0!</v>
      </c>
      <c r="AS38" s="105" t="e">
        <f t="shared" si="10"/>
        <v>#DIV/0!</v>
      </c>
      <c r="AT38" s="105">
        <f t="shared" si="40"/>
        <v>0</v>
      </c>
      <c r="AU38" s="105" t="e">
        <f t="shared" si="41"/>
        <v>#DIV/0!</v>
      </c>
      <c r="AV38" s="105" t="e">
        <f t="shared" si="45"/>
        <v>#DIV/0!</v>
      </c>
      <c r="AW38" s="105" t="e">
        <f t="shared" si="24"/>
        <v>#DIV/0!</v>
      </c>
      <c r="AX38" s="105">
        <f t="shared" si="42"/>
        <v>0</v>
      </c>
      <c r="AY38" s="105">
        <f t="shared" si="43"/>
        <v>0</v>
      </c>
      <c r="AZ38" s="105"/>
      <c r="BA38" s="105"/>
      <c r="BB38" s="105"/>
      <c r="BC38" s="105"/>
      <c r="BD38" s="105"/>
      <c r="BE38" s="105" t="e">
        <f t="shared" si="44"/>
        <v>#DIV/0!</v>
      </c>
      <c r="BF38" s="108">
        <f t="shared" si="35"/>
        <v>13</v>
      </c>
      <c r="BG38" s="108">
        <f t="shared" si="49"/>
        <v>0</v>
      </c>
      <c r="BH38" s="22">
        <f t="shared" si="50"/>
        <v>45173</v>
      </c>
      <c r="BI38" s="108">
        <f t="shared" si="51"/>
        <v>11958</v>
      </c>
    </row>
    <row r="39" spans="1:1215" s="16" customFormat="1" ht="25.9" customHeight="1" thickBot="1" x14ac:dyDescent="0.25">
      <c r="A39" s="880" t="s">
        <v>213</v>
      </c>
      <c r="B39" s="880"/>
      <c r="C39" s="202">
        <f>C38/30</f>
        <v>63.382546296296283</v>
      </c>
      <c r="D39" s="324" t="e">
        <f>ROUNDUP(AF$55/$AG$47,0)*$AG$47</f>
        <v>#DIV/0!</v>
      </c>
      <c r="E39" s="290" t="e">
        <f>C25-D39</f>
        <v>#DIV/0!</v>
      </c>
      <c r="F39" s="303"/>
      <c r="G39" s="426">
        <f t="shared" si="29"/>
        <v>31</v>
      </c>
      <c r="H39" s="427">
        <f t="shared" si="6"/>
        <v>45386</v>
      </c>
      <c r="I39" s="494">
        <f t="shared" si="53"/>
        <v>9.9000000000000005E-2</v>
      </c>
      <c r="J39" s="423">
        <f t="shared" si="52"/>
        <v>11726</v>
      </c>
      <c r="K39" s="423">
        <f t="shared" si="15"/>
        <v>947.07</v>
      </c>
      <c r="L39" s="423">
        <f t="shared" si="16"/>
        <v>10778.93</v>
      </c>
      <c r="M39" s="423">
        <f t="shared" si="17"/>
        <v>0</v>
      </c>
      <c r="N39" s="423">
        <f t="shared" si="30"/>
        <v>0</v>
      </c>
      <c r="O39" s="423">
        <f t="shared" si="7"/>
        <v>947.07</v>
      </c>
      <c r="P39" s="423">
        <f t="shared" si="18"/>
        <v>0</v>
      </c>
      <c r="Q39" s="423">
        <f t="shared" si="19"/>
        <v>0</v>
      </c>
      <c r="R39" s="423">
        <f t="shared" si="20"/>
        <v>102165.70999999996</v>
      </c>
      <c r="S39" s="470"/>
      <c r="T39" s="36">
        <f t="shared" si="31"/>
        <v>6</v>
      </c>
      <c r="U39" s="36">
        <f t="shared" si="21"/>
        <v>6</v>
      </c>
      <c r="V39" s="15">
        <v>9.9000000000000005E-2</v>
      </c>
      <c r="W39" s="15">
        <v>0.11899999999999999</v>
      </c>
      <c r="X39" s="15"/>
      <c r="Y39" s="15">
        <v>0.129</v>
      </c>
      <c r="Z39" s="169">
        <v>0.13900000000000001</v>
      </c>
      <c r="AA39" s="15">
        <v>0.14899999999999999</v>
      </c>
      <c r="AB39" s="169">
        <v>0.159</v>
      </c>
      <c r="AC39" s="15">
        <v>0.16900000000000001</v>
      </c>
      <c r="AD39" s="169">
        <v>0.17899999999999999</v>
      </c>
      <c r="AE39" s="15">
        <v>0.189</v>
      </c>
      <c r="AF39" s="15">
        <v>0.19900000000000001</v>
      </c>
      <c r="AG39" s="483"/>
      <c r="AH39" s="3"/>
      <c r="AI39" s="3"/>
      <c r="AJ39" s="2"/>
      <c r="AK39" s="2"/>
      <c r="AL39" s="57"/>
      <c r="AM39" s="2"/>
      <c r="AN39" s="63"/>
      <c r="AO39" s="15"/>
      <c r="AP39" s="130" t="e">
        <f t="shared" si="22"/>
        <v>#DIV/0!</v>
      </c>
      <c r="AQ39" s="109">
        <f>AP38+1</f>
        <v>31</v>
      </c>
      <c r="AR39" s="110">
        <f>IF((OR(DAY($AD$54)=29,DAY($AD$54)=30,DAY($AD$54)=31)),(EDATE($C$9-3,AQ39)),(IF((OR(DAY($AD$54)=1,DAY($AD$54)=2,DAY($AD$54)=3)),(EDATE($C$9,AQ39)+3),EDATE($C$9,AQ39))))</f>
        <v>45386</v>
      </c>
      <c r="AS39" s="105" t="e">
        <f>IF(AND(G39&gt;=$W$14,G39&lt;=$W$14+5),$W$15,IF(AND(BE38+AV39+AT39&gt;AR38,AR38&lt;&gt;0),$D$39,IF(BE38=0,0,BE38+AV39+AT39+AT40)))</f>
        <v>#DIV/0!</v>
      </c>
      <c r="AT39" s="105" t="e">
        <f>IF(AND(G39&gt;=$W$14,G39&lt;=$W$14+5),0,IF($C$9&gt;$AF$51,ROUND(BE38*$AE$14*((AR39-DATE(YEAR(AR39),MONTH(AR39),1)+1)/(DATE(YEAR(AR39)+1,1,1)-DATE(YEAR(AR39),1,1))+(EOMONTH(AQ38,0)-AQ38)/(DATE(YEAR(AQ38)+1,1,1)-DATE(YEAR(AQ38),1,1))),2),0))</f>
        <v>#DIV/0!</v>
      </c>
      <c r="AU39" s="105">
        <f>IF(BG45=0,0,IF(BG45=1,BE38,IF(BE38+AV39+AT39&gt;AR38,AS39-AT39-AV39,BE38)))</f>
        <v>0</v>
      </c>
      <c r="AV39" s="105" t="e">
        <f>IF(AX39&gt;$D$39,$D$39-AT39,IF(BH39=0,0,AZ39)+BV87)</f>
        <v>#DIV/0!</v>
      </c>
      <c r="AW39" s="105" t="e">
        <f>AX38-AU38</f>
        <v>#DIV/0!</v>
      </c>
      <c r="AX39" s="105" t="e">
        <f t="shared" si="24"/>
        <v>#DIV/0!</v>
      </c>
      <c r="AY39" s="105">
        <f>IF(BG45=0,0,0)</f>
        <v>0</v>
      </c>
      <c r="AZ39" s="105">
        <f>IF(BG45=0,0,0)</f>
        <v>0</v>
      </c>
      <c r="BA39" s="105"/>
      <c r="BB39" s="105"/>
      <c r="BC39" s="105"/>
      <c r="BD39" s="105"/>
      <c r="BE39" s="105"/>
      <c r="BF39" s="105" t="e">
        <f>IF(OR(BG45=1,BE38=0),0,BE38-AU39)</f>
        <v>#DIV/0!</v>
      </c>
      <c r="BG39" s="108">
        <f>IF((BF38-1)&lt;0,0,BF38-1)</f>
        <v>12</v>
      </c>
      <c r="BH39" s="108">
        <f>IF(ISERR(CEILING(FLOOR(NPER($C$11/12,-$AD$55,BE32),0.1),1))=TRUE,0,CEILING(FLOOR(NPER($C$11/12,-$AD$55,BE32),0.1),1))</f>
        <v>0</v>
      </c>
      <c r="BI39" s="22">
        <f>H33</f>
        <v>45203</v>
      </c>
      <c r="BJ39" s="108">
        <f t="shared" ref="BJ39:BJ41" si="54">J33</f>
        <v>11726</v>
      </c>
    </row>
    <row r="40" spans="1:1215" s="16" customFormat="1" ht="27" customHeight="1" x14ac:dyDescent="0.25">
      <c r="A40" s="180"/>
      <c r="B40" s="180"/>
      <c r="C40" s="180"/>
      <c r="D40" s="316">
        <f>IF(D8=AC59,AC65,IF(D8=AD59,AD65,IF(D8=AF59,AF65,IF(D8=AG59,AG65,IF(D8=AE59,AE65,IF(D8=AH59,AH65,IF(D8=AI59,AI65,IF(D8=AJ59,AJ65,Y28))))))))</f>
        <v>0</v>
      </c>
      <c r="E40" s="291"/>
      <c r="F40" s="304"/>
      <c r="G40" s="426">
        <f t="shared" si="29"/>
        <v>32</v>
      </c>
      <c r="H40" s="427">
        <f t="shared" si="6"/>
        <v>45416</v>
      </c>
      <c r="I40" s="494">
        <f t="shared" si="53"/>
        <v>9.9000000000000005E-2</v>
      </c>
      <c r="J40" s="423">
        <f t="shared" si="52"/>
        <v>11726</v>
      </c>
      <c r="K40" s="423">
        <f t="shared" si="15"/>
        <v>829.05</v>
      </c>
      <c r="L40" s="423">
        <f t="shared" si="16"/>
        <v>10896.95</v>
      </c>
      <c r="M40" s="423">
        <f t="shared" si="17"/>
        <v>0</v>
      </c>
      <c r="N40" s="423">
        <f t="shared" si="30"/>
        <v>0</v>
      </c>
      <c r="O40" s="423">
        <f t="shared" si="7"/>
        <v>829.05</v>
      </c>
      <c r="P40" s="423">
        <f t="shared" si="18"/>
        <v>0</v>
      </c>
      <c r="Q40" s="423">
        <f t="shared" si="19"/>
        <v>0</v>
      </c>
      <c r="R40" s="423">
        <f t="shared" si="20"/>
        <v>91268.759999999966</v>
      </c>
      <c r="S40" s="470"/>
      <c r="T40" s="36">
        <f t="shared" si="31"/>
        <v>5</v>
      </c>
      <c r="U40" s="36">
        <f t="shared" si="21"/>
        <v>5</v>
      </c>
      <c r="V40" s="16">
        <f>INDEX('Для снижаем ставку'!B2:F2,MATCH($C$10,'Для снижаем ставку'!$B$1:$F$1,0))</f>
        <v>3000</v>
      </c>
      <c r="W40" s="16">
        <f>INDEX('Для снижаем ставку'!B4:F4,MATCH($C$10,'Для снижаем ставку'!$B$1:$F$1,0))</f>
        <v>4000</v>
      </c>
      <c r="Y40" s="16">
        <f>INDEX('Для снижаем ставку'!B8:F8,MATCH($C$10,'Для снижаем ставку'!$B$1:$F$1,0))</f>
        <v>4000</v>
      </c>
      <c r="Z40" s="16">
        <f>INDEX('Для снижаем ставку'!B10:F10,MATCH($C$10,'Для снижаем ставку'!$B$1:$F$1,0))</f>
        <v>4000</v>
      </c>
      <c r="AA40" s="16">
        <f>INDEX('Для снижаем ставку'!B12:F12,MATCH($C$10,'Для снижаем ставку'!$B$1:$F$1,0))</f>
        <v>4000</v>
      </c>
      <c r="AB40" s="16">
        <f>INDEX('Для снижаем ставку'!B14:F14,MATCH($C$10,'Для снижаем ставку'!$B$1:$F$1,0))</f>
        <v>4000</v>
      </c>
      <c r="AC40" s="16">
        <f>INDEX('Для снижаем ставку'!B16:F16,MATCH($C$10,'Для снижаем ставку'!$B$1:$F$1,0))</f>
        <v>4000</v>
      </c>
      <c r="AD40" s="16">
        <f>INDEX('Для снижаем ставку'!B18:F18,MATCH($C$10,'Для снижаем ставку'!$B$1:$F$1,0))</f>
        <v>4000</v>
      </c>
      <c r="AE40" s="16">
        <f>INDEX('Для снижаем ставку'!B20:F20,MATCH($C$10,'Для снижаем ставку'!$B$1:$F$1,0))</f>
        <v>4000</v>
      </c>
      <c r="AF40" s="16">
        <f>INDEX('Для снижаем ставку'!B22:F22,MATCH($C$10,'Для снижаем ставку'!$B$1:$F$1,0))</f>
        <v>4000</v>
      </c>
      <c r="AH40" s="3"/>
      <c r="AI40" s="3"/>
      <c r="AJ40" s="2"/>
      <c r="AK40" s="2"/>
      <c r="AL40" s="57"/>
      <c r="AM40" s="2"/>
      <c r="AN40" s="15"/>
      <c r="AO40" s="15"/>
      <c r="AP40" s="130" t="e">
        <f t="shared" si="22"/>
        <v>#DIV/0!</v>
      </c>
      <c r="AQ40" s="109">
        <f t="shared" si="33"/>
        <v>32</v>
      </c>
      <c r="AR40" s="110">
        <f>IF((OR(DAY($AD$54)=29,DAY($AD$54)=30,DAY($AD$54)=31)),(EDATE($C$9-3,AQ40)),(IF((OR(DAY($AD$54)=1,DAY($AD$54)=2,DAY($AD$54)=3)),(EDATE($C$9,AQ40)+3),EDATE($C$9,AQ40))))</f>
        <v>45416</v>
      </c>
      <c r="AS40" s="105" t="e">
        <f>IF(AND(G40&gt;=$W$14,G40&lt;=$W$14+5),$W$15,IF(AND(BF39+AV40+AT40&gt;AS39,AS39&lt;&gt;0),$D$39,IF(BF39=0,0,BF39+AV40+AT40+AT41)))</f>
        <v>#DIV/0!</v>
      </c>
      <c r="AT40" s="105" t="e">
        <f>IF(AND(G40&gt;=$W$14,G40&lt;=$W$14+5),0,IF($C$9&gt;$AF$51,ROUND(BF39*$AE$14*((AR40-DATE(YEAR(AR40),MONTH(AR40),1)+1)/(DATE(YEAR(AR40)+1,1,1)-DATE(YEAR(AR40),1,1))+(EOMONTH(AR39,0)-AR39)/(DATE(YEAR(AR39)+1,1,1)-DATE(YEAR(AR39),1,1))),2),0))</f>
        <v>#DIV/0!</v>
      </c>
      <c r="AU40" s="105">
        <f>IF(BG46=0,0,IF(BG46=1,BF39,IF(BF39+AV40+AT40&gt;AS39,AS40-AT40-AV40,BF39)))</f>
        <v>0</v>
      </c>
      <c r="AV40" s="105" t="e">
        <f>IF(AX40&gt;$D$39,$D$39-AT40,IF(BH40=0,0,AZ40)+BV88)</f>
        <v>#DIV/0!</v>
      </c>
      <c r="AW40" s="105" t="e">
        <f t="shared" si="45"/>
        <v>#DIV/0!</v>
      </c>
      <c r="AX40" s="105" t="e">
        <f t="shared" si="24"/>
        <v>#DIV/0!</v>
      </c>
      <c r="AY40" s="105">
        <f>IF(BG46=0,0,0)</f>
        <v>0</v>
      </c>
      <c r="AZ40" s="105">
        <f>IF(BG46=0,0,0)</f>
        <v>0</v>
      </c>
      <c r="BA40" s="105"/>
      <c r="BB40" s="105"/>
      <c r="BC40" s="105"/>
      <c r="BD40" s="105"/>
      <c r="BE40" s="105"/>
      <c r="BF40" s="105" t="e">
        <f>IF(OR(BG46=1,BF39=0),0,BF39-AU40)</f>
        <v>#DIV/0!</v>
      </c>
      <c r="BG40" s="108">
        <f t="shared" si="35"/>
        <v>11</v>
      </c>
      <c r="BH40" s="108">
        <f>IF(ISERR(CEILING(FLOOR(NPER($C$11/12,-$AD$55,BE33),0.1),1))=TRUE,0,CEILING(FLOOR(NPER($C$11/12,-$AD$55,BE33),0.1),1))</f>
        <v>0</v>
      </c>
      <c r="BI40" s="22">
        <f>H34</f>
        <v>45234</v>
      </c>
      <c r="BJ40" s="108">
        <f t="shared" si="54"/>
        <v>11726</v>
      </c>
    </row>
    <row r="41" spans="1:1215" s="16" customFormat="1" ht="28.5" customHeight="1" x14ac:dyDescent="0.25">
      <c r="A41" s="335" t="s">
        <v>214</v>
      </c>
      <c r="B41" s="180"/>
      <c r="C41" s="180"/>
      <c r="D41" s="308">
        <f>IF(D8="Гарантия пакет",(AH65*AH79+AI65*AI79),INDEX($AC$79:$AI$79,MATCH(D$8,$AC$59:$AJ$59,0))*D40)*$C$10</f>
        <v>0</v>
      </c>
      <c r="E41" s="309">
        <f>C27-D41</f>
        <v>43740</v>
      </c>
      <c r="F41" s="301"/>
      <c r="G41" s="426">
        <f t="shared" si="29"/>
        <v>33</v>
      </c>
      <c r="H41" s="427">
        <f t="shared" si="6"/>
        <v>45447</v>
      </c>
      <c r="I41" s="494">
        <f t="shared" si="53"/>
        <v>9.9000000000000005E-2</v>
      </c>
      <c r="J41" s="423">
        <f t="shared" si="52"/>
        <v>11726</v>
      </c>
      <c r="K41" s="423">
        <f t="shared" si="15"/>
        <v>765.31</v>
      </c>
      <c r="L41" s="423">
        <f t="shared" si="16"/>
        <v>10960.69</v>
      </c>
      <c r="M41" s="423">
        <f t="shared" si="17"/>
        <v>0</v>
      </c>
      <c r="N41" s="423">
        <f t="shared" si="30"/>
        <v>0</v>
      </c>
      <c r="O41" s="423">
        <f t="shared" si="7"/>
        <v>765.31</v>
      </c>
      <c r="P41" s="423">
        <f t="shared" si="18"/>
        <v>0</v>
      </c>
      <c r="Q41" s="423">
        <f t="shared" si="19"/>
        <v>0</v>
      </c>
      <c r="R41" s="423">
        <f t="shared" si="20"/>
        <v>80308.069999999963</v>
      </c>
      <c r="S41" s="470"/>
      <c r="T41" s="36">
        <f t="shared" si="31"/>
        <v>4</v>
      </c>
      <c r="U41" s="36">
        <f t="shared" si="21"/>
        <v>4</v>
      </c>
      <c r="V41" s="16">
        <f>INDEX('Для снижаем ставку'!B3:F3,MATCH($C$10,'Для снижаем ставку'!$B$1:$F$1,0))</f>
        <v>194000</v>
      </c>
      <c r="W41" s="16">
        <f>INDEX('Для снижаем ставку'!B5:F5,MATCH($C$10,'Для снижаем ставку'!$B$1:$F$1,0))</f>
        <v>200000</v>
      </c>
      <c r="Y41" s="16">
        <f>INDEX('Для снижаем ставку'!B9:F9,MATCH($C$10,'Для снижаем ставку'!$B$1:$F$1,0))</f>
        <v>202858</v>
      </c>
      <c r="Z41" s="16">
        <f>INDEX('Для снижаем ставку'!B11:F11,MATCH($C$10,'Для снижаем ставку'!$B$1:$F$1,0))</f>
        <v>205050</v>
      </c>
      <c r="AA41" s="16">
        <f>INDEX('Для снижаем ставку'!B13:F13,MATCH($C$10,'Для снижаем ставку'!$B$1:$F$1,0))</f>
        <v>208573</v>
      </c>
      <c r="AB41" s="16">
        <f>INDEX('Для снижаем ставку'!B15:F15,MATCH($C$10,'Для снижаем ставку'!$B$1:$F$1,0))</f>
        <v>210990</v>
      </c>
      <c r="AC41" s="16">
        <f>INDEX('Для снижаем ставку'!B17:F17,MATCH($C$10,'Для снижаем ставку'!$B$1:$F$1,0))</f>
        <v>214288</v>
      </c>
      <c r="AD41" s="16">
        <f>INDEX('Для снижаем ставку'!B19:F19,MATCH($C$10,'Для снижаем ставку'!$B$1:$F$1,0))</f>
        <v>217145</v>
      </c>
      <c r="AE41" s="16">
        <f>INDEX('Для снижаем ставку'!B21:F21,MATCH($C$10,'Для снижаем ставку'!$B$1:$F$1,0))</f>
        <v>220003</v>
      </c>
      <c r="AF41" s="16">
        <f>INDEX('Для снижаем ставку'!B23:F23,MATCH($C$10,'Для снижаем ставку'!$B$1:$F$1,0))</f>
        <v>222860</v>
      </c>
      <c r="AG41" s="3"/>
      <c r="AH41" s="3"/>
      <c r="AI41" s="3"/>
      <c r="AJ41" s="2"/>
      <c r="AK41" s="2"/>
      <c r="AL41" s="57"/>
      <c r="AM41" s="2"/>
      <c r="AN41" s="15"/>
      <c r="AO41" s="15"/>
      <c r="AP41" s="130" t="e">
        <f t="shared" si="22"/>
        <v>#DIV/0!</v>
      </c>
      <c r="AQ41" s="109">
        <f t="shared" ref="AP41:AQ56" si="55">AQ40+1</f>
        <v>33</v>
      </c>
      <c r="AR41" s="110">
        <f>IF((OR(DAY($AD$54)=29,DAY($AD$54)=30,DAY($AD$54)=31)),(EDATE($C$9-3,AQ41)),(IF((OR(DAY($AD$54)=1,DAY($AD$54)=2,DAY($AD$54)=3)),(EDATE($C$9,AQ41)+3),EDATE($C$9,AQ41))))</f>
        <v>45447</v>
      </c>
      <c r="AS41" s="105" t="e">
        <f>IF(AND(G41&gt;=$W$14,G41&lt;=$W$14+5),$W$15,IF(AND(BF40+AV41+AT41&gt;AS40,AS40&lt;&gt;0),$D$39,IF(BF40=0,0,BF40+AV41+AT41+AS42)))</f>
        <v>#DIV/0!</v>
      </c>
      <c r="AT41" s="105" t="e">
        <f>IF(AND(G41&gt;=$W$14,G41&lt;=$W$14+5),0,IF($C$9&gt;$AF$51,ROUND(BF40*$AE$14*((AR41-DATE(YEAR(AR41),MONTH(AR41),1)+1)/(DATE(YEAR(AR41)+1,1,1)-DATE(YEAR(AR41),1,1))+(EOMONTH(AR40,0)-AR40)/(DATE(YEAR(AR40)+1,1,1)-DATE(YEAR(AR40),1,1))),2),0))</f>
        <v>#DIV/0!</v>
      </c>
      <c r="AU41" s="105">
        <f>IF(BG47=0,0,IF(BG47=1,BF40,IF(BF40+AV41+AT41&gt;AS40,AS41-AT41-AV41,BF40)))</f>
        <v>0</v>
      </c>
      <c r="AV41" s="105" t="e">
        <f>IF(AX41&gt;$D$39,$D$39-AT41,IF(BH41=0,0,AZ41)+BV89)</f>
        <v>#DIV/0!</v>
      </c>
      <c r="AW41" s="105" t="e">
        <f t="shared" si="45"/>
        <v>#DIV/0!</v>
      </c>
      <c r="AX41" s="105" t="e">
        <f t="shared" si="24"/>
        <v>#DIV/0!</v>
      </c>
      <c r="AY41" s="105">
        <f>IF(BG47=0,0,0)</f>
        <v>0</v>
      </c>
      <c r="AZ41" s="105">
        <f>IF(BG47=0,0,0)</f>
        <v>0</v>
      </c>
      <c r="BA41" s="105"/>
      <c r="BB41" s="105"/>
      <c r="BC41" s="105"/>
      <c r="BD41" s="105"/>
      <c r="BE41" s="105"/>
      <c r="BF41" s="105" t="e">
        <f>IF(OR(BG47=1,BF40=0),0,BF40-AU41)</f>
        <v>#DIV/0!</v>
      </c>
      <c r="BG41" s="108">
        <f t="shared" ref="BF41:BG56" si="56">IF((BG40-1)&lt;0,0,BG40-1)</f>
        <v>10</v>
      </c>
      <c r="BH41" s="108">
        <f>IF(ISERR(CEILING(FLOOR(NPER($C$11/12,-$AD$55,BE34),0.1),1))=TRUE,0,CEILING(FLOOR(NPER($C$11/12,-$AD$55,BE34),0.1),1))</f>
        <v>0</v>
      </c>
      <c r="BI41" s="22">
        <f>H35</f>
        <v>45264</v>
      </c>
      <c r="BJ41" s="108">
        <f t="shared" si="54"/>
        <v>11726</v>
      </c>
    </row>
    <row r="42" spans="1:1215" s="16" customFormat="1" ht="18" customHeight="1" x14ac:dyDescent="0.2">
      <c r="A42" s="366" t="s">
        <v>76</v>
      </c>
      <c r="B42" s="336" t="s">
        <v>130</v>
      </c>
      <c r="C42" s="323" t="s">
        <v>35</v>
      </c>
      <c r="D42" s="275">
        <f>D41/$C$10</f>
        <v>0</v>
      </c>
      <c r="E42" s="119">
        <f>C30-D42</f>
        <v>1215</v>
      </c>
      <c r="F42" s="301"/>
      <c r="G42" s="426">
        <f t="shared" si="29"/>
        <v>34</v>
      </c>
      <c r="H42" s="427">
        <f t="shared" si="6"/>
        <v>45477</v>
      </c>
      <c r="I42" s="494">
        <f t="shared" si="53"/>
        <v>9.9000000000000005E-2</v>
      </c>
      <c r="J42" s="423">
        <f t="shared" si="52"/>
        <v>11726</v>
      </c>
      <c r="K42" s="423">
        <f t="shared" si="15"/>
        <v>651.67999999999995</v>
      </c>
      <c r="L42" s="423">
        <f t="shared" si="16"/>
        <v>11074.32</v>
      </c>
      <c r="M42" s="423">
        <f t="shared" ref="M42:M73" si="57">IF(O42&gt;$C$25,$C$25-K42,IF(U42=0,0,P42))</f>
        <v>0</v>
      </c>
      <c r="N42" s="423">
        <f t="shared" si="30"/>
        <v>0</v>
      </c>
      <c r="O42" s="423">
        <f t="shared" si="7"/>
        <v>651.67999999999995</v>
      </c>
      <c r="P42" s="423">
        <f t="shared" si="18"/>
        <v>0</v>
      </c>
      <c r="Q42" s="423">
        <f t="shared" si="19"/>
        <v>0</v>
      </c>
      <c r="R42" s="423">
        <f t="shared" si="20"/>
        <v>69233.749999999971</v>
      </c>
      <c r="S42" s="470"/>
      <c r="T42" s="36">
        <f t="shared" si="31"/>
        <v>3</v>
      </c>
      <c r="U42" s="36">
        <f t="shared" si="21"/>
        <v>3</v>
      </c>
      <c r="V42" s="101">
        <v>9.9000000000000005E-2</v>
      </c>
      <c r="W42" s="101"/>
      <c r="X42" s="101">
        <v>0.11899999999999999</v>
      </c>
      <c r="Y42" s="101">
        <v>0.129</v>
      </c>
      <c r="Z42" s="484">
        <v>0.13900000000000001</v>
      </c>
      <c r="AA42" s="101">
        <v>0.14899999999999999</v>
      </c>
      <c r="AB42" s="484">
        <v>0.159</v>
      </c>
      <c r="AC42" s="101">
        <v>0.16900000000000001</v>
      </c>
      <c r="AD42" s="484">
        <v>0.17899999999999999</v>
      </c>
      <c r="AE42" s="101">
        <v>0.189</v>
      </c>
      <c r="AF42" s="101">
        <v>0.19900000000000001</v>
      </c>
      <c r="AG42" s="2"/>
      <c r="AH42" s="2"/>
      <c r="AI42" s="2"/>
      <c r="AJ42" s="2"/>
      <c r="AK42" s="57"/>
      <c r="AL42" s="2"/>
      <c r="AM42" s="15"/>
      <c r="AN42" s="15"/>
      <c r="AO42" s="130" t="e">
        <f t="shared" si="22"/>
        <v>#DIV/0!</v>
      </c>
      <c r="AP42" s="109">
        <f>AQ41+1</f>
        <v>34</v>
      </c>
      <c r="AQ42" s="110">
        <f t="shared" ref="AQ42:AQ58" si="58">IF((OR(DAY($AD$54)=29,DAY($AD$54)=30,DAY($AD$54)=31)),(EDATE($C$9-3,AP42)),(IF((OR(DAY($AD$54)=1,DAY($AD$54)=2,DAY($AD$54)=3)),(EDATE($C$9,AP42)+3),EDATE($C$9,AP42))))</f>
        <v>45477</v>
      </c>
      <c r="AR42" s="105" t="e">
        <f>IF(AND(G42&gt;=$W$14,G42&lt;=$W$14+5),$W$15,IF(AND(BF41+AU42+AS42&gt;AS41,AS41&lt;&gt;0),$D$39,IF(BF41=0,0,BF41+AU42+AS42+AS43)))</f>
        <v>#DIV/0!</v>
      </c>
      <c r="AS42" s="105" t="e">
        <f>IF(AND(G42&gt;=$W$14,G42&lt;=$W$14+5),0,IF($C$9&gt;$AF$51,ROUND(BF41*$AE$14*((AQ42-DATE(YEAR(AQ42),MONTH(AQ42),1)+1)/(DATE(YEAR(AQ42)+1,1,1)-DATE(YEAR(AQ42),1,1))+(EOMONTH(AR41,0)-AR41)/(DATE(YEAR(AR41)+1,1,1)-DATE(YEAR(AR41),1,1))),2),0))</f>
        <v>#DIV/0!</v>
      </c>
      <c r="AT42" s="105">
        <f>IF(BG48=0,0,IF(BG48=1,BF41,IF(BF41+AU42+AS42&gt;AS41,AR42-AS42-AU42,BF41)))</f>
        <v>0</v>
      </c>
      <c r="AU42" s="105" t="e">
        <f t="shared" si="41"/>
        <v>#DIV/0!</v>
      </c>
      <c r="AV42" s="105" t="e">
        <f>AY41-AV41</f>
        <v>#DIV/0!</v>
      </c>
      <c r="AW42" s="105" t="e">
        <f t="shared" si="24"/>
        <v>#DIV/0!</v>
      </c>
      <c r="AX42" s="105">
        <f t="shared" si="42"/>
        <v>0</v>
      </c>
      <c r="AY42" s="105">
        <f t="shared" si="43"/>
        <v>0</v>
      </c>
      <c r="AZ42" s="105"/>
      <c r="BA42" s="105"/>
      <c r="BB42" s="105"/>
      <c r="BC42" s="105"/>
      <c r="BD42" s="105"/>
      <c r="BE42" s="105" t="e">
        <f>IF(OR(BG48=1,BF41=0),0,BF41-AT42)</f>
        <v>#DIV/0!</v>
      </c>
      <c r="BF42" s="108">
        <f>IF((BG41-1)&lt;0,0,BG41-1)</f>
        <v>9</v>
      </c>
      <c r="BG42" s="108">
        <f t="shared" si="49"/>
        <v>0</v>
      </c>
      <c r="BH42" s="22">
        <f t="shared" ref="BH42:BH58" si="59">H36</f>
        <v>45295</v>
      </c>
      <c r="BI42" s="108">
        <f t="shared" si="51"/>
        <v>11726</v>
      </c>
    </row>
    <row r="43" spans="1:1215" s="16" customFormat="1" ht="19.5" customHeight="1" x14ac:dyDescent="0.2">
      <c r="A43" s="366" t="s">
        <v>131</v>
      </c>
      <c r="B43" s="336" t="s">
        <v>132</v>
      </c>
      <c r="C43" s="270" t="str">
        <f>IF(OR(C8="Гарантия стандарт",C8="Гарантия пакет"),"",IF(C42="Да",IF(C12=$W$3,W21,IF(C12=$Y$3,Y21,IF(C12=$Z$3,Z21,IF(C12=$AA$3,AA21,IF(C12=$X$3,X21,AA21))))),""))</f>
        <v/>
      </c>
      <c r="D43" s="275">
        <f>ROUND($D$42/30.4,2)</f>
        <v>0</v>
      </c>
      <c r="E43" s="119">
        <f>C31-D43</f>
        <v>39.97</v>
      </c>
      <c r="F43" s="301"/>
      <c r="G43" s="426">
        <f t="shared" si="29"/>
        <v>35</v>
      </c>
      <c r="H43" s="427">
        <f t="shared" si="6"/>
        <v>45508</v>
      </c>
      <c r="I43" s="494">
        <f t="shared" si="53"/>
        <v>9.9000000000000005E-2</v>
      </c>
      <c r="J43" s="423">
        <f t="shared" si="52"/>
        <v>11726</v>
      </c>
      <c r="K43" s="423">
        <f>IF(AND($C$8&lt;&gt;"Нет",G43&gt;=$W$14,G43&lt;=$W$14+5),0,IF($C$9&gt;$AF$51,ROUND(R42*I43*((H43-DATE(YEAR(H43),MONTH(H43),1)+1)/(DATE(YEAR(H43)+1,1,1)-DATE(YEAR(H43),1,1))+(EOMONTH(H42,0)-H42)/(DATE(YEAR(H42)+1,1,1)-DATE(YEAR(H42),1,1))),2),0))</f>
        <v>580.54</v>
      </c>
      <c r="L43" s="423">
        <f t="shared" si="16"/>
        <v>11145.46</v>
      </c>
      <c r="M43" s="423">
        <f t="shared" si="57"/>
        <v>0</v>
      </c>
      <c r="N43" s="423">
        <f t="shared" si="30"/>
        <v>0</v>
      </c>
      <c r="O43" s="423">
        <f t="shared" si="7"/>
        <v>580.54</v>
      </c>
      <c r="P43" s="423">
        <f t="shared" si="18"/>
        <v>0</v>
      </c>
      <c r="Q43" s="423">
        <f t="shared" si="19"/>
        <v>0</v>
      </c>
      <c r="R43" s="423">
        <f t="shared" si="20"/>
        <v>58088.289999999972</v>
      </c>
      <c r="S43" s="470"/>
      <c r="T43" s="36">
        <f t="shared" si="31"/>
        <v>2</v>
      </c>
      <c r="U43" s="36">
        <f t="shared" si="21"/>
        <v>2</v>
      </c>
      <c r="V43" s="485">
        <f>INDEX('Для снижаем ставку'!B2:F2,MATCH($C$10,'Для снижаем ставку'!$B$1:$F$1,0))</f>
        <v>3000</v>
      </c>
      <c r="W43" s="485"/>
      <c r="X43" s="485">
        <f>INDEX('Для снижаем ставку'!B6:F6,MATCH($C$10,'Для снижаем ставку'!$B$1:$F$1,0))</f>
        <v>4000</v>
      </c>
      <c r="Y43" s="485">
        <f>INDEX('Для снижаем ставку'!B8:F8,MATCH($C$10,'Для снижаем ставку'!$B$1:$F$1,0))</f>
        <v>4000</v>
      </c>
      <c r="Z43" s="485">
        <f>INDEX('Для снижаем ставку'!B10:F10,MATCH($C$10,'Для снижаем ставку'!$B$1:$F$1,0))</f>
        <v>4000</v>
      </c>
      <c r="AA43" s="485">
        <f>INDEX('Для снижаем ставку'!B12:F12,MATCH($C$10,'Для снижаем ставку'!$B$1:$F$1,0))</f>
        <v>4000</v>
      </c>
      <c r="AB43" s="485">
        <f>INDEX('Для снижаем ставку'!B14:F14,MATCH($C$10,'Для снижаем ставку'!$B$1:$F$1,0))</f>
        <v>4000</v>
      </c>
      <c r="AC43" s="485">
        <f>INDEX('Для снижаем ставку'!B16:F16,MATCH($C$10,'Для снижаем ставку'!$B$1:$F$1,0))</f>
        <v>4000</v>
      </c>
      <c r="AD43" s="485">
        <f>INDEX('Для снижаем ставку'!B18:F18,MATCH($C$10,'Для снижаем ставку'!$B$1:$F$1,0))</f>
        <v>4000</v>
      </c>
      <c r="AE43" s="485">
        <f>INDEX('Для снижаем ставку'!B20:F20,MATCH($C$10,'Для снижаем ставку'!$B$1:$F$1,0))</f>
        <v>4000</v>
      </c>
      <c r="AF43" s="485">
        <f>INDEX('Для снижаем ставку'!B22:F22,MATCH($C$10,'Для снижаем ставку'!$B$1:$F$1,0))</f>
        <v>4000</v>
      </c>
      <c r="AG43" s="2"/>
      <c r="AH43" s="2"/>
      <c r="AI43" s="2"/>
      <c r="AJ43" s="2"/>
      <c r="AK43" s="57"/>
      <c r="AL43" s="2"/>
      <c r="AM43" s="15"/>
      <c r="AN43" s="15"/>
      <c r="AO43" s="130" t="e">
        <f t="shared" si="22"/>
        <v>#DIV/0!</v>
      </c>
      <c r="AP43" s="109">
        <f t="shared" si="55"/>
        <v>35</v>
      </c>
      <c r="AQ43" s="110">
        <f t="shared" si="58"/>
        <v>45508</v>
      </c>
      <c r="AR43" s="105" t="e">
        <f t="shared" ref="AR43:AR57" si="60">IF(AND(G43&gt;=$W$14,G43&lt;=$W$14+5),$W$15,IF(AND(BE42+AU43+AS43&gt;AR42,AR42&lt;&gt;0),$D$39,IF(BE42=0,0,BE42+AU43+AS43+AS44)))</f>
        <v>#DIV/0!</v>
      </c>
      <c r="AS43" s="105" t="e">
        <f t="shared" ref="AS43:AS58" si="61">IF(AND(G43&gt;=$W$14,G43&lt;=$W$14+5),0,IF($C$9&gt;$AF$51,ROUND(BE42*$AE$14*((AQ43-DATE(YEAR(AQ43),MONTH(AQ43),1)+1)/(DATE(YEAR(AQ43)+1,1,1)-DATE(YEAR(AQ43),1,1))+(EOMONTH(AQ42,0)-AQ42)/(DATE(YEAR(AQ42)+1,1,1)-DATE(YEAR(AQ42),1,1))),2),0))</f>
        <v>#DIV/0!</v>
      </c>
      <c r="AT43" s="105">
        <f t="shared" si="40"/>
        <v>0</v>
      </c>
      <c r="AU43" s="105" t="e">
        <f t="shared" si="41"/>
        <v>#DIV/0!</v>
      </c>
      <c r="AV43" s="105" t="e">
        <f t="shared" si="45"/>
        <v>#DIV/0!</v>
      </c>
      <c r="AW43" s="105" t="e">
        <f t="shared" si="24"/>
        <v>#DIV/0!</v>
      </c>
      <c r="AX43" s="105">
        <f t="shared" si="42"/>
        <v>0</v>
      </c>
      <c r="AY43" s="105">
        <f t="shared" si="43"/>
        <v>0</v>
      </c>
      <c r="AZ43" s="105"/>
      <c r="BA43" s="105"/>
      <c r="BB43" s="105"/>
      <c r="BC43" s="105"/>
      <c r="BD43" s="105"/>
      <c r="BE43" s="105" t="e">
        <f t="shared" si="44"/>
        <v>#DIV/0!</v>
      </c>
      <c r="BF43" s="108">
        <f t="shared" si="56"/>
        <v>8</v>
      </c>
      <c r="BG43" s="108">
        <f t="shared" si="49"/>
        <v>0</v>
      </c>
      <c r="BH43" s="22">
        <f t="shared" si="59"/>
        <v>45326</v>
      </c>
      <c r="BI43" s="108">
        <f t="shared" si="51"/>
        <v>11726</v>
      </c>
    </row>
    <row r="44" spans="1:1215" s="16" customFormat="1" ht="20.25" customHeight="1" thickBot="1" x14ac:dyDescent="0.25">
      <c r="A44" s="367" t="s">
        <v>133</v>
      </c>
      <c r="B44" s="337" t="s">
        <v>132</v>
      </c>
      <c r="C44" s="271" t="str">
        <f>IF(AND(C43&lt;&gt;0,C42&lt;&gt;"нет"),IF(C42="Нет","",IF(C42=$AC$30,$AC$31,$AD$31)),"")</f>
        <v/>
      </c>
      <c r="D44" s="276" t="e">
        <f>AR109</f>
        <v>#DIV/0!</v>
      </c>
      <c r="E44" s="137" t="e">
        <f>C32-D44</f>
        <v>#DIV/0!</v>
      </c>
      <c r="F44" s="305"/>
      <c r="G44" s="426">
        <f t="shared" si="29"/>
        <v>36</v>
      </c>
      <c r="H44" s="427">
        <f t="shared" si="6"/>
        <v>45539</v>
      </c>
      <c r="I44" s="494">
        <f t="shared" si="53"/>
        <v>9.9000000000000005E-2</v>
      </c>
      <c r="J44" s="423">
        <f>IF(AND($C$8&lt;&gt;"Нет",G44&gt;=$W$14,G44&lt;=$W$14+5),$W$15,IF(AND(R43+M44+K44&gt;J43,J43&lt;&gt;0),$AE$96,IF(R43=0,0,R43+M44+K44+K45)))</f>
        <v>11726</v>
      </c>
      <c r="K44" s="423">
        <f>IF(AND($C$8&lt;&gt;"Нет",G44&gt;=$W$14,G44&lt;=$W$14+5),0,IF($C$9&gt;$AF$51,ROUND(R43*I44*((H44-DATE(YEAR(H44),MONTH(H44),1)+1)/(DATE(YEAR(H44)+1,1,1)-DATE(YEAR(H44),1,1))+(EOMONTH(H43,0)-H43)/(DATE(YEAR(H43)+1,1,1)-DATE(YEAR(H43),1,1))),2),0))</f>
        <v>487.08</v>
      </c>
      <c r="L44" s="423">
        <f>IF(R43+M44+K44&gt;J43,J44-K44-M44,R43)</f>
        <v>11238.92</v>
      </c>
      <c r="M44" s="423">
        <f t="shared" si="57"/>
        <v>0</v>
      </c>
      <c r="N44" s="423">
        <f t="shared" si="30"/>
        <v>0</v>
      </c>
      <c r="O44" s="423">
        <f t="shared" si="7"/>
        <v>487.08</v>
      </c>
      <c r="P44" s="423">
        <f t="shared" si="18"/>
        <v>0</v>
      </c>
      <c r="Q44" s="423">
        <f t="shared" si="19"/>
        <v>0</v>
      </c>
      <c r="R44" s="423">
        <f>R43-L44-S44</f>
        <v>46849.369999999974</v>
      </c>
      <c r="S44" s="470"/>
      <c r="T44" s="36">
        <f t="shared" si="31"/>
        <v>1</v>
      </c>
      <c r="U44" s="36">
        <f t="shared" si="21"/>
        <v>1</v>
      </c>
      <c r="V44" s="485">
        <f>INDEX('Для снижаем ставку'!B3:F3,MATCH($C$10,'Для снижаем ставку'!$B$1:$F$1,0))</f>
        <v>194000</v>
      </c>
      <c r="W44" s="485"/>
      <c r="X44" s="485">
        <f>INDEX('Для снижаем ставку'!B7:F7,MATCH($C$10,'Для снижаем ставку'!$B$1:$F$1,0))</f>
        <v>200000</v>
      </c>
      <c r="Y44" s="485">
        <f>INDEX('Для снижаем ставку'!B9:F9,MATCH($C$10,'Для снижаем ставку'!$B$1:$F$1,0))</f>
        <v>202858</v>
      </c>
      <c r="Z44" s="485">
        <f>INDEX('Для снижаем ставку'!B11:F11,MATCH($C$10,'Для снижаем ставку'!$B$1:$F$1,0))</f>
        <v>205050</v>
      </c>
      <c r="AA44" s="485">
        <f>INDEX('Для снижаем ставку'!B13:F13,MATCH($C$10,'Для снижаем ставку'!$B$1:$F$1,0))</f>
        <v>208573</v>
      </c>
      <c r="AB44" s="485">
        <f>INDEX('Для снижаем ставку'!B15:F15,MATCH($C$10,'Для снижаем ставку'!$B$1:$F$1,0))</f>
        <v>210990</v>
      </c>
      <c r="AC44" s="485">
        <f>INDEX('Для снижаем ставку'!B17:F17,MATCH($C$10,'Для снижаем ставку'!$B$1:$F$1,0))</f>
        <v>214288</v>
      </c>
      <c r="AD44" s="485">
        <f>INDEX('Для снижаем ставку'!B19:F19,MATCH($C$10,'Для снижаем ставку'!$B$1:$F$1,0))</f>
        <v>217145</v>
      </c>
      <c r="AE44" s="485">
        <f>INDEX('Для снижаем ставку'!B21:F21,MATCH($C$10,'Для снижаем ставку'!$B$1:$F$1,0))</f>
        <v>220003</v>
      </c>
      <c r="AF44" s="485">
        <f>INDEX('Для снижаем ставку'!B23:F23,MATCH($C$10,'Для снижаем ставку'!$B$1:$F$1,0))</f>
        <v>222860</v>
      </c>
      <c r="AG44" s="3"/>
      <c r="AH44" s="3"/>
      <c r="AI44" s="2"/>
      <c r="AJ44" s="2"/>
      <c r="AK44" s="57"/>
      <c r="AL44" s="2"/>
      <c r="AM44" s="15"/>
      <c r="AN44" s="3"/>
      <c r="AO44" s="130" t="e">
        <f t="shared" si="22"/>
        <v>#DIV/0!</v>
      </c>
      <c r="AP44" s="109">
        <f t="shared" si="55"/>
        <v>36</v>
      </c>
      <c r="AQ44" s="110">
        <f t="shared" si="58"/>
        <v>45539</v>
      </c>
      <c r="AR44" s="105" t="e">
        <f t="shared" si="60"/>
        <v>#DIV/0!</v>
      </c>
      <c r="AS44" s="105" t="e">
        <f t="shared" si="61"/>
        <v>#DIV/0!</v>
      </c>
      <c r="AT44" s="105">
        <f t="shared" si="40"/>
        <v>0</v>
      </c>
      <c r="AU44" s="105" t="e">
        <f t="shared" si="41"/>
        <v>#DIV/0!</v>
      </c>
      <c r="AV44" s="105" t="e">
        <f t="shared" si="45"/>
        <v>#DIV/0!</v>
      </c>
      <c r="AW44" s="105" t="e">
        <f t="shared" si="24"/>
        <v>#DIV/0!</v>
      </c>
      <c r="AX44" s="105">
        <f t="shared" si="42"/>
        <v>0</v>
      </c>
      <c r="AY44" s="105">
        <f t="shared" si="43"/>
        <v>0</v>
      </c>
      <c r="AZ44" s="105"/>
      <c r="BA44" s="105"/>
      <c r="BB44" s="105"/>
      <c r="BC44" s="105"/>
      <c r="BD44" s="105"/>
      <c r="BE44" s="105" t="e">
        <f t="shared" si="44"/>
        <v>#DIV/0!</v>
      </c>
      <c r="BF44" s="108">
        <f t="shared" si="56"/>
        <v>7</v>
      </c>
      <c r="BG44" s="108">
        <f t="shared" si="49"/>
        <v>0</v>
      </c>
      <c r="BH44" s="22">
        <f t="shared" si="59"/>
        <v>45355</v>
      </c>
      <c r="BI44" s="108">
        <f t="shared" si="51"/>
        <v>11726</v>
      </c>
    </row>
    <row r="45" spans="1:1215" s="16" customFormat="1" ht="12.75" customHeight="1" x14ac:dyDescent="0.2">
      <c r="A45" s="272"/>
      <c r="B45" s="273"/>
      <c r="C45" s="274" t="str">
        <f>IF(AND(C43&lt;&gt;0,C42&lt;&gt;"нет"),IF(C42="Нет","",ROUND($C$7*C44,2)),"")</f>
        <v/>
      </c>
      <c r="D45" s="269" t="e">
        <f>AS109</f>
        <v>#DIV/0!</v>
      </c>
      <c r="E45" s="121" t="e">
        <f>C33-D45</f>
        <v>#DIV/0!</v>
      </c>
      <c r="F45" s="302"/>
      <c r="G45" s="426">
        <f t="shared" si="29"/>
        <v>37</v>
      </c>
      <c r="H45" s="427">
        <f t="shared" si="6"/>
        <v>45569</v>
      </c>
      <c r="I45" s="494">
        <f>$AF$97</f>
        <v>6.9000000000000006E-2</v>
      </c>
      <c r="J45" s="423">
        <f>IF(AND($C$8&lt;&gt;"Нет",G45&gt;=$W$14,G45&lt;=$W$14+5),$W$15,IF(AND(R44+M45+K45&gt;J44,J44&lt;&gt;0),$AE$97,IF(R44=0,0,R44+M45+K45+K46)))</f>
        <v>11494</v>
      </c>
      <c r="K45" s="423">
        <f t="shared" si="15"/>
        <v>264.97000000000003</v>
      </c>
      <c r="L45" s="423">
        <f t="shared" si="16"/>
        <v>11229.03</v>
      </c>
      <c r="M45" s="423">
        <f t="shared" si="57"/>
        <v>0</v>
      </c>
      <c r="N45" s="423">
        <f t="shared" si="30"/>
        <v>0</v>
      </c>
      <c r="O45" s="423">
        <f t="shared" si="7"/>
        <v>264.97000000000003</v>
      </c>
      <c r="P45" s="423">
        <f t="shared" si="18"/>
        <v>0</v>
      </c>
      <c r="Q45" s="423">
        <f t="shared" si="19"/>
        <v>0</v>
      </c>
      <c r="R45" s="423">
        <f t="shared" si="20"/>
        <v>35620.339999999975</v>
      </c>
      <c r="S45" s="470"/>
      <c r="T45" s="36">
        <f t="shared" si="31"/>
        <v>0</v>
      </c>
      <c r="U45" s="36">
        <f t="shared" si="21"/>
        <v>0</v>
      </c>
      <c r="AF45" s="3"/>
      <c r="AG45" s="3"/>
      <c r="AH45" s="3"/>
      <c r="AI45" s="2"/>
      <c r="AJ45" s="2"/>
      <c r="AK45" s="57"/>
      <c r="AL45" s="2"/>
      <c r="AM45" s="3"/>
      <c r="AO45" s="130" t="e">
        <f t="shared" si="22"/>
        <v>#DIV/0!</v>
      </c>
      <c r="AP45" s="109">
        <f t="shared" si="55"/>
        <v>37</v>
      </c>
      <c r="AQ45" s="110">
        <f t="shared" si="58"/>
        <v>45569</v>
      </c>
      <c r="AR45" s="105" t="e">
        <f t="shared" si="60"/>
        <v>#DIV/0!</v>
      </c>
      <c r="AS45" s="105" t="e">
        <f t="shared" si="61"/>
        <v>#DIV/0!</v>
      </c>
      <c r="AT45" s="105">
        <f t="shared" si="40"/>
        <v>0</v>
      </c>
      <c r="AU45" s="105" t="e">
        <f t="shared" si="41"/>
        <v>#DIV/0!</v>
      </c>
      <c r="AV45" s="105" t="e">
        <f t="shared" si="45"/>
        <v>#DIV/0!</v>
      </c>
      <c r="AW45" s="105" t="e">
        <f t="shared" si="24"/>
        <v>#DIV/0!</v>
      </c>
      <c r="AX45" s="105">
        <f t="shared" si="42"/>
        <v>0</v>
      </c>
      <c r="AY45" s="105">
        <f t="shared" si="43"/>
        <v>0</v>
      </c>
      <c r="AZ45" s="105"/>
      <c r="BA45" s="105"/>
      <c r="BB45" s="105"/>
      <c r="BC45" s="105"/>
      <c r="BD45" s="105"/>
      <c r="BE45" s="105" t="e">
        <f t="shared" si="44"/>
        <v>#DIV/0!</v>
      </c>
      <c r="BF45" s="108">
        <f t="shared" si="56"/>
        <v>6</v>
      </c>
      <c r="BG45" s="108">
        <f t="shared" si="49"/>
        <v>0</v>
      </c>
      <c r="BH45" s="22">
        <f t="shared" si="59"/>
        <v>45386</v>
      </c>
      <c r="BI45" s="108">
        <f t="shared" si="51"/>
        <v>11726</v>
      </c>
    </row>
    <row r="46" spans="1:1215" s="16" customFormat="1" ht="15.75" x14ac:dyDescent="0.2">
      <c r="A46" s="272"/>
      <c r="B46" s="273"/>
      <c r="C46" s="274" t="str">
        <f>IF(AND($C$43&lt;&gt;0,C42&lt;&gt;"нет"),K109-W149,"")</f>
        <v/>
      </c>
      <c r="D46" s="277" t="e">
        <f>D45+IF(D35&lt;&gt;"",D35,0)-IF(D36&lt;&gt;"",D36,0)</f>
        <v>#DIV/0!</v>
      </c>
      <c r="E46" s="136" t="e">
        <f>#REF!-D46</f>
        <v>#REF!</v>
      </c>
      <c r="F46" s="306"/>
      <c r="G46" s="426">
        <f t="shared" si="29"/>
        <v>38</v>
      </c>
      <c r="H46" s="427">
        <f t="shared" si="6"/>
        <v>45600</v>
      </c>
      <c r="I46" s="494">
        <f t="shared" ref="I46:I56" si="62">$AF$97</f>
        <v>6.9000000000000006E-2</v>
      </c>
      <c r="J46" s="423">
        <f t="shared" ref="J46:J56" si="63">IF(AND($C$8&lt;&gt;"Нет",G46&gt;=$W$14,G46&lt;=$W$14+5),$W$15,IF(AND(R45+M46+K46&gt;J45,J45&lt;&gt;0),$AE$97,IF(R45=0,0,R45+M46+K46+K47)))</f>
        <v>11494</v>
      </c>
      <c r="K46" s="423">
        <f t="shared" si="15"/>
        <v>208.17</v>
      </c>
      <c r="L46" s="423">
        <f t="shared" si="16"/>
        <v>11285.83</v>
      </c>
      <c r="M46" s="423">
        <f t="shared" si="57"/>
        <v>0</v>
      </c>
      <c r="N46" s="423">
        <f t="shared" si="30"/>
        <v>0</v>
      </c>
      <c r="O46" s="423">
        <f t="shared" si="7"/>
        <v>208.17</v>
      </c>
      <c r="P46" s="423">
        <f t="shared" si="18"/>
        <v>0</v>
      </c>
      <c r="Q46" s="423">
        <f t="shared" si="19"/>
        <v>0</v>
      </c>
      <c r="R46" s="423">
        <f t="shared" si="20"/>
        <v>24334.509999999973</v>
      </c>
      <c r="S46" s="470"/>
      <c r="T46" s="36">
        <f t="shared" si="31"/>
        <v>0</v>
      </c>
      <c r="U46" s="36">
        <f t="shared" si="21"/>
        <v>0</v>
      </c>
      <c r="V46" s="2"/>
      <c r="W46" s="2"/>
      <c r="Y46" s="2"/>
      <c r="Z46" s="2"/>
      <c r="AA46" s="2"/>
      <c r="AB46" s="2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AR8</f>
        <v>-302900</v>
      </c>
      <c r="AN46" s="57">
        <f>AQ8</f>
        <v>44443</v>
      </c>
      <c r="AO46" s="130" t="e">
        <f t="shared" si="22"/>
        <v>#DIV/0!</v>
      </c>
      <c r="AP46" s="109">
        <f t="shared" si="55"/>
        <v>38</v>
      </c>
      <c r="AQ46" s="110">
        <f t="shared" si="58"/>
        <v>45600</v>
      </c>
      <c r="AR46" s="105" t="e">
        <f t="shared" si="60"/>
        <v>#DIV/0!</v>
      </c>
      <c r="AS46" s="105" t="e">
        <f t="shared" si="61"/>
        <v>#DIV/0!</v>
      </c>
      <c r="AT46" s="105">
        <f t="shared" si="40"/>
        <v>0</v>
      </c>
      <c r="AU46" s="105" t="e">
        <f t="shared" si="41"/>
        <v>#DIV/0!</v>
      </c>
      <c r="AV46" s="105" t="e">
        <f t="shared" si="45"/>
        <v>#DIV/0!</v>
      </c>
      <c r="AW46" s="105" t="e">
        <f t="shared" si="24"/>
        <v>#DIV/0!</v>
      </c>
      <c r="AX46" s="105">
        <f t="shared" si="42"/>
        <v>0</v>
      </c>
      <c r="AY46" s="105">
        <f t="shared" si="43"/>
        <v>0</v>
      </c>
      <c r="AZ46" s="105"/>
      <c r="BA46" s="105"/>
      <c r="BB46" s="105"/>
      <c r="BC46" s="105"/>
      <c r="BD46" s="105"/>
      <c r="BE46" s="105" t="e">
        <f t="shared" si="44"/>
        <v>#DIV/0!</v>
      </c>
      <c r="BF46" s="108">
        <f t="shared" si="56"/>
        <v>5</v>
      </c>
      <c r="BG46" s="108">
        <f>IF(ISERR(CEILING(FLOOR(NPER($C$11/12,-$AD$55,BF39),0.1),1))=TRUE,0,CEILING(FLOOR(NPER($C$11/12,-$AD$55,BF39),0.1),1))</f>
        <v>0</v>
      </c>
      <c r="BH46" s="22">
        <f t="shared" si="59"/>
        <v>45416</v>
      </c>
      <c r="BI46" s="108">
        <f t="shared" si="51"/>
        <v>11726</v>
      </c>
    </row>
    <row r="47" spans="1:1215" s="16" customFormat="1" ht="15" x14ac:dyDescent="0.2">
      <c r="A47" s="272"/>
      <c r="B47" s="273"/>
      <c r="C47" s="271" t="str">
        <f>IF(AND($C$43&lt;&gt;0,C42&lt;&gt;"нет"),IF(C42="Нет","",C46/C7),"")</f>
        <v/>
      </c>
      <c r="D47" s="268" t="e">
        <f>IF(OR(D8="Гарантия стандарт",D8="Гарантия пакет"),0,AG57)</f>
        <v>#DIV/0!</v>
      </c>
      <c r="E47" s="119" t="e">
        <f>#REF!-D47</f>
        <v>#REF!</v>
      </c>
      <c r="F47" s="301"/>
      <c r="G47" s="426">
        <f t="shared" si="29"/>
        <v>39</v>
      </c>
      <c r="H47" s="427">
        <f t="shared" si="6"/>
        <v>45630</v>
      </c>
      <c r="I47" s="494">
        <f t="shared" si="62"/>
        <v>6.9000000000000006E-2</v>
      </c>
      <c r="J47" s="423">
        <f t="shared" si="63"/>
        <v>11494</v>
      </c>
      <c r="K47" s="423">
        <f t="shared" si="15"/>
        <v>137.63</v>
      </c>
      <c r="L47" s="423">
        <f t="shared" si="16"/>
        <v>11356.37</v>
      </c>
      <c r="M47" s="423">
        <f t="shared" si="57"/>
        <v>0</v>
      </c>
      <c r="N47" s="423">
        <f t="shared" si="30"/>
        <v>0</v>
      </c>
      <c r="O47" s="423">
        <f t="shared" si="7"/>
        <v>137.63</v>
      </c>
      <c r="P47" s="423">
        <f t="shared" si="18"/>
        <v>0</v>
      </c>
      <c r="Q47" s="423">
        <f t="shared" si="19"/>
        <v>0</v>
      </c>
      <c r="R47" s="423">
        <f t="shared" si="20"/>
        <v>12978.139999999972</v>
      </c>
      <c r="S47" s="470"/>
      <c r="T47" s="36">
        <f t="shared" si="31"/>
        <v>0</v>
      </c>
      <c r="U47" s="36">
        <f t="shared" si="21"/>
        <v>0</v>
      </c>
      <c r="V47" s="2"/>
      <c r="W47" s="2"/>
      <c r="X47" s="18">
        <f>J8</f>
        <v>-346640</v>
      </c>
      <c r="Y47" s="57">
        <f>H8</f>
        <v>44443</v>
      </c>
      <c r="Z47" s="2"/>
      <c r="AA47" s="2"/>
      <c r="AB47" s="37"/>
      <c r="AC47" s="38">
        <v>0</v>
      </c>
      <c r="AD47" s="1" t="s">
        <v>20</v>
      </c>
      <c r="AE47" s="6" t="s">
        <v>15</v>
      </c>
      <c r="AF47" s="6"/>
      <c r="AG47" s="6"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44443</v>
      </c>
      <c r="AO47" s="130" t="e">
        <f t="shared" si="22"/>
        <v>#DIV/0!</v>
      </c>
      <c r="AP47" s="109">
        <f t="shared" si="55"/>
        <v>39</v>
      </c>
      <c r="AQ47" s="110">
        <f t="shared" si="58"/>
        <v>45630</v>
      </c>
      <c r="AR47" s="105" t="e">
        <f t="shared" si="60"/>
        <v>#DIV/0!</v>
      </c>
      <c r="AS47" s="105" t="e">
        <f t="shared" si="61"/>
        <v>#DIV/0!</v>
      </c>
      <c r="AT47" s="105">
        <f t="shared" si="40"/>
        <v>0</v>
      </c>
      <c r="AU47" s="105" t="e">
        <f t="shared" si="41"/>
        <v>#DIV/0!</v>
      </c>
      <c r="AV47" s="105" t="e">
        <f t="shared" si="45"/>
        <v>#DIV/0!</v>
      </c>
      <c r="AW47" s="105" t="e">
        <f t="shared" si="24"/>
        <v>#DIV/0!</v>
      </c>
      <c r="AX47" s="105">
        <f t="shared" si="42"/>
        <v>0</v>
      </c>
      <c r="AY47" s="105">
        <f t="shared" si="43"/>
        <v>0</v>
      </c>
      <c r="AZ47" s="105"/>
      <c r="BA47" s="105"/>
      <c r="BB47" s="105"/>
      <c r="BC47" s="105"/>
      <c r="BD47" s="105"/>
      <c r="BE47" s="105" t="e">
        <f t="shared" si="44"/>
        <v>#DIV/0!</v>
      </c>
      <c r="BF47" s="108">
        <f t="shared" si="56"/>
        <v>4</v>
      </c>
      <c r="BG47" s="108">
        <f>IF(ISERR(CEILING(FLOOR(NPER($C$11/12,-$AD$55,BF40),0.1),1))=TRUE,0,CEILING(FLOOR(NPER($C$11/12,-$AD$55,BF40),0.1),1))</f>
        <v>0</v>
      </c>
      <c r="BH47" s="22">
        <f t="shared" si="59"/>
        <v>45447</v>
      </c>
      <c r="BI47" s="108">
        <f t="shared" si="51"/>
        <v>11726</v>
      </c>
    </row>
    <row r="48" spans="1:1215" s="16" customFormat="1" ht="12" customHeight="1" x14ac:dyDescent="0.25">
      <c r="A48" s="180"/>
      <c r="B48" s="180"/>
      <c r="C48" s="180"/>
      <c r="D48" s="278">
        <f>IF(OR(D8="Гарантия стандарт",D8="Гарантия пакет"),0,$C$10+$AD$57)</f>
        <v>72</v>
      </c>
      <c r="E48" s="119"/>
      <c r="F48" s="301"/>
      <c r="G48" s="426">
        <f t="shared" si="29"/>
        <v>40</v>
      </c>
      <c r="H48" s="427">
        <f t="shared" si="6"/>
        <v>45661</v>
      </c>
      <c r="I48" s="494">
        <f t="shared" si="62"/>
        <v>6.9000000000000006E-2</v>
      </c>
      <c r="J48" s="423">
        <f t="shared" si="63"/>
        <v>11494</v>
      </c>
      <c r="K48" s="423">
        <f t="shared" si="15"/>
        <v>75.87</v>
      </c>
      <c r="L48" s="423">
        <f t="shared" si="16"/>
        <v>11418.13</v>
      </c>
      <c r="M48" s="423">
        <f t="shared" si="57"/>
        <v>0</v>
      </c>
      <c r="N48" s="423">
        <f t="shared" si="30"/>
        <v>0</v>
      </c>
      <c r="O48" s="423">
        <f t="shared" si="7"/>
        <v>75.87</v>
      </c>
      <c r="P48" s="423">
        <f t="shared" si="18"/>
        <v>0</v>
      </c>
      <c r="Q48" s="423">
        <f t="shared" si="19"/>
        <v>0</v>
      </c>
      <c r="R48" s="423">
        <f t="shared" si="20"/>
        <v>1560.0099999999729</v>
      </c>
      <c r="S48" s="470"/>
      <c r="T48" s="36">
        <f t="shared" si="31"/>
        <v>0</v>
      </c>
      <c r="U48" s="36">
        <f t="shared" si="21"/>
        <v>0</v>
      </c>
      <c r="X48" s="34">
        <f>IF(OR(C8="Гарантия стандарт",C8="Гарантия пакет"),AH65*AH79*$C$10,0)</f>
        <v>0</v>
      </c>
      <c r="Y48" s="57">
        <f>H8</f>
        <v>44443</v>
      </c>
      <c r="Z48" s="5" t="s">
        <v>11</v>
      </c>
      <c r="AA48" s="4"/>
      <c r="AB48" s="37"/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 t="shared" ref="AL48:AL58" si="64">IF(AND(Y9&gt;=$W$14,Y9&lt;=$W$14+5),0,IF($C$9&gt;$AF$51,ROUND(AI8*$C$43/(DATEVALUE(CONCATENATE("01/01/",YEAR(Z9)+1))-DATEVALUE(CONCATENATE("01/01/",YEAR(Z9))))*(Z9-Z8),2),0))</f>
        <v>#VALUE!</v>
      </c>
      <c r="AM48" s="34">
        <f t="shared" ref="AM48:AM111" si="65">AR9</f>
        <v>1700</v>
      </c>
      <c r="AN48" s="57">
        <f>AN47+365</f>
        <v>44808</v>
      </c>
      <c r="AO48" s="130" t="e">
        <f t="shared" si="22"/>
        <v>#DIV/0!</v>
      </c>
      <c r="AP48" s="109">
        <f t="shared" si="55"/>
        <v>40</v>
      </c>
      <c r="AQ48" s="110">
        <f t="shared" si="58"/>
        <v>45661</v>
      </c>
      <c r="AR48" s="105" t="e">
        <f t="shared" si="60"/>
        <v>#DIV/0!</v>
      </c>
      <c r="AS48" s="105" t="e">
        <f t="shared" si="61"/>
        <v>#DIV/0!</v>
      </c>
      <c r="AT48" s="105">
        <f t="shared" si="40"/>
        <v>0</v>
      </c>
      <c r="AU48" s="105" t="e">
        <f t="shared" si="41"/>
        <v>#DIV/0!</v>
      </c>
      <c r="AV48" s="105" t="e">
        <f t="shared" si="45"/>
        <v>#DIV/0!</v>
      </c>
      <c r="AW48" s="105" t="e">
        <f t="shared" si="24"/>
        <v>#DIV/0!</v>
      </c>
      <c r="AX48" s="105">
        <f t="shared" si="42"/>
        <v>0</v>
      </c>
      <c r="AY48" s="105">
        <f t="shared" si="43"/>
        <v>0</v>
      </c>
      <c r="AZ48" s="105"/>
      <c r="BA48" s="105"/>
      <c r="BB48" s="105"/>
      <c r="BC48" s="105"/>
      <c r="BD48" s="105"/>
      <c r="BE48" s="105" t="e">
        <f t="shared" si="44"/>
        <v>#DIV/0!</v>
      </c>
      <c r="BF48" s="108">
        <f t="shared" si="56"/>
        <v>3</v>
      </c>
      <c r="BG48" s="108">
        <f>IF(ISERR(CEILING(FLOOR(NPER($C$11/12,-$AD$55,BF41),0.1),1))=TRUE,0,CEILING(FLOOR(NPER($C$11/12,-$AD$55,BF41),0.1),1))</f>
        <v>0</v>
      </c>
      <c r="BH48" s="22">
        <f t="shared" si="59"/>
        <v>45477</v>
      </c>
      <c r="BI48" s="108">
        <f t="shared" si="51"/>
        <v>11726</v>
      </c>
    </row>
    <row r="49" spans="1:63" s="16" customFormat="1" ht="20.25" customHeight="1" thickBot="1" x14ac:dyDescent="0.35">
      <c r="A49" s="178"/>
      <c r="B49" s="178"/>
      <c r="C49" s="178"/>
      <c r="D49" s="279">
        <f>IF(OR(D8="Гарантия стандарт",D8="Гарантия пакет"),0,AF57)</f>
        <v>0.159</v>
      </c>
      <c r="E49" s="120" t="e">
        <f>#REF!-D49</f>
        <v>#REF!</v>
      </c>
      <c r="F49" s="304"/>
      <c r="G49" s="426">
        <f t="shared" si="29"/>
        <v>41</v>
      </c>
      <c r="H49" s="427">
        <f t="shared" si="6"/>
        <v>45692</v>
      </c>
      <c r="I49" s="494">
        <f t="shared" si="62"/>
        <v>6.9000000000000006E-2</v>
      </c>
      <c r="J49" s="423">
        <f t="shared" si="63"/>
        <v>1569.149999999973</v>
      </c>
      <c r="K49" s="423">
        <f t="shared" si="15"/>
        <v>9.14</v>
      </c>
      <c r="L49" s="423">
        <f t="shared" si="16"/>
        <v>1560.0099999999729</v>
      </c>
      <c r="M49" s="423">
        <f t="shared" si="57"/>
        <v>0</v>
      </c>
      <c r="N49" s="423">
        <f t="shared" si="30"/>
        <v>0</v>
      </c>
      <c r="O49" s="423">
        <f t="shared" si="7"/>
        <v>9.14</v>
      </c>
      <c r="P49" s="423">
        <f t="shared" si="18"/>
        <v>0</v>
      </c>
      <c r="Q49" s="423">
        <f t="shared" si="19"/>
        <v>0</v>
      </c>
      <c r="R49" s="423">
        <f t="shared" si="20"/>
        <v>0</v>
      </c>
      <c r="S49" s="470"/>
      <c r="T49" s="36">
        <f t="shared" si="31"/>
        <v>0</v>
      </c>
      <c r="U49" s="36">
        <f t="shared" si="21"/>
        <v>0</v>
      </c>
      <c r="V49" s="2"/>
      <c r="W49" s="2">
        <f t="shared" ref="W49:W80" si="66">IF(AND(G9&gt;=$W$14,G9&lt;=$W$14+5),0,IF($C$9&gt;$AF$51,ROUND(R8*$C$43/(DATEVALUE(CONCATENATE("01/01/",YEAR(H9)+1))-DATEVALUE(CONCATENATE("01/01/",YEAR(H9))))*(H9-H8),2),0))</f>
        <v>0</v>
      </c>
      <c r="X49" s="34">
        <f>J9</f>
        <v>1700</v>
      </c>
      <c r="Y49" s="57">
        <f>Y48+365</f>
        <v>44808</v>
      </c>
      <c r="Z49" s="8" t="s">
        <v>10</v>
      </c>
      <c r="AA49" s="8"/>
      <c r="AB49" s="37"/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12180</v>
      </c>
      <c r="AI49" s="2"/>
      <c r="AJ49" s="2"/>
      <c r="AK49" s="2"/>
      <c r="AL49" s="2" t="e">
        <f t="shared" si="64"/>
        <v>#VALUE!</v>
      </c>
      <c r="AM49" s="34">
        <f t="shared" si="65"/>
        <v>1700</v>
      </c>
      <c r="AN49" s="57">
        <f t="shared" ref="AN49:AO64" si="67">AN48+365</f>
        <v>45173</v>
      </c>
      <c r="AO49" s="130" t="e">
        <f t="shared" si="22"/>
        <v>#DIV/0!</v>
      </c>
      <c r="AP49" s="109">
        <f t="shared" si="55"/>
        <v>41</v>
      </c>
      <c r="AQ49" s="110">
        <f t="shared" si="58"/>
        <v>45692</v>
      </c>
      <c r="AR49" s="105" t="e">
        <f t="shared" si="60"/>
        <v>#DIV/0!</v>
      </c>
      <c r="AS49" s="105" t="e">
        <f t="shared" si="61"/>
        <v>#DIV/0!</v>
      </c>
      <c r="AT49" s="105">
        <f t="shared" si="40"/>
        <v>0</v>
      </c>
      <c r="AU49" s="105" t="e">
        <f t="shared" si="41"/>
        <v>#DIV/0!</v>
      </c>
      <c r="AV49" s="105" t="e">
        <f t="shared" si="45"/>
        <v>#DIV/0!</v>
      </c>
      <c r="AW49" s="105" t="e">
        <f t="shared" si="24"/>
        <v>#DIV/0!</v>
      </c>
      <c r="AX49" s="105">
        <f t="shared" si="42"/>
        <v>0</v>
      </c>
      <c r="AY49" s="105">
        <f t="shared" si="43"/>
        <v>0</v>
      </c>
      <c r="AZ49" s="105"/>
      <c r="BA49" s="105"/>
      <c r="BB49" s="105"/>
      <c r="BC49" s="105"/>
      <c r="BD49" s="105"/>
      <c r="BE49" s="105" t="e">
        <f t="shared" si="44"/>
        <v>#DIV/0!</v>
      </c>
      <c r="BF49" s="108">
        <f t="shared" si="56"/>
        <v>2</v>
      </c>
      <c r="BG49" s="108">
        <f t="shared" si="49"/>
        <v>0</v>
      </c>
      <c r="BH49" s="22">
        <f t="shared" si="59"/>
        <v>45508</v>
      </c>
      <c r="BI49" s="108">
        <f t="shared" si="51"/>
        <v>11726</v>
      </c>
    </row>
    <row r="50" spans="1:63" s="16" customFormat="1" ht="12.75" customHeight="1" thickBot="1" x14ac:dyDescent="0.35">
      <c r="A50" s="178"/>
      <c r="B50" s="178"/>
      <c r="C50" s="180"/>
      <c r="D50" s="280"/>
      <c r="E50" s="159"/>
      <c r="F50" s="307"/>
      <c r="G50" s="426">
        <f t="shared" si="29"/>
        <v>42</v>
      </c>
      <c r="H50" s="427">
        <f t="shared" si="6"/>
        <v>45720</v>
      </c>
      <c r="I50" s="494">
        <f t="shared" si="62"/>
        <v>6.9000000000000006E-2</v>
      </c>
      <c r="J50" s="423">
        <f t="shared" si="63"/>
        <v>0</v>
      </c>
      <c r="K50" s="423">
        <f t="shared" si="15"/>
        <v>0</v>
      </c>
      <c r="L50" s="423">
        <f t="shared" si="16"/>
        <v>0</v>
      </c>
      <c r="M50" s="423">
        <f t="shared" si="57"/>
        <v>0</v>
      </c>
      <c r="N50" s="423">
        <f t="shared" si="30"/>
        <v>0</v>
      </c>
      <c r="O50" s="423">
        <f t="shared" si="7"/>
        <v>0</v>
      </c>
      <c r="P50" s="423">
        <f t="shared" si="18"/>
        <v>0</v>
      </c>
      <c r="Q50" s="423">
        <f t="shared" si="19"/>
        <v>0</v>
      </c>
      <c r="R50" s="423">
        <f t="shared" si="20"/>
        <v>0</v>
      </c>
      <c r="S50" s="470"/>
      <c r="T50" s="36">
        <f t="shared" si="31"/>
        <v>0</v>
      </c>
      <c r="U50" s="36">
        <f t="shared" si="21"/>
        <v>0</v>
      </c>
      <c r="V50" s="2"/>
      <c r="W50" s="2">
        <f t="shared" si="66"/>
        <v>0</v>
      </c>
      <c r="X50" s="34">
        <f t="shared" ref="X50:X113" si="68">IF(J10 &gt; 0, J10, 0)</f>
        <v>1700</v>
      </c>
      <c r="Y50" s="57">
        <f t="shared" ref="Y50:Y113" si="69">Y49+365</f>
        <v>45173</v>
      </c>
      <c r="Z50" s="8" t="s">
        <v>8</v>
      </c>
      <c r="AA50" s="8"/>
      <c r="AB50" s="40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IF(C9&gt;AG50,XIRR(X48:X127,Y48:Y127)*12,XIRR(X48:X126,H8:H86))</f>
        <v>#NUM!</v>
      </c>
      <c r="AI50" s="2"/>
      <c r="AJ50" s="2"/>
      <c r="AK50" s="2"/>
      <c r="AL50" s="2" t="e">
        <f t="shared" si="64"/>
        <v>#VALUE!</v>
      </c>
      <c r="AM50" s="34">
        <f t="shared" si="65"/>
        <v>1700</v>
      </c>
      <c r="AN50" s="57">
        <f t="shared" si="67"/>
        <v>45538</v>
      </c>
      <c r="AO50" s="130" t="e">
        <f t="shared" si="22"/>
        <v>#DIV/0!</v>
      </c>
      <c r="AP50" s="109">
        <f t="shared" si="55"/>
        <v>42</v>
      </c>
      <c r="AQ50" s="110">
        <f t="shared" si="58"/>
        <v>45720</v>
      </c>
      <c r="AR50" s="105" t="e">
        <f t="shared" si="60"/>
        <v>#DIV/0!</v>
      </c>
      <c r="AS50" s="105" t="e">
        <f t="shared" si="61"/>
        <v>#DIV/0!</v>
      </c>
      <c r="AT50" s="105">
        <f t="shared" si="40"/>
        <v>0</v>
      </c>
      <c r="AU50" s="105" t="e">
        <f t="shared" si="41"/>
        <v>#DIV/0!</v>
      </c>
      <c r="AV50" s="105" t="e">
        <f t="shared" si="45"/>
        <v>#DIV/0!</v>
      </c>
      <c r="AW50" s="105" t="e">
        <f t="shared" si="24"/>
        <v>#DIV/0!</v>
      </c>
      <c r="AX50" s="105">
        <f t="shared" si="42"/>
        <v>0</v>
      </c>
      <c r="AY50" s="105">
        <f t="shared" si="43"/>
        <v>0</v>
      </c>
      <c r="AZ50" s="105"/>
      <c r="BA50" s="105"/>
      <c r="BB50" s="105"/>
      <c r="BC50" s="105"/>
      <c r="BD50" s="105"/>
      <c r="BE50" s="105" t="e">
        <f t="shared" si="44"/>
        <v>#DIV/0!</v>
      </c>
      <c r="BF50" s="108">
        <f t="shared" si="56"/>
        <v>1</v>
      </c>
      <c r="BG50" s="108">
        <f t="shared" si="49"/>
        <v>0</v>
      </c>
      <c r="BH50" s="22">
        <f t="shared" si="59"/>
        <v>45539</v>
      </c>
      <c r="BI50" s="108">
        <f t="shared" si="51"/>
        <v>11726</v>
      </c>
    </row>
    <row r="51" spans="1:63" s="16" customFormat="1" ht="12.75" customHeight="1" x14ac:dyDescent="0.3">
      <c r="A51" s="178"/>
      <c r="B51" s="178"/>
      <c r="C51" s="180"/>
      <c r="D51" s="281" t="e">
        <f>D46/($C$10/12)</f>
        <v>#DIV/0!</v>
      </c>
      <c r="E51" s="119" t="e">
        <f>C36-D51</f>
        <v>#DIV/0!</v>
      </c>
      <c r="F51" s="301"/>
      <c r="G51" s="426">
        <f t="shared" si="29"/>
        <v>43</v>
      </c>
      <c r="H51" s="427">
        <f t="shared" si="6"/>
        <v>45751</v>
      </c>
      <c r="I51" s="494">
        <f t="shared" si="62"/>
        <v>6.9000000000000006E-2</v>
      </c>
      <c r="J51" s="423">
        <f t="shared" si="63"/>
        <v>0</v>
      </c>
      <c r="K51" s="423">
        <f t="shared" si="15"/>
        <v>0</v>
      </c>
      <c r="L51" s="423">
        <f t="shared" si="16"/>
        <v>0</v>
      </c>
      <c r="M51" s="423">
        <f t="shared" si="57"/>
        <v>0</v>
      </c>
      <c r="N51" s="423">
        <f t="shared" si="30"/>
        <v>0</v>
      </c>
      <c r="O51" s="423">
        <f t="shared" si="7"/>
        <v>0</v>
      </c>
      <c r="P51" s="423">
        <f t="shared" si="18"/>
        <v>0</v>
      </c>
      <c r="Q51" s="423">
        <f t="shared" si="19"/>
        <v>0</v>
      </c>
      <c r="R51" s="423">
        <f t="shared" si="20"/>
        <v>0</v>
      </c>
      <c r="S51" s="470"/>
      <c r="T51" s="36">
        <f t="shared" si="31"/>
        <v>0</v>
      </c>
      <c r="U51" s="36">
        <f t="shared" si="21"/>
        <v>0</v>
      </c>
      <c r="V51" s="2"/>
      <c r="W51" s="2">
        <f t="shared" si="66"/>
        <v>0</v>
      </c>
      <c r="X51" s="34">
        <f t="shared" si="68"/>
        <v>1700</v>
      </c>
      <c r="Y51" s="57">
        <f t="shared" si="69"/>
        <v>45538</v>
      </c>
      <c r="Z51" s="5" t="s">
        <v>1</v>
      </c>
      <c r="AA51" s="8"/>
      <c r="AB51" s="17" t="e">
        <f>AC51/C7</f>
        <v>#DIV/0!</v>
      </c>
      <c r="AC51" s="42" t="e">
        <f>(D44-C7)</f>
        <v>#DIV/0!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 t="shared" si="64"/>
        <v>#VALUE!</v>
      </c>
      <c r="AM51" s="34">
        <f t="shared" si="65"/>
        <v>1700</v>
      </c>
      <c r="AN51" s="57">
        <f t="shared" si="67"/>
        <v>45903</v>
      </c>
      <c r="AO51" s="130" t="e">
        <f t="shared" si="22"/>
        <v>#DIV/0!</v>
      </c>
      <c r="AP51" s="109">
        <f t="shared" si="55"/>
        <v>43</v>
      </c>
      <c r="AQ51" s="110">
        <f t="shared" si="58"/>
        <v>45751</v>
      </c>
      <c r="AR51" s="105" t="e">
        <f t="shared" si="60"/>
        <v>#DIV/0!</v>
      </c>
      <c r="AS51" s="105" t="e">
        <f t="shared" si="61"/>
        <v>#DIV/0!</v>
      </c>
      <c r="AT51" s="105">
        <f t="shared" si="40"/>
        <v>0</v>
      </c>
      <c r="AU51" s="105" t="e">
        <f t="shared" si="41"/>
        <v>#DIV/0!</v>
      </c>
      <c r="AV51" s="105" t="e">
        <f t="shared" si="45"/>
        <v>#DIV/0!</v>
      </c>
      <c r="AW51" s="105" t="e">
        <f t="shared" si="24"/>
        <v>#DIV/0!</v>
      </c>
      <c r="AX51" s="105">
        <f t="shared" si="42"/>
        <v>0</v>
      </c>
      <c r="AY51" s="105">
        <f t="shared" si="43"/>
        <v>0</v>
      </c>
      <c r="AZ51" s="105"/>
      <c r="BA51" s="105"/>
      <c r="BB51" s="105"/>
      <c r="BC51" s="105"/>
      <c r="BD51" s="105"/>
      <c r="BE51" s="105" t="e">
        <f t="shared" si="44"/>
        <v>#DIV/0!</v>
      </c>
      <c r="BF51" s="108">
        <f t="shared" si="56"/>
        <v>0</v>
      </c>
      <c r="BG51" s="108">
        <f t="shared" si="49"/>
        <v>0</v>
      </c>
      <c r="BH51" s="22">
        <f t="shared" si="59"/>
        <v>45569</v>
      </c>
      <c r="BI51" s="108">
        <f t="shared" si="51"/>
        <v>11494</v>
      </c>
    </row>
    <row r="52" spans="1:63" s="16" customFormat="1" ht="12.75" customHeight="1" x14ac:dyDescent="0.3">
      <c r="A52" s="178"/>
      <c r="B52" s="178"/>
      <c r="C52" s="180"/>
      <c r="D52" s="282" t="e">
        <f>D51/D38</f>
        <v>#DIV/0!</v>
      </c>
      <c r="E52" s="119"/>
      <c r="F52" s="301"/>
      <c r="G52" s="426">
        <f t="shared" si="29"/>
        <v>44</v>
      </c>
      <c r="H52" s="427">
        <f t="shared" si="6"/>
        <v>45781</v>
      </c>
      <c r="I52" s="494">
        <f t="shared" si="62"/>
        <v>6.9000000000000006E-2</v>
      </c>
      <c r="J52" s="423">
        <f t="shared" si="63"/>
        <v>0</v>
      </c>
      <c r="K52" s="423">
        <f t="shared" si="15"/>
        <v>0</v>
      </c>
      <c r="L52" s="423">
        <f t="shared" si="16"/>
        <v>0</v>
      </c>
      <c r="M52" s="423">
        <f t="shared" si="57"/>
        <v>0</v>
      </c>
      <c r="N52" s="423">
        <f t="shared" si="30"/>
        <v>0</v>
      </c>
      <c r="O52" s="423">
        <f t="shared" si="7"/>
        <v>0</v>
      </c>
      <c r="P52" s="423">
        <f t="shared" si="18"/>
        <v>0</v>
      </c>
      <c r="Q52" s="423">
        <f t="shared" si="19"/>
        <v>0</v>
      </c>
      <c r="R52" s="423">
        <f t="shared" si="20"/>
        <v>0</v>
      </c>
      <c r="S52" s="470"/>
      <c r="T52" s="36">
        <f t="shared" si="31"/>
        <v>0</v>
      </c>
      <c r="U52" s="36">
        <f t="shared" si="21"/>
        <v>0</v>
      </c>
      <c r="V52" s="2"/>
      <c r="W52" s="2">
        <f t="shared" si="66"/>
        <v>0</v>
      </c>
      <c r="X52" s="34">
        <f t="shared" si="68"/>
        <v>1700</v>
      </c>
      <c r="Y52" s="57">
        <f t="shared" si="69"/>
        <v>45903</v>
      </c>
      <c r="Z52" s="5" t="s">
        <v>42</v>
      </c>
      <c r="AA52" s="8"/>
      <c r="AB52" s="17">
        <f>IF(C8=AC59,AC65,IF(C8=AD59,AD65,IF(C8=AF59,AF65,IF(C8=AG59,AG65,IF(C8=AE59,AE65,IF(C8=AH59,AH65,IF(C8=AI59,AI65,IF(C8=AJ59,AJ65,Y28))))))))</f>
        <v>3.0000000000000001E-3</v>
      </c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 t="shared" si="64"/>
        <v>#VALUE!</v>
      </c>
      <c r="AM52" s="34">
        <f t="shared" si="65"/>
        <v>1700</v>
      </c>
      <c r="AN52" s="57">
        <f t="shared" si="67"/>
        <v>46268</v>
      </c>
      <c r="AO52" s="130" t="e">
        <f t="shared" si="22"/>
        <v>#DIV/0!</v>
      </c>
      <c r="AP52" s="109">
        <f t="shared" si="55"/>
        <v>44</v>
      </c>
      <c r="AQ52" s="110">
        <f t="shared" si="58"/>
        <v>45781</v>
      </c>
      <c r="AR52" s="105" t="e">
        <f t="shared" si="60"/>
        <v>#DIV/0!</v>
      </c>
      <c r="AS52" s="105" t="e">
        <f t="shared" si="61"/>
        <v>#DIV/0!</v>
      </c>
      <c r="AT52" s="105">
        <f t="shared" si="40"/>
        <v>0</v>
      </c>
      <c r="AU52" s="105" t="e">
        <f t="shared" si="41"/>
        <v>#DIV/0!</v>
      </c>
      <c r="AV52" s="105" t="e">
        <f t="shared" si="45"/>
        <v>#DIV/0!</v>
      </c>
      <c r="AW52" s="105" t="e">
        <f t="shared" si="24"/>
        <v>#DIV/0!</v>
      </c>
      <c r="AX52" s="105">
        <f t="shared" si="42"/>
        <v>0</v>
      </c>
      <c r="AY52" s="105">
        <f t="shared" si="43"/>
        <v>0</v>
      </c>
      <c r="AZ52" s="105"/>
      <c r="BA52" s="105"/>
      <c r="BB52" s="105"/>
      <c r="BC52" s="105"/>
      <c r="BD52" s="105"/>
      <c r="BE52" s="105" t="e">
        <f t="shared" si="44"/>
        <v>#DIV/0!</v>
      </c>
      <c r="BF52" s="108">
        <f t="shared" si="56"/>
        <v>0</v>
      </c>
      <c r="BG52" s="108">
        <f t="shared" si="49"/>
        <v>0</v>
      </c>
      <c r="BH52" s="22">
        <f t="shared" si="59"/>
        <v>45600</v>
      </c>
      <c r="BI52" s="108">
        <f t="shared" si="51"/>
        <v>11494</v>
      </c>
    </row>
    <row r="53" spans="1:63" s="16" customFormat="1" ht="12" customHeight="1" x14ac:dyDescent="0.3">
      <c r="A53" s="178"/>
      <c r="B53" s="178"/>
      <c r="C53" s="180"/>
      <c r="D53" s="281" t="e">
        <f>D51/12</f>
        <v>#DIV/0!</v>
      </c>
      <c r="E53" s="119" t="e">
        <f>C38-D53</f>
        <v>#DIV/0!</v>
      </c>
      <c r="F53" s="301"/>
      <c r="G53" s="426">
        <f t="shared" si="29"/>
        <v>45</v>
      </c>
      <c r="H53" s="427">
        <f t="shared" si="6"/>
        <v>45812</v>
      </c>
      <c r="I53" s="494">
        <f t="shared" si="62"/>
        <v>6.9000000000000006E-2</v>
      </c>
      <c r="J53" s="423">
        <f t="shared" si="63"/>
        <v>0</v>
      </c>
      <c r="K53" s="423">
        <f t="shared" si="15"/>
        <v>0</v>
      </c>
      <c r="L53" s="423">
        <f t="shared" si="16"/>
        <v>0</v>
      </c>
      <c r="M53" s="423">
        <f t="shared" si="57"/>
        <v>0</v>
      </c>
      <c r="N53" s="423">
        <f t="shared" si="30"/>
        <v>0</v>
      </c>
      <c r="O53" s="423">
        <f t="shared" si="7"/>
        <v>0</v>
      </c>
      <c r="P53" s="423">
        <f t="shared" si="18"/>
        <v>0</v>
      </c>
      <c r="Q53" s="423">
        <f t="shared" si="19"/>
        <v>0</v>
      </c>
      <c r="R53" s="423">
        <f t="shared" si="20"/>
        <v>0</v>
      </c>
      <c r="S53" s="470"/>
      <c r="T53" s="36">
        <f t="shared" si="31"/>
        <v>0</v>
      </c>
      <c r="U53" s="36">
        <f t="shared" si="21"/>
        <v>0</v>
      </c>
      <c r="V53" s="2"/>
      <c r="W53" s="2">
        <f t="shared" si="66"/>
        <v>0</v>
      </c>
      <c r="X53" s="34">
        <f t="shared" si="68"/>
        <v>1700</v>
      </c>
      <c r="Y53" s="57">
        <f t="shared" si="69"/>
        <v>46268</v>
      </c>
      <c r="Z53" s="5"/>
      <c r="AA53" s="8"/>
      <c r="AB53" s="15">
        <f>IF(D8=AC59,AC65,IF(D8=AD59,AD65,IF(D8=AF59,AF65,IF(D8=AG59,AG65,IF(D8=AE59,AE65,IF(D8=AH59,AH65,IF(D8=AI59,AI65,Y28)))))))</f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 t="e">
        <f t="shared" si="64"/>
        <v>#VALUE!</v>
      </c>
      <c r="AM53" s="34">
        <f t="shared" si="65"/>
        <v>1700</v>
      </c>
      <c r="AN53" s="57">
        <f t="shared" si="67"/>
        <v>46633</v>
      </c>
      <c r="AO53" s="130" t="e">
        <f t="shared" si="22"/>
        <v>#DIV/0!</v>
      </c>
      <c r="AP53" s="109">
        <f t="shared" si="55"/>
        <v>45</v>
      </c>
      <c r="AQ53" s="110">
        <f t="shared" si="58"/>
        <v>45812</v>
      </c>
      <c r="AR53" s="105" t="e">
        <f t="shared" si="60"/>
        <v>#DIV/0!</v>
      </c>
      <c r="AS53" s="105" t="e">
        <f t="shared" si="61"/>
        <v>#DIV/0!</v>
      </c>
      <c r="AT53" s="105">
        <f t="shared" ref="AT53:AT58" si="70">IF(BH59=0,0,IF(BH59=1,BE52,IF(BE52+AU53+AS53&gt;AR52,AR53-AS53-AU53,BE52)))</f>
        <v>0</v>
      </c>
      <c r="AU53" s="105" t="e">
        <f t="shared" si="41"/>
        <v>#DIV/0!</v>
      </c>
      <c r="AV53" s="105" t="e">
        <f t="shared" si="45"/>
        <v>#DIV/0!</v>
      </c>
      <c r="AW53" s="105" t="e">
        <f t="shared" si="24"/>
        <v>#DIV/0!</v>
      </c>
      <c r="AX53" s="105">
        <f t="shared" ref="AX53:AX58" si="71">IF(BH59=0,0,0)</f>
        <v>0</v>
      </c>
      <c r="AY53" s="105">
        <f t="shared" ref="AY53:AY58" si="72">IF(BH59=0,0,0)</f>
        <v>0</v>
      </c>
      <c r="AZ53" s="105"/>
      <c r="BA53" s="105"/>
      <c r="BB53" s="105"/>
      <c r="BC53" s="105"/>
      <c r="BD53" s="105"/>
      <c r="BE53" s="105" t="e">
        <f t="shared" ref="BE53:BE58" si="73">IF(OR(BH59=1,BE52=0),0,BE52-AT53)</f>
        <v>#DIV/0!</v>
      </c>
      <c r="BF53" s="108">
        <f t="shared" si="56"/>
        <v>0</v>
      </c>
      <c r="BG53" s="108">
        <f t="shared" si="49"/>
        <v>0</v>
      </c>
      <c r="BH53" s="22">
        <f t="shared" si="59"/>
        <v>45630</v>
      </c>
      <c r="BI53" s="108">
        <f t="shared" si="51"/>
        <v>11494</v>
      </c>
    </row>
    <row r="54" spans="1:63" s="16" customFormat="1" ht="12" customHeight="1" x14ac:dyDescent="0.25">
      <c r="A54" s="180"/>
      <c r="B54" s="180"/>
      <c r="C54" s="180"/>
      <c r="D54" s="281" t="e">
        <f>D53/30</f>
        <v>#DIV/0!</v>
      </c>
      <c r="E54" s="119" t="e">
        <f>C39-D54</f>
        <v>#DIV/0!</v>
      </c>
      <c r="F54" s="301"/>
      <c r="G54" s="426">
        <f t="shared" si="29"/>
        <v>46</v>
      </c>
      <c r="H54" s="427">
        <f t="shared" si="6"/>
        <v>45842</v>
      </c>
      <c r="I54" s="494">
        <f t="shared" si="62"/>
        <v>6.9000000000000006E-2</v>
      </c>
      <c r="J54" s="423">
        <f t="shared" si="63"/>
        <v>0</v>
      </c>
      <c r="K54" s="423">
        <f t="shared" si="15"/>
        <v>0</v>
      </c>
      <c r="L54" s="423">
        <f t="shared" si="16"/>
        <v>0</v>
      </c>
      <c r="M54" s="423">
        <f t="shared" si="57"/>
        <v>0</v>
      </c>
      <c r="N54" s="423">
        <f t="shared" si="30"/>
        <v>0</v>
      </c>
      <c r="O54" s="423">
        <f t="shared" si="7"/>
        <v>0</v>
      </c>
      <c r="P54" s="423">
        <f t="shared" si="18"/>
        <v>0</v>
      </c>
      <c r="Q54" s="423">
        <f t="shared" si="19"/>
        <v>0</v>
      </c>
      <c r="R54" s="423">
        <f t="shared" si="20"/>
        <v>0</v>
      </c>
      <c r="S54" s="470"/>
      <c r="T54" s="36">
        <f t="shared" si="31"/>
        <v>0</v>
      </c>
      <c r="U54" s="36">
        <f t="shared" si="21"/>
        <v>0</v>
      </c>
      <c r="V54" s="2"/>
      <c r="W54" s="2">
        <f t="shared" si="66"/>
        <v>0</v>
      </c>
      <c r="X54" s="34">
        <f t="shared" si="68"/>
        <v>1700</v>
      </c>
      <c r="Y54" s="57">
        <f t="shared" si="69"/>
        <v>46633</v>
      </c>
      <c r="Z54" s="2"/>
      <c r="AA54" s="2"/>
      <c r="AB54" s="6"/>
      <c r="AC54" s="1"/>
      <c r="AD54" s="7">
        <f>H8</f>
        <v>44443</v>
      </c>
      <c r="AE54" s="47">
        <f>(C24+AI51)*AF94/12*(1+AF94/12)^(C10)/((1+AF94/12)^(C10)-1)+C24/10000*IF(C10&lt;11,20,IF(C10&lt;20,2.5,IF(C10&lt;37,1.5,IF(C10&lt;60,0.7,0.5))))*IF(AF94&lt;0.3,AF94/0.2,AF94/0.1)</f>
        <v>12211.063975055315</v>
      </c>
      <c r="AF54" s="2"/>
      <c r="AG54" s="47" t="e">
        <f>(D38+AI51)*AE14/12*(1+AE14/12)^(C10)/((1+AE14/12)^(C10)-1)+D38/10000*IF(C10&lt;11,20,IF(C10&lt;20,2.5,IF(C10&lt;37,1.5,IF(C10&lt;60,0.7,0.5))))*IF(AE14&lt;0.3,AE14/0.2,AE14/0.1)</f>
        <v>#DIV/0!</v>
      </c>
      <c r="AH54" s="2"/>
      <c r="AI54" s="2"/>
      <c r="AJ54" s="2"/>
      <c r="AK54" s="2"/>
      <c r="AL54" s="2" t="e">
        <f t="shared" si="64"/>
        <v>#VALUE!</v>
      </c>
      <c r="AM54" s="34" t="e">
        <f t="shared" si="65"/>
        <v>#DIV/0!</v>
      </c>
      <c r="AN54" s="57">
        <f t="shared" si="67"/>
        <v>46998</v>
      </c>
      <c r="AO54" s="130" t="e">
        <f t="shared" si="22"/>
        <v>#DIV/0!</v>
      </c>
      <c r="AP54" s="109">
        <f t="shared" si="55"/>
        <v>46</v>
      </c>
      <c r="AQ54" s="110">
        <f t="shared" si="58"/>
        <v>45842</v>
      </c>
      <c r="AR54" s="105" t="e">
        <f t="shared" si="60"/>
        <v>#DIV/0!</v>
      </c>
      <c r="AS54" s="105" t="e">
        <f t="shared" si="61"/>
        <v>#DIV/0!</v>
      </c>
      <c r="AT54" s="105">
        <f t="shared" si="70"/>
        <v>0</v>
      </c>
      <c r="AU54" s="105" t="e">
        <f t="shared" si="41"/>
        <v>#DIV/0!</v>
      </c>
      <c r="AV54" s="105" t="e">
        <f t="shared" si="45"/>
        <v>#DIV/0!</v>
      </c>
      <c r="AW54" s="105" t="e">
        <f t="shared" si="24"/>
        <v>#DIV/0!</v>
      </c>
      <c r="AX54" s="105">
        <f t="shared" si="71"/>
        <v>0</v>
      </c>
      <c r="AY54" s="105">
        <f t="shared" si="72"/>
        <v>0</v>
      </c>
      <c r="AZ54" s="105"/>
      <c r="BA54" s="105"/>
      <c r="BB54" s="105"/>
      <c r="BC54" s="105"/>
      <c r="BD54" s="105"/>
      <c r="BE54" s="105" t="e">
        <f t="shared" si="73"/>
        <v>#DIV/0!</v>
      </c>
      <c r="BF54" s="108">
        <f t="shared" si="56"/>
        <v>0</v>
      </c>
      <c r="BG54" s="108">
        <f t="shared" si="49"/>
        <v>0</v>
      </c>
      <c r="BH54" s="22">
        <f t="shared" si="59"/>
        <v>45661</v>
      </c>
      <c r="BI54" s="108">
        <f t="shared" si="51"/>
        <v>11494</v>
      </c>
      <c r="BJ54" s="2">
        <f>IF(AND(G9&gt;=$W$14,G9&lt;=$W$14+5),0,IF($C$9&gt;$AF$51,ROUND(BE8*IF($D$33="",0,$D$33)/(DATEVALUE(CONCATENATE("01/01/",YEAR(AQ9)+1))-DATEVALUE(CONCATENATE("01/01/",YEAR(AQ9))))*(AQ9-AQ8),2),0))</f>
        <v>0</v>
      </c>
    </row>
    <row r="55" spans="1:63" s="16" customFormat="1" ht="14.25" x14ac:dyDescent="0.3">
      <c r="A55" s="180"/>
      <c r="B55" s="180"/>
      <c r="C55" s="180"/>
      <c r="D55" s="178"/>
      <c r="E55" s="2"/>
      <c r="F55" s="2"/>
      <c r="G55" s="426">
        <f t="shared" si="29"/>
        <v>47</v>
      </c>
      <c r="H55" s="427">
        <f t="shared" si="6"/>
        <v>45873</v>
      </c>
      <c r="I55" s="494">
        <f t="shared" si="62"/>
        <v>6.9000000000000006E-2</v>
      </c>
      <c r="J55" s="423">
        <f>IF(AND($C$8&lt;&gt;"Нет",G55&gt;=$W$14,G55&lt;=$W$14+5),$W$15,IF(AND(R54+M55+K55&gt;J54,J54&lt;&gt;0),$AE$97,IF(R54=0,0,R54+M55+K55+K56)))</f>
        <v>0</v>
      </c>
      <c r="K55" s="423">
        <f t="shared" si="15"/>
        <v>0</v>
      </c>
      <c r="L55" s="423">
        <f t="shared" si="16"/>
        <v>0</v>
      </c>
      <c r="M55" s="423">
        <f t="shared" si="57"/>
        <v>0</v>
      </c>
      <c r="N55" s="423">
        <f t="shared" si="30"/>
        <v>0</v>
      </c>
      <c r="O55" s="423">
        <f t="shared" si="7"/>
        <v>0</v>
      </c>
      <c r="P55" s="423">
        <f t="shared" si="18"/>
        <v>0</v>
      </c>
      <c r="Q55" s="423">
        <f t="shared" si="19"/>
        <v>0</v>
      </c>
      <c r="R55" s="423">
        <f t="shared" si="20"/>
        <v>0</v>
      </c>
      <c r="S55" s="470"/>
      <c r="T55" s="36">
        <f t="shared" si="31"/>
        <v>0</v>
      </c>
      <c r="U55" s="36">
        <f t="shared" si="21"/>
        <v>0</v>
      </c>
      <c r="V55" s="2"/>
      <c r="W55" s="2" t="e">
        <f t="shared" si="66"/>
        <v>#VALUE!</v>
      </c>
      <c r="X55" s="34">
        <f t="shared" si="68"/>
        <v>12190</v>
      </c>
      <c r="Y55" s="57">
        <f t="shared" si="69"/>
        <v>46998</v>
      </c>
      <c r="Z55" s="6" t="s">
        <v>0</v>
      </c>
      <c r="AA55" s="6"/>
      <c r="AB55" s="11"/>
      <c r="AD55" s="47">
        <f>IF(DAY(C9)&lt;4,AE54,IF(DAY(C9)&gt;28,AE56,AE55))</f>
        <v>12177.994519055314</v>
      </c>
      <c r="AE55" s="47">
        <f>(C24+AI51)*AF94/12*(1+AF94/12)^(C10)/((1+AF94/12)^(C10)-1)+C24/10000*IF(C10&lt;11,20,IF(C10&lt;34,0.7,IF(C10&lt;58,0.3,0.1)))*IF(AF94&lt;0.3,AF94/0.2,AF94/0.1)</f>
        <v>12177.994519055314</v>
      </c>
      <c r="AF55" s="13" t="e">
        <f>IF(DAY(C9)&lt;4,AG54,IF(DAY(C9)&gt;28,AG56,AG55))</f>
        <v>#DIV/0!</v>
      </c>
      <c r="AG55" s="156" t="e">
        <f>(D38+AI51)*AE14/12*(1+AE14/12)^(C10)/((1+AE14/12)^(C10)-1)+D38/10000*IF(C10&lt;11,20,IF(C10&lt;34,0.7,IF(C10&lt;58,0.3,0.1)))*IF(AE14&lt;0.3,AE14/0.2,AE14/0.1)</f>
        <v>#DIV/0!</v>
      </c>
      <c r="AH55" s="2"/>
      <c r="AI55" s="2"/>
      <c r="AJ55" s="2"/>
      <c r="AK55" s="2"/>
      <c r="AL55" s="2" t="e">
        <f t="shared" si="64"/>
        <v>#VALUE!</v>
      </c>
      <c r="AM55" s="34" t="e">
        <f t="shared" si="65"/>
        <v>#DIV/0!</v>
      </c>
      <c r="AN55" s="57">
        <f t="shared" si="67"/>
        <v>47363</v>
      </c>
      <c r="AO55" s="130" t="e">
        <f t="shared" si="22"/>
        <v>#DIV/0!</v>
      </c>
      <c r="AP55" s="109">
        <f t="shared" si="55"/>
        <v>47</v>
      </c>
      <c r="AQ55" s="110">
        <f t="shared" si="58"/>
        <v>45873</v>
      </c>
      <c r="AR55" s="105" t="e">
        <f t="shared" si="60"/>
        <v>#DIV/0!</v>
      </c>
      <c r="AS55" s="105" t="e">
        <f t="shared" si="61"/>
        <v>#DIV/0!</v>
      </c>
      <c r="AT55" s="105">
        <f t="shared" si="70"/>
        <v>0</v>
      </c>
      <c r="AU55" s="105" t="e">
        <f t="shared" si="41"/>
        <v>#DIV/0!</v>
      </c>
      <c r="AV55" s="105" t="e">
        <f t="shared" si="45"/>
        <v>#DIV/0!</v>
      </c>
      <c r="AW55" s="105" t="e">
        <f t="shared" si="24"/>
        <v>#DIV/0!</v>
      </c>
      <c r="AX55" s="105">
        <f t="shared" si="71"/>
        <v>0</v>
      </c>
      <c r="AY55" s="105">
        <f t="shared" si="72"/>
        <v>0</v>
      </c>
      <c r="AZ55" s="105"/>
      <c r="BA55" s="105"/>
      <c r="BB55" s="105"/>
      <c r="BC55" s="105"/>
      <c r="BD55" s="105"/>
      <c r="BE55" s="105" t="e">
        <f t="shared" si="73"/>
        <v>#DIV/0!</v>
      </c>
      <c r="BF55" s="108">
        <f t="shared" si="56"/>
        <v>0</v>
      </c>
      <c r="BG55" s="108">
        <f t="shared" si="49"/>
        <v>0</v>
      </c>
      <c r="BH55" s="22">
        <f t="shared" si="59"/>
        <v>45692</v>
      </c>
      <c r="BI55" s="108">
        <f t="shared" si="51"/>
        <v>1569.149999999973</v>
      </c>
      <c r="BJ55" s="2">
        <f>IF(AND(G10&gt;=$W$14,G10&lt;=$W$14+5),0,IF($C$9&gt;$AF$51,ROUND(BE9*IF($D$33="",0,$D$33)/(DATEVALUE(CONCATENATE("01/01/",YEAR(AQ10)+1))-DATEVALUE(CONCATENATE("01/01/",YEAR(AQ10))))*(AQ10-AQ9),2),0))</f>
        <v>0</v>
      </c>
    </row>
    <row r="56" spans="1:63" s="16" customFormat="1" ht="14.25" x14ac:dyDescent="0.3">
      <c r="A56" s="180"/>
      <c r="B56" s="180"/>
      <c r="C56" s="180"/>
      <c r="D56" s="179" t="e">
        <f>AN148</f>
        <v>#DIV/0!</v>
      </c>
      <c r="E56" s="2"/>
      <c r="F56" s="2"/>
      <c r="G56" s="426">
        <f t="shared" si="29"/>
        <v>48</v>
      </c>
      <c r="H56" s="427">
        <f t="shared" si="6"/>
        <v>45904</v>
      </c>
      <c r="I56" s="494">
        <f t="shared" si="62"/>
        <v>6.9000000000000006E-2</v>
      </c>
      <c r="J56" s="423">
        <f t="shared" si="63"/>
        <v>0</v>
      </c>
      <c r="K56" s="423">
        <f t="shared" si="15"/>
        <v>0</v>
      </c>
      <c r="L56" s="423">
        <f t="shared" si="16"/>
        <v>0</v>
      </c>
      <c r="M56" s="423">
        <f t="shared" si="57"/>
        <v>0</v>
      </c>
      <c r="N56" s="423">
        <f t="shared" si="30"/>
        <v>0</v>
      </c>
      <c r="O56" s="423">
        <f t="shared" si="7"/>
        <v>0</v>
      </c>
      <c r="P56" s="423">
        <f t="shared" si="18"/>
        <v>0</v>
      </c>
      <c r="Q56" s="423">
        <f t="shared" si="19"/>
        <v>0</v>
      </c>
      <c r="R56" s="423">
        <f t="shared" si="20"/>
        <v>0</v>
      </c>
      <c r="S56" s="470"/>
      <c r="T56" s="36">
        <f t="shared" si="31"/>
        <v>0</v>
      </c>
      <c r="U56" s="36">
        <f t="shared" si="21"/>
        <v>0</v>
      </c>
      <c r="V56" s="2"/>
      <c r="W56" s="2" t="e">
        <f t="shared" si="66"/>
        <v>#VALUE!</v>
      </c>
      <c r="X56" s="34">
        <f t="shared" si="68"/>
        <v>12190</v>
      </c>
      <c r="Y56" s="57">
        <f t="shared" si="69"/>
        <v>47363</v>
      </c>
      <c r="Z56" s="11" t="s">
        <v>18</v>
      </c>
      <c r="AA56" s="11"/>
      <c r="AB56" s="3"/>
      <c r="AC56" s="118">
        <f>ROUNDUP(AD56/AG47,0)*AG47</f>
        <v>7530</v>
      </c>
      <c r="AD56" s="13">
        <f>(C24+AI51)*AC57/12*(1+AC57/12)^(C10+AD57)/((1+AC57/12)^(C10+AD57)-1)+10*C24/100000*IF(C10+AD57&lt;24,4,IF(C10+AD57&lt;36,3,IF(C10+AD57&lt;48,2,IF(C10+AD57&lt;60,1.5,1))))*AC57/0.2</f>
        <v>7527.7453414476922</v>
      </c>
      <c r="AE56" s="47">
        <f>(C24+AI51)*AF94/12*(1+AF94/12)^(C10)/((1+AF94/12)^(C10)-1)+C24/10000*IF(C10&lt;11,20,IF(C10&lt;34,0.7,IF(C10&lt;48,0.3,0)))*IF(AF94&lt;0.3,AF94/0.2,AF94/0.1)</f>
        <v>12177.994519055314</v>
      </c>
      <c r="AF56" s="13">
        <f>(D38+AI51)*AF57/12*(1+AF57/12)^(C10+AD57)/((1+AF57/12)^(C10+AD57)-1)+10*D38/100000*IF(C10+AD57&lt;24,4,IF(C10+AD57&lt;36,3,IF(C10+AD57&lt;48,2,IF(C10+AD57&lt;60,1.5,1))))*AF57/0.2</f>
        <v>6577.8734823577934</v>
      </c>
      <c r="AG56" s="157" t="e">
        <f>(D38+AI51)*AE14/12*(1+AE14/12)^(C10)/((1+AE14/12)^(C10)-1)+D38/10000*IF(C10&lt;11,20,IF(C10&lt;34,0.7,IF(C10&lt;48,0.3,0)))*IF(AE14&lt;0.3,AE14/0.2,AE14/0.1)</f>
        <v>#DIV/0!</v>
      </c>
      <c r="AH56" s="2"/>
      <c r="AI56" s="2"/>
      <c r="AJ56" s="2"/>
      <c r="AK56" s="2"/>
      <c r="AL56" s="2" t="e">
        <f t="shared" si="64"/>
        <v>#VALUE!</v>
      </c>
      <c r="AM56" s="34" t="e">
        <f t="shared" si="65"/>
        <v>#DIV/0!</v>
      </c>
      <c r="AN56" s="57">
        <f t="shared" si="67"/>
        <v>47728</v>
      </c>
      <c r="AO56" s="130" t="e">
        <f t="shared" si="22"/>
        <v>#DIV/0!</v>
      </c>
      <c r="AP56" s="109">
        <f t="shared" si="55"/>
        <v>48</v>
      </c>
      <c r="AQ56" s="110">
        <f t="shared" si="58"/>
        <v>45904</v>
      </c>
      <c r="AR56" s="105" t="e">
        <f t="shared" si="60"/>
        <v>#DIV/0!</v>
      </c>
      <c r="AS56" s="105" t="e">
        <f t="shared" si="61"/>
        <v>#DIV/0!</v>
      </c>
      <c r="AT56" s="105">
        <f t="shared" si="70"/>
        <v>0</v>
      </c>
      <c r="AU56" s="105" t="e">
        <f t="shared" si="41"/>
        <v>#DIV/0!</v>
      </c>
      <c r="AV56" s="105" t="e">
        <f t="shared" si="45"/>
        <v>#DIV/0!</v>
      </c>
      <c r="AW56" s="105" t="e">
        <f t="shared" si="24"/>
        <v>#DIV/0!</v>
      </c>
      <c r="AX56" s="105">
        <f t="shared" si="71"/>
        <v>0</v>
      </c>
      <c r="AY56" s="105">
        <f t="shared" si="72"/>
        <v>0</v>
      </c>
      <c r="AZ56" s="105"/>
      <c r="BA56" s="105"/>
      <c r="BB56" s="105"/>
      <c r="BC56" s="105"/>
      <c r="BD56" s="105"/>
      <c r="BE56" s="105" t="e">
        <f t="shared" si="73"/>
        <v>#DIV/0!</v>
      </c>
      <c r="BF56" s="108">
        <f t="shared" si="56"/>
        <v>0</v>
      </c>
      <c r="BG56" s="108">
        <f t="shared" si="49"/>
        <v>0</v>
      </c>
      <c r="BH56" s="22">
        <f t="shared" si="59"/>
        <v>45720</v>
      </c>
      <c r="BI56" s="108">
        <f t="shared" si="51"/>
        <v>0</v>
      </c>
      <c r="BJ56" s="2">
        <f>IF(AND(G11&gt;=$W$14,G11&lt;=$W$14+5),0,IF($C$9&gt;$AF$51,ROUND(BE10*IF($D$33="",0,$D$33)/(DATEVALUE(CONCATENATE("01/01/",YEAR(AQ11)+1))-DATEVALUE(CONCATENATE("01/01/",YEAR(AQ11))))*(AQ11-AQ10),2),0))</f>
        <v>0</v>
      </c>
    </row>
    <row r="57" spans="1:63" s="16" customFormat="1" ht="14.25" x14ac:dyDescent="0.25">
      <c r="A57" s="180"/>
      <c r="B57" s="180"/>
      <c r="C57" s="180"/>
      <c r="D57" s="786" t="e">
        <f>IF(AO7&lt;C10,CONCATENATE("Срок с учетом перехода на иной тарифный план равен ",AO7," мес."),"")</f>
        <v>#DIV/0!</v>
      </c>
      <c r="E57" s="2"/>
      <c r="F57" s="2"/>
      <c r="G57" s="426">
        <f t="shared" si="29"/>
        <v>49</v>
      </c>
      <c r="H57" s="427">
        <f t="shared" si="6"/>
        <v>45934</v>
      </c>
      <c r="I57" s="494">
        <f>$AF$98</f>
        <v>5.9000000000000004E-2</v>
      </c>
      <c r="J57" s="423">
        <f t="shared" ref="J57:J88" si="74">IF(AND($C$8&lt;&gt;"Нет",G57&gt;=$W$14,G57&lt;=$W$14+5),$W$15,IF(AND(R56+M57+K57&gt;J56,J56&lt;&gt;0),$AE$98,IF(R56=0,0,R56+M57+K57+K58)))</f>
        <v>0</v>
      </c>
      <c r="K57" s="423">
        <f t="shared" si="15"/>
        <v>0</v>
      </c>
      <c r="L57" s="423">
        <f t="shared" si="16"/>
        <v>0</v>
      </c>
      <c r="M57" s="423">
        <f t="shared" si="57"/>
        <v>0</v>
      </c>
      <c r="N57" s="423">
        <f t="shared" si="30"/>
        <v>0</v>
      </c>
      <c r="O57" s="423">
        <f t="shared" si="7"/>
        <v>0</v>
      </c>
      <c r="P57" s="423">
        <f t="shared" si="18"/>
        <v>0</v>
      </c>
      <c r="Q57" s="423">
        <f t="shared" si="19"/>
        <v>0</v>
      </c>
      <c r="R57" s="423">
        <f t="shared" si="20"/>
        <v>0</v>
      </c>
      <c r="S57" s="470"/>
      <c r="T57" s="36">
        <f t="shared" si="31"/>
        <v>0</v>
      </c>
      <c r="U57" s="36">
        <f t="shared" si="21"/>
        <v>0</v>
      </c>
      <c r="V57" s="2"/>
      <c r="W57" s="2" t="e">
        <f t="shared" si="66"/>
        <v>#VALUE!</v>
      </c>
      <c r="X57" s="34">
        <f t="shared" si="68"/>
        <v>12190</v>
      </c>
      <c r="Y57" s="57">
        <f t="shared" si="69"/>
        <v>47728</v>
      </c>
      <c r="Z57" s="3" t="s">
        <v>22</v>
      </c>
      <c r="AA57" s="3"/>
      <c r="AB57" s="3"/>
      <c r="AC57" s="15">
        <f>IF(C9&gt;AH48,C11,C11+0.05)</f>
        <v>0.159</v>
      </c>
      <c r="AD57" s="2">
        <f xml:space="preserve"> IF(C9&gt;AH48,36,24)</f>
        <v>36</v>
      </c>
      <c r="AE57" s="44">
        <f>(C24+AI51)*AF94/12*(1+AF94/12)^(C10)/((1+AF94/12)^(C10)-1)</f>
        <v>12169.727155055314</v>
      </c>
      <c r="AF57" s="15">
        <f>IF(C9&gt;AH48,D27,D27+0.05)</f>
        <v>0.159</v>
      </c>
      <c r="AG57" s="118" t="e">
        <f>(D38+AI51)*AE14/12*(1+AE14/12)^(C10)/((1+AE14/12)^(C10)-1)</f>
        <v>#DIV/0!</v>
      </c>
      <c r="AH57" s="2"/>
      <c r="AI57" s="2"/>
      <c r="AJ57" s="2"/>
      <c r="AK57" s="2"/>
      <c r="AL57" s="2" t="e">
        <f t="shared" si="64"/>
        <v>#VALUE!</v>
      </c>
      <c r="AM57" s="34" t="e">
        <f t="shared" si="65"/>
        <v>#DIV/0!</v>
      </c>
      <c r="AN57" s="57">
        <f t="shared" si="67"/>
        <v>48093</v>
      </c>
      <c r="AO57" s="130" t="e">
        <f t="shared" si="22"/>
        <v>#DIV/0!</v>
      </c>
      <c r="AP57" s="109">
        <f t="shared" ref="AP57:AP58" si="75">AP56+1</f>
        <v>49</v>
      </c>
      <c r="AQ57" s="110">
        <f t="shared" si="58"/>
        <v>45934</v>
      </c>
      <c r="AR57" s="105" t="e">
        <f t="shared" si="60"/>
        <v>#DIV/0!</v>
      </c>
      <c r="AS57" s="105" t="e">
        <f t="shared" si="61"/>
        <v>#DIV/0!</v>
      </c>
      <c r="AT57" s="105">
        <f t="shared" si="70"/>
        <v>0</v>
      </c>
      <c r="AU57" s="105" t="e">
        <f t="shared" si="41"/>
        <v>#DIV/0!</v>
      </c>
      <c r="AV57" s="105" t="e">
        <f t="shared" si="45"/>
        <v>#DIV/0!</v>
      </c>
      <c r="AW57" s="105" t="e">
        <f t="shared" si="24"/>
        <v>#DIV/0!</v>
      </c>
      <c r="AX57" s="105">
        <f t="shared" si="71"/>
        <v>0</v>
      </c>
      <c r="AY57" s="105">
        <f t="shared" si="72"/>
        <v>0</v>
      </c>
      <c r="AZ57" s="105"/>
      <c r="BA57" s="105"/>
      <c r="BB57" s="105"/>
      <c r="BC57" s="105"/>
      <c r="BD57" s="105"/>
      <c r="BE57" s="105" t="e">
        <f t="shared" si="73"/>
        <v>#DIV/0!</v>
      </c>
      <c r="BF57" s="108">
        <f t="shared" ref="BF57:BF58" si="76">IF((BF56-1)&lt;0,0,BF56-1)</f>
        <v>0</v>
      </c>
      <c r="BG57" s="108">
        <f t="shared" si="49"/>
        <v>0</v>
      </c>
      <c r="BH57" s="22">
        <f t="shared" si="59"/>
        <v>45751</v>
      </c>
      <c r="BI57" s="108">
        <f t="shared" si="51"/>
        <v>0</v>
      </c>
      <c r="BJ57" s="2">
        <f>IF(AND(G12&gt;=$W$14,G12&lt;=$W$14+5),0,IF($C$9&gt;$AF$51,ROUND(BE11*IF($D$33="",0,$D$33)/(DATEVALUE(CONCATENATE("01/01/",YEAR(AQ12)+1))-DATEVALUE(CONCATENATE("01/01/",YEAR(AQ12))))*(AQ12-AQ11),2),0))</f>
        <v>0</v>
      </c>
    </row>
    <row r="58" spans="1:63" s="16" customFormat="1" ht="15.75" customHeight="1" x14ac:dyDescent="0.25">
      <c r="A58" s="180"/>
      <c r="B58" s="180"/>
      <c r="C58" s="180"/>
      <c r="D58" s="786"/>
      <c r="E58" s="2"/>
      <c r="F58" s="2"/>
      <c r="G58" s="426">
        <f t="shared" si="29"/>
        <v>50</v>
      </c>
      <c r="H58" s="427">
        <f t="shared" si="6"/>
        <v>45965</v>
      </c>
      <c r="I58" s="494">
        <f t="shared" ref="I58:I108" si="77">$AF$98</f>
        <v>5.9000000000000004E-2</v>
      </c>
      <c r="J58" s="423">
        <f t="shared" si="74"/>
        <v>0</v>
      </c>
      <c r="K58" s="423">
        <f t="shared" si="15"/>
        <v>0</v>
      </c>
      <c r="L58" s="423">
        <f t="shared" si="16"/>
        <v>0</v>
      </c>
      <c r="M58" s="423">
        <f t="shared" si="57"/>
        <v>0</v>
      </c>
      <c r="N58" s="423">
        <f t="shared" si="30"/>
        <v>0</v>
      </c>
      <c r="O58" s="423">
        <f t="shared" si="7"/>
        <v>0</v>
      </c>
      <c r="P58" s="423">
        <f t="shared" si="18"/>
        <v>0</v>
      </c>
      <c r="Q58" s="423">
        <f t="shared" si="19"/>
        <v>0</v>
      </c>
      <c r="R58" s="423">
        <f t="shared" si="20"/>
        <v>0</v>
      </c>
      <c r="S58" s="470"/>
      <c r="T58" s="36">
        <f t="shared" si="31"/>
        <v>0</v>
      </c>
      <c r="U58" s="36">
        <f t="shared" si="21"/>
        <v>0</v>
      </c>
      <c r="V58" s="2"/>
      <c r="W58" s="2" t="e">
        <f t="shared" si="66"/>
        <v>#VALUE!</v>
      </c>
      <c r="X58" s="34">
        <f t="shared" si="68"/>
        <v>12190</v>
      </c>
      <c r="Y58" s="57">
        <f t="shared" si="69"/>
        <v>48093</v>
      </c>
      <c r="Z58" s="3"/>
      <c r="AA58" s="3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e">
        <f t="shared" si="64"/>
        <v>#VALUE!</v>
      </c>
      <c r="AM58" s="34" t="e">
        <f t="shared" si="65"/>
        <v>#DIV/0!</v>
      </c>
      <c r="AN58" s="57">
        <f t="shared" si="67"/>
        <v>48458</v>
      </c>
      <c r="AO58" s="130" t="e">
        <f t="shared" si="22"/>
        <v>#DIV/0!</v>
      </c>
      <c r="AP58" s="109">
        <f t="shared" si="75"/>
        <v>50</v>
      </c>
      <c r="AQ58" s="110">
        <f t="shared" si="58"/>
        <v>45965</v>
      </c>
      <c r="AR58" s="105" t="e">
        <f>IF(AND(G58&gt;=$W$14,G58&lt;=$W$14+5),$W$15,IF(AND(BE57+AU58+AS58&gt;AR57,AR57&lt;&gt;0),$D$39,IF(BE57=0,0,BE57+AU58+AS58+AT59)))</f>
        <v>#DIV/0!</v>
      </c>
      <c r="AS58" s="105" t="e">
        <f t="shared" si="61"/>
        <v>#DIV/0!</v>
      </c>
      <c r="AT58" s="105">
        <f t="shared" si="70"/>
        <v>0</v>
      </c>
      <c r="AU58" s="105" t="e">
        <f t="shared" si="41"/>
        <v>#DIV/0!</v>
      </c>
      <c r="AV58" s="105" t="e">
        <f t="shared" si="45"/>
        <v>#DIV/0!</v>
      </c>
      <c r="AW58" s="105" t="e">
        <f t="shared" si="24"/>
        <v>#DIV/0!</v>
      </c>
      <c r="AX58" s="105">
        <f t="shared" si="71"/>
        <v>0</v>
      </c>
      <c r="AY58" s="105">
        <f t="shared" si="72"/>
        <v>0</v>
      </c>
      <c r="AZ58" s="105"/>
      <c r="BA58" s="105"/>
      <c r="BB58" s="105"/>
      <c r="BC58" s="105"/>
      <c r="BD58" s="105"/>
      <c r="BE58" s="105" t="e">
        <f t="shared" si="73"/>
        <v>#DIV/0!</v>
      </c>
      <c r="BF58" s="108">
        <f t="shared" si="76"/>
        <v>0</v>
      </c>
      <c r="BG58" s="108">
        <f t="shared" si="49"/>
        <v>0</v>
      </c>
      <c r="BH58" s="22">
        <f t="shared" si="59"/>
        <v>45781</v>
      </c>
      <c r="BI58" s="108">
        <f t="shared" si="51"/>
        <v>0</v>
      </c>
      <c r="BJ58" s="2">
        <f>IF(AND(G13&gt;=$W$14,G13&lt;=$W$14+5),0,IF($C$9&gt;$AF$51,ROUND(BE12*IF($D$33="",0,$D$33)/(DATEVALUE(CONCATENATE("01/01/",YEAR(AQ13)+1))-DATEVALUE(CONCATENATE("01/01/",YEAR(AQ13))))*(AQ13-AQ12),2),0))</f>
        <v>0</v>
      </c>
    </row>
    <row r="59" spans="1:63" s="16" customFormat="1" ht="14.25" x14ac:dyDescent="0.25">
      <c r="A59" s="180"/>
      <c r="B59" s="180"/>
      <c r="C59" s="180"/>
      <c r="D59" s="786"/>
      <c r="E59" s="2"/>
      <c r="F59" s="2"/>
      <c r="G59" s="426">
        <f t="shared" si="29"/>
        <v>51</v>
      </c>
      <c r="H59" s="427">
        <f t="shared" si="6"/>
        <v>45995</v>
      </c>
      <c r="I59" s="494">
        <f t="shared" si="77"/>
        <v>5.9000000000000004E-2</v>
      </c>
      <c r="J59" s="423">
        <f t="shared" si="74"/>
        <v>0</v>
      </c>
      <c r="K59" s="423">
        <f t="shared" si="15"/>
        <v>0</v>
      </c>
      <c r="L59" s="423">
        <f t="shared" si="16"/>
        <v>0</v>
      </c>
      <c r="M59" s="423">
        <f t="shared" si="57"/>
        <v>0</v>
      </c>
      <c r="N59" s="423">
        <f t="shared" si="30"/>
        <v>0</v>
      </c>
      <c r="O59" s="423">
        <f t="shared" si="7"/>
        <v>0</v>
      </c>
      <c r="P59" s="423">
        <f t="shared" si="18"/>
        <v>0</v>
      </c>
      <c r="Q59" s="423">
        <f t="shared" si="19"/>
        <v>0</v>
      </c>
      <c r="R59" s="423">
        <f t="shared" si="20"/>
        <v>0</v>
      </c>
      <c r="S59" s="470"/>
      <c r="T59" s="36">
        <f t="shared" si="31"/>
        <v>0</v>
      </c>
      <c r="U59" s="36">
        <f t="shared" si="21"/>
        <v>0</v>
      </c>
      <c r="V59" s="2"/>
      <c r="W59" s="2" t="e">
        <f t="shared" si="66"/>
        <v>#VALUE!</v>
      </c>
      <c r="X59" s="34">
        <f t="shared" si="68"/>
        <v>12190</v>
      </c>
      <c r="Y59" s="57">
        <f t="shared" si="69"/>
        <v>48458</v>
      </c>
      <c r="Z59" s="2"/>
      <c r="AA59" s="2"/>
      <c r="AC59" s="144" t="s">
        <v>330</v>
      </c>
      <c r="AD59" s="144" t="s">
        <v>111</v>
      </c>
      <c r="AE59" s="145" t="s">
        <v>114</v>
      </c>
      <c r="AF59" s="144" t="s">
        <v>115</v>
      </c>
      <c r="AG59" s="144" t="s">
        <v>35</v>
      </c>
      <c r="AH59" s="144" t="s">
        <v>118</v>
      </c>
      <c r="AI59" s="144" t="s">
        <v>119</v>
      </c>
      <c r="AJ59" s="145" t="s">
        <v>120</v>
      </c>
      <c r="AM59" s="2" t="e">
        <f t="shared" ref="AM59:AM66" si="78">IF(AND(Y20&gt;=$W$14,Y20&lt;=$W$14+5),0,IF($C$9&gt;$AF$51,ROUND(AI19*$C$43/(DATEVALUE(CONCATENATE("01/01/",YEAR(Z20)+1))-DATEVALUE(CONCATENATE("01/01/",YEAR(Z20))))*(Z20-Z19),2),0))</f>
        <v>#VALUE!</v>
      </c>
      <c r="AN59" s="34" t="e">
        <f t="shared" ref="AN59:AN66" si="79">AR20</f>
        <v>#DIV/0!</v>
      </c>
      <c r="AO59" s="57">
        <f>AN58+365</f>
        <v>48823</v>
      </c>
      <c r="AP59" s="130" t="e">
        <f t="shared" si="22"/>
        <v>#DIV/0!</v>
      </c>
      <c r="AQ59" s="109">
        <f>AP58+1</f>
        <v>51</v>
      </c>
      <c r="AR59" s="110">
        <f t="shared" ref="AR59:AR66" si="80">IF((OR(DAY($AD$54)=29,DAY($AD$54)=30,DAY($AD$54)=31)),(EDATE($C$9-3,AQ59)),(IF((OR(DAY($AD$54)=1,DAY($AD$54)=2,DAY($AD$54)=3)),(EDATE($C$9,AQ59)+3),EDATE($C$9,AQ59))))</f>
        <v>45995</v>
      </c>
      <c r="AS59" s="105" t="e">
        <f>IF(AND(G59&gt;=$W$14,G59&lt;=$W$14+5),$W$15,IF(AND(BE58+AV59+AT59&gt;AR58,AR58&lt;&gt;0),$D$39,IF(BE58=0,0,BE58+AV59+AT59+AT60)))</f>
        <v>#DIV/0!</v>
      </c>
      <c r="AT59" s="105" t="e">
        <f>IF(AND(G59&gt;=$W$14,G59&lt;=$W$14+5),0,IF($C$9&gt;$AF$51,ROUND(BE58*$AE$14*((AR59-DATE(YEAR(AR59),MONTH(AR59),1)+1)/(DATE(YEAR(AR59)+1,1,1)-DATE(YEAR(AR59),1,1))+(EOMONTH(AQ58,0)-AQ58)/(DATE(YEAR(AQ58)+1,1,1)-DATE(YEAR(AQ58),1,1))),2),0))</f>
        <v>#DIV/0!</v>
      </c>
      <c r="AU59" s="105">
        <f>IF(BH65=0,0,IF(BH65=1,BE58,IF(BE58+AV59+AT59&gt;AR58,AS59-AT59-AV59,BE58)))</f>
        <v>0</v>
      </c>
      <c r="AV59" s="105" t="e">
        <f t="shared" ref="AV59:AV66" si="81">IF(AX59&gt;$D$39,$D$39-AT59,IF(BH59=0,0,AZ59)+BV107)</f>
        <v>#DIV/0!</v>
      </c>
      <c r="AW59" s="105" t="e">
        <f>AX58-AU58</f>
        <v>#DIV/0!</v>
      </c>
      <c r="AX59" s="105" t="e">
        <f t="shared" si="24"/>
        <v>#DIV/0!</v>
      </c>
      <c r="AY59" s="105">
        <f t="shared" si="42"/>
        <v>0</v>
      </c>
      <c r="AZ59" s="105">
        <f t="shared" si="43"/>
        <v>0</v>
      </c>
      <c r="BA59" s="105"/>
      <c r="BB59" s="105"/>
      <c r="BC59" s="105"/>
      <c r="BD59" s="105"/>
      <c r="BE59" s="105"/>
      <c r="BF59" s="105" t="e">
        <f>IF(OR(BH65=1,BE58=0),0,BE58-AU59)</f>
        <v>#DIV/0!</v>
      </c>
      <c r="BG59" s="108">
        <f>IF((BF58-1)&lt;0,0,BF58-1)</f>
        <v>0</v>
      </c>
      <c r="BH59" s="108">
        <f t="shared" ref="BH59:BH65" si="82">IF(ISERR(CEILING(FLOOR(NPER($C$11/12,-$AD$55,BE52),0.1),1))=TRUE,0,CEILING(FLOOR(NPER($C$11/12,-$AD$55,BE52),0.1),1))</f>
        <v>0</v>
      </c>
      <c r="BI59" s="22">
        <f t="shared" ref="BI59:BI66" si="83">H53</f>
        <v>45812</v>
      </c>
      <c r="BJ59" s="108">
        <f t="shared" ref="BJ59:BJ66" si="84">J53</f>
        <v>0</v>
      </c>
      <c r="BK59" s="2"/>
    </row>
    <row r="60" spans="1:63" s="16" customFormat="1" ht="14.25" x14ac:dyDescent="0.25">
      <c r="A60" s="180"/>
      <c r="B60" s="180"/>
      <c r="C60" s="180"/>
      <c r="D60" s="786"/>
      <c r="E60" s="2"/>
      <c r="F60" s="2"/>
      <c r="G60" s="426">
        <f t="shared" si="29"/>
        <v>52</v>
      </c>
      <c r="H60" s="427">
        <f t="shared" si="6"/>
        <v>46026</v>
      </c>
      <c r="I60" s="494">
        <f t="shared" si="77"/>
        <v>5.9000000000000004E-2</v>
      </c>
      <c r="J60" s="423">
        <f t="shared" si="74"/>
        <v>0</v>
      </c>
      <c r="K60" s="423">
        <f t="shared" si="15"/>
        <v>0</v>
      </c>
      <c r="L60" s="423">
        <f t="shared" si="16"/>
        <v>0</v>
      </c>
      <c r="M60" s="423">
        <f t="shared" si="57"/>
        <v>0</v>
      </c>
      <c r="N60" s="423">
        <f t="shared" si="30"/>
        <v>0</v>
      </c>
      <c r="O60" s="423">
        <f t="shared" si="7"/>
        <v>0</v>
      </c>
      <c r="P60" s="423">
        <f t="shared" si="18"/>
        <v>0</v>
      </c>
      <c r="Q60" s="423">
        <f t="shared" si="19"/>
        <v>0</v>
      </c>
      <c r="R60" s="423">
        <f t="shared" si="20"/>
        <v>0</v>
      </c>
      <c r="S60" s="470"/>
      <c r="T60" s="36">
        <f t="shared" si="31"/>
        <v>0</v>
      </c>
      <c r="U60" s="36">
        <f t="shared" si="21"/>
        <v>0</v>
      </c>
      <c r="V60" s="2"/>
      <c r="W60" s="2" t="e">
        <f t="shared" si="66"/>
        <v>#VALUE!</v>
      </c>
      <c r="X60" s="34">
        <f t="shared" si="68"/>
        <v>12190</v>
      </c>
      <c r="Y60" s="57">
        <f t="shared" si="69"/>
        <v>48823</v>
      </c>
      <c r="AA60" s="170" t="s">
        <v>134</v>
      </c>
      <c r="AB60" s="133" t="s">
        <v>135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M60" s="2" t="e">
        <f t="shared" si="78"/>
        <v>#VALUE!</v>
      </c>
      <c r="AN60" s="34" t="e">
        <f t="shared" si="79"/>
        <v>#DIV/0!</v>
      </c>
      <c r="AO60" s="57">
        <f t="shared" si="67"/>
        <v>49188</v>
      </c>
      <c r="AP60" s="130" t="e">
        <f t="shared" si="22"/>
        <v>#DIV/0!</v>
      </c>
      <c r="AQ60" s="109">
        <f t="shared" ref="AP60:AQ75" si="85">AQ59+1</f>
        <v>52</v>
      </c>
      <c r="AR60" s="110">
        <f t="shared" si="80"/>
        <v>46026</v>
      </c>
      <c r="AS60" s="105" t="e">
        <f t="shared" ref="AS60:AS65" si="86">IF(AND(G60&gt;=$W$14,G60&lt;=$W$14+5),$W$15,IF(AND(BF59+AV60+AT60&gt;AS59,AS59&lt;&gt;0),$D$39,IF(BF59=0,0,BF59+AV60+AT60+AT61)))</f>
        <v>#DIV/0!</v>
      </c>
      <c r="AT60" s="105" t="e">
        <f t="shared" ref="AT60:AT66" si="87">IF(AND(G60&gt;=$W$14,G60&lt;=$W$14+5),0,IF($C$9&gt;$AF$51,ROUND(BF59*$AE$14*((AR60-DATE(YEAR(AR60),MONTH(AR60),1)+1)/(DATE(YEAR(AR60)+1,1,1)-DATE(YEAR(AR60),1,1))+(EOMONTH(AR59,0)-AR59)/(DATE(YEAR(AR59)+1,1,1)-DATE(YEAR(AR59),1,1))),2),0))</f>
        <v>#DIV/0!</v>
      </c>
      <c r="AU60" s="105">
        <f t="shared" si="40"/>
        <v>0</v>
      </c>
      <c r="AV60" s="105" t="e">
        <f t="shared" si="81"/>
        <v>#DIV/0!</v>
      </c>
      <c r="AW60" s="105" t="e">
        <f t="shared" si="45"/>
        <v>#DIV/0!</v>
      </c>
      <c r="AX60" s="105" t="e">
        <f t="shared" si="24"/>
        <v>#DIV/0!</v>
      </c>
      <c r="AY60" s="105">
        <f t="shared" ref="AX60:AY82" si="88">IF(BH66=0,0,0)</f>
        <v>0</v>
      </c>
      <c r="AZ60" s="105">
        <f t="shared" ref="AY60:AZ82" si="89">IF(BH66=0,0,0)</f>
        <v>0</v>
      </c>
      <c r="BA60" s="105"/>
      <c r="BB60" s="105"/>
      <c r="BC60" s="105"/>
      <c r="BD60" s="105"/>
      <c r="BE60" s="105"/>
      <c r="BF60" s="105" t="e">
        <f t="shared" si="44"/>
        <v>#DIV/0!</v>
      </c>
      <c r="BG60" s="108">
        <f t="shared" ref="BF60:BG75" si="90">IF((BG59-1)&lt;0,0,BG59-1)</f>
        <v>0</v>
      </c>
      <c r="BH60" s="108">
        <f t="shared" si="82"/>
        <v>0</v>
      </c>
      <c r="BI60" s="22">
        <f t="shared" si="83"/>
        <v>45842</v>
      </c>
      <c r="BJ60" s="108">
        <f t="shared" si="84"/>
        <v>0</v>
      </c>
      <c r="BK60" s="2"/>
    </row>
    <row r="61" spans="1:63" s="16" customFormat="1" ht="15.75" customHeight="1" x14ac:dyDescent="0.25">
      <c r="A61" s="180"/>
      <c r="B61" s="180"/>
      <c r="C61" s="180"/>
      <c r="D61" s="786"/>
      <c r="E61" s="2"/>
      <c r="F61" s="2"/>
      <c r="G61" s="426">
        <f t="shared" si="29"/>
        <v>53</v>
      </c>
      <c r="H61" s="427">
        <f t="shared" si="6"/>
        <v>46057</v>
      </c>
      <c r="I61" s="494">
        <f t="shared" si="77"/>
        <v>5.9000000000000004E-2</v>
      </c>
      <c r="J61" s="423">
        <f t="shared" si="74"/>
        <v>0</v>
      </c>
      <c r="K61" s="423">
        <f t="shared" si="15"/>
        <v>0</v>
      </c>
      <c r="L61" s="423">
        <f t="shared" si="16"/>
        <v>0</v>
      </c>
      <c r="M61" s="423">
        <f t="shared" si="57"/>
        <v>0</v>
      </c>
      <c r="N61" s="423">
        <f t="shared" si="30"/>
        <v>0</v>
      </c>
      <c r="O61" s="423">
        <f t="shared" si="7"/>
        <v>0</v>
      </c>
      <c r="P61" s="423">
        <f t="shared" si="18"/>
        <v>0</v>
      </c>
      <c r="Q61" s="423">
        <f t="shared" si="19"/>
        <v>0</v>
      </c>
      <c r="R61" s="423">
        <f t="shared" si="20"/>
        <v>0</v>
      </c>
      <c r="S61" s="470"/>
      <c r="T61" s="36">
        <f t="shared" si="31"/>
        <v>0</v>
      </c>
      <c r="U61" s="36">
        <f t="shared" si="21"/>
        <v>0</v>
      </c>
      <c r="V61" s="2"/>
      <c r="W61" s="2" t="e">
        <f t="shared" si="66"/>
        <v>#VALUE!</v>
      </c>
      <c r="X61" s="34">
        <f t="shared" si="68"/>
        <v>11958</v>
      </c>
      <c r="Y61" s="57">
        <f t="shared" si="69"/>
        <v>49188</v>
      </c>
      <c r="AA61" s="171">
        <v>20000</v>
      </c>
      <c r="AB61" s="171">
        <v>200000</v>
      </c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/>
      <c r="AH61" s="133">
        <v>1E-3</v>
      </c>
      <c r="AI61" s="133">
        <v>4.0000000000000001E-3</v>
      </c>
      <c r="AJ61" s="133">
        <v>0</v>
      </c>
      <c r="AM61" s="2" t="e">
        <f t="shared" si="78"/>
        <v>#VALUE!</v>
      </c>
      <c r="AN61" s="34" t="e">
        <f t="shared" si="79"/>
        <v>#DIV/0!</v>
      </c>
      <c r="AO61" s="57">
        <f t="shared" si="67"/>
        <v>49553</v>
      </c>
      <c r="AP61" s="130" t="e">
        <f t="shared" si="22"/>
        <v>#DIV/0!</v>
      </c>
      <c r="AQ61" s="109">
        <f t="shared" si="85"/>
        <v>53</v>
      </c>
      <c r="AR61" s="110">
        <f t="shared" si="80"/>
        <v>46057</v>
      </c>
      <c r="AS61" s="105" t="e">
        <f t="shared" si="86"/>
        <v>#DIV/0!</v>
      </c>
      <c r="AT61" s="105" t="e">
        <f t="shared" si="87"/>
        <v>#DIV/0!</v>
      </c>
      <c r="AU61" s="105">
        <f t="shared" ref="AU61:AU66" si="91">IF(BG67=0,0,IF(BG67=1,BF60,IF(BF60+AV61+AT61&gt;AS60,AS61-AT61-AV61,BF60)))</f>
        <v>0</v>
      </c>
      <c r="AV61" s="105" t="e">
        <f t="shared" si="81"/>
        <v>#DIV/0!</v>
      </c>
      <c r="AW61" s="105" t="e">
        <f t="shared" si="45"/>
        <v>#DIV/0!</v>
      </c>
      <c r="AX61" s="105" t="e">
        <f t="shared" si="24"/>
        <v>#DIV/0!</v>
      </c>
      <c r="AY61" s="105">
        <f t="shared" ref="AY61:AY66" si="92">IF(BG67=0,0,0)</f>
        <v>0</v>
      </c>
      <c r="AZ61" s="105">
        <f t="shared" ref="AZ61:AZ66" si="93">IF(BG67=0,0,0)</f>
        <v>0</v>
      </c>
      <c r="BA61" s="105"/>
      <c r="BB61" s="105"/>
      <c r="BC61" s="105"/>
      <c r="BD61" s="105"/>
      <c r="BE61" s="105"/>
      <c r="BF61" s="105" t="e">
        <f t="shared" ref="BF61:BF66" si="94">IF(OR(BG67=1,BF60=0),0,BF60-AU61)</f>
        <v>#DIV/0!</v>
      </c>
      <c r="BG61" s="108">
        <f t="shared" si="90"/>
        <v>0</v>
      </c>
      <c r="BH61" s="108">
        <f t="shared" si="82"/>
        <v>0</v>
      </c>
      <c r="BI61" s="22">
        <f t="shared" si="83"/>
        <v>45873</v>
      </c>
      <c r="BJ61" s="108">
        <f t="shared" si="84"/>
        <v>0</v>
      </c>
      <c r="BK61" s="2"/>
    </row>
    <row r="62" spans="1:63" s="16" customFormat="1" ht="14.25" x14ac:dyDescent="0.25">
      <c r="A62" s="180"/>
      <c r="B62" s="180"/>
      <c r="C62" s="180"/>
      <c r="D62" s="786"/>
      <c r="E62" s="2"/>
      <c r="F62" s="2"/>
      <c r="G62" s="426">
        <f t="shared" si="29"/>
        <v>54</v>
      </c>
      <c r="H62" s="427">
        <f t="shared" si="6"/>
        <v>46085</v>
      </c>
      <c r="I62" s="494">
        <f t="shared" si="77"/>
        <v>5.9000000000000004E-2</v>
      </c>
      <c r="J62" s="423">
        <f t="shared" si="74"/>
        <v>0</v>
      </c>
      <c r="K62" s="423">
        <f t="shared" si="15"/>
        <v>0</v>
      </c>
      <c r="L62" s="423">
        <f t="shared" si="16"/>
        <v>0</v>
      </c>
      <c r="M62" s="423">
        <f t="shared" si="57"/>
        <v>0</v>
      </c>
      <c r="N62" s="423">
        <f t="shared" si="30"/>
        <v>0</v>
      </c>
      <c r="O62" s="423">
        <f t="shared" si="7"/>
        <v>0</v>
      </c>
      <c r="P62" s="423">
        <f t="shared" si="18"/>
        <v>0</v>
      </c>
      <c r="Q62" s="423">
        <f t="shared" si="19"/>
        <v>0</v>
      </c>
      <c r="R62" s="423">
        <f t="shared" si="20"/>
        <v>0</v>
      </c>
      <c r="S62" s="470"/>
      <c r="T62" s="36">
        <f t="shared" si="31"/>
        <v>0</v>
      </c>
      <c r="U62" s="36">
        <f t="shared" si="21"/>
        <v>0</v>
      </c>
      <c r="V62" s="2"/>
      <c r="W62" s="2" t="e">
        <f t="shared" si="66"/>
        <v>#VALUE!</v>
      </c>
      <c r="X62" s="34">
        <f t="shared" si="68"/>
        <v>11958</v>
      </c>
      <c r="Y62" s="57">
        <f t="shared" si="69"/>
        <v>49553</v>
      </c>
      <c r="AA62" s="171">
        <v>200000</v>
      </c>
      <c r="AB62" s="171">
        <v>600000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/>
      <c r="AH62" s="133">
        <v>1E-3</v>
      </c>
      <c r="AI62" s="133">
        <v>4.0000000000000001E-3</v>
      </c>
      <c r="AJ62" s="133">
        <v>0</v>
      </c>
      <c r="AM62" s="2" t="e">
        <f t="shared" si="78"/>
        <v>#VALUE!</v>
      </c>
      <c r="AN62" s="34" t="e">
        <f t="shared" si="79"/>
        <v>#DIV/0!</v>
      </c>
      <c r="AO62" s="57">
        <f t="shared" si="67"/>
        <v>49918</v>
      </c>
      <c r="AP62" s="130" t="e">
        <f t="shared" si="22"/>
        <v>#DIV/0!</v>
      </c>
      <c r="AQ62" s="109">
        <f t="shared" si="85"/>
        <v>54</v>
      </c>
      <c r="AR62" s="110">
        <f t="shared" si="80"/>
        <v>46085</v>
      </c>
      <c r="AS62" s="105" t="e">
        <f t="shared" si="86"/>
        <v>#DIV/0!</v>
      </c>
      <c r="AT62" s="105" t="e">
        <f t="shared" si="87"/>
        <v>#DIV/0!</v>
      </c>
      <c r="AU62" s="105">
        <f t="shared" si="91"/>
        <v>0</v>
      </c>
      <c r="AV62" s="105" t="e">
        <f t="shared" si="81"/>
        <v>#DIV/0!</v>
      </c>
      <c r="AW62" s="105" t="e">
        <f t="shared" si="45"/>
        <v>#DIV/0!</v>
      </c>
      <c r="AX62" s="105" t="e">
        <f t="shared" si="24"/>
        <v>#DIV/0!</v>
      </c>
      <c r="AY62" s="105">
        <f t="shared" si="92"/>
        <v>0</v>
      </c>
      <c r="AZ62" s="105">
        <f t="shared" si="93"/>
        <v>0</v>
      </c>
      <c r="BA62" s="105"/>
      <c r="BB62" s="105"/>
      <c r="BC62" s="105"/>
      <c r="BD62" s="105"/>
      <c r="BE62" s="105"/>
      <c r="BF62" s="105" t="e">
        <f t="shared" si="94"/>
        <v>#DIV/0!</v>
      </c>
      <c r="BG62" s="108">
        <f t="shared" si="90"/>
        <v>0</v>
      </c>
      <c r="BH62" s="108">
        <f t="shared" si="82"/>
        <v>0</v>
      </c>
      <c r="BI62" s="22">
        <f t="shared" si="83"/>
        <v>45904</v>
      </c>
      <c r="BJ62" s="108">
        <f t="shared" si="84"/>
        <v>0</v>
      </c>
      <c r="BK62" s="2"/>
    </row>
    <row r="63" spans="1:63" s="16" customFormat="1" ht="14.25" x14ac:dyDescent="0.25">
      <c r="A63" s="180"/>
      <c r="B63" s="180"/>
      <c r="C63" s="180"/>
      <c r="D63" s="786"/>
      <c r="E63" s="2"/>
      <c r="F63" s="2"/>
      <c r="G63" s="426">
        <f t="shared" si="29"/>
        <v>55</v>
      </c>
      <c r="H63" s="427">
        <f t="shared" si="6"/>
        <v>46116</v>
      </c>
      <c r="I63" s="494">
        <f t="shared" si="77"/>
        <v>5.9000000000000004E-2</v>
      </c>
      <c r="J63" s="423">
        <f t="shared" si="74"/>
        <v>0</v>
      </c>
      <c r="K63" s="423">
        <f t="shared" si="15"/>
        <v>0</v>
      </c>
      <c r="L63" s="423">
        <f t="shared" si="16"/>
        <v>0</v>
      </c>
      <c r="M63" s="423">
        <f t="shared" si="57"/>
        <v>0</v>
      </c>
      <c r="N63" s="423">
        <f t="shared" si="30"/>
        <v>0</v>
      </c>
      <c r="O63" s="423">
        <f t="shared" si="7"/>
        <v>0</v>
      </c>
      <c r="P63" s="423">
        <f t="shared" si="18"/>
        <v>0</v>
      </c>
      <c r="Q63" s="423">
        <f t="shared" si="19"/>
        <v>0</v>
      </c>
      <c r="R63" s="423">
        <f t="shared" si="20"/>
        <v>0</v>
      </c>
      <c r="S63" s="470"/>
      <c r="T63" s="36">
        <f t="shared" si="31"/>
        <v>0</v>
      </c>
      <c r="U63" s="36">
        <f t="shared" si="21"/>
        <v>0</v>
      </c>
      <c r="V63" s="2"/>
      <c r="W63" s="2" t="e">
        <f t="shared" si="66"/>
        <v>#VALUE!</v>
      </c>
      <c r="X63" s="34">
        <f t="shared" si="68"/>
        <v>11958</v>
      </c>
      <c r="Y63" s="57">
        <f t="shared" si="69"/>
        <v>49918</v>
      </c>
      <c r="AA63" s="170">
        <v>600000</v>
      </c>
      <c r="AB63" s="171">
        <v>1000000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/>
      <c r="AH63" s="133">
        <v>1E-3</v>
      </c>
      <c r="AI63" s="133">
        <v>3.2000000000000002E-3</v>
      </c>
      <c r="AJ63" s="133">
        <v>0</v>
      </c>
      <c r="AM63" s="2" t="e">
        <f t="shared" si="78"/>
        <v>#VALUE!</v>
      </c>
      <c r="AN63" s="34" t="e">
        <f t="shared" si="79"/>
        <v>#DIV/0!</v>
      </c>
      <c r="AO63" s="57">
        <f t="shared" si="67"/>
        <v>50283</v>
      </c>
      <c r="AP63" s="130" t="e">
        <f t="shared" si="22"/>
        <v>#DIV/0!</v>
      </c>
      <c r="AQ63" s="109">
        <f t="shared" si="85"/>
        <v>55</v>
      </c>
      <c r="AR63" s="110">
        <f t="shared" si="80"/>
        <v>46116</v>
      </c>
      <c r="AS63" s="105" t="e">
        <f t="shared" si="86"/>
        <v>#DIV/0!</v>
      </c>
      <c r="AT63" s="105" t="e">
        <f t="shared" si="87"/>
        <v>#DIV/0!</v>
      </c>
      <c r="AU63" s="105">
        <f t="shared" si="91"/>
        <v>0</v>
      </c>
      <c r="AV63" s="105" t="e">
        <f t="shared" si="81"/>
        <v>#DIV/0!</v>
      </c>
      <c r="AW63" s="105" t="e">
        <f t="shared" si="45"/>
        <v>#DIV/0!</v>
      </c>
      <c r="AX63" s="105" t="e">
        <f t="shared" si="24"/>
        <v>#DIV/0!</v>
      </c>
      <c r="AY63" s="105">
        <f t="shared" si="92"/>
        <v>0</v>
      </c>
      <c r="AZ63" s="105">
        <f t="shared" si="93"/>
        <v>0</v>
      </c>
      <c r="BA63" s="105"/>
      <c r="BB63" s="105"/>
      <c r="BC63" s="105"/>
      <c r="BD63" s="105"/>
      <c r="BE63" s="105"/>
      <c r="BF63" s="105" t="e">
        <f t="shared" si="94"/>
        <v>#DIV/0!</v>
      </c>
      <c r="BG63" s="108">
        <f t="shared" si="90"/>
        <v>0</v>
      </c>
      <c r="BH63" s="108">
        <f t="shared" si="82"/>
        <v>0</v>
      </c>
      <c r="BI63" s="22">
        <f t="shared" si="83"/>
        <v>45934</v>
      </c>
      <c r="BJ63" s="108">
        <f t="shared" si="84"/>
        <v>0</v>
      </c>
      <c r="BK63" s="2"/>
    </row>
    <row r="64" spans="1:63" s="16" customFormat="1" ht="14.25" x14ac:dyDescent="0.25">
      <c r="A64" s="180"/>
      <c r="B64" s="180"/>
      <c r="C64" s="180"/>
      <c r="D64" s="2"/>
      <c r="E64" s="2"/>
      <c r="F64" s="2"/>
      <c r="G64" s="426">
        <f t="shared" si="29"/>
        <v>56</v>
      </c>
      <c r="H64" s="427">
        <f t="shared" si="6"/>
        <v>46146</v>
      </c>
      <c r="I64" s="494">
        <f t="shared" si="77"/>
        <v>5.9000000000000004E-2</v>
      </c>
      <c r="J64" s="423">
        <f t="shared" si="74"/>
        <v>0</v>
      </c>
      <c r="K64" s="423">
        <f t="shared" si="15"/>
        <v>0</v>
      </c>
      <c r="L64" s="423">
        <f t="shared" si="16"/>
        <v>0</v>
      </c>
      <c r="M64" s="423">
        <f t="shared" si="57"/>
        <v>0</v>
      </c>
      <c r="N64" s="423">
        <f t="shared" si="30"/>
        <v>0</v>
      </c>
      <c r="O64" s="423">
        <f t="shared" si="7"/>
        <v>0</v>
      </c>
      <c r="P64" s="423">
        <f t="shared" si="18"/>
        <v>0</v>
      </c>
      <c r="Q64" s="423">
        <f t="shared" si="19"/>
        <v>0</v>
      </c>
      <c r="R64" s="423">
        <f t="shared" si="20"/>
        <v>0</v>
      </c>
      <c r="S64" s="470"/>
      <c r="T64" s="36">
        <f t="shared" si="31"/>
        <v>0</v>
      </c>
      <c r="U64" s="36">
        <f t="shared" si="21"/>
        <v>0</v>
      </c>
      <c r="V64" s="2"/>
      <c r="W64" s="2" t="e">
        <f t="shared" si="66"/>
        <v>#VALUE!</v>
      </c>
      <c r="X64" s="34">
        <f t="shared" si="68"/>
        <v>11958</v>
      </c>
      <c r="Y64" s="57">
        <f t="shared" si="69"/>
        <v>50283</v>
      </c>
      <c r="AA64" s="171">
        <v>1000000</v>
      </c>
      <c r="AB64" s="171">
        <v>3000000</v>
      </c>
      <c r="AC64" s="133">
        <v>2E-3</v>
      </c>
      <c r="AD64" s="133">
        <v>2E-3</v>
      </c>
      <c r="AE64" s="155"/>
      <c r="AF64" s="155"/>
      <c r="AG64" s="133"/>
      <c r="AH64" s="133">
        <v>1E-3</v>
      </c>
      <c r="AI64" s="133">
        <v>2E-3</v>
      </c>
      <c r="AJ64" s="133">
        <v>0</v>
      </c>
      <c r="AM64" s="2" t="e">
        <f t="shared" si="78"/>
        <v>#VALUE!</v>
      </c>
      <c r="AN64" s="34" t="e">
        <f t="shared" si="79"/>
        <v>#DIV/0!</v>
      </c>
      <c r="AO64" s="57">
        <f t="shared" si="67"/>
        <v>50648</v>
      </c>
      <c r="AP64" s="130" t="e">
        <f t="shared" si="22"/>
        <v>#DIV/0!</v>
      </c>
      <c r="AQ64" s="109">
        <f t="shared" si="85"/>
        <v>56</v>
      </c>
      <c r="AR64" s="110">
        <f t="shared" si="80"/>
        <v>46146</v>
      </c>
      <c r="AS64" s="105" t="e">
        <f t="shared" si="86"/>
        <v>#DIV/0!</v>
      </c>
      <c r="AT64" s="105" t="e">
        <f t="shared" si="87"/>
        <v>#DIV/0!</v>
      </c>
      <c r="AU64" s="105">
        <f t="shared" si="91"/>
        <v>0</v>
      </c>
      <c r="AV64" s="105" t="e">
        <f t="shared" si="81"/>
        <v>#DIV/0!</v>
      </c>
      <c r="AW64" s="105" t="e">
        <f t="shared" si="45"/>
        <v>#DIV/0!</v>
      </c>
      <c r="AX64" s="105" t="e">
        <f t="shared" si="24"/>
        <v>#DIV/0!</v>
      </c>
      <c r="AY64" s="105">
        <f t="shared" si="92"/>
        <v>0</v>
      </c>
      <c r="AZ64" s="105">
        <f t="shared" si="93"/>
        <v>0</v>
      </c>
      <c r="BA64" s="105"/>
      <c r="BB64" s="105"/>
      <c r="BC64" s="105"/>
      <c r="BD64" s="105"/>
      <c r="BE64" s="105"/>
      <c r="BF64" s="105" t="e">
        <f t="shared" si="94"/>
        <v>#DIV/0!</v>
      </c>
      <c r="BG64" s="108">
        <f t="shared" si="90"/>
        <v>0</v>
      </c>
      <c r="BH64" s="108">
        <f t="shared" si="82"/>
        <v>0</v>
      </c>
      <c r="BI64" s="22">
        <f t="shared" si="83"/>
        <v>45965</v>
      </c>
      <c r="BJ64" s="108">
        <f t="shared" si="84"/>
        <v>0</v>
      </c>
      <c r="BK64" s="2"/>
    </row>
    <row r="65" spans="1:63" s="16" customFormat="1" ht="14.25" x14ac:dyDescent="0.3">
      <c r="A65" s="178"/>
      <c r="B65" s="178"/>
      <c r="C65" s="178"/>
      <c r="D65" s="2"/>
      <c r="E65" s="2"/>
      <c r="F65" s="2"/>
      <c r="G65" s="426">
        <f t="shared" si="29"/>
        <v>57</v>
      </c>
      <c r="H65" s="427">
        <f t="shared" si="6"/>
        <v>46177</v>
      </c>
      <c r="I65" s="494">
        <f t="shared" si="77"/>
        <v>5.9000000000000004E-2</v>
      </c>
      <c r="J65" s="423">
        <f t="shared" si="74"/>
        <v>0</v>
      </c>
      <c r="K65" s="423">
        <f t="shared" si="15"/>
        <v>0</v>
      </c>
      <c r="L65" s="423">
        <f t="shared" si="16"/>
        <v>0</v>
      </c>
      <c r="M65" s="423">
        <f t="shared" si="57"/>
        <v>0</v>
      </c>
      <c r="N65" s="423">
        <f t="shared" si="30"/>
        <v>0</v>
      </c>
      <c r="O65" s="423">
        <f t="shared" si="7"/>
        <v>0</v>
      </c>
      <c r="P65" s="423">
        <f t="shared" si="18"/>
        <v>0</v>
      </c>
      <c r="Q65" s="423">
        <f t="shared" si="19"/>
        <v>0</v>
      </c>
      <c r="R65" s="423">
        <f t="shared" si="20"/>
        <v>0</v>
      </c>
      <c r="S65" s="470"/>
      <c r="T65" s="36">
        <f t="shared" si="31"/>
        <v>0</v>
      </c>
      <c r="U65" s="36">
        <f t="shared" si="21"/>
        <v>0</v>
      </c>
      <c r="V65" s="2"/>
      <c r="W65" s="2" t="e">
        <f t="shared" si="66"/>
        <v>#VALUE!</v>
      </c>
      <c r="X65" s="34">
        <f t="shared" si="68"/>
        <v>11958</v>
      </c>
      <c r="Y65" s="57">
        <f t="shared" si="69"/>
        <v>50648</v>
      </c>
      <c r="AA65" s="171"/>
      <c r="AB65" s="172"/>
      <c r="AC65" s="66">
        <f t="shared" ref="AC65" si="95">IF(AC79&gt;$AA$64,AC64,IF(AC79&gt;$AA$63,AC63,IF(AC79&gt;$AA$62,AC62,AC61)))</f>
        <v>3.0000000000000001E-3</v>
      </c>
      <c r="AD65" s="66">
        <f>IF(AD79&gt;$AA$64,AD64,IF(AD79&gt;$AA$63,AD63,IF(AD79&gt;$AA$62,AD62,AD61)))</f>
        <v>3.0000000000000001E-3</v>
      </c>
      <c r="AE65" s="66">
        <f>IF(AE79&gt;$AA$64,AE64,IF(AE79&gt;$AA$63,AE63,IF(AE79&gt;$AA$62,AE62,AE61)))</f>
        <v>2.5000000000000001E-3</v>
      </c>
      <c r="AF65" s="66">
        <f>IF(AF79&gt;$AA$64,AF64,IF(AF79&gt;$AA$63,AF63,IF(AF79&gt;$AA$62,AF62,AF61)))</f>
        <v>3.0000000000000001E-3</v>
      </c>
      <c r="AG65" s="66"/>
      <c r="AH65" s="66">
        <f>IF(AH79&gt;$AA$64,AH64,IF(AH79&gt;$AA$63,AH63,IF(AH79&gt;$AA$62,AH62,AH61)))</f>
        <v>1E-3</v>
      </c>
      <c r="AI65" s="66">
        <f>IF(AI79&gt;$AA$64,AI64,IF(AI79&gt;$AA$63,AI63,IF(AI79&gt;$AA$62,AI62,AI61)))</f>
        <v>4.0000000000000001E-3</v>
      </c>
      <c r="AJ65" s="15" t="s">
        <v>126</v>
      </c>
      <c r="AM65" s="2" t="e">
        <f t="shared" si="78"/>
        <v>#VALUE!</v>
      </c>
      <c r="AN65" s="34" t="e">
        <f t="shared" si="79"/>
        <v>#DIV/0!</v>
      </c>
      <c r="AO65" s="57">
        <f t="shared" ref="AN65:AO80" si="96">AO64+365</f>
        <v>51013</v>
      </c>
      <c r="AP65" s="130" t="e">
        <f t="shared" si="22"/>
        <v>#DIV/0!</v>
      </c>
      <c r="AQ65" s="109">
        <f t="shared" si="85"/>
        <v>57</v>
      </c>
      <c r="AR65" s="110">
        <f t="shared" si="80"/>
        <v>46177</v>
      </c>
      <c r="AS65" s="105" t="e">
        <f t="shared" si="86"/>
        <v>#DIV/0!</v>
      </c>
      <c r="AT65" s="105" t="e">
        <f t="shared" si="87"/>
        <v>#DIV/0!</v>
      </c>
      <c r="AU65" s="105">
        <f t="shared" si="91"/>
        <v>0</v>
      </c>
      <c r="AV65" s="105" t="e">
        <f t="shared" si="81"/>
        <v>#DIV/0!</v>
      </c>
      <c r="AW65" s="105" t="e">
        <f t="shared" si="45"/>
        <v>#DIV/0!</v>
      </c>
      <c r="AX65" s="105" t="e">
        <f t="shared" si="24"/>
        <v>#DIV/0!</v>
      </c>
      <c r="AY65" s="105">
        <f t="shared" si="92"/>
        <v>0</v>
      </c>
      <c r="AZ65" s="105">
        <f t="shared" si="93"/>
        <v>0</v>
      </c>
      <c r="BA65" s="105"/>
      <c r="BB65" s="105"/>
      <c r="BC65" s="105"/>
      <c r="BD65" s="105"/>
      <c r="BE65" s="105"/>
      <c r="BF65" s="105" t="e">
        <f t="shared" si="94"/>
        <v>#DIV/0!</v>
      </c>
      <c r="BG65" s="108">
        <f t="shared" si="90"/>
        <v>0</v>
      </c>
      <c r="BH65" s="108">
        <f t="shared" si="82"/>
        <v>0</v>
      </c>
      <c r="BI65" s="22">
        <f t="shared" si="83"/>
        <v>45995</v>
      </c>
      <c r="BJ65" s="108">
        <f t="shared" si="84"/>
        <v>0</v>
      </c>
      <c r="BK65" s="2"/>
    </row>
    <row r="66" spans="1:63" s="16" customFormat="1" ht="14.25" x14ac:dyDescent="0.3">
      <c r="A66" s="178"/>
      <c r="B66" s="178"/>
      <c r="C66" s="178"/>
      <c r="D66" s="46"/>
      <c r="E66" s="2"/>
      <c r="F66" s="2"/>
      <c r="G66" s="426">
        <f t="shared" si="29"/>
        <v>58</v>
      </c>
      <c r="H66" s="427">
        <f t="shared" si="6"/>
        <v>46207</v>
      </c>
      <c r="I66" s="494">
        <f t="shared" si="77"/>
        <v>5.9000000000000004E-2</v>
      </c>
      <c r="J66" s="423">
        <f t="shared" si="74"/>
        <v>0</v>
      </c>
      <c r="K66" s="423">
        <f t="shared" si="15"/>
        <v>0</v>
      </c>
      <c r="L66" s="423">
        <f t="shared" si="16"/>
        <v>0</v>
      </c>
      <c r="M66" s="423">
        <f t="shared" si="57"/>
        <v>0</v>
      </c>
      <c r="N66" s="423">
        <f t="shared" si="30"/>
        <v>0</v>
      </c>
      <c r="O66" s="423">
        <f t="shared" si="7"/>
        <v>0</v>
      </c>
      <c r="P66" s="423">
        <f t="shared" si="18"/>
        <v>0</v>
      </c>
      <c r="Q66" s="423">
        <f t="shared" si="19"/>
        <v>0</v>
      </c>
      <c r="R66" s="423">
        <f t="shared" si="20"/>
        <v>0</v>
      </c>
      <c r="S66" s="470"/>
      <c r="T66" s="36">
        <f t="shared" si="31"/>
        <v>0</v>
      </c>
      <c r="U66" s="36">
        <f t="shared" si="21"/>
        <v>0</v>
      </c>
      <c r="V66" s="2"/>
      <c r="W66" s="2" t="e">
        <f t="shared" si="66"/>
        <v>#VALUE!</v>
      </c>
      <c r="X66" s="34">
        <f t="shared" si="68"/>
        <v>11958</v>
      </c>
      <c r="Y66" s="57">
        <f t="shared" si="69"/>
        <v>51013</v>
      </c>
      <c r="AC66" s="143">
        <f>AC65*AC79*IF($C$10&gt;60,60,$C$10)</f>
        <v>35640</v>
      </c>
      <c r="AD66" s="143">
        <f>AD65*AD79*IF($C$10&gt;60,60,$C$10)</f>
        <v>43740</v>
      </c>
      <c r="AE66" s="143">
        <f>AE65*AE79*IF($C$10&gt;60,60,$C$10)</f>
        <v>40500</v>
      </c>
      <c r="AF66" s="143">
        <f>AF65*AF79*IF($C$10&gt;60,60,$C$10)</f>
        <v>42120</v>
      </c>
      <c r="AG66" s="143"/>
      <c r="AH66" s="143">
        <f>AH65*AH79*$C$10</f>
        <v>10800</v>
      </c>
      <c r="AI66" s="143">
        <f>AI65*AI79*$C$10</f>
        <v>86400</v>
      </c>
      <c r="AJ66" s="143">
        <f>AI66+AH66</f>
        <v>97200</v>
      </c>
      <c r="AM66" s="2" t="e">
        <f t="shared" si="78"/>
        <v>#VALUE!</v>
      </c>
      <c r="AN66" s="34" t="e">
        <f t="shared" si="79"/>
        <v>#DIV/0!</v>
      </c>
      <c r="AO66" s="57">
        <f t="shared" si="96"/>
        <v>51378</v>
      </c>
      <c r="AP66" s="130" t="e">
        <f t="shared" si="22"/>
        <v>#DIV/0!</v>
      </c>
      <c r="AQ66" s="109">
        <f t="shared" si="85"/>
        <v>58</v>
      </c>
      <c r="AR66" s="110">
        <f t="shared" si="80"/>
        <v>46207</v>
      </c>
      <c r="AS66" s="105" t="e">
        <f>IF(AND(G66&gt;=$W$14,G66&lt;=$W$14+5),$W$15,IF(AND(BF65+AV66+AT66&gt;AS65,AS65&lt;&gt;0),$D$39,IF(BF65=0,0,BF65+AV66+AT66+AS67)))</f>
        <v>#DIV/0!</v>
      </c>
      <c r="AT66" s="105" t="e">
        <f t="shared" si="87"/>
        <v>#DIV/0!</v>
      </c>
      <c r="AU66" s="105">
        <f t="shared" si="91"/>
        <v>0</v>
      </c>
      <c r="AV66" s="105" t="e">
        <f t="shared" si="81"/>
        <v>#DIV/0!</v>
      </c>
      <c r="AW66" s="105" t="e">
        <f t="shared" si="45"/>
        <v>#DIV/0!</v>
      </c>
      <c r="AX66" s="105" t="e">
        <f t="shared" si="24"/>
        <v>#DIV/0!</v>
      </c>
      <c r="AY66" s="105">
        <f t="shared" si="92"/>
        <v>0</v>
      </c>
      <c r="AZ66" s="105">
        <f t="shared" si="93"/>
        <v>0</v>
      </c>
      <c r="BA66" s="105"/>
      <c r="BB66" s="105"/>
      <c r="BC66" s="105"/>
      <c r="BD66" s="105"/>
      <c r="BE66" s="105"/>
      <c r="BF66" s="105" t="e">
        <f t="shared" si="94"/>
        <v>#DIV/0!</v>
      </c>
      <c r="BG66" s="108">
        <f t="shared" si="90"/>
        <v>0</v>
      </c>
      <c r="BH66" s="108">
        <f>IF(ISERR(CEILING(FLOOR(NPER($C$11/12,-$AD$55,BF59),0.1),1))=TRUE,0,CEILING(FLOOR(NPER($C$11/12,-$AD$55,BF59),0.1),1))</f>
        <v>0</v>
      </c>
      <c r="BI66" s="22">
        <f t="shared" si="83"/>
        <v>46026</v>
      </c>
      <c r="BJ66" s="108">
        <f t="shared" si="84"/>
        <v>0</v>
      </c>
      <c r="BK66" s="2"/>
    </row>
    <row r="67" spans="1:63" s="16" customFormat="1" ht="14.25" x14ac:dyDescent="0.3">
      <c r="A67" s="178"/>
      <c r="B67" s="178"/>
      <c r="C67" s="178"/>
      <c r="D67" s="13"/>
      <c r="E67" s="2"/>
      <c r="F67" s="2"/>
      <c r="G67" s="426">
        <f t="shared" si="29"/>
        <v>59</v>
      </c>
      <c r="H67" s="427">
        <f t="shared" si="6"/>
        <v>46238</v>
      </c>
      <c r="I67" s="494">
        <f t="shared" si="77"/>
        <v>5.9000000000000004E-2</v>
      </c>
      <c r="J67" s="423">
        <f t="shared" si="74"/>
        <v>0</v>
      </c>
      <c r="K67" s="423">
        <f t="shared" si="15"/>
        <v>0</v>
      </c>
      <c r="L67" s="423">
        <f t="shared" si="16"/>
        <v>0</v>
      </c>
      <c r="M67" s="423">
        <f t="shared" si="57"/>
        <v>0</v>
      </c>
      <c r="N67" s="423">
        <f t="shared" si="30"/>
        <v>0</v>
      </c>
      <c r="O67" s="423">
        <f t="shared" si="7"/>
        <v>0</v>
      </c>
      <c r="P67" s="423">
        <f t="shared" si="18"/>
        <v>0</v>
      </c>
      <c r="Q67" s="423">
        <f t="shared" si="19"/>
        <v>0</v>
      </c>
      <c r="R67" s="423">
        <f t="shared" si="20"/>
        <v>0</v>
      </c>
      <c r="S67" s="470"/>
      <c r="T67" s="36">
        <f t="shared" si="31"/>
        <v>0</v>
      </c>
      <c r="U67" s="36">
        <f t="shared" si="21"/>
        <v>0</v>
      </c>
      <c r="V67" s="2"/>
      <c r="W67" s="2" t="e">
        <f t="shared" si="66"/>
        <v>#VALUE!</v>
      </c>
      <c r="X67" s="34">
        <f t="shared" si="68"/>
        <v>11958</v>
      </c>
      <c r="Y67" s="57">
        <f t="shared" si="69"/>
        <v>51378</v>
      </c>
      <c r="AL67" s="2">
        <f t="shared" ref="AL67:AL76" si="97">IF(AND(Y28&gt;=$W$14,Y28&lt;=$W$14+5),0,IF($C$9&gt;$AF$51,ROUND(AI27*$C$43/(DATEVALUE(CONCATENATE("01/01/",YEAR(Z28)+1))-DATEVALUE(CONCATENATE("01/01/",YEAR(Z28))))*(Z28-Z27),2),0))</f>
        <v>0</v>
      </c>
      <c r="AM67" s="34" t="e">
        <f t="shared" si="65"/>
        <v>#DIV/0!</v>
      </c>
      <c r="AN67" s="57">
        <f>AO66+365</f>
        <v>51743</v>
      </c>
      <c r="AO67" s="130" t="e">
        <f t="shared" si="22"/>
        <v>#DIV/0!</v>
      </c>
      <c r="AP67" s="109">
        <f>AQ66+1</f>
        <v>59</v>
      </c>
      <c r="AQ67" s="110">
        <f t="shared" ref="AQ67:AQ108" si="98">IF((OR(DAY($AD$54)=29,DAY($AD$54)=30,DAY($AD$54)=31)),(EDATE($C$9-3,AP67)),(IF((OR(DAY($AD$54)=1,DAY($AD$54)=2,DAY($AD$54)=3)),(EDATE($C$9,AP67)+3),EDATE($C$9,AP67))))</f>
        <v>46238</v>
      </c>
      <c r="AR67" s="105" t="e">
        <f>IF(AND(G67&gt;=$W$14,G67&lt;=$W$14+5),$W$15,IF(AND(BF66+AU67+AS67&gt;AS66,AS66&lt;&gt;0),$D$39,IF(BF66=0,0,BF66+AU67+AS67+AS68)))</f>
        <v>#DIV/0!</v>
      </c>
      <c r="AS67" s="105" t="e">
        <f>IF(AND(G67&gt;=$W$14,G67&lt;=$W$14+5),0,IF($C$9&gt;$AF$51,ROUND(BF66*$AE$14*((AQ67-DATE(YEAR(AQ67),MONTH(AQ67),1)+1)/(DATE(YEAR(AQ67)+1,1,1)-DATE(YEAR(AQ67),1,1))+(EOMONTH(AR66,0)-AR66)/(DATE(YEAR(AR66)+1,1,1)-DATE(YEAR(AR66),1,1))),2),0))</f>
        <v>#DIV/0!</v>
      </c>
      <c r="AT67" s="105">
        <f>IF(BG73=0,0,IF(BG73=1,BF66,IF(BF66+AU67+AS67&gt;AS66,AR67-AS67-AU67,BF66)))</f>
        <v>0</v>
      </c>
      <c r="AU67" s="105" t="e">
        <f t="shared" ref="AU67:AU109" si="99">IF(AW67&gt;$D$39,$D$39-AS67,IF(BG67=0,0,AY67)+BV115)</f>
        <v>#DIV/0!</v>
      </c>
      <c r="AV67" s="105" t="e">
        <f>AY66-AV66</f>
        <v>#DIV/0!</v>
      </c>
      <c r="AW67" s="105" t="e">
        <f t="shared" si="24"/>
        <v>#DIV/0!</v>
      </c>
      <c r="AX67" s="105">
        <f t="shared" si="88"/>
        <v>0</v>
      </c>
      <c r="AY67" s="105">
        <f t="shared" si="89"/>
        <v>0</v>
      </c>
      <c r="AZ67" s="105"/>
      <c r="BA67" s="105"/>
      <c r="BB67" s="105"/>
      <c r="BC67" s="105"/>
      <c r="BD67" s="105"/>
      <c r="BE67" s="105" t="e">
        <f>IF(OR(BG73=1,BF66=0),0,BF66-AT67)</f>
        <v>#DIV/0!</v>
      </c>
      <c r="BF67" s="108">
        <f>IF((BG66-1)&lt;0,0,BG66-1)</f>
        <v>0</v>
      </c>
      <c r="BG67" s="108">
        <f t="shared" ref="BG67:BG73" si="100">IF(ISERR(CEILING(FLOOR(NPER($C$11/12,-$AD$55,BF60),0.1),1))=TRUE,0,CEILING(FLOOR(NPER($C$11/12,-$AD$55,BF60),0.1),1))</f>
        <v>0</v>
      </c>
      <c r="BH67" s="22">
        <f t="shared" ref="BH67:BH114" si="101">H61</f>
        <v>46057</v>
      </c>
      <c r="BI67" s="108">
        <f t="shared" ref="BI67:BI114" si="102">J61</f>
        <v>0</v>
      </c>
      <c r="BJ67" s="2" t="e">
        <f t="shared" ref="BJ67:BJ103" si="103">IF(AND(G22&gt;=$W$14,G22&lt;=$W$14+5),0,IF($C$9&gt;$AF$51,ROUND(BE21*IF($D$33="",0,$D$33)/(DATEVALUE(CONCATENATE("01/01/",YEAR(AQ22)+1))-DATEVALUE(CONCATENATE("01/01/",YEAR(AQ22))))*(AQ22-AQ21),2),0))</f>
        <v>#DIV/0!</v>
      </c>
    </row>
    <row r="68" spans="1:63" s="16" customFormat="1" ht="14.25" x14ac:dyDescent="0.2">
      <c r="A68" s="2"/>
      <c r="B68" s="2"/>
      <c r="C68" s="2"/>
      <c r="D68" s="13"/>
      <c r="G68" s="426">
        <f t="shared" si="29"/>
        <v>60</v>
      </c>
      <c r="H68" s="427">
        <f t="shared" si="6"/>
        <v>46269</v>
      </c>
      <c r="I68" s="494">
        <f t="shared" si="77"/>
        <v>5.9000000000000004E-2</v>
      </c>
      <c r="J68" s="423">
        <f t="shared" si="74"/>
        <v>0</v>
      </c>
      <c r="K68" s="423">
        <f t="shared" si="15"/>
        <v>0</v>
      </c>
      <c r="L68" s="423">
        <f t="shared" si="16"/>
        <v>0</v>
      </c>
      <c r="M68" s="423">
        <f t="shared" si="57"/>
        <v>0</v>
      </c>
      <c r="N68" s="423">
        <f t="shared" si="30"/>
        <v>0</v>
      </c>
      <c r="O68" s="423">
        <f t="shared" si="7"/>
        <v>0</v>
      </c>
      <c r="P68" s="423">
        <f t="shared" si="18"/>
        <v>0</v>
      </c>
      <c r="Q68" s="423">
        <f t="shared" si="19"/>
        <v>0</v>
      </c>
      <c r="R68" s="423">
        <f t="shared" si="20"/>
        <v>0</v>
      </c>
      <c r="S68" s="470"/>
      <c r="T68" s="36">
        <f t="shared" si="31"/>
        <v>0</v>
      </c>
      <c r="U68" s="36">
        <f t="shared" si="21"/>
        <v>0</v>
      </c>
      <c r="V68" s="2"/>
      <c r="W68" s="2" t="e">
        <f t="shared" si="66"/>
        <v>#VALUE!</v>
      </c>
      <c r="X68" s="34">
        <f t="shared" si="68"/>
        <v>11958</v>
      </c>
      <c r="Y68" s="57">
        <f t="shared" si="69"/>
        <v>51743</v>
      </c>
      <c r="AL68" s="2" t="e">
        <f t="shared" si="97"/>
        <v>#VALUE!</v>
      </c>
      <c r="AM68" s="34" t="e">
        <f t="shared" si="65"/>
        <v>#DIV/0!</v>
      </c>
      <c r="AN68" s="57">
        <f t="shared" si="96"/>
        <v>52108</v>
      </c>
      <c r="AO68" s="130" t="e">
        <f t="shared" si="22"/>
        <v>#DIV/0!</v>
      </c>
      <c r="AP68" s="109">
        <f t="shared" si="85"/>
        <v>60</v>
      </c>
      <c r="AQ68" s="110">
        <f t="shared" si="98"/>
        <v>46269</v>
      </c>
      <c r="AR68" s="105" t="e">
        <f t="shared" ref="AR68:AR74" si="104">IF(AND(G68&gt;=$W$14,G68&lt;=$W$14+5),$W$15,IF(AND(BE67+AU68+AS68&gt;AR67,AR67&lt;&gt;0),$D$39,IF(BE67=0,0,BE67+AU68+AS68+AS69)))</f>
        <v>#DIV/0!</v>
      </c>
      <c r="AS68" s="105" t="e">
        <f t="shared" ref="AS68:AS108" si="105">IF(AND(G68&gt;=$W$14,G68&lt;=$W$14+5),0,IF($C$9&gt;$AF$51,ROUND(BE67*$AE$14*((AQ68-DATE(YEAR(AQ68),MONTH(AQ68),1)+1)/(DATE(YEAR(AQ68)+1,1,1)-DATE(YEAR(AQ68),1,1))+(EOMONTH(AQ67,0)-AQ67)/(DATE(YEAR(AQ67)+1,1,1)-DATE(YEAR(AQ67),1,1))),2),0))</f>
        <v>#DIV/0!</v>
      </c>
      <c r="AT68" s="105">
        <f t="shared" ref="AT68:AT74" si="106">IF(BG74=0,0,IF(BG74=1,BE67,IF(BE67+AU68+AS68&gt;AR67,AR68-AS68-AU68,BE67)))</f>
        <v>0</v>
      </c>
      <c r="AU68" s="105" t="e">
        <f t="shared" si="99"/>
        <v>#DIV/0!</v>
      </c>
      <c r="AV68" s="105" t="e">
        <f t="shared" si="45"/>
        <v>#DIV/0!</v>
      </c>
      <c r="AW68" s="105" t="e">
        <f t="shared" si="24"/>
        <v>#DIV/0!</v>
      </c>
      <c r="AX68" s="105">
        <f t="shared" si="88"/>
        <v>0</v>
      </c>
      <c r="AY68" s="105">
        <f t="shared" si="89"/>
        <v>0</v>
      </c>
      <c r="AZ68" s="105"/>
      <c r="BA68" s="105"/>
      <c r="BB68" s="105"/>
      <c r="BC68" s="105"/>
      <c r="BD68" s="105"/>
      <c r="BE68" s="105" t="e">
        <f t="shared" ref="BE68:BE74" si="107">IF(OR(BG74=1,BE67=0),0,BE67-AT68)</f>
        <v>#DIV/0!</v>
      </c>
      <c r="BF68" s="108">
        <f t="shared" si="90"/>
        <v>0</v>
      </c>
      <c r="BG68" s="108">
        <f t="shared" si="100"/>
        <v>0</v>
      </c>
      <c r="BH68" s="22">
        <f t="shared" si="101"/>
        <v>46085</v>
      </c>
      <c r="BI68" s="108">
        <f t="shared" si="102"/>
        <v>0</v>
      </c>
      <c r="BJ68" s="2" t="e">
        <f t="shared" si="103"/>
        <v>#DIV/0!</v>
      </c>
    </row>
    <row r="69" spans="1:63" s="16" customFormat="1" ht="14.25" x14ac:dyDescent="0.2">
      <c r="A69" s="2"/>
      <c r="B69" s="2"/>
      <c r="C69" s="2"/>
      <c r="D69" s="13"/>
      <c r="G69" s="426">
        <f t="shared" si="29"/>
        <v>61</v>
      </c>
      <c r="H69" s="427">
        <f t="shared" si="6"/>
        <v>46299</v>
      </c>
      <c r="I69" s="494">
        <f t="shared" si="77"/>
        <v>5.9000000000000004E-2</v>
      </c>
      <c r="J69" s="423">
        <f t="shared" si="74"/>
        <v>0</v>
      </c>
      <c r="K69" s="423">
        <f t="shared" si="15"/>
        <v>0</v>
      </c>
      <c r="L69" s="423">
        <f t="shared" si="16"/>
        <v>0</v>
      </c>
      <c r="M69" s="423">
        <f t="shared" si="57"/>
        <v>0</v>
      </c>
      <c r="N69" s="423">
        <f t="shared" si="30"/>
        <v>0</v>
      </c>
      <c r="O69" s="423">
        <f t="shared" si="7"/>
        <v>0</v>
      </c>
      <c r="P69" s="423">
        <f t="shared" si="18"/>
        <v>0</v>
      </c>
      <c r="Q69" s="423">
        <f t="shared" si="19"/>
        <v>0</v>
      </c>
      <c r="R69" s="423">
        <f t="shared" si="20"/>
        <v>0</v>
      </c>
      <c r="S69" s="470"/>
      <c r="T69" s="36">
        <f t="shared" si="31"/>
        <v>0</v>
      </c>
      <c r="U69" s="36">
        <f t="shared" si="21"/>
        <v>0</v>
      </c>
      <c r="V69" s="2"/>
      <c r="W69" s="2" t="e">
        <f t="shared" si="66"/>
        <v>#VALUE!</v>
      </c>
      <c r="X69" s="34">
        <f t="shared" si="68"/>
        <v>11958</v>
      </c>
      <c r="Y69" s="57">
        <f t="shared" si="69"/>
        <v>52108</v>
      </c>
      <c r="AB69" s="2"/>
      <c r="AD69" s="2"/>
      <c r="AE69" s="2"/>
      <c r="AF69" s="2"/>
      <c r="AG69" s="2"/>
      <c r="AH69" s="2"/>
      <c r="AI69" s="63"/>
      <c r="AJ69" s="63"/>
      <c r="AK69" s="63"/>
      <c r="AL69" s="2">
        <f t="shared" si="97"/>
        <v>0</v>
      </c>
      <c r="AM69" s="34" t="e">
        <f t="shared" si="65"/>
        <v>#DIV/0!</v>
      </c>
      <c r="AN69" s="57">
        <f t="shared" si="96"/>
        <v>52473</v>
      </c>
      <c r="AO69" s="130" t="e">
        <f t="shared" si="22"/>
        <v>#DIV/0!</v>
      </c>
      <c r="AP69" s="109">
        <f t="shared" si="85"/>
        <v>61</v>
      </c>
      <c r="AQ69" s="110">
        <f t="shared" si="98"/>
        <v>46299</v>
      </c>
      <c r="AR69" s="105" t="e">
        <f t="shared" si="104"/>
        <v>#DIV/0!</v>
      </c>
      <c r="AS69" s="105" t="e">
        <f t="shared" si="105"/>
        <v>#DIV/0!</v>
      </c>
      <c r="AT69" s="105">
        <f t="shared" si="106"/>
        <v>0</v>
      </c>
      <c r="AU69" s="105" t="e">
        <f t="shared" si="99"/>
        <v>#DIV/0!</v>
      </c>
      <c r="AV69" s="105" t="e">
        <f t="shared" si="45"/>
        <v>#DIV/0!</v>
      </c>
      <c r="AW69" s="105" t="e">
        <f t="shared" si="24"/>
        <v>#DIV/0!</v>
      </c>
      <c r="AX69" s="105">
        <f t="shared" si="88"/>
        <v>0</v>
      </c>
      <c r="AY69" s="105">
        <f t="shared" si="89"/>
        <v>0</v>
      </c>
      <c r="AZ69" s="105"/>
      <c r="BA69" s="105"/>
      <c r="BB69" s="105"/>
      <c r="BC69" s="105"/>
      <c r="BD69" s="105"/>
      <c r="BE69" s="105" t="e">
        <f t="shared" si="107"/>
        <v>#DIV/0!</v>
      </c>
      <c r="BF69" s="108">
        <f t="shared" si="90"/>
        <v>0</v>
      </c>
      <c r="BG69" s="108">
        <f t="shared" si="100"/>
        <v>0</v>
      </c>
      <c r="BH69" s="22">
        <f t="shared" si="101"/>
        <v>46116</v>
      </c>
      <c r="BI69" s="108">
        <f t="shared" si="102"/>
        <v>0</v>
      </c>
      <c r="BJ69" s="2" t="e">
        <f t="shared" si="103"/>
        <v>#DIV/0!</v>
      </c>
    </row>
    <row r="70" spans="1:63" s="16" customFormat="1" ht="14.25" x14ac:dyDescent="0.2">
      <c r="A70" s="2"/>
      <c r="B70" s="2"/>
      <c r="C70" s="2"/>
      <c r="D70" s="13"/>
      <c r="E70" s="2"/>
      <c r="F70" s="2"/>
      <c r="G70" s="426">
        <f t="shared" si="29"/>
        <v>62</v>
      </c>
      <c r="H70" s="427">
        <f t="shared" si="6"/>
        <v>46330</v>
      </c>
      <c r="I70" s="494">
        <f t="shared" si="77"/>
        <v>5.9000000000000004E-2</v>
      </c>
      <c r="J70" s="423">
        <f t="shared" si="74"/>
        <v>0</v>
      </c>
      <c r="K70" s="423">
        <f t="shared" si="15"/>
        <v>0</v>
      </c>
      <c r="L70" s="423">
        <f t="shared" si="16"/>
        <v>0</v>
      </c>
      <c r="M70" s="423">
        <f t="shared" si="57"/>
        <v>0</v>
      </c>
      <c r="N70" s="423">
        <f t="shared" si="30"/>
        <v>0</v>
      </c>
      <c r="O70" s="423">
        <f t="shared" si="7"/>
        <v>0</v>
      </c>
      <c r="P70" s="423">
        <f t="shared" si="18"/>
        <v>0</v>
      </c>
      <c r="Q70" s="423">
        <f t="shared" si="19"/>
        <v>0</v>
      </c>
      <c r="R70" s="423">
        <f t="shared" si="20"/>
        <v>0</v>
      </c>
      <c r="S70" s="470"/>
      <c r="T70" s="36">
        <f t="shared" si="31"/>
        <v>0</v>
      </c>
      <c r="U70" s="36">
        <f t="shared" si="21"/>
        <v>0</v>
      </c>
      <c r="V70" s="2"/>
      <c r="W70" s="2" t="e">
        <f t="shared" si="66"/>
        <v>#VALUE!</v>
      </c>
      <c r="X70" s="34">
        <f t="shared" si="68"/>
        <v>11958</v>
      </c>
      <c r="Y70" s="57">
        <f t="shared" si="69"/>
        <v>52473</v>
      </c>
      <c r="AB70" s="15"/>
      <c r="AC70" s="145" t="s">
        <v>330</v>
      </c>
      <c r="AD70" s="145" t="s">
        <v>111</v>
      </c>
      <c r="AE70" s="145" t="s">
        <v>114</v>
      </c>
      <c r="AF70" s="144" t="s">
        <v>115</v>
      </c>
      <c r="AG70" s="144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 t="shared" si="97"/>
        <v>#VALUE!</v>
      </c>
      <c r="AM70" s="34" t="e">
        <f t="shared" si="65"/>
        <v>#DIV/0!</v>
      </c>
      <c r="AN70" s="57">
        <f t="shared" si="96"/>
        <v>52838</v>
      </c>
      <c r="AO70" s="130" t="e">
        <f t="shared" si="22"/>
        <v>#DIV/0!</v>
      </c>
      <c r="AP70" s="109">
        <f t="shared" si="85"/>
        <v>62</v>
      </c>
      <c r="AQ70" s="110">
        <f t="shared" si="98"/>
        <v>46330</v>
      </c>
      <c r="AR70" s="105" t="e">
        <f t="shared" si="104"/>
        <v>#DIV/0!</v>
      </c>
      <c r="AS70" s="105" t="e">
        <f t="shared" si="105"/>
        <v>#DIV/0!</v>
      </c>
      <c r="AT70" s="105">
        <f t="shared" si="106"/>
        <v>0</v>
      </c>
      <c r="AU70" s="105" t="e">
        <f t="shared" si="99"/>
        <v>#DIV/0!</v>
      </c>
      <c r="AV70" s="105" t="e">
        <f t="shared" si="45"/>
        <v>#DIV/0!</v>
      </c>
      <c r="AW70" s="105" t="e">
        <f t="shared" si="24"/>
        <v>#DIV/0!</v>
      </c>
      <c r="AX70" s="105">
        <f t="shared" si="88"/>
        <v>0</v>
      </c>
      <c r="AY70" s="105">
        <f t="shared" si="89"/>
        <v>0</v>
      </c>
      <c r="AZ70" s="105"/>
      <c r="BA70" s="105"/>
      <c r="BB70" s="105"/>
      <c r="BC70" s="105"/>
      <c r="BD70" s="105"/>
      <c r="BE70" s="105" t="e">
        <f t="shared" si="107"/>
        <v>#DIV/0!</v>
      </c>
      <c r="BF70" s="108">
        <f t="shared" si="90"/>
        <v>0</v>
      </c>
      <c r="BG70" s="108">
        <f t="shared" si="100"/>
        <v>0</v>
      </c>
      <c r="BH70" s="22">
        <f t="shared" si="101"/>
        <v>46146</v>
      </c>
      <c r="BI70" s="108">
        <f t="shared" si="102"/>
        <v>0</v>
      </c>
      <c r="BJ70" s="2" t="e">
        <f t="shared" si="103"/>
        <v>#DIV/0!</v>
      </c>
    </row>
    <row r="71" spans="1:63" s="16" customFormat="1" ht="14.25" x14ac:dyDescent="0.2">
      <c r="A71" s="2"/>
      <c r="B71" s="2"/>
      <c r="C71" s="2"/>
      <c r="D71" s="2"/>
      <c r="E71" s="2"/>
      <c r="F71" s="2"/>
      <c r="G71" s="426">
        <f t="shared" si="29"/>
        <v>63</v>
      </c>
      <c r="H71" s="427">
        <f t="shared" si="6"/>
        <v>46360</v>
      </c>
      <c r="I71" s="494">
        <f t="shared" si="77"/>
        <v>5.9000000000000004E-2</v>
      </c>
      <c r="J71" s="423">
        <f t="shared" si="74"/>
        <v>0</v>
      </c>
      <c r="K71" s="423">
        <f t="shared" si="15"/>
        <v>0</v>
      </c>
      <c r="L71" s="423">
        <f t="shared" si="16"/>
        <v>0</v>
      </c>
      <c r="M71" s="423">
        <f t="shared" si="57"/>
        <v>0</v>
      </c>
      <c r="N71" s="423">
        <f t="shared" si="30"/>
        <v>0</v>
      </c>
      <c r="O71" s="423">
        <f t="shared" si="7"/>
        <v>0</v>
      </c>
      <c r="P71" s="423">
        <f t="shared" si="18"/>
        <v>0</v>
      </c>
      <c r="Q71" s="423">
        <f t="shared" si="19"/>
        <v>0</v>
      </c>
      <c r="R71" s="423">
        <f t="shared" si="20"/>
        <v>0</v>
      </c>
      <c r="S71" s="470"/>
      <c r="T71" s="36">
        <f t="shared" si="31"/>
        <v>0</v>
      </c>
      <c r="U71" s="36">
        <f t="shared" si="21"/>
        <v>0</v>
      </c>
      <c r="V71" s="2"/>
      <c r="W71" s="2" t="e">
        <f t="shared" si="66"/>
        <v>#VALUE!</v>
      </c>
      <c r="X71" s="34">
        <f t="shared" si="68"/>
        <v>11958</v>
      </c>
      <c r="Y71" s="57">
        <f t="shared" si="69"/>
        <v>52838</v>
      </c>
      <c r="AA71" s="133" t="s">
        <v>96</v>
      </c>
      <c r="AB71" s="133" t="s">
        <v>323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 t="shared" si="97"/>
        <v>#VALUE!</v>
      </c>
      <c r="AM71" s="34" t="e">
        <f t="shared" si="65"/>
        <v>#DIV/0!</v>
      </c>
      <c r="AN71" s="57">
        <f t="shared" si="96"/>
        <v>53203</v>
      </c>
      <c r="AO71" s="130" t="e">
        <f t="shared" si="22"/>
        <v>#DIV/0!</v>
      </c>
      <c r="AP71" s="109">
        <f t="shared" si="85"/>
        <v>63</v>
      </c>
      <c r="AQ71" s="110">
        <f t="shared" si="98"/>
        <v>46360</v>
      </c>
      <c r="AR71" s="105" t="e">
        <f t="shared" si="104"/>
        <v>#DIV/0!</v>
      </c>
      <c r="AS71" s="105" t="e">
        <f t="shared" si="105"/>
        <v>#DIV/0!</v>
      </c>
      <c r="AT71" s="105">
        <f t="shared" si="106"/>
        <v>0</v>
      </c>
      <c r="AU71" s="105" t="e">
        <f t="shared" si="99"/>
        <v>#DIV/0!</v>
      </c>
      <c r="AV71" s="105" t="e">
        <f t="shared" si="45"/>
        <v>#DIV/0!</v>
      </c>
      <c r="AW71" s="105" t="e">
        <f t="shared" si="24"/>
        <v>#DIV/0!</v>
      </c>
      <c r="AX71" s="105">
        <f t="shared" si="88"/>
        <v>0</v>
      </c>
      <c r="AY71" s="105">
        <f t="shared" si="89"/>
        <v>0</v>
      </c>
      <c r="AZ71" s="105"/>
      <c r="BA71" s="105"/>
      <c r="BB71" s="105"/>
      <c r="BC71" s="105"/>
      <c r="BD71" s="105"/>
      <c r="BE71" s="105" t="e">
        <f t="shared" si="107"/>
        <v>#DIV/0!</v>
      </c>
      <c r="BF71" s="108">
        <f t="shared" si="90"/>
        <v>0</v>
      </c>
      <c r="BG71" s="108">
        <f t="shared" si="100"/>
        <v>0</v>
      </c>
      <c r="BH71" s="22">
        <f t="shared" si="101"/>
        <v>46177</v>
      </c>
      <c r="BI71" s="108">
        <f t="shared" si="102"/>
        <v>0</v>
      </c>
      <c r="BJ71" s="2" t="e">
        <f t="shared" si="103"/>
        <v>#DIV/0!</v>
      </c>
    </row>
    <row r="72" spans="1:63" s="16" customFormat="1" ht="14.25" x14ac:dyDescent="0.2">
      <c r="A72" s="2"/>
      <c r="B72" s="2"/>
      <c r="C72" s="13"/>
      <c r="D72" s="2"/>
      <c r="E72" s="2"/>
      <c r="F72" s="2"/>
      <c r="G72" s="426">
        <f t="shared" si="29"/>
        <v>64</v>
      </c>
      <c r="H72" s="427">
        <f t="shared" si="6"/>
        <v>46391</v>
      </c>
      <c r="I72" s="494">
        <f t="shared" si="77"/>
        <v>5.9000000000000004E-2</v>
      </c>
      <c r="J72" s="423">
        <f t="shared" si="74"/>
        <v>0</v>
      </c>
      <c r="K72" s="423">
        <f t="shared" si="15"/>
        <v>0</v>
      </c>
      <c r="L72" s="423">
        <f t="shared" si="16"/>
        <v>0</v>
      </c>
      <c r="M72" s="423">
        <f t="shared" si="57"/>
        <v>0</v>
      </c>
      <c r="N72" s="423">
        <f t="shared" si="30"/>
        <v>0</v>
      </c>
      <c r="O72" s="423">
        <f t="shared" si="7"/>
        <v>0</v>
      </c>
      <c r="P72" s="423">
        <f t="shared" si="18"/>
        <v>0</v>
      </c>
      <c r="Q72" s="423">
        <f t="shared" si="19"/>
        <v>0</v>
      </c>
      <c r="R72" s="423">
        <f t="shared" si="20"/>
        <v>0</v>
      </c>
      <c r="S72" s="470"/>
      <c r="T72" s="36">
        <f t="shared" si="31"/>
        <v>0</v>
      </c>
      <c r="U72" s="36">
        <f t="shared" si="21"/>
        <v>0</v>
      </c>
      <c r="V72" s="2"/>
      <c r="W72" s="2" t="e">
        <f t="shared" si="66"/>
        <v>#VALUE!</v>
      </c>
      <c r="X72" s="34">
        <f t="shared" si="68"/>
        <v>11958</v>
      </c>
      <c r="Y72" s="57">
        <f t="shared" si="69"/>
        <v>53203</v>
      </c>
      <c r="AA72" s="170">
        <v>20000</v>
      </c>
      <c r="AB72" s="135">
        <v>160000</v>
      </c>
      <c r="AC72" s="134">
        <v>1</v>
      </c>
      <c r="AD72" s="134">
        <v>1.25</v>
      </c>
      <c r="AE72" s="134">
        <v>1.5</v>
      </c>
      <c r="AF72" s="134">
        <v>1.3</v>
      </c>
      <c r="AG72" s="134"/>
      <c r="AH72" s="134">
        <v>1</v>
      </c>
      <c r="AI72" s="134">
        <v>2</v>
      </c>
      <c r="AJ72" s="134">
        <v>2.5</v>
      </c>
      <c r="AK72" s="15"/>
      <c r="AL72" s="2" t="e">
        <f t="shared" si="97"/>
        <v>#VALUE!</v>
      </c>
      <c r="AM72" s="34" t="e">
        <f t="shared" si="65"/>
        <v>#DIV/0!</v>
      </c>
      <c r="AN72" s="57">
        <f t="shared" si="96"/>
        <v>53568</v>
      </c>
      <c r="AO72" s="130" t="e">
        <f t="shared" si="22"/>
        <v>#DIV/0!</v>
      </c>
      <c r="AP72" s="109">
        <f t="shared" si="85"/>
        <v>64</v>
      </c>
      <c r="AQ72" s="110">
        <f t="shared" si="98"/>
        <v>46391</v>
      </c>
      <c r="AR72" s="105" t="e">
        <f t="shared" si="104"/>
        <v>#DIV/0!</v>
      </c>
      <c r="AS72" s="105" t="e">
        <f t="shared" si="105"/>
        <v>#DIV/0!</v>
      </c>
      <c r="AT72" s="105">
        <f t="shared" si="106"/>
        <v>0</v>
      </c>
      <c r="AU72" s="105" t="e">
        <f t="shared" si="99"/>
        <v>#DIV/0!</v>
      </c>
      <c r="AV72" s="105" t="e">
        <f t="shared" si="45"/>
        <v>#DIV/0!</v>
      </c>
      <c r="AW72" s="105" t="e">
        <f t="shared" si="24"/>
        <v>#DIV/0!</v>
      </c>
      <c r="AX72" s="105">
        <f t="shared" si="88"/>
        <v>0</v>
      </c>
      <c r="AY72" s="105">
        <f t="shared" si="89"/>
        <v>0</v>
      </c>
      <c r="AZ72" s="105"/>
      <c r="BA72" s="105"/>
      <c r="BB72" s="105"/>
      <c r="BC72" s="105"/>
      <c r="BD72" s="105"/>
      <c r="BE72" s="105" t="e">
        <f t="shared" si="107"/>
        <v>#DIV/0!</v>
      </c>
      <c r="BF72" s="108">
        <f t="shared" si="90"/>
        <v>0</v>
      </c>
      <c r="BG72" s="108">
        <f t="shared" si="100"/>
        <v>0</v>
      </c>
      <c r="BH72" s="22">
        <f t="shared" si="101"/>
        <v>46207</v>
      </c>
      <c r="BI72" s="108">
        <f t="shared" si="102"/>
        <v>0</v>
      </c>
      <c r="BJ72" s="2" t="e">
        <f t="shared" si="103"/>
        <v>#DIV/0!</v>
      </c>
    </row>
    <row r="73" spans="1:63" s="16" customFormat="1" ht="14.25" x14ac:dyDescent="0.2">
      <c r="A73" s="2"/>
      <c r="B73" s="2"/>
      <c r="C73" s="2"/>
      <c r="D73" s="2"/>
      <c r="E73" s="2"/>
      <c r="F73" s="2"/>
      <c r="G73" s="426">
        <f t="shared" si="29"/>
        <v>65</v>
      </c>
      <c r="H73" s="427">
        <f t="shared" ref="H73:H108" si="108">IF((OR(DAY($AD$54)=29,DAY($AD$54)=30,DAY($AD$54)=31)),(EDATE($C$9-3,G73)),(IF((OR(DAY($AD$54)=1,DAY($AD$54)=2,DAY($AD$54)=3)),(EDATE($C$9,G73)+3),EDATE($C$9,G73))))</f>
        <v>46422</v>
      </c>
      <c r="I73" s="494">
        <f t="shared" si="77"/>
        <v>5.9000000000000004E-2</v>
      </c>
      <c r="J73" s="423">
        <f t="shared" si="74"/>
        <v>0</v>
      </c>
      <c r="K73" s="423">
        <f t="shared" si="15"/>
        <v>0</v>
      </c>
      <c r="L73" s="423">
        <f t="shared" si="16"/>
        <v>0</v>
      </c>
      <c r="M73" s="423">
        <f t="shared" si="57"/>
        <v>0</v>
      </c>
      <c r="N73" s="423">
        <f t="shared" si="30"/>
        <v>0</v>
      </c>
      <c r="O73" s="423">
        <f t="shared" ref="O73:O108" si="109">K73+P73</f>
        <v>0</v>
      </c>
      <c r="P73" s="423">
        <f t="shared" si="18"/>
        <v>0</v>
      </c>
      <c r="Q73" s="423">
        <f t="shared" si="19"/>
        <v>0</v>
      </c>
      <c r="R73" s="423">
        <f t="shared" si="20"/>
        <v>0</v>
      </c>
      <c r="S73" s="470"/>
      <c r="T73" s="36">
        <f t="shared" si="31"/>
        <v>0</v>
      </c>
      <c r="U73" s="36">
        <f t="shared" si="21"/>
        <v>0</v>
      </c>
      <c r="V73" s="2"/>
      <c r="W73" s="2" t="e">
        <f t="shared" si="66"/>
        <v>#VALUE!</v>
      </c>
      <c r="X73" s="34">
        <f t="shared" si="68"/>
        <v>11726</v>
      </c>
      <c r="Y73" s="57">
        <f t="shared" si="69"/>
        <v>53568</v>
      </c>
      <c r="AA73" s="170">
        <v>300001</v>
      </c>
      <c r="AB73" s="135">
        <v>400000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/>
      <c r="AH73" s="134">
        <v>1</v>
      </c>
      <c r="AI73" s="134">
        <v>2</v>
      </c>
      <c r="AJ73" s="134">
        <v>2</v>
      </c>
      <c r="AK73" s="15"/>
      <c r="AL73" s="2" t="e">
        <f t="shared" si="97"/>
        <v>#VALUE!</v>
      </c>
      <c r="AM73" s="34" t="e">
        <f t="shared" si="65"/>
        <v>#DIV/0!</v>
      </c>
      <c r="AN73" s="57">
        <f t="shared" si="96"/>
        <v>53933</v>
      </c>
      <c r="AO73" s="130" t="e">
        <f t="shared" si="22"/>
        <v>#DIV/0!</v>
      </c>
      <c r="AP73" s="109">
        <f t="shared" si="85"/>
        <v>65</v>
      </c>
      <c r="AQ73" s="110">
        <f t="shared" si="98"/>
        <v>46422</v>
      </c>
      <c r="AR73" s="105" t="e">
        <f t="shared" si="104"/>
        <v>#DIV/0!</v>
      </c>
      <c r="AS73" s="105" t="e">
        <f t="shared" si="105"/>
        <v>#DIV/0!</v>
      </c>
      <c r="AT73" s="105">
        <f t="shared" si="106"/>
        <v>0</v>
      </c>
      <c r="AU73" s="105" t="e">
        <f t="shared" si="99"/>
        <v>#DIV/0!</v>
      </c>
      <c r="AV73" s="105" t="e">
        <f t="shared" si="45"/>
        <v>#DIV/0!</v>
      </c>
      <c r="AW73" s="105" t="e">
        <f t="shared" si="24"/>
        <v>#DIV/0!</v>
      </c>
      <c r="AX73" s="105">
        <f t="shared" si="88"/>
        <v>0</v>
      </c>
      <c r="AY73" s="105">
        <f t="shared" si="89"/>
        <v>0</v>
      </c>
      <c r="AZ73" s="105"/>
      <c r="BA73" s="105"/>
      <c r="BB73" s="105"/>
      <c r="BC73" s="105"/>
      <c r="BD73" s="105"/>
      <c r="BE73" s="105" t="e">
        <f t="shared" si="107"/>
        <v>#DIV/0!</v>
      </c>
      <c r="BF73" s="108">
        <f t="shared" si="90"/>
        <v>0</v>
      </c>
      <c r="BG73" s="108">
        <f t="shared" si="100"/>
        <v>0</v>
      </c>
      <c r="BH73" s="22">
        <f t="shared" si="101"/>
        <v>46238</v>
      </c>
      <c r="BI73" s="108">
        <f t="shared" si="102"/>
        <v>0</v>
      </c>
      <c r="BJ73" s="2" t="e">
        <f t="shared" si="103"/>
        <v>#DIV/0!</v>
      </c>
    </row>
    <row r="74" spans="1:63" s="16" customFormat="1" ht="14.25" x14ac:dyDescent="0.2">
      <c r="A74" s="2"/>
      <c r="B74" s="2"/>
      <c r="C74" s="2"/>
      <c r="D74" s="2"/>
      <c r="E74" s="2"/>
      <c r="F74" s="2"/>
      <c r="G74" s="426">
        <f t="shared" si="29"/>
        <v>66</v>
      </c>
      <c r="H74" s="427">
        <f t="shared" si="108"/>
        <v>46450</v>
      </c>
      <c r="I74" s="494">
        <f t="shared" si="77"/>
        <v>5.9000000000000004E-2</v>
      </c>
      <c r="J74" s="423">
        <f t="shared" si="74"/>
        <v>0</v>
      </c>
      <c r="K74" s="423">
        <f t="shared" ref="K74:K108" si="110">IF(AND($C$8&lt;&gt;"Нет",G74&gt;=$W$14,G74&lt;=$W$14+5),0,IF($C$9&gt;$AF$51,ROUND(R73*I74*((H74-DATE(YEAR(H74),MONTH(H74),1)+1)/(DATE(YEAR(H74)+1,1,1)-DATE(YEAR(H74),1,1))+(EOMONTH(H73,0)-H73)/(DATE(YEAR(H73)+1,1,1)-DATE(YEAR(H73),1,1))),2),0))</f>
        <v>0</v>
      </c>
      <c r="L74" s="423">
        <f t="shared" ref="L74:L108" si="111">IF(R73+M74+K74&gt;J73,J74-K74-M74,R73)</f>
        <v>0</v>
      </c>
      <c r="M74" s="423">
        <f t="shared" ref="M74:M108" si="112">IF(O74&gt;$C$25,$C$25-K74,IF(U74=0,0,P74))</f>
        <v>0</v>
      </c>
      <c r="N74" s="423">
        <f t="shared" si="30"/>
        <v>0</v>
      </c>
      <c r="O74" s="423">
        <f t="shared" si="109"/>
        <v>0</v>
      </c>
      <c r="P74" s="423">
        <f t="shared" ref="P74:P108" si="113">IF(U74=0,0,0)</f>
        <v>0</v>
      </c>
      <c r="Q74" s="423">
        <f t="shared" ref="Q74:Q108" si="114">IF(U74=0,0,0)</f>
        <v>0</v>
      </c>
      <c r="R74" s="423">
        <f t="shared" ref="R74:R108" si="115">R73-L74-S74</f>
        <v>0</v>
      </c>
      <c r="S74" s="470"/>
      <c r="T74" s="36">
        <f t="shared" si="31"/>
        <v>0</v>
      </c>
      <c r="U74" s="36">
        <f t="shared" ref="U74:U107" si="116">T74</f>
        <v>0</v>
      </c>
      <c r="V74" s="2"/>
      <c r="W74" s="2" t="e">
        <f t="shared" si="66"/>
        <v>#VALUE!</v>
      </c>
      <c r="X74" s="34">
        <f t="shared" si="68"/>
        <v>11726</v>
      </c>
      <c r="Y74" s="57">
        <f t="shared" si="69"/>
        <v>53933</v>
      </c>
      <c r="AA74" s="170">
        <v>500001</v>
      </c>
      <c r="AB74" s="135">
        <v>500000</v>
      </c>
      <c r="AC74" s="134">
        <v>1.2</v>
      </c>
      <c r="AD74" s="134">
        <v>1.5</v>
      </c>
      <c r="AE74" s="134">
        <v>1.3</v>
      </c>
      <c r="AF74" s="134">
        <v>1.2</v>
      </c>
      <c r="AG74" s="134"/>
      <c r="AH74" s="134">
        <v>1</v>
      </c>
      <c r="AI74" s="134">
        <v>1.5</v>
      </c>
      <c r="AJ74" s="134">
        <v>1.5</v>
      </c>
      <c r="AK74" s="15"/>
      <c r="AL74" s="2" t="e">
        <f t="shared" si="97"/>
        <v>#VALUE!</v>
      </c>
      <c r="AM74" s="34" t="e">
        <f t="shared" si="65"/>
        <v>#DIV/0!</v>
      </c>
      <c r="AN74" s="57">
        <f t="shared" si="96"/>
        <v>54298</v>
      </c>
      <c r="AO74" s="130" t="e">
        <f t="shared" ref="AO74:AO108" si="117">IF(OR(AR74="",AR74=0),0,1)</f>
        <v>#DIV/0!</v>
      </c>
      <c r="AP74" s="109">
        <f t="shared" si="85"/>
        <v>66</v>
      </c>
      <c r="AQ74" s="110">
        <f t="shared" si="98"/>
        <v>46450</v>
      </c>
      <c r="AR74" s="105" t="e">
        <f t="shared" si="104"/>
        <v>#DIV/0!</v>
      </c>
      <c r="AS74" s="105" t="e">
        <f t="shared" si="105"/>
        <v>#DIV/0!</v>
      </c>
      <c r="AT74" s="105">
        <f t="shared" si="106"/>
        <v>0</v>
      </c>
      <c r="AU74" s="105" t="e">
        <f t="shared" si="99"/>
        <v>#DIV/0!</v>
      </c>
      <c r="AV74" s="105" t="e">
        <f t="shared" si="45"/>
        <v>#DIV/0!</v>
      </c>
      <c r="AW74" s="105" t="e">
        <f t="shared" si="24"/>
        <v>#DIV/0!</v>
      </c>
      <c r="AX74" s="105">
        <f t="shared" si="88"/>
        <v>0</v>
      </c>
      <c r="AY74" s="105">
        <f t="shared" si="89"/>
        <v>0</v>
      </c>
      <c r="AZ74" s="105"/>
      <c r="BA74" s="105"/>
      <c r="BB74" s="105"/>
      <c r="BC74" s="105"/>
      <c r="BD74" s="105"/>
      <c r="BE74" s="105" t="e">
        <f t="shared" si="107"/>
        <v>#DIV/0!</v>
      </c>
      <c r="BF74" s="108">
        <f t="shared" si="90"/>
        <v>0</v>
      </c>
      <c r="BG74" s="108">
        <f t="shared" ref="BG74:BG114" si="118">IF(ISERR(CEILING(FLOOR(NPER($C$11/12,-$AD$55,BE67),0.1),1))=TRUE,0,CEILING(FLOOR(NPER($C$11/12,-$AD$55,BE67),0.1),1))</f>
        <v>0</v>
      </c>
      <c r="BH74" s="22">
        <f t="shared" si="101"/>
        <v>46269</v>
      </c>
      <c r="BI74" s="108">
        <f t="shared" si="102"/>
        <v>0</v>
      </c>
      <c r="BJ74" s="2" t="e">
        <f t="shared" si="103"/>
        <v>#DIV/0!</v>
      </c>
    </row>
    <row r="75" spans="1:63" s="16" customFormat="1" ht="14.25" x14ac:dyDescent="0.2">
      <c r="A75" s="2"/>
      <c r="B75" s="2"/>
      <c r="C75" s="2"/>
      <c r="D75" s="2"/>
      <c r="E75" s="2"/>
      <c r="F75" s="2"/>
      <c r="G75" s="426">
        <f t="shared" si="29"/>
        <v>67</v>
      </c>
      <c r="H75" s="427">
        <f t="shared" si="108"/>
        <v>46481</v>
      </c>
      <c r="I75" s="494">
        <f t="shared" si="77"/>
        <v>5.9000000000000004E-2</v>
      </c>
      <c r="J75" s="423">
        <f t="shared" si="74"/>
        <v>0</v>
      </c>
      <c r="K75" s="423">
        <f t="shared" si="110"/>
        <v>0</v>
      </c>
      <c r="L75" s="423">
        <f t="shared" si="111"/>
        <v>0</v>
      </c>
      <c r="M75" s="423">
        <f t="shared" si="112"/>
        <v>0</v>
      </c>
      <c r="N75" s="423">
        <f t="shared" si="30"/>
        <v>0</v>
      </c>
      <c r="O75" s="423">
        <f t="shared" si="109"/>
        <v>0</v>
      </c>
      <c r="P75" s="423">
        <f t="shared" si="113"/>
        <v>0</v>
      </c>
      <c r="Q75" s="423">
        <f t="shared" si="114"/>
        <v>0</v>
      </c>
      <c r="R75" s="423">
        <f t="shared" si="115"/>
        <v>0</v>
      </c>
      <c r="S75" s="470"/>
      <c r="T75" s="36">
        <f t="shared" si="31"/>
        <v>0</v>
      </c>
      <c r="U75" s="36">
        <f t="shared" si="116"/>
        <v>0</v>
      </c>
      <c r="V75" s="2"/>
      <c r="W75" s="2" t="e">
        <f t="shared" si="66"/>
        <v>#VALUE!</v>
      </c>
      <c r="X75" s="34">
        <f t="shared" si="68"/>
        <v>11726</v>
      </c>
      <c r="Y75" s="57">
        <f t="shared" si="69"/>
        <v>54298</v>
      </c>
      <c r="AA75" s="171">
        <v>600001</v>
      </c>
      <c r="AB75" s="135">
        <v>800000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/>
      <c r="AH75" s="134">
        <v>1</v>
      </c>
      <c r="AI75" s="134">
        <v>1.3</v>
      </c>
      <c r="AJ75" s="134">
        <v>1.3</v>
      </c>
      <c r="AK75" s="2"/>
      <c r="AL75" s="2" t="e">
        <f t="shared" si="97"/>
        <v>#VALUE!</v>
      </c>
      <c r="AM75" s="34" t="e">
        <f t="shared" si="65"/>
        <v>#DIV/0!</v>
      </c>
      <c r="AN75" s="57">
        <f t="shared" si="96"/>
        <v>54663</v>
      </c>
      <c r="AO75" s="130" t="e">
        <f t="shared" si="117"/>
        <v>#DIV/0!</v>
      </c>
      <c r="AP75" s="109">
        <f t="shared" si="85"/>
        <v>67</v>
      </c>
      <c r="AQ75" s="110">
        <f t="shared" si="98"/>
        <v>46481</v>
      </c>
      <c r="AR75" s="105" t="e">
        <f>IF(BF81=1,AU75+AS75+AT75,IF(BE74+AU75+AS75&gt;AR74,$D$39,IF(BE74=0,0,BE74+AU75+AS75+AS76)))</f>
        <v>#DIV/0!</v>
      </c>
      <c r="AS75" s="105" t="e">
        <f t="shared" si="105"/>
        <v>#DIV/0!</v>
      </c>
      <c r="AT75" s="105">
        <f t="shared" ref="AT75:AT108" si="119">IF(BF81=0,0,IF(BF81=1,BE74,IF(BE74+AU75+AS75&gt;AR74,AR75-AS75-AU75,BE74)))</f>
        <v>0</v>
      </c>
      <c r="AU75" s="105" t="e">
        <f t="shared" si="99"/>
        <v>#DIV/0!</v>
      </c>
      <c r="AV75" s="105" t="e">
        <f t="shared" si="45"/>
        <v>#DIV/0!</v>
      </c>
      <c r="AW75" s="105" t="e">
        <f t="shared" si="24"/>
        <v>#DIV/0!</v>
      </c>
      <c r="AX75" s="105">
        <f t="shared" si="88"/>
        <v>0</v>
      </c>
      <c r="AY75" s="105">
        <f t="shared" si="89"/>
        <v>0</v>
      </c>
      <c r="AZ75" s="105"/>
      <c r="BA75" s="105"/>
      <c r="BB75" s="105"/>
      <c r="BC75" s="105"/>
      <c r="BD75" s="105"/>
      <c r="BE75" s="105" t="e">
        <f t="shared" ref="BE75:BE108" si="120">IF(OR(BF81=1,BE74=0),0,BE74-AT75)</f>
        <v>#DIV/0!</v>
      </c>
      <c r="BF75" s="108">
        <f t="shared" si="90"/>
        <v>0</v>
      </c>
      <c r="BG75" s="108">
        <f t="shared" si="118"/>
        <v>0</v>
      </c>
      <c r="BH75" s="22">
        <f t="shared" si="101"/>
        <v>46299</v>
      </c>
      <c r="BI75" s="108">
        <f t="shared" si="102"/>
        <v>0</v>
      </c>
      <c r="BJ75" s="2" t="e">
        <f t="shared" si="103"/>
        <v>#DIV/0!</v>
      </c>
    </row>
    <row r="76" spans="1:63" s="16" customFormat="1" ht="14.25" x14ac:dyDescent="0.2">
      <c r="A76" s="2"/>
      <c r="B76" s="2"/>
      <c r="C76" s="2"/>
      <c r="D76" s="2"/>
      <c r="E76" s="2"/>
      <c r="F76" s="2"/>
      <c r="G76" s="426">
        <f t="shared" ref="G76:G108" si="121">G75+1</f>
        <v>68</v>
      </c>
      <c r="H76" s="427">
        <f t="shared" si="108"/>
        <v>46511</v>
      </c>
      <c r="I76" s="494">
        <f t="shared" si="77"/>
        <v>5.9000000000000004E-2</v>
      </c>
      <c r="J76" s="423">
        <f t="shared" si="74"/>
        <v>0</v>
      </c>
      <c r="K76" s="423">
        <f t="shared" si="110"/>
        <v>0</v>
      </c>
      <c r="L76" s="423">
        <f t="shared" si="111"/>
        <v>0</v>
      </c>
      <c r="M76" s="423">
        <f t="shared" si="112"/>
        <v>0</v>
      </c>
      <c r="N76" s="423">
        <f t="shared" si="30"/>
        <v>0</v>
      </c>
      <c r="O76" s="423">
        <f t="shared" si="109"/>
        <v>0</v>
      </c>
      <c r="P76" s="423">
        <f t="shared" si="113"/>
        <v>0</v>
      </c>
      <c r="Q76" s="423">
        <f t="shared" si="114"/>
        <v>0</v>
      </c>
      <c r="R76" s="423">
        <f t="shared" si="115"/>
        <v>0</v>
      </c>
      <c r="S76" s="470"/>
      <c r="T76" s="36">
        <f t="shared" ref="T76:T108" si="122">IF((T75-1)&lt;0,0,T75-1)</f>
        <v>0</v>
      </c>
      <c r="U76" s="36">
        <f t="shared" si="116"/>
        <v>0</v>
      </c>
      <c r="V76" s="2"/>
      <c r="W76" s="2" t="e">
        <f t="shared" si="66"/>
        <v>#VALUE!</v>
      </c>
      <c r="X76" s="34">
        <f t="shared" si="68"/>
        <v>11726</v>
      </c>
      <c r="Y76" s="57">
        <f t="shared" si="69"/>
        <v>54663</v>
      </c>
      <c r="AA76" s="171">
        <v>1000001</v>
      </c>
      <c r="AB76" s="135">
        <v>900000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/>
      <c r="AH76" s="134">
        <v>1</v>
      </c>
      <c r="AI76" s="134">
        <v>1</v>
      </c>
      <c r="AJ76" s="134">
        <v>1</v>
      </c>
      <c r="AL76" s="2" t="e">
        <f t="shared" si="97"/>
        <v>#VALUE!</v>
      </c>
      <c r="AM76" s="34" t="e">
        <f t="shared" si="65"/>
        <v>#DIV/0!</v>
      </c>
      <c r="AN76" s="57">
        <f t="shared" si="96"/>
        <v>55028</v>
      </c>
      <c r="AO76" s="130" t="e">
        <f t="shared" si="117"/>
        <v>#DIV/0!</v>
      </c>
      <c r="AP76" s="109">
        <f t="shared" ref="AP76:AP108" si="123">AP75+1</f>
        <v>68</v>
      </c>
      <c r="AQ76" s="110">
        <f t="shared" si="98"/>
        <v>46511</v>
      </c>
      <c r="AR76" s="105" t="e">
        <f>IF(BF82=1,AU76+AS76+AT76,IF(BE75+AU76+AS76&gt;AR75,$D$39,IF(BE75=0,0,BE75+AU76+AS76+AS77)))</f>
        <v>#DIV/0!</v>
      </c>
      <c r="AS76" s="105" t="e">
        <f t="shared" si="105"/>
        <v>#DIV/0!</v>
      </c>
      <c r="AT76" s="105">
        <f t="shared" si="119"/>
        <v>0</v>
      </c>
      <c r="AU76" s="105" t="e">
        <f t="shared" si="99"/>
        <v>#DIV/0!</v>
      </c>
      <c r="AV76" s="105" t="e">
        <f t="shared" si="45"/>
        <v>#DIV/0!</v>
      </c>
      <c r="AW76" s="105" t="e">
        <f t="shared" si="24"/>
        <v>#DIV/0!</v>
      </c>
      <c r="AX76" s="105">
        <f t="shared" si="88"/>
        <v>0</v>
      </c>
      <c r="AY76" s="105">
        <f t="shared" si="89"/>
        <v>0</v>
      </c>
      <c r="AZ76" s="105"/>
      <c r="BA76" s="105"/>
      <c r="BB76" s="105"/>
      <c r="BC76" s="105"/>
      <c r="BD76" s="105"/>
      <c r="BE76" s="105" t="e">
        <f t="shared" si="120"/>
        <v>#DIV/0!</v>
      </c>
      <c r="BF76" s="108">
        <f t="shared" ref="BF76:BF114" si="124">IF((BF75-1)&lt;0,0,BF75-1)</f>
        <v>0</v>
      </c>
      <c r="BG76" s="108">
        <f t="shared" si="118"/>
        <v>0</v>
      </c>
      <c r="BH76" s="22">
        <f t="shared" si="101"/>
        <v>46330</v>
      </c>
      <c r="BI76" s="108">
        <f t="shared" si="102"/>
        <v>0</v>
      </c>
      <c r="BJ76" s="2" t="e">
        <f t="shared" si="103"/>
        <v>#DIV/0!</v>
      </c>
    </row>
    <row r="77" spans="1:63" s="16" customFormat="1" ht="14.25" x14ac:dyDescent="0.2">
      <c r="A77" s="2"/>
      <c r="B77" s="2"/>
      <c r="C77" s="2"/>
      <c r="D77" s="2"/>
      <c r="E77" s="2"/>
      <c r="F77" s="2"/>
      <c r="G77" s="426">
        <f t="shared" si="121"/>
        <v>69</v>
      </c>
      <c r="H77" s="427">
        <f t="shared" si="108"/>
        <v>46542</v>
      </c>
      <c r="I77" s="494">
        <f t="shared" si="77"/>
        <v>5.9000000000000004E-2</v>
      </c>
      <c r="J77" s="423">
        <f t="shared" si="74"/>
        <v>0</v>
      </c>
      <c r="K77" s="423">
        <f t="shared" si="110"/>
        <v>0</v>
      </c>
      <c r="L77" s="423">
        <f t="shared" si="111"/>
        <v>0</v>
      </c>
      <c r="M77" s="423">
        <f t="shared" si="112"/>
        <v>0</v>
      </c>
      <c r="N77" s="423">
        <f t="shared" si="30"/>
        <v>0</v>
      </c>
      <c r="O77" s="423">
        <f t="shared" si="109"/>
        <v>0</v>
      </c>
      <c r="P77" s="423">
        <f t="shared" si="113"/>
        <v>0</v>
      </c>
      <c r="Q77" s="423">
        <f t="shared" si="114"/>
        <v>0</v>
      </c>
      <c r="R77" s="423">
        <f t="shared" si="115"/>
        <v>0</v>
      </c>
      <c r="S77" s="470"/>
      <c r="T77" s="36">
        <f t="shared" si="122"/>
        <v>0</v>
      </c>
      <c r="U77" s="36">
        <f t="shared" si="116"/>
        <v>0</v>
      </c>
      <c r="V77" s="2"/>
      <c r="W77" s="2" t="e">
        <f t="shared" si="66"/>
        <v>#VALUE!</v>
      </c>
      <c r="X77" s="34">
        <f t="shared" si="68"/>
        <v>11726</v>
      </c>
      <c r="Y77" s="57">
        <f t="shared" si="69"/>
        <v>55028</v>
      </c>
      <c r="AA77" s="16" t="s">
        <v>101</v>
      </c>
      <c r="AB77" s="16">
        <v>1500000</v>
      </c>
      <c r="AC77" s="16">
        <f>IF($C$7&gt;=$AA$76,AC76,IF($C$7&gt;=$AA$75,AC75,IF($C$7&gt;=$AA$74,AC74,IF($C$7&gt;=$AA$73,AC73,AC72))))</f>
        <v>1</v>
      </c>
      <c r="AD77" s="16">
        <v>1.3</v>
      </c>
      <c r="AE77" s="16">
        <v>1.3</v>
      </c>
      <c r="AF77" s="16">
        <v>1.2</v>
      </c>
      <c r="AH77" s="16">
        <f>IF($C$7&gt;=$AA$76,AH76,IF($C$7&gt;=$AA$75,AH75,IF($C$7&gt;=$AA$74,AH74,IF($C$7&gt;=$AA$73,AH73,AH72))))</f>
        <v>1</v>
      </c>
      <c r="AI77" s="16">
        <f>IF($C$7&gt;=$AA$76,AI76,IF($C$7&gt;=$AA$75,AI75,IF($C$7&gt;=$AA$74,AI74,IF($C$7&gt;=$AA$73,AI73,AI72))))</f>
        <v>2</v>
      </c>
      <c r="AJ77" s="16">
        <v>1</v>
      </c>
      <c r="AL77" s="2" t="e">
        <f>IF(AND(#REF!&gt;=$W$14,#REF!&lt;=$W$14+5),0,IF($C$9&gt;$AF$51,ROUND(AI37*$C$43/(DATEVALUE(CONCATENATE("01/01/",YEAR(#REF!)+1))-DATEVALUE(CONCATENATE("01/01/",YEAR(#REF!))))*(#REF!-Z37),2),0))</f>
        <v>#REF!</v>
      </c>
      <c r="AM77" s="34" t="e">
        <f t="shared" si="65"/>
        <v>#DIV/0!</v>
      </c>
      <c r="AN77" s="57">
        <f t="shared" si="96"/>
        <v>55393</v>
      </c>
      <c r="AO77" s="130" t="e">
        <f t="shared" si="117"/>
        <v>#DIV/0!</v>
      </c>
      <c r="AP77" s="109">
        <f t="shared" si="123"/>
        <v>69</v>
      </c>
      <c r="AQ77" s="110">
        <f t="shared" si="98"/>
        <v>46542</v>
      </c>
      <c r="AR77" s="105" t="e">
        <f>IF(BF83=1,AU77+AS77+AT77,IF(BE76+AU77+AS77&gt;AR76,$D$39,IF(BE76=0,0,BE76+AU77+AS77+AS78)))</f>
        <v>#DIV/0!</v>
      </c>
      <c r="AS77" s="105" t="e">
        <f t="shared" si="105"/>
        <v>#DIV/0!</v>
      </c>
      <c r="AT77" s="105">
        <f t="shared" si="119"/>
        <v>0</v>
      </c>
      <c r="AU77" s="105" t="e">
        <f t="shared" si="99"/>
        <v>#DIV/0!</v>
      </c>
      <c r="AV77" s="105" t="e">
        <f t="shared" si="45"/>
        <v>#DIV/0!</v>
      </c>
      <c r="AW77" s="105" t="e">
        <f t="shared" si="24"/>
        <v>#DIV/0!</v>
      </c>
      <c r="AX77" s="105">
        <f t="shared" si="88"/>
        <v>0</v>
      </c>
      <c r="AY77" s="105">
        <f t="shared" si="89"/>
        <v>0</v>
      </c>
      <c r="AZ77" s="105"/>
      <c r="BA77" s="105"/>
      <c r="BB77" s="105"/>
      <c r="BC77" s="105"/>
      <c r="BD77" s="105"/>
      <c r="BE77" s="105" t="e">
        <f t="shared" si="120"/>
        <v>#DIV/0!</v>
      </c>
      <c r="BF77" s="108">
        <f t="shared" si="124"/>
        <v>0</v>
      </c>
      <c r="BG77" s="108">
        <f t="shared" si="118"/>
        <v>0</v>
      </c>
      <c r="BH77" s="22">
        <f t="shared" si="101"/>
        <v>46360</v>
      </c>
      <c r="BI77" s="108">
        <f t="shared" si="102"/>
        <v>0</v>
      </c>
      <c r="BJ77" s="2" t="e">
        <f t="shared" si="103"/>
        <v>#DIV/0!</v>
      </c>
    </row>
    <row r="78" spans="1:63" s="16" customFormat="1" ht="14.25" x14ac:dyDescent="0.2">
      <c r="A78" s="2"/>
      <c r="B78" s="2"/>
      <c r="C78" s="2"/>
      <c r="D78" s="2"/>
      <c r="E78" s="2"/>
      <c r="F78" s="2"/>
      <c r="G78" s="426">
        <f t="shared" si="121"/>
        <v>70</v>
      </c>
      <c r="H78" s="427">
        <f t="shared" si="108"/>
        <v>46572</v>
      </c>
      <c r="I78" s="494">
        <f t="shared" si="77"/>
        <v>5.9000000000000004E-2</v>
      </c>
      <c r="J78" s="423">
        <f t="shared" si="74"/>
        <v>0</v>
      </c>
      <c r="K78" s="423">
        <f t="shared" si="110"/>
        <v>0</v>
      </c>
      <c r="L78" s="423">
        <f t="shared" si="111"/>
        <v>0</v>
      </c>
      <c r="M78" s="423">
        <f t="shared" si="112"/>
        <v>0</v>
      </c>
      <c r="N78" s="423">
        <f t="shared" si="30"/>
        <v>0</v>
      </c>
      <c r="O78" s="423">
        <f t="shared" si="109"/>
        <v>0</v>
      </c>
      <c r="P78" s="423">
        <f t="shared" si="113"/>
        <v>0</v>
      </c>
      <c r="Q78" s="423">
        <f t="shared" si="114"/>
        <v>0</v>
      </c>
      <c r="R78" s="423">
        <f t="shared" si="115"/>
        <v>0</v>
      </c>
      <c r="S78" s="470"/>
      <c r="T78" s="36">
        <f t="shared" si="122"/>
        <v>0</v>
      </c>
      <c r="U78" s="36">
        <f t="shared" si="116"/>
        <v>0</v>
      </c>
      <c r="V78" s="2"/>
      <c r="W78" s="2" t="e">
        <f t="shared" si="66"/>
        <v>#VALUE!</v>
      </c>
      <c r="X78" s="34">
        <f t="shared" si="68"/>
        <v>11726</v>
      </c>
      <c r="Y78" s="57">
        <f t="shared" si="69"/>
        <v>55393</v>
      </c>
      <c r="AC78" s="16" t="s">
        <v>330</v>
      </c>
      <c r="AD78" s="16" t="s">
        <v>112</v>
      </c>
      <c r="AE78" s="16" t="s">
        <v>116</v>
      </c>
      <c r="AF78" s="16" t="s">
        <v>117</v>
      </c>
      <c r="AH78" s="16" t="s">
        <v>122</v>
      </c>
      <c r="AI78" s="16" t="s">
        <v>121</v>
      </c>
      <c r="AL78" s="2" t="e">
        <f>IF(AND(#REF!&gt;=$W$14,#REF!&lt;=$W$14+5),0,IF($C$9&gt;$AF$51,ROUND(AI38*$C$43/(DATEVALUE(CONCATENATE("01/01/",YEAR(#REF!)+1))-DATEVALUE(CONCATENATE("01/01/",YEAR(#REF!))))*(#REF!-#REF!),2),0))</f>
        <v>#REF!</v>
      </c>
      <c r="AM78" s="34" t="e">
        <f>AS39</f>
        <v>#DIV/0!</v>
      </c>
      <c r="AN78" s="57">
        <f t="shared" si="96"/>
        <v>55758</v>
      </c>
      <c r="AO78" s="130" t="e">
        <f t="shared" si="117"/>
        <v>#DIV/0!</v>
      </c>
      <c r="AP78" s="109">
        <f t="shared" si="123"/>
        <v>70</v>
      </c>
      <c r="AQ78" s="110">
        <f t="shared" si="98"/>
        <v>46572</v>
      </c>
      <c r="AR78" s="105" t="e">
        <f>IF(BF84=1,AU78+AS78+AT78,IF(BE77+AU78+AS78&gt;AR77,$D$39,IF(BE77=0,0,BE77+AU78+AS78+#REF!)))</f>
        <v>#DIV/0!</v>
      </c>
      <c r="AS78" s="105" t="e">
        <f t="shared" si="105"/>
        <v>#DIV/0!</v>
      </c>
      <c r="AT78" s="105">
        <f t="shared" si="119"/>
        <v>0</v>
      </c>
      <c r="AU78" s="105" t="e">
        <f t="shared" si="99"/>
        <v>#DIV/0!</v>
      </c>
      <c r="AV78" s="105" t="e">
        <f t="shared" si="45"/>
        <v>#DIV/0!</v>
      </c>
      <c r="AW78" s="105" t="e">
        <f t="shared" si="24"/>
        <v>#DIV/0!</v>
      </c>
      <c r="AX78" s="105">
        <f t="shared" si="88"/>
        <v>0</v>
      </c>
      <c r="AY78" s="105">
        <f t="shared" si="89"/>
        <v>0</v>
      </c>
      <c r="AZ78" s="105"/>
      <c r="BA78" s="105"/>
      <c r="BB78" s="105"/>
      <c r="BC78" s="105"/>
      <c r="BD78" s="105"/>
      <c r="BE78" s="105" t="e">
        <f t="shared" si="120"/>
        <v>#DIV/0!</v>
      </c>
      <c r="BF78" s="108">
        <f t="shared" si="124"/>
        <v>0</v>
      </c>
      <c r="BG78" s="108">
        <f t="shared" si="118"/>
        <v>0</v>
      </c>
      <c r="BH78" s="22">
        <f t="shared" si="101"/>
        <v>46391</v>
      </c>
      <c r="BI78" s="108">
        <f t="shared" si="102"/>
        <v>0</v>
      </c>
      <c r="BJ78" s="2" t="e">
        <f t="shared" si="103"/>
        <v>#DIV/0!</v>
      </c>
    </row>
    <row r="79" spans="1:63" s="16" customFormat="1" ht="14.25" x14ac:dyDescent="0.2">
      <c r="A79" s="2"/>
      <c r="B79" s="2"/>
      <c r="C79" s="2"/>
      <c r="D79" s="13"/>
      <c r="E79" s="2"/>
      <c r="F79" s="2"/>
      <c r="G79" s="426">
        <f t="shared" si="121"/>
        <v>71</v>
      </c>
      <c r="H79" s="427">
        <f t="shared" si="108"/>
        <v>46603</v>
      </c>
      <c r="I79" s="494">
        <f t="shared" si="77"/>
        <v>5.9000000000000004E-2</v>
      </c>
      <c r="J79" s="423">
        <f t="shared" si="74"/>
        <v>0</v>
      </c>
      <c r="K79" s="423">
        <f t="shared" si="110"/>
        <v>0</v>
      </c>
      <c r="L79" s="423">
        <f t="shared" si="111"/>
        <v>0</v>
      </c>
      <c r="M79" s="423">
        <f t="shared" si="112"/>
        <v>0</v>
      </c>
      <c r="N79" s="423">
        <f t="shared" si="30"/>
        <v>0</v>
      </c>
      <c r="O79" s="423">
        <f t="shared" si="109"/>
        <v>0</v>
      </c>
      <c r="P79" s="423">
        <f t="shared" si="113"/>
        <v>0</v>
      </c>
      <c r="Q79" s="423">
        <f t="shared" si="114"/>
        <v>0</v>
      </c>
      <c r="R79" s="423">
        <f t="shared" si="115"/>
        <v>0</v>
      </c>
      <c r="S79" s="470"/>
      <c r="T79" s="36">
        <f t="shared" si="122"/>
        <v>0</v>
      </c>
      <c r="U79" s="36">
        <f t="shared" si="116"/>
        <v>0</v>
      </c>
      <c r="V79" s="2"/>
      <c r="W79" s="2" t="e">
        <f t="shared" si="66"/>
        <v>#VALUE!</v>
      </c>
      <c r="X79" s="34">
        <f t="shared" si="68"/>
        <v>11726</v>
      </c>
      <c r="Y79" s="57">
        <f t="shared" si="69"/>
        <v>55758</v>
      </c>
      <c r="AC79" s="143">
        <f>MIN($C$7*IF($C$7&gt;$AB$75,AC76,IF($C$7&gt;$AB$74,AC75,IF($C$7&gt;$AB$73,AC74,IF($C$7&gt;$AB$72,AC73,AC72)))),5000000)</f>
        <v>330000</v>
      </c>
      <c r="AD79" s="143">
        <f>MIN($C$7*IF($C$7&gt;$AB$76,AD77,IF($C$7&gt;$AB$75,AD76,IF($C$7&gt;$AB$74,AD75,IF($C$7&gt;$AB$73,AD74,IF($C$7&gt;$AB$72,AD73,AD72))))),5000000)</f>
        <v>405000</v>
      </c>
      <c r="AE79" s="143">
        <f>MIN($C$7*IF($C$7&gt;=$AA$76,AE76,IF($C$7&gt;=$AA$75,AE75,IF($C$7&gt;=$AA$74,AE74,IF($C$7&gt;=$AA$73,AE73,AE72)))),5000000)</f>
        <v>450000</v>
      </c>
      <c r="AF79" s="143">
        <f>MIN($C$7*IF($C$7&gt;=$AA$76,AF76,IF($C$7&gt;=$AA$75,AF75,IF($C$7&gt;=$AA$74,AF74,IF($C$7&gt;=$AA$73,AF73,AF72)))),5000000)</f>
        <v>390000</v>
      </c>
      <c r="AG79" s="143"/>
      <c r="AH79" s="143">
        <f>$C$7*IF($C$7&gt;=$AA$76,AH76,IF($C$7&gt;=$AA$75,AH75,IF($C$7&gt;=$AA$74,AH74,IF($C$7&gt;=$AA$73,AH73,AH72))))</f>
        <v>300000</v>
      </c>
      <c r="AI79" s="143">
        <f>$C$7*IF($C$7&gt;=$AA$76,AI76,IF($C$7&gt;=$AA$75,AI75,IF($C$7&gt;=$AA$74,AI74,IF($C$7&gt;=$AA$73,AI73,AI72))))</f>
        <v>600000</v>
      </c>
      <c r="AL79" s="2" t="e">
        <f>IF(AND(#REF!&gt;=$W$14,#REF!&lt;=$W$14+5),0,IF($C$9&gt;$AF$51,ROUND(AJ39*$C$43/(DATEVALUE(CONCATENATE("01/01/",YEAR(#REF!)+1))-DATEVALUE(CONCATENATE("01/01/",YEAR(#REF!))))*(#REF!-#REF!),2),0))</f>
        <v>#REF!</v>
      </c>
      <c r="AM79" s="34" t="e">
        <f>AS40</f>
        <v>#DIV/0!</v>
      </c>
      <c r="AN79" s="57">
        <f t="shared" si="96"/>
        <v>56123</v>
      </c>
      <c r="AO79" s="130" t="e">
        <f t="shared" si="117"/>
        <v>#DIV/0!</v>
      </c>
      <c r="AP79" s="109">
        <f t="shared" si="123"/>
        <v>71</v>
      </c>
      <c r="AQ79" s="110">
        <f t="shared" si="98"/>
        <v>46603</v>
      </c>
      <c r="AR79" s="105" t="e">
        <f t="shared" ref="AR79:AR99" si="125">IF(BF85=1,AU79+AS79+AT79,IF(BE78+AU79+AS79&gt;AR78,$D$39,IF(BE78=0,0,BE78+AU79+AS79+AS110)))</f>
        <v>#DIV/0!</v>
      </c>
      <c r="AS79" s="105" t="e">
        <f t="shared" si="105"/>
        <v>#DIV/0!</v>
      </c>
      <c r="AT79" s="105">
        <f t="shared" si="119"/>
        <v>0</v>
      </c>
      <c r="AU79" s="105" t="e">
        <f t="shared" si="99"/>
        <v>#DIV/0!</v>
      </c>
      <c r="AV79" s="105" t="e">
        <f t="shared" si="45"/>
        <v>#DIV/0!</v>
      </c>
      <c r="AW79" s="105" t="e">
        <f t="shared" si="24"/>
        <v>#DIV/0!</v>
      </c>
      <c r="AX79" s="105">
        <f t="shared" si="88"/>
        <v>0</v>
      </c>
      <c r="AY79" s="105">
        <f t="shared" si="89"/>
        <v>0</v>
      </c>
      <c r="AZ79" s="105"/>
      <c r="BA79" s="105"/>
      <c r="BB79" s="105"/>
      <c r="BC79" s="105"/>
      <c r="BD79" s="105"/>
      <c r="BE79" s="105" t="e">
        <f t="shared" si="120"/>
        <v>#DIV/0!</v>
      </c>
      <c r="BF79" s="108">
        <f t="shared" si="124"/>
        <v>0</v>
      </c>
      <c r="BG79" s="108">
        <f t="shared" si="118"/>
        <v>0</v>
      </c>
      <c r="BH79" s="22">
        <f t="shared" si="101"/>
        <v>46422</v>
      </c>
      <c r="BI79" s="108">
        <f t="shared" si="102"/>
        <v>0</v>
      </c>
      <c r="BJ79" s="2" t="e">
        <f t="shared" si="103"/>
        <v>#DIV/0!</v>
      </c>
    </row>
    <row r="80" spans="1:63" s="16" customFormat="1" ht="14.25" x14ac:dyDescent="0.2">
      <c r="A80" s="2"/>
      <c r="B80" s="2"/>
      <c r="C80" s="2"/>
      <c r="D80" s="13"/>
      <c r="E80" s="2"/>
      <c r="F80" s="2"/>
      <c r="G80" s="426">
        <f t="shared" si="121"/>
        <v>72</v>
      </c>
      <c r="H80" s="427">
        <f t="shared" si="108"/>
        <v>46634</v>
      </c>
      <c r="I80" s="494">
        <f t="shared" si="77"/>
        <v>5.9000000000000004E-2</v>
      </c>
      <c r="J80" s="423">
        <f t="shared" si="74"/>
        <v>0</v>
      </c>
      <c r="K80" s="423">
        <f t="shared" si="110"/>
        <v>0</v>
      </c>
      <c r="L80" s="423">
        <f t="shared" si="111"/>
        <v>0</v>
      </c>
      <c r="M80" s="423">
        <f t="shared" si="112"/>
        <v>0</v>
      </c>
      <c r="N80" s="423">
        <f t="shared" si="30"/>
        <v>0</v>
      </c>
      <c r="O80" s="423">
        <f t="shared" si="109"/>
        <v>0</v>
      </c>
      <c r="P80" s="423">
        <f t="shared" si="113"/>
        <v>0</v>
      </c>
      <c r="Q80" s="423">
        <f t="shared" si="114"/>
        <v>0</v>
      </c>
      <c r="R80" s="423">
        <f t="shared" si="115"/>
        <v>0</v>
      </c>
      <c r="S80" s="470"/>
      <c r="T80" s="36">
        <f t="shared" si="122"/>
        <v>0</v>
      </c>
      <c r="U80" s="36">
        <f t="shared" si="116"/>
        <v>0</v>
      </c>
      <c r="V80" s="2"/>
      <c r="W80" s="2" t="e">
        <f t="shared" si="66"/>
        <v>#VALUE!</v>
      </c>
      <c r="X80" s="34">
        <f t="shared" si="68"/>
        <v>11726</v>
      </c>
      <c r="Y80" s="57">
        <f t="shared" si="69"/>
        <v>56123</v>
      </c>
      <c r="AL80" s="2" t="e">
        <f>IF(AND(#REF!&gt;=$W$14,#REF!&lt;=$W$14+5),0,IF($C$9&gt;$AF$51,ROUND(AJ40*$C$43/(DATEVALUE(CONCATENATE("01/01/",YEAR(#REF!)+1))-DATEVALUE(CONCATENATE("01/01/",YEAR(#REF!))))*(#REF!-#REF!),2),0))</f>
        <v>#REF!</v>
      </c>
      <c r="AM80" s="34" t="e">
        <f>AS41</f>
        <v>#DIV/0!</v>
      </c>
      <c r="AN80" s="57">
        <f t="shared" si="96"/>
        <v>56488</v>
      </c>
      <c r="AO80" s="130" t="e">
        <f t="shared" si="117"/>
        <v>#DIV/0!</v>
      </c>
      <c r="AP80" s="109">
        <f t="shared" si="123"/>
        <v>72</v>
      </c>
      <c r="AQ80" s="110">
        <f t="shared" si="98"/>
        <v>46634</v>
      </c>
      <c r="AR80" s="105" t="e">
        <f t="shared" si="125"/>
        <v>#DIV/0!</v>
      </c>
      <c r="AS80" s="105" t="e">
        <f t="shared" si="105"/>
        <v>#DIV/0!</v>
      </c>
      <c r="AT80" s="105">
        <f t="shared" si="119"/>
        <v>0</v>
      </c>
      <c r="AU80" s="105" t="e">
        <f t="shared" si="99"/>
        <v>#DIV/0!</v>
      </c>
      <c r="AV80" s="105" t="e">
        <f t="shared" si="45"/>
        <v>#DIV/0!</v>
      </c>
      <c r="AW80" s="105" t="e">
        <f t="shared" si="24"/>
        <v>#DIV/0!</v>
      </c>
      <c r="AX80" s="105">
        <f t="shared" si="88"/>
        <v>0</v>
      </c>
      <c r="AY80" s="105">
        <f t="shared" si="89"/>
        <v>0</v>
      </c>
      <c r="AZ80" s="105"/>
      <c r="BA80" s="105"/>
      <c r="BB80" s="105"/>
      <c r="BC80" s="105"/>
      <c r="BD80" s="105"/>
      <c r="BE80" s="105" t="e">
        <f t="shared" si="120"/>
        <v>#DIV/0!</v>
      </c>
      <c r="BF80" s="108">
        <f t="shared" si="124"/>
        <v>0</v>
      </c>
      <c r="BG80" s="108">
        <f t="shared" si="118"/>
        <v>0</v>
      </c>
      <c r="BH80" s="22">
        <f t="shared" si="101"/>
        <v>46450</v>
      </c>
      <c r="BI80" s="108">
        <f t="shared" si="102"/>
        <v>0</v>
      </c>
      <c r="BJ80" s="2" t="e">
        <f t="shared" si="103"/>
        <v>#DIV/0!</v>
      </c>
    </row>
    <row r="81" spans="1:62" s="16" customFormat="1" ht="14.25" x14ac:dyDescent="0.2">
      <c r="A81" s="2"/>
      <c r="B81" s="2"/>
      <c r="C81" s="2"/>
      <c r="D81" s="2"/>
      <c r="E81" s="2"/>
      <c r="F81" s="2"/>
      <c r="G81" s="426">
        <f t="shared" si="121"/>
        <v>73</v>
      </c>
      <c r="H81" s="427">
        <f t="shared" si="108"/>
        <v>46664</v>
      </c>
      <c r="I81" s="494">
        <f t="shared" si="77"/>
        <v>5.9000000000000004E-2</v>
      </c>
      <c r="J81" s="423">
        <f t="shared" si="74"/>
        <v>0</v>
      </c>
      <c r="K81" s="423">
        <f t="shared" si="110"/>
        <v>0</v>
      </c>
      <c r="L81" s="423">
        <f t="shared" si="111"/>
        <v>0</v>
      </c>
      <c r="M81" s="423">
        <f t="shared" si="112"/>
        <v>0</v>
      </c>
      <c r="N81" s="423">
        <f t="shared" si="30"/>
        <v>0</v>
      </c>
      <c r="O81" s="423">
        <f t="shared" si="109"/>
        <v>0</v>
      </c>
      <c r="P81" s="423">
        <f t="shared" si="113"/>
        <v>0</v>
      </c>
      <c r="Q81" s="423">
        <f t="shared" si="114"/>
        <v>0</v>
      </c>
      <c r="R81" s="423">
        <f t="shared" si="115"/>
        <v>0</v>
      </c>
      <c r="S81" s="470"/>
      <c r="T81" s="36">
        <f t="shared" si="122"/>
        <v>0</v>
      </c>
      <c r="U81" s="36">
        <f t="shared" si="116"/>
        <v>0</v>
      </c>
      <c r="V81" s="2"/>
      <c r="W81" s="2" t="e">
        <f t="shared" ref="W81:W112" si="126">IF(AND(G41&gt;=$W$14,G41&lt;=$W$14+5),0,IF($C$9&gt;$AF$51,ROUND(R40*$C$43/(DATEVALUE(CONCATENATE("01/01/",YEAR(H41)+1))-DATEVALUE(CONCATENATE("01/01/",YEAR(H41))))*(H41-H40),2),0))</f>
        <v>#VALUE!</v>
      </c>
      <c r="X81" s="34">
        <f t="shared" si="68"/>
        <v>11726</v>
      </c>
      <c r="Y81" s="57">
        <f t="shared" si="69"/>
        <v>56488</v>
      </c>
      <c r="AL81" s="2" t="e">
        <f>IF(AND(#REF!&gt;=$W$14,#REF!&lt;=$W$14+5),0,IF($C$9&gt;$AF$51,ROUND(AJ41*$C$43/(DATEVALUE(CONCATENATE("01/01/",YEAR(#REF!)+1))-DATEVALUE(CONCATENATE("01/01/",YEAR(#REF!))))*(#REF!-#REF!),2),0))</f>
        <v>#REF!</v>
      </c>
      <c r="AM81" s="34" t="e">
        <f t="shared" si="65"/>
        <v>#DIV/0!</v>
      </c>
      <c r="AN81" s="57">
        <f t="shared" ref="AN81:AN144" si="127">AN80+365</f>
        <v>56853</v>
      </c>
      <c r="AO81" s="130" t="e">
        <f t="shared" si="117"/>
        <v>#DIV/0!</v>
      </c>
      <c r="AP81" s="109">
        <f t="shared" si="123"/>
        <v>73</v>
      </c>
      <c r="AQ81" s="110">
        <f t="shared" si="98"/>
        <v>46664</v>
      </c>
      <c r="AR81" s="105" t="e">
        <f t="shared" si="125"/>
        <v>#DIV/0!</v>
      </c>
      <c r="AS81" s="105" t="e">
        <f t="shared" si="105"/>
        <v>#DIV/0!</v>
      </c>
      <c r="AT81" s="105">
        <f t="shared" si="119"/>
        <v>0</v>
      </c>
      <c r="AU81" s="105" t="e">
        <f t="shared" si="99"/>
        <v>#DIV/0!</v>
      </c>
      <c r="AV81" s="105" t="e">
        <f t="shared" si="45"/>
        <v>#DIV/0!</v>
      </c>
      <c r="AW81" s="105" t="e">
        <f t="shared" si="24"/>
        <v>#DIV/0!</v>
      </c>
      <c r="AX81" s="105">
        <f t="shared" si="88"/>
        <v>0</v>
      </c>
      <c r="AY81" s="105">
        <f t="shared" si="89"/>
        <v>0</v>
      </c>
      <c r="AZ81" s="105"/>
      <c r="BA81" s="105"/>
      <c r="BB81" s="105"/>
      <c r="BC81" s="105"/>
      <c r="BD81" s="105"/>
      <c r="BE81" s="105" t="e">
        <f t="shared" si="120"/>
        <v>#DIV/0!</v>
      </c>
      <c r="BF81" s="108">
        <f t="shared" si="124"/>
        <v>0</v>
      </c>
      <c r="BG81" s="108">
        <f t="shared" si="118"/>
        <v>0</v>
      </c>
      <c r="BH81" s="22">
        <f t="shared" si="101"/>
        <v>46481</v>
      </c>
      <c r="BI81" s="108">
        <f t="shared" si="102"/>
        <v>0</v>
      </c>
      <c r="BJ81" s="2" t="e">
        <f t="shared" si="103"/>
        <v>#DIV/0!</v>
      </c>
    </row>
    <row r="82" spans="1:62" s="16" customFormat="1" ht="14.25" x14ac:dyDescent="0.2">
      <c r="A82" s="2"/>
      <c r="B82" s="2"/>
      <c r="C82" s="2"/>
      <c r="D82" s="2"/>
      <c r="E82" s="2"/>
      <c r="F82" s="2"/>
      <c r="G82" s="426">
        <f t="shared" si="121"/>
        <v>74</v>
      </c>
      <c r="H82" s="427">
        <f t="shared" si="108"/>
        <v>46695</v>
      </c>
      <c r="I82" s="494">
        <f t="shared" si="77"/>
        <v>5.9000000000000004E-2</v>
      </c>
      <c r="J82" s="423">
        <f t="shared" si="74"/>
        <v>0</v>
      </c>
      <c r="K82" s="423">
        <f t="shared" si="110"/>
        <v>0</v>
      </c>
      <c r="L82" s="423">
        <f t="shared" si="111"/>
        <v>0</v>
      </c>
      <c r="M82" s="423">
        <f t="shared" si="112"/>
        <v>0</v>
      </c>
      <c r="N82" s="423">
        <f t="shared" si="30"/>
        <v>0</v>
      </c>
      <c r="O82" s="423">
        <f t="shared" si="109"/>
        <v>0</v>
      </c>
      <c r="P82" s="423">
        <f t="shared" si="113"/>
        <v>0</v>
      </c>
      <c r="Q82" s="423">
        <f t="shared" si="114"/>
        <v>0</v>
      </c>
      <c r="R82" s="423">
        <f t="shared" si="115"/>
        <v>0</v>
      </c>
      <c r="S82" s="470"/>
      <c r="T82" s="36">
        <f t="shared" si="122"/>
        <v>0</v>
      </c>
      <c r="U82" s="36">
        <f t="shared" si="116"/>
        <v>0</v>
      </c>
      <c r="V82" s="2"/>
      <c r="W82" s="2" t="e">
        <f t="shared" si="126"/>
        <v>#VALUE!</v>
      </c>
      <c r="X82" s="34">
        <f t="shared" si="68"/>
        <v>11726</v>
      </c>
      <c r="Y82" s="57">
        <f t="shared" si="69"/>
        <v>56853</v>
      </c>
      <c r="AE82" s="16">
        <f>500000*0.3*60</f>
        <v>9000000</v>
      </c>
      <c r="AL82" s="2" t="e">
        <f>IF(AND(#REF!&gt;=$W$14,#REF!&lt;=$W$14+5),0,IF($C$9&gt;$AF$51,ROUND(AI42*$C$43/(DATEVALUE(CONCATENATE("01/01/",YEAR(#REF!)+1))-DATEVALUE(CONCATENATE("01/01/",YEAR(#REF!))))*(#REF!-#REF!),2),0))</f>
        <v>#REF!</v>
      </c>
      <c r="AM82" s="34" t="e">
        <f t="shared" si="65"/>
        <v>#DIV/0!</v>
      </c>
      <c r="AN82" s="57">
        <f t="shared" si="127"/>
        <v>57218</v>
      </c>
      <c r="AO82" s="130" t="e">
        <f t="shared" si="117"/>
        <v>#DIV/0!</v>
      </c>
      <c r="AP82" s="109">
        <f t="shared" si="123"/>
        <v>74</v>
      </c>
      <c r="AQ82" s="110">
        <f t="shared" si="98"/>
        <v>46695</v>
      </c>
      <c r="AR82" s="105" t="e">
        <f t="shared" si="125"/>
        <v>#DIV/0!</v>
      </c>
      <c r="AS82" s="105" t="e">
        <f t="shared" si="105"/>
        <v>#DIV/0!</v>
      </c>
      <c r="AT82" s="105">
        <f t="shared" si="119"/>
        <v>0</v>
      </c>
      <c r="AU82" s="105" t="e">
        <f t="shared" si="99"/>
        <v>#DIV/0!</v>
      </c>
      <c r="AV82" s="105" t="e">
        <f t="shared" si="45"/>
        <v>#DIV/0!</v>
      </c>
      <c r="AW82" s="105" t="e">
        <f t="shared" si="24"/>
        <v>#DIV/0!</v>
      </c>
      <c r="AX82" s="105">
        <f t="shared" si="88"/>
        <v>0</v>
      </c>
      <c r="AY82" s="105">
        <f t="shared" si="89"/>
        <v>0</v>
      </c>
      <c r="AZ82" s="105"/>
      <c r="BA82" s="105"/>
      <c r="BB82" s="105"/>
      <c r="BC82" s="105"/>
      <c r="BD82" s="105"/>
      <c r="BE82" s="105" t="e">
        <f t="shared" si="120"/>
        <v>#DIV/0!</v>
      </c>
      <c r="BF82" s="108">
        <f t="shared" si="124"/>
        <v>0</v>
      </c>
      <c r="BG82" s="108">
        <f t="shared" si="118"/>
        <v>0</v>
      </c>
      <c r="BH82" s="22">
        <f t="shared" si="101"/>
        <v>46511</v>
      </c>
      <c r="BI82" s="108">
        <f t="shared" si="102"/>
        <v>0</v>
      </c>
      <c r="BJ82" s="2" t="e">
        <f t="shared" si="103"/>
        <v>#DIV/0!</v>
      </c>
    </row>
    <row r="83" spans="1:62" s="16" customFormat="1" ht="14.25" x14ac:dyDescent="0.2">
      <c r="A83" s="2"/>
      <c r="B83" s="2"/>
      <c r="C83" s="2"/>
      <c r="D83" s="2"/>
      <c r="E83" s="2"/>
      <c r="F83" s="2"/>
      <c r="G83" s="426">
        <f t="shared" si="121"/>
        <v>75</v>
      </c>
      <c r="H83" s="427">
        <f t="shared" si="108"/>
        <v>46725</v>
      </c>
      <c r="I83" s="494">
        <f t="shared" si="77"/>
        <v>5.9000000000000004E-2</v>
      </c>
      <c r="J83" s="423">
        <f t="shared" si="74"/>
        <v>0</v>
      </c>
      <c r="K83" s="423">
        <f t="shared" si="110"/>
        <v>0</v>
      </c>
      <c r="L83" s="423">
        <f t="shared" si="111"/>
        <v>0</v>
      </c>
      <c r="M83" s="423">
        <f t="shared" si="112"/>
        <v>0</v>
      </c>
      <c r="N83" s="423">
        <f t="shared" si="30"/>
        <v>0</v>
      </c>
      <c r="O83" s="423">
        <f t="shared" si="109"/>
        <v>0</v>
      </c>
      <c r="P83" s="423">
        <f t="shared" si="113"/>
        <v>0</v>
      </c>
      <c r="Q83" s="423">
        <f t="shared" si="114"/>
        <v>0</v>
      </c>
      <c r="R83" s="423">
        <f t="shared" si="115"/>
        <v>0</v>
      </c>
      <c r="S83" s="470"/>
      <c r="T83" s="36">
        <f t="shared" si="122"/>
        <v>0</v>
      </c>
      <c r="U83" s="36">
        <f t="shared" si="116"/>
        <v>0</v>
      </c>
      <c r="V83" s="2"/>
      <c r="W83" s="2" t="e">
        <f t="shared" si="126"/>
        <v>#VALUE!</v>
      </c>
      <c r="X83" s="34">
        <f t="shared" si="68"/>
        <v>11726</v>
      </c>
      <c r="Y83" s="57">
        <f t="shared" si="69"/>
        <v>57218</v>
      </c>
      <c r="AL83" s="2" t="e">
        <f>IF(AND(#REF!&gt;=$W$14,#REF!&lt;=$W$14+5),0,IF($C$9&gt;$AF$51,ROUND(AI43*$C$43/(DATEVALUE(CONCATENATE("01/01/",YEAR(#REF!)+1))-DATEVALUE(CONCATENATE("01/01/",YEAR(#REF!))))*(#REF!-#REF!),2),0))</f>
        <v>#REF!</v>
      </c>
      <c r="AM83" s="34" t="e">
        <f t="shared" si="65"/>
        <v>#DIV/0!</v>
      </c>
      <c r="AN83" s="57">
        <f t="shared" si="127"/>
        <v>57583</v>
      </c>
      <c r="AO83" s="130" t="e">
        <f t="shared" si="117"/>
        <v>#DIV/0!</v>
      </c>
      <c r="AP83" s="109">
        <f t="shared" si="123"/>
        <v>75</v>
      </c>
      <c r="AQ83" s="110">
        <f t="shared" si="98"/>
        <v>46725</v>
      </c>
      <c r="AR83" s="105" t="e">
        <f t="shared" si="125"/>
        <v>#DIV/0!</v>
      </c>
      <c r="AS83" s="105" t="e">
        <f t="shared" si="105"/>
        <v>#DIV/0!</v>
      </c>
      <c r="AT83" s="105">
        <f t="shared" si="119"/>
        <v>0</v>
      </c>
      <c r="AU83" s="105" t="e">
        <f t="shared" si="99"/>
        <v>#DIV/0!</v>
      </c>
      <c r="AV83" s="105" t="e">
        <f t="shared" si="45"/>
        <v>#DIV/0!</v>
      </c>
      <c r="AW83" s="105" t="e">
        <f t="shared" si="24"/>
        <v>#DIV/0!</v>
      </c>
      <c r="AX83" s="105">
        <f t="shared" ref="AX83:AX108" si="128">IF(BG89=0,0,0)</f>
        <v>0</v>
      </c>
      <c r="AY83" s="105">
        <f t="shared" ref="AY83:AY108" si="129">IF(BG89=0,0,0)</f>
        <v>0</v>
      </c>
      <c r="AZ83" s="105"/>
      <c r="BA83" s="105"/>
      <c r="BB83" s="105"/>
      <c r="BC83" s="105"/>
      <c r="BD83" s="105"/>
      <c r="BE83" s="105" t="e">
        <f t="shared" si="120"/>
        <v>#DIV/0!</v>
      </c>
      <c r="BF83" s="108">
        <f t="shared" si="124"/>
        <v>0</v>
      </c>
      <c r="BG83" s="108">
        <f t="shared" si="118"/>
        <v>0</v>
      </c>
      <c r="BH83" s="22">
        <f t="shared" si="101"/>
        <v>46542</v>
      </c>
      <c r="BI83" s="108">
        <f t="shared" si="102"/>
        <v>0</v>
      </c>
      <c r="BJ83" s="2" t="e">
        <f t="shared" si="103"/>
        <v>#DIV/0!</v>
      </c>
    </row>
    <row r="84" spans="1:62" s="16" customFormat="1" ht="14.25" x14ac:dyDescent="0.2">
      <c r="A84" s="53"/>
      <c r="C84" s="2"/>
      <c r="D84" s="2"/>
      <c r="E84" s="2"/>
      <c r="F84" s="2"/>
      <c r="G84" s="426">
        <f t="shared" si="121"/>
        <v>76</v>
      </c>
      <c r="H84" s="427">
        <f t="shared" si="108"/>
        <v>46756</v>
      </c>
      <c r="I84" s="494">
        <f t="shared" si="77"/>
        <v>5.9000000000000004E-2</v>
      </c>
      <c r="J84" s="423">
        <f t="shared" si="74"/>
        <v>0</v>
      </c>
      <c r="K84" s="423">
        <f t="shared" si="110"/>
        <v>0</v>
      </c>
      <c r="L84" s="423">
        <f t="shared" si="111"/>
        <v>0</v>
      </c>
      <c r="M84" s="423">
        <f t="shared" si="112"/>
        <v>0</v>
      </c>
      <c r="N84" s="423">
        <f t="shared" si="30"/>
        <v>0</v>
      </c>
      <c r="O84" s="423">
        <f t="shared" si="109"/>
        <v>0</v>
      </c>
      <c r="P84" s="423">
        <f t="shared" si="113"/>
        <v>0</v>
      </c>
      <c r="Q84" s="423">
        <f t="shared" si="114"/>
        <v>0</v>
      </c>
      <c r="R84" s="423">
        <f t="shared" si="115"/>
        <v>0</v>
      </c>
      <c r="S84" s="470"/>
      <c r="T84" s="36">
        <f t="shared" si="122"/>
        <v>0</v>
      </c>
      <c r="U84" s="36">
        <f t="shared" si="116"/>
        <v>0</v>
      </c>
      <c r="V84" s="2"/>
      <c r="W84" s="2" t="e">
        <f t="shared" si="126"/>
        <v>#VALUE!</v>
      </c>
      <c r="X84" s="34">
        <f t="shared" si="68"/>
        <v>11726</v>
      </c>
      <c r="Y84" s="57">
        <f t="shared" si="69"/>
        <v>57583</v>
      </c>
      <c r="AL84" s="2" t="e">
        <f>IF(AND(Y46&gt;=$W$14,Y46&lt;=$W$14+5),0,IF($C$9&gt;$AF$51,ROUND(AI44*$C$43/(DATEVALUE(CONCATENATE("01/01/",YEAR(Z46)+1))-DATEVALUE(CONCATENATE("01/01/",YEAR(Z46))))*(Z46-#REF!),2),0))</f>
        <v>#VALUE!</v>
      </c>
      <c r="AM84" s="34" t="e">
        <f t="shared" si="65"/>
        <v>#DIV/0!</v>
      </c>
      <c r="AN84" s="57">
        <f t="shared" si="127"/>
        <v>57948</v>
      </c>
      <c r="AO84" s="130" t="e">
        <f t="shared" si="117"/>
        <v>#DIV/0!</v>
      </c>
      <c r="AP84" s="109">
        <f t="shared" si="123"/>
        <v>76</v>
      </c>
      <c r="AQ84" s="110">
        <f t="shared" si="98"/>
        <v>46756</v>
      </c>
      <c r="AR84" s="105" t="e">
        <f t="shared" si="125"/>
        <v>#DIV/0!</v>
      </c>
      <c r="AS84" s="105" t="e">
        <f t="shared" si="105"/>
        <v>#DIV/0!</v>
      </c>
      <c r="AT84" s="105">
        <f t="shared" si="119"/>
        <v>0</v>
      </c>
      <c r="AU84" s="105" t="e">
        <f t="shared" si="99"/>
        <v>#DIV/0!</v>
      </c>
      <c r="AV84" s="105" t="e">
        <f t="shared" si="45"/>
        <v>#DIV/0!</v>
      </c>
      <c r="AW84" s="105" t="e">
        <f t="shared" si="24"/>
        <v>#DIV/0!</v>
      </c>
      <c r="AX84" s="105">
        <f t="shared" si="128"/>
        <v>0</v>
      </c>
      <c r="AY84" s="105">
        <f t="shared" si="129"/>
        <v>0</v>
      </c>
      <c r="AZ84" s="105"/>
      <c r="BA84" s="105"/>
      <c r="BB84" s="105"/>
      <c r="BC84" s="105"/>
      <c r="BD84" s="105"/>
      <c r="BE84" s="105" t="e">
        <f t="shared" si="120"/>
        <v>#DIV/0!</v>
      </c>
      <c r="BF84" s="108">
        <f t="shared" si="124"/>
        <v>0</v>
      </c>
      <c r="BG84" s="108">
        <f t="shared" si="118"/>
        <v>0</v>
      </c>
      <c r="BH84" s="22">
        <f t="shared" si="101"/>
        <v>46572</v>
      </c>
      <c r="BI84" s="108">
        <f t="shared" si="102"/>
        <v>0</v>
      </c>
      <c r="BJ84" s="2" t="e">
        <f>IF(AND(G39&gt;=$W$14,G39&lt;=$W$14+5),0,IF($C$9&gt;$AF$51,ROUND(BE38*IF($D$33="",0,$D$33)/(DATEVALUE(CONCATENATE("01/01/",YEAR(AR39)+1))-DATEVALUE(CONCATENATE("01/01/",YEAR(AR39))))*(AR39-AQ38),2),0))</f>
        <v>#DIV/0!</v>
      </c>
    </row>
    <row r="85" spans="1:62" s="16" customFormat="1" ht="14.25" x14ac:dyDescent="0.2">
      <c r="A85" s="53"/>
      <c r="B85" s="2"/>
      <c r="C85" s="2"/>
      <c r="D85" s="2"/>
      <c r="E85" s="2"/>
      <c r="F85" s="2"/>
      <c r="G85" s="426">
        <f t="shared" si="121"/>
        <v>77</v>
      </c>
      <c r="H85" s="427">
        <f t="shared" si="108"/>
        <v>46787</v>
      </c>
      <c r="I85" s="494">
        <f t="shared" si="77"/>
        <v>5.9000000000000004E-2</v>
      </c>
      <c r="J85" s="423">
        <f t="shared" si="74"/>
        <v>0</v>
      </c>
      <c r="K85" s="423">
        <f t="shared" si="110"/>
        <v>0</v>
      </c>
      <c r="L85" s="423">
        <f t="shared" si="111"/>
        <v>0</v>
      </c>
      <c r="M85" s="423">
        <f t="shared" si="112"/>
        <v>0</v>
      </c>
      <c r="N85" s="423">
        <f t="shared" si="30"/>
        <v>0</v>
      </c>
      <c r="O85" s="423">
        <f t="shared" si="109"/>
        <v>0</v>
      </c>
      <c r="P85" s="423">
        <f t="shared" si="113"/>
        <v>0</v>
      </c>
      <c r="Q85" s="423">
        <f t="shared" si="114"/>
        <v>0</v>
      </c>
      <c r="R85" s="423">
        <f t="shared" si="115"/>
        <v>0</v>
      </c>
      <c r="S85" s="470"/>
      <c r="T85" s="36">
        <f t="shared" si="122"/>
        <v>0</v>
      </c>
      <c r="U85" s="36">
        <f t="shared" si="116"/>
        <v>0</v>
      </c>
      <c r="V85" s="2"/>
      <c r="W85" s="2" t="e">
        <f t="shared" si="126"/>
        <v>#VALUE!</v>
      </c>
      <c r="X85" s="34">
        <f t="shared" si="68"/>
        <v>11494</v>
      </c>
      <c r="Y85" s="57">
        <f t="shared" si="69"/>
        <v>57948</v>
      </c>
      <c r="AL85" s="2" t="e">
        <f t="shared" ref="AL85:AL116" si="130">IF(AND(Y47&gt;=$W$14,Y47&lt;=$W$14+5),0,IF($C$9&gt;$AF$51,ROUND(AI45*$C$43/(DATEVALUE(CONCATENATE("01/01/",YEAR(Z47)+1))-DATEVALUE(CONCATENATE("01/01/",YEAR(Z47))))*(Z47-Z46),2),0))</f>
        <v>#VALUE!</v>
      </c>
      <c r="AM85" s="34" t="e">
        <f t="shared" si="65"/>
        <v>#DIV/0!</v>
      </c>
      <c r="AN85" s="57">
        <f t="shared" si="127"/>
        <v>58313</v>
      </c>
      <c r="AO85" s="130" t="e">
        <f t="shared" si="117"/>
        <v>#DIV/0!</v>
      </c>
      <c r="AP85" s="109">
        <f t="shared" si="123"/>
        <v>77</v>
      </c>
      <c r="AQ85" s="110">
        <f t="shared" si="98"/>
        <v>46787</v>
      </c>
      <c r="AR85" s="105" t="e">
        <f t="shared" si="125"/>
        <v>#DIV/0!</v>
      </c>
      <c r="AS85" s="105" t="e">
        <f t="shared" si="105"/>
        <v>#DIV/0!</v>
      </c>
      <c r="AT85" s="105">
        <f t="shared" si="119"/>
        <v>0</v>
      </c>
      <c r="AU85" s="105" t="e">
        <f t="shared" si="99"/>
        <v>#DIV/0!</v>
      </c>
      <c r="AV85" s="105" t="e">
        <f t="shared" si="45"/>
        <v>#DIV/0!</v>
      </c>
      <c r="AW85" s="105" t="e">
        <f t="shared" si="24"/>
        <v>#DIV/0!</v>
      </c>
      <c r="AX85" s="105">
        <f t="shared" si="128"/>
        <v>0</v>
      </c>
      <c r="AY85" s="105">
        <f t="shared" si="129"/>
        <v>0</v>
      </c>
      <c r="AZ85" s="105"/>
      <c r="BA85" s="105"/>
      <c r="BB85" s="105"/>
      <c r="BC85" s="105"/>
      <c r="BD85" s="105"/>
      <c r="BE85" s="105" t="e">
        <f t="shared" si="120"/>
        <v>#DIV/0!</v>
      </c>
      <c r="BF85" s="108">
        <f t="shared" si="124"/>
        <v>0</v>
      </c>
      <c r="BG85" s="108">
        <f t="shared" si="118"/>
        <v>0</v>
      </c>
      <c r="BH85" s="22">
        <f t="shared" si="101"/>
        <v>46603</v>
      </c>
      <c r="BI85" s="108">
        <f t="shared" si="102"/>
        <v>0</v>
      </c>
      <c r="BJ85" s="2" t="e">
        <f>IF(AND(G40&gt;=$W$14,G40&lt;=$W$14+5),0,IF($C$9&gt;$AF$51,ROUND(BF39*IF($D$33="",0,$D$33)/(DATEVALUE(CONCATENATE("01/01/",YEAR(AR40)+1))-DATEVALUE(CONCATENATE("01/01/",YEAR(AR40))))*(AR40-AR39),2),0))</f>
        <v>#DIV/0!</v>
      </c>
    </row>
    <row r="86" spans="1:62" s="16" customFormat="1" ht="14.25" x14ac:dyDescent="0.2">
      <c r="A86" s="2"/>
      <c r="B86" s="2"/>
      <c r="C86" s="1"/>
      <c r="D86" s="2"/>
      <c r="E86" s="2"/>
      <c r="F86" s="2"/>
      <c r="G86" s="426">
        <f t="shared" si="121"/>
        <v>78</v>
      </c>
      <c r="H86" s="427">
        <f t="shared" si="108"/>
        <v>46816</v>
      </c>
      <c r="I86" s="494">
        <f t="shared" si="77"/>
        <v>5.9000000000000004E-2</v>
      </c>
      <c r="J86" s="423">
        <f t="shared" si="74"/>
        <v>0</v>
      </c>
      <c r="K86" s="423">
        <f t="shared" si="110"/>
        <v>0</v>
      </c>
      <c r="L86" s="423">
        <f t="shared" si="111"/>
        <v>0</v>
      </c>
      <c r="M86" s="423">
        <f t="shared" si="112"/>
        <v>0</v>
      </c>
      <c r="N86" s="423">
        <f t="shared" ref="N86:N108" si="131">P85-M85</f>
        <v>0</v>
      </c>
      <c r="O86" s="423">
        <f t="shared" si="109"/>
        <v>0</v>
      </c>
      <c r="P86" s="423">
        <f t="shared" si="113"/>
        <v>0</v>
      </c>
      <c r="Q86" s="423">
        <f t="shared" si="114"/>
        <v>0</v>
      </c>
      <c r="R86" s="423">
        <f t="shared" si="115"/>
        <v>0</v>
      </c>
      <c r="S86" s="470"/>
      <c r="T86" s="36">
        <f t="shared" si="122"/>
        <v>0</v>
      </c>
      <c r="U86" s="36">
        <f t="shared" si="116"/>
        <v>0</v>
      </c>
      <c r="V86" s="2"/>
      <c r="W86" s="2" t="e">
        <f t="shared" si="126"/>
        <v>#VALUE!</v>
      </c>
      <c r="X86" s="34">
        <f t="shared" si="68"/>
        <v>11494</v>
      </c>
      <c r="Y86" s="57">
        <f t="shared" si="69"/>
        <v>58313</v>
      </c>
      <c r="AL86" s="2" t="e">
        <f t="shared" si="130"/>
        <v>#VALUE!</v>
      </c>
      <c r="AM86" s="34" t="e">
        <f t="shared" si="65"/>
        <v>#DIV/0!</v>
      </c>
      <c r="AN86" s="57">
        <f t="shared" si="127"/>
        <v>58678</v>
      </c>
      <c r="AO86" s="130" t="e">
        <f t="shared" si="117"/>
        <v>#DIV/0!</v>
      </c>
      <c r="AP86" s="109">
        <f t="shared" si="123"/>
        <v>78</v>
      </c>
      <c r="AQ86" s="110">
        <f t="shared" si="98"/>
        <v>46816</v>
      </c>
      <c r="AR86" s="105" t="e">
        <f t="shared" si="125"/>
        <v>#DIV/0!</v>
      </c>
      <c r="AS86" s="105" t="e">
        <f t="shared" si="105"/>
        <v>#DIV/0!</v>
      </c>
      <c r="AT86" s="105">
        <f t="shared" si="119"/>
        <v>0</v>
      </c>
      <c r="AU86" s="105" t="e">
        <f t="shared" si="99"/>
        <v>#DIV/0!</v>
      </c>
      <c r="AV86" s="105" t="e">
        <f t="shared" ref="AV86:AV108" si="132">AX85-AU85</f>
        <v>#DIV/0!</v>
      </c>
      <c r="AW86" s="105" t="e">
        <f t="shared" ref="AW86:AW108" si="133">AS86+AX86</f>
        <v>#DIV/0!</v>
      </c>
      <c r="AX86" s="105">
        <f t="shared" si="128"/>
        <v>0</v>
      </c>
      <c r="AY86" s="105">
        <f t="shared" si="129"/>
        <v>0</v>
      </c>
      <c r="AZ86" s="105"/>
      <c r="BA86" s="105"/>
      <c r="BB86" s="105"/>
      <c r="BC86" s="105"/>
      <c r="BD86" s="105"/>
      <c r="BE86" s="105" t="e">
        <f t="shared" si="120"/>
        <v>#DIV/0!</v>
      </c>
      <c r="BF86" s="108">
        <f t="shared" si="124"/>
        <v>0</v>
      </c>
      <c r="BG86" s="108">
        <f t="shared" si="118"/>
        <v>0</v>
      </c>
      <c r="BH86" s="22">
        <f t="shared" si="101"/>
        <v>46634</v>
      </c>
      <c r="BI86" s="108">
        <f t="shared" si="102"/>
        <v>0</v>
      </c>
      <c r="BJ86" s="2" t="e">
        <f>IF(AND(G41&gt;=$W$14,G41&lt;=$W$14+5),0,IF($C$9&gt;$AF$51,ROUND(BF40*IF($D$33="",0,$D$33)/(DATEVALUE(CONCATENATE("01/01/",YEAR(AR41)+1))-DATEVALUE(CONCATENATE("01/01/",YEAR(AR41))))*(AR41-AR40),2),0))</f>
        <v>#DIV/0!</v>
      </c>
    </row>
    <row r="87" spans="1:62" s="16" customFormat="1" ht="14.25" x14ac:dyDescent="0.2">
      <c r="A87" s="2"/>
      <c r="B87" s="2"/>
      <c r="C87" s="1"/>
      <c r="D87" s="2"/>
      <c r="E87" s="2"/>
      <c r="F87" s="2"/>
      <c r="G87" s="426">
        <f t="shared" si="121"/>
        <v>79</v>
      </c>
      <c r="H87" s="427">
        <f t="shared" si="108"/>
        <v>46847</v>
      </c>
      <c r="I87" s="494">
        <f t="shared" si="77"/>
        <v>5.9000000000000004E-2</v>
      </c>
      <c r="J87" s="423">
        <f t="shared" si="74"/>
        <v>0</v>
      </c>
      <c r="K87" s="423">
        <f t="shared" si="110"/>
        <v>0</v>
      </c>
      <c r="L87" s="423">
        <f t="shared" si="111"/>
        <v>0</v>
      </c>
      <c r="M87" s="423">
        <f t="shared" si="112"/>
        <v>0</v>
      </c>
      <c r="N87" s="423">
        <f t="shared" si="131"/>
        <v>0</v>
      </c>
      <c r="O87" s="423">
        <f t="shared" si="109"/>
        <v>0</v>
      </c>
      <c r="P87" s="423">
        <f t="shared" si="113"/>
        <v>0</v>
      </c>
      <c r="Q87" s="423">
        <f t="shared" si="114"/>
        <v>0</v>
      </c>
      <c r="R87" s="423">
        <f t="shared" si="115"/>
        <v>0</v>
      </c>
      <c r="S87" s="470"/>
      <c r="T87" s="36">
        <f t="shared" si="122"/>
        <v>0</v>
      </c>
      <c r="U87" s="36">
        <f t="shared" si="116"/>
        <v>0</v>
      </c>
      <c r="V87" s="2"/>
      <c r="W87" s="2" t="e">
        <f t="shared" si="126"/>
        <v>#VALUE!</v>
      </c>
      <c r="X87" s="34">
        <f t="shared" si="68"/>
        <v>11494</v>
      </c>
      <c r="Y87" s="57">
        <f t="shared" si="69"/>
        <v>58678</v>
      </c>
      <c r="Z87" s="60">
        <v>43858</v>
      </c>
      <c r="AL87" s="2" t="e">
        <f t="shared" si="130"/>
        <v>#VALUE!</v>
      </c>
      <c r="AM87" s="34" t="e">
        <f t="shared" si="65"/>
        <v>#DIV/0!</v>
      </c>
      <c r="AN87" s="57">
        <f t="shared" si="127"/>
        <v>59043</v>
      </c>
      <c r="AO87" s="130" t="e">
        <f t="shared" si="117"/>
        <v>#DIV/0!</v>
      </c>
      <c r="AP87" s="109">
        <f t="shared" si="123"/>
        <v>79</v>
      </c>
      <c r="AQ87" s="110">
        <f t="shared" si="98"/>
        <v>46847</v>
      </c>
      <c r="AR87" s="105" t="e">
        <f t="shared" si="125"/>
        <v>#DIV/0!</v>
      </c>
      <c r="AS87" s="105" t="e">
        <f t="shared" si="105"/>
        <v>#DIV/0!</v>
      </c>
      <c r="AT87" s="105">
        <f t="shared" si="119"/>
        <v>0</v>
      </c>
      <c r="AU87" s="105" t="e">
        <f t="shared" si="99"/>
        <v>#DIV/0!</v>
      </c>
      <c r="AV87" s="105" t="e">
        <f t="shared" si="132"/>
        <v>#DIV/0!</v>
      </c>
      <c r="AW87" s="105" t="e">
        <f t="shared" si="133"/>
        <v>#DIV/0!</v>
      </c>
      <c r="AX87" s="105">
        <f t="shared" si="128"/>
        <v>0</v>
      </c>
      <c r="AY87" s="105">
        <f t="shared" si="129"/>
        <v>0</v>
      </c>
      <c r="AZ87" s="105"/>
      <c r="BA87" s="105"/>
      <c r="BB87" s="105"/>
      <c r="BC87" s="105"/>
      <c r="BD87" s="105"/>
      <c r="BE87" s="105" t="e">
        <f t="shared" si="120"/>
        <v>#DIV/0!</v>
      </c>
      <c r="BF87" s="108">
        <f t="shared" si="124"/>
        <v>0</v>
      </c>
      <c r="BG87" s="108">
        <f t="shared" si="118"/>
        <v>0</v>
      </c>
      <c r="BH87" s="22">
        <f t="shared" si="101"/>
        <v>46664</v>
      </c>
      <c r="BI87" s="108">
        <f t="shared" si="102"/>
        <v>0</v>
      </c>
      <c r="BJ87" s="2" t="e">
        <f>IF(AND(G42&gt;=$W$14,G42&lt;=$W$14+5),0,IF($C$9&gt;$AF$51,ROUND(BF41*IF($D$33="",0,$D$33)/(DATEVALUE(CONCATENATE("01/01/",YEAR(AQ42)+1))-DATEVALUE(CONCATENATE("01/01/",YEAR(AQ42))))*(AQ42-AR41),2),0))</f>
        <v>#DIV/0!</v>
      </c>
    </row>
    <row r="88" spans="1:62" s="16" customFormat="1" ht="14.25" x14ac:dyDescent="0.2">
      <c r="A88" s="2"/>
      <c r="B88" s="2"/>
      <c r="C88" s="1"/>
      <c r="D88" s="2"/>
      <c r="E88" s="2"/>
      <c r="F88" s="2"/>
      <c r="G88" s="426">
        <f t="shared" si="121"/>
        <v>80</v>
      </c>
      <c r="H88" s="427">
        <f t="shared" si="108"/>
        <v>46877</v>
      </c>
      <c r="I88" s="494">
        <f t="shared" si="77"/>
        <v>5.9000000000000004E-2</v>
      </c>
      <c r="J88" s="423">
        <f t="shared" si="74"/>
        <v>0</v>
      </c>
      <c r="K88" s="423">
        <f t="shared" si="110"/>
        <v>0</v>
      </c>
      <c r="L88" s="423">
        <f t="shared" si="111"/>
        <v>0</v>
      </c>
      <c r="M88" s="423">
        <f t="shared" si="112"/>
        <v>0</v>
      </c>
      <c r="N88" s="423">
        <f t="shared" si="131"/>
        <v>0</v>
      </c>
      <c r="O88" s="423">
        <f t="shared" si="109"/>
        <v>0</v>
      </c>
      <c r="P88" s="423">
        <f t="shared" si="113"/>
        <v>0</v>
      </c>
      <c r="Q88" s="423">
        <f t="shared" si="114"/>
        <v>0</v>
      </c>
      <c r="R88" s="423">
        <f t="shared" si="115"/>
        <v>0</v>
      </c>
      <c r="S88" s="470"/>
      <c r="T88" s="36">
        <f t="shared" si="122"/>
        <v>0</v>
      </c>
      <c r="U88" s="36">
        <f t="shared" si="116"/>
        <v>0</v>
      </c>
      <c r="V88" s="2"/>
      <c r="W88" s="2" t="e">
        <f t="shared" si="126"/>
        <v>#VALUE!</v>
      </c>
      <c r="X88" s="34">
        <f t="shared" si="68"/>
        <v>11494</v>
      </c>
      <c r="Y88" s="57">
        <f t="shared" si="69"/>
        <v>59043</v>
      </c>
      <c r="AL88" s="2" t="e">
        <f t="shared" si="130"/>
        <v>#VALUE!</v>
      </c>
      <c r="AM88" s="34" t="e">
        <f t="shared" si="65"/>
        <v>#DIV/0!</v>
      </c>
      <c r="AN88" s="57">
        <f t="shared" si="127"/>
        <v>59408</v>
      </c>
      <c r="AO88" s="130" t="e">
        <f t="shared" si="117"/>
        <v>#DIV/0!</v>
      </c>
      <c r="AP88" s="109">
        <f t="shared" si="123"/>
        <v>80</v>
      </c>
      <c r="AQ88" s="110">
        <f t="shared" si="98"/>
        <v>46877</v>
      </c>
      <c r="AR88" s="105" t="e">
        <f t="shared" si="125"/>
        <v>#DIV/0!</v>
      </c>
      <c r="AS88" s="105" t="e">
        <f t="shared" si="105"/>
        <v>#DIV/0!</v>
      </c>
      <c r="AT88" s="105">
        <f t="shared" si="119"/>
        <v>0</v>
      </c>
      <c r="AU88" s="105" t="e">
        <f t="shared" si="99"/>
        <v>#DIV/0!</v>
      </c>
      <c r="AV88" s="105" t="e">
        <f t="shared" si="132"/>
        <v>#DIV/0!</v>
      </c>
      <c r="AW88" s="105" t="e">
        <f t="shared" si="133"/>
        <v>#DIV/0!</v>
      </c>
      <c r="AX88" s="105">
        <f t="shared" si="128"/>
        <v>0</v>
      </c>
      <c r="AY88" s="105">
        <f t="shared" si="129"/>
        <v>0</v>
      </c>
      <c r="AZ88" s="105"/>
      <c r="BA88" s="105"/>
      <c r="BB88" s="105"/>
      <c r="BC88" s="105"/>
      <c r="BD88" s="105"/>
      <c r="BE88" s="105" t="e">
        <f t="shared" si="120"/>
        <v>#DIV/0!</v>
      </c>
      <c r="BF88" s="108">
        <f t="shared" si="124"/>
        <v>0</v>
      </c>
      <c r="BG88" s="108">
        <f t="shared" si="118"/>
        <v>0</v>
      </c>
      <c r="BH88" s="22">
        <f t="shared" si="101"/>
        <v>46695</v>
      </c>
      <c r="BI88" s="108">
        <f t="shared" si="102"/>
        <v>0</v>
      </c>
      <c r="BJ88" s="2" t="e">
        <f t="shared" si="103"/>
        <v>#DIV/0!</v>
      </c>
    </row>
    <row r="89" spans="1:62" s="16" customFormat="1" ht="14.25" x14ac:dyDescent="0.2">
      <c r="A89" s="2"/>
      <c r="B89" s="2"/>
      <c r="C89" s="1"/>
      <c r="D89" s="13"/>
      <c r="E89" s="2"/>
      <c r="F89" s="2"/>
      <c r="G89" s="426">
        <f t="shared" si="121"/>
        <v>81</v>
      </c>
      <c r="H89" s="427">
        <f t="shared" si="108"/>
        <v>46908</v>
      </c>
      <c r="I89" s="494">
        <f t="shared" si="77"/>
        <v>5.9000000000000004E-2</v>
      </c>
      <c r="J89" s="423">
        <f t="shared" ref="J89:J108" si="134">IF(AND($C$8&lt;&gt;"Нет",G89&gt;=$W$14,G89&lt;=$W$14+5),$W$15,IF(AND(R88+M89+K89&gt;J88,J88&lt;&gt;0),$AE$98,IF(R88=0,0,R88+M89+K89+K90)))</f>
        <v>0</v>
      </c>
      <c r="K89" s="423">
        <f t="shared" si="110"/>
        <v>0</v>
      </c>
      <c r="L89" s="423">
        <f t="shared" si="111"/>
        <v>0</v>
      </c>
      <c r="M89" s="423">
        <f t="shared" si="112"/>
        <v>0</v>
      </c>
      <c r="N89" s="423">
        <f t="shared" si="131"/>
        <v>0</v>
      </c>
      <c r="O89" s="423">
        <f t="shared" si="109"/>
        <v>0</v>
      </c>
      <c r="P89" s="423">
        <f t="shared" si="113"/>
        <v>0</v>
      </c>
      <c r="Q89" s="423">
        <f t="shared" si="114"/>
        <v>0</v>
      </c>
      <c r="R89" s="423">
        <f t="shared" si="115"/>
        <v>0</v>
      </c>
      <c r="S89" s="470"/>
      <c r="T89" s="36">
        <f t="shared" si="122"/>
        <v>0</v>
      </c>
      <c r="U89" s="36">
        <f t="shared" si="116"/>
        <v>0</v>
      </c>
      <c r="V89" s="2"/>
      <c r="W89" s="2" t="e">
        <f t="shared" si="126"/>
        <v>#VALUE!</v>
      </c>
      <c r="X89" s="34">
        <f t="shared" si="68"/>
        <v>1569.149999999973</v>
      </c>
      <c r="Y89" s="57">
        <f t="shared" si="69"/>
        <v>59408</v>
      </c>
      <c r="AL89" s="2" t="e">
        <f t="shared" si="130"/>
        <v>#VALUE!</v>
      </c>
      <c r="AM89" s="34" t="e">
        <f t="shared" si="65"/>
        <v>#DIV/0!</v>
      </c>
      <c r="AN89" s="57">
        <f t="shared" si="127"/>
        <v>59773</v>
      </c>
      <c r="AO89" s="130" t="e">
        <f t="shared" si="117"/>
        <v>#DIV/0!</v>
      </c>
      <c r="AP89" s="109">
        <f t="shared" si="123"/>
        <v>81</v>
      </c>
      <c r="AQ89" s="110">
        <f t="shared" si="98"/>
        <v>46908</v>
      </c>
      <c r="AR89" s="105" t="e">
        <f t="shared" si="125"/>
        <v>#DIV/0!</v>
      </c>
      <c r="AS89" s="105" t="e">
        <f t="shared" si="105"/>
        <v>#DIV/0!</v>
      </c>
      <c r="AT89" s="105">
        <f t="shared" si="119"/>
        <v>0</v>
      </c>
      <c r="AU89" s="105" t="e">
        <f t="shared" si="99"/>
        <v>#DIV/0!</v>
      </c>
      <c r="AV89" s="105" t="e">
        <f t="shared" si="132"/>
        <v>#DIV/0!</v>
      </c>
      <c r="AW89" s="105" t="e">
        <f t="shared" si="133"/>
        <v>#DIV/0!</v>
      </c>
      <c r="AX89" s="105">
        <f t="shared" si="128"/>
        <v>0</v>
      </c>
      <c r="AY89" s="105">
        <f t="shared" si="129"/>
        <v>0</v>
      </c>
      <c r="AZ89" s="105"/>
      <c r="BA89" s="105"/>
      <c r="BB89" s="105"/>
      <c r="BC89" s="105"/>
      <c r="BD89" s="105"/>
      <c r="BE89" s="105" t="e">
        <f t="shared" si="120"/>
        <v>#DIV/0!</v>
      </c>
      <c r="BF89" s="108">
        <f t="shared" si="124"/>
        <v>0</v>
      </c>
      <c r="BG89" s="108">
        <f t="shared" si="118"/>
        <v>0</v>
      </c>
      <c r="BH89" s="22">
        <f t="shared" si="101"/>
        <v>46725</v>
      </c>
      <c r="BI89" s="108">
        <f t="shared" si="102"/>
        <v>0</v>
      </c>
      <c r="BJ89" s="2" t="e">
        <f t="shared" si="103"/>
        <v>#DIV/0!</v>
      </c>
    </row>
    <row r="90" spans="1:62" s="16" customFormat="1" ht="14.25" x14ac:dyDescent="0.2">
      <c r="A90" s="2"/>
      <c r="B90" s="2"/>
      <c r="C90" s="1"/>
      <c r="D90" s="13"/>
      <c r="E90" s="2"/>
      <c r="F90" s="2"/>
      <c r="G90" s="426">
        <f t="shared" si="121"/>
        <v>82</v>
      </c>
      <c r="H90" s="427">
        <f t="shared" si="108"/>
        <v>46938</v>
      </c>
      <c r="I90" s="494">
        <f t="shared" si="77"/>
        <v>5.9000000000000004E-2</v>
      </c>
      <c r="J90" s="423">
        <f t="shared" si="134"/>
        <v>0</v>
      </c>
      <c r="K90" s="423">
        <f t="shared" si="110"/>
        <v>0</v>
      </c>
      <c r="L90" s="423">
        <f t="shared" si="111"/>
        <v>0</v>
      </c>
      <c r="M90" s="423">
        <f t="shared" si="112"/>
        <v>0</v>
      </c>
      <c r="N90" s="423">
        <f t="shared" si="131"/>
        <v>0</v>
      </c>
      <c r="O90" s="423">
        <f t="shared" si="109"/>
        <v>0</v>
      </c>
      <c r="P90" s="423">
        <f t="shared" si="113"/>
        <v>0</v>
      </c>
      <c r="Q90" s="423">
        <f t="shared" si="114"/>
        <v>0</v>
      </c>
      <c r="R90" s="423">
        <f t="shared" si="115"/>
        <v>0</v>
      </c>
      <c r="S90" s="470"/>
      <c r="T90" s="36">
        <f t="shared" si="122"/>
        <v>0</v>
      </c>
      <c r="U90" s="36">
        <f t="shared" si="116"/>
        <v>0</v>
      </c>
      <c r="V90" s="2"/>
      <c r="W90" s="2" t="e">
        <f t="shared" si="126"/>
        <v>#VALUE!</v>
      </c>
      <c r="X90" s="34">
        <f t="shared" si="68"/>
        <v>0</v>
      </c>
      <c r="Y90" s="57">
        <f t="shared" si="69"/>
        <v>59773</v>
      </c>
      <c r="AL90" s="2" t="e">
        <f t="shared" si="130"/>
        <v>#VALUE!</v>
      </c>
      <c r="AM90" s="34" t="e">
        <f t="shared" si="65"/>
        <v>#DIV/0!</v>
      </c>
      <c r="AN90" s="57">
        <f t="shared" si="127"/>
        <v>60138</v>
      </c>
      <c r="AO90" s="130" t="e">
        <f t="shared" si="117"/>
        <v>#DIV/0!</v>
      </c>
      <c r="AP90" s="109">
        <f t="shared" si="123"/>
        <v>82</v>
      </c>
      <c r="AQ90" s="110">
        <f t="shared" si="98"/>
        <v>46938</v>
      </c>
      <c r="AR90" s="105" t="e">
        <f t="shared" si="125"/>
        <v>#DIV/0!</v>
      </c>
      <c r="AS90" s="105" t="e">
        <f t="shared" si="105"/>
        <v>#DIV/0!</v>
      </c>
      <c r="AT90" s="105">
        <f t="shared" si="119"/>
        <v>0</v>
      </c>
      <c r="AU90" s="105" t="e">
        <f t="shared" si="99"/>
        <v>#DIV/0!</v>
      </c>
      <c r="AV90" s="105" t="e">
        <f t="shared" si="132"/>
        <v>#DIV/0!</v>
      </c>
      <c r="AW90" s="105" t="e">
        <f t="shared" si="133"/>
        <v>#DIV/0!</v>
      </c>
      <c r="AX90" s="105">
        <f t="shared" si="128"/>
        <v>0</v>
      </c>
      <c r="AY90" s="105">
        <f t="shared" si="129"/>
        <v>0</v>
      </c>
      <c r="AZ90" s="105"/>
      <c r="BA90" s="105"/>
      <c r="BB90" s="105"/>
      <c r="BC90" s="105"/>
      <c r="BD90" s="105"/>
      <c r="BE90" s="105" t="e">
        <f t="shared" si="120"/>
        <v>#DIV/0!</v>
      </c>
      <c r="BF90" s="108">
        <f t="shared" si="124"/>
        <v>0</v>
      </c>
      <c r="BG90" s="108">
        <f t="shared" si="118"/>
        <v>0</v>
      </c>
      <c r="BH90" s="22">
        <f t="shared" si="101"/>
        <v>46756</v>
      </c>
      <c r="BI90" s="108">
        <f t="shared" si="102"/>
        <v>0</v>
      </c>
      <c r="BJ90" s="2" t="e">
        <f t="shared" si="103"/>
        <v>#DIV/0!</v>
      </c>
    </row>
    <row r="91" spans="1:62" s="16" customFormat="1" ht="14.25" x14ac:dyDescent="0.2">
      <c r="A91" s="2"/>
      <c r="B91" s="2"/>
      <c r="C91" s="1"/>
      <c r="D91" s="2"/>
      <c r="E91" s="2"/>
      <c r="F91" s="2"/>
      <c r="G91" s="426">
        <f t="shared" si="121"/>
        <v>83</v>
      </c>
      <c r="H91" s="427">
        <f t="shared" si="108"/>
        <v>46969</v>
      </c>
      <c r="I91" s="494">
        <f t="shared" si="77"/>
        <v>5.9000000000000004E-2</v>
      </c>
      <c r="J91" s="423">
        <f t="shared" si="134"/>
        <v>0</v>
      </c>
      <c r="K91" s="423">
        <f t="shared" si="110"/>
        <v>0</v>
      </c>
      <c r="L91" s="423">
        <f t="shared" si="111"/>
        <v>0</v>
      </c>
      <c r="M91" s="423">
        <f t="shared" si="112"/>
        <v>0</v>
      </c>
      <c r="N91" s="423">
        <f t="shared" si="131"/>
        <v>0</v>
      </c>
      <c r="O91" s="423">
        <f t="shared" si="109"/>
        <v>0</v>
      </c>
      <c r="P91" s="423">
        <f t="shared" si="113"/>
        <v>0</v>
      </c>
      <c r="Q91" s="423">
        <f t="shared" si="114"/>
        <v>0</v>
      </c>
      <c r="R91" s="423">
        <f t="shared" si="115"/>
        <v>0</v>
      </c>
      <c r="S91" s="470"/>
      <c r="T91" s="36">
        <f t="shared" si="122"/>
        <v>0</v>
      </c>
      <c r="U91" s="36">
        <f t="shared" si="116"/>
        <v>0</v>
      </c>
      <c r="V91" s="2"/>
      <c r="W91" s="2" t="e">
        <f t="shared" si="126"/>
        <v>#VALUE!</v>
      </c>
      <c r="X91" s="34">
        <f t="shared" si="68"/>
        <v>0</v>
      </c>
      <c r="Y91" s="57">
        <f t="shared" si="69"/>
        <v>60138</v>
      </c>
      <c r="AE91" s="173">
        <f>$C$25-AF91</f>
        <v>-1540</v>
      </c>
      <c r="AF91" s="2">
        <f>ROUNDUP(((R20)*AF95/12*(1+AF95/12)^(T21)/((1+AF95/12)^(T21)-1)+R20/10000*IF(T21&lt;11,20,IF(T21&lt;34,0.7,IF(T21&lt;58,0.3,0.1)))*IF(AF95&lt;0.3,AF95/0.2,AF95/0.1))/AG47,0)*AG47</f>
        <v>13730</v>
      </c>
      <c r="AG91" s="16">
        <v>6000000</v>
      </c>
      <c r="AL91" s="2" t="e">
        <f t="shared" si="130"/>
        <v>#VALUE!</v>
      </c>
      <c r="AM91" s="34" t="e">
        <f t="shared" si="65"/>
        <v>#DIV/0!</v>
      </c>
      <c r="AN91" s="57">
        <f t="shared" si="127"/>
        <v>60503</v>
      </c>
      <c r="AO91" s="130" t="e">
        <f t="shared" si="117"/>
        <v>#DIV/0!</v>
      </c>
      <c r="AP91" s="109">
        <f t="shared" si="123"/>
        <v>83</v>
      </c>
      <c r="AQ91" s="110">
        <f t="shared" si="98"/>
        <v>46969</v>
      </c>
      <c r="AR91" s="105" t="e">
        <f t="shared" si="125"/>
        <v>#DIV/0!</v>
      </c>
      <c r="AS91" s="105" t="e">
        <f t="shared" si="105"/>
        <v>#DIV/0!</v>
      </c>
      <c r="AT91" s="105">
        <f t="shared" si="119"/>
        <v>0</v>
      </c>
      <c r="AU91" s="105" t="e">
        <f t="shared" si="99"/>
        <v>#DIV/0!</v>
      </c>
      <c r="AV91" s="105" t="e">
        <f t="shared" si="132"/>
        <v>#DIV/0!</v>
      </c>
      <c r="AW91" s="105" t="e">
        <f t="shared" si="133"/>
        <v>#DIV/0!</v>
      </c>
      <c r="AX91" s="105">
        <f t="shared" si="128"/>
        <v>0</v>
      </c>
      <c r="AY91" s="105">
        <f t="shared" si="129"/>
        <v>0</v>
      </c>
      <c r="AZ91" s="105"/>
      <c r="BA91" s="105"/>
      <c r="BB91" s="105"/>
      <c r="BC91" s="105"/>
      <c r="BD91" s="105"/>
      <c r="BE91" s="105" t="e">
        <f t="shared" si="120"/>
        <v>#DIV/0!</v>
      </c>
      <c r="BF91" s="108">
        <f t="shared" si="124"/>
        <v>0</v>
      </c>
      <c r="BG91" s="108">
        <f t="shared" si="118"/>
        <v>0</v>
      </c>
      <c r="BH91" s="22">
        <f t="shared" si="101"/>
        <v>46787</v>
      </c>
      <c r="BI91" s="108">
        <f t="shared" si="102"/>
        <v>0</v>
      </c>
      <c r="BJ91" s="2" t="e">
        <f t="shared" si="103"/>
        <v>#DIV/0!</v>
      </c>
    </row>
    <row r="92" spans="1:62" s="16" customFormat="1" ht="14.25" x14ac:dyDescent="0.2">
      <c r="A92" s="2"/>
      <c r="B92" s="2"/>
      <c r="C92" s="1"/>
      <c r="D92" s="2"/>
      <c r="E92" s="2"/>
      <c r="F92" s="2"/>
      <c r="G92" s="426">
        <f t="shared" si="121"/>
        <v>84</v>
      </c>
      <c r="H92" s="427">
        <f t="shared" si="108"/>
        <v>47000</v>
      </c>
      <c r="I92" s="494">
        <f t="shared" si="77"/>
        <v>5.9000000000000004E-2</v>
      </c>
      <c r="J92" s="423">
        <f t="shared" si="134"/>
        <v>0</v>
      </c>
      <c r="K92" s="423">
        <f t="shared" si="110"/>
        <v>0</v>
      </c>
      <c r="L92" s="423">
        <f t="shared" si="111"/>
        <v>0</v>
      </c>
      <c r="M92" s="423">
        <f t="shared" si="112"/>
        <v>0</v>
      </c>
      <c r="N92" s="423">
        <f t="shared" si="131"/>
        <v>0</v>
      </c>
      <c r="O92" s="423">
        <f t="shared" si="109"/>
        <v>0</v>
      </c>
      <c r="P92" s="423">
        <f t="shared" si="113"/>
        <v>0</v>
      </c>
      <c r="Q92" s="423">
        <f t="shared" si="114"/>
        <v>0</v>
      </c>
      <c r="R92" s="423">
        <f t="shared" si="115"/>
        <v>0</v>
      </c>
      <c r="S92" s="470"/>
      <c r="T92" s="36">
        <f t="shared" si="122"/>
        <v>0</v>
      </c>
      <c r="U92" s="36">
        <f t="shared" si="116"/>
        <v>0</v>
      </c>
      <c r="V92" s="2"/>
      <c r="W92" s="2" t="e">
        <f t="shared" si="126"/>
        <v>#VALUE!</v>
      </c>
      <c r="X92" s="34">
        <f t="shared" si="68"/>
        <v>0</v>
      </c>
      <c r="Y92" s="57">
        <f t="shared" si="69"/>
        <v>60503</v>
      </c>
      <c r="AL92" s="2" t="e">
        <f t="shared" si="130"/>
        <v>#VALUE!</v>
      </c>
      <c r="AM92" s="34" t="e">
        <f t="shared" si="65"/>
        <v>#DIV/0!</v>
      </c>
      <c r="AN92" s="57">
        <f t="shared" si="127"/>
        <v>60868</v>
      </c>
      <c r="AO92" s="130" t="e">
        <f t="shared" si="117"/>
        <v>#DIV/0!</v>
      </c>
      <c r="AP92" s="109">
        <f t="shared" si="123"/>
        <v>84</v>
      </c>
      <c r="AQ92" s="110">
        <f t="shared" si="98"/>
        <v>47000</v>
      </c>
      <c r="AR92" s="105" t="e">
        <f t="shared" si="125"/>
        <v>#DIV/0!</v>
      </c>
      <c r="AS92" s="105" t="e">
        <f t="shared" si="105"/>
        <v>#DIV/0!</v>
      </c>
      <c r="AT92" s="105">
        <f t="shared" si="119"/>
        <v>0</v>
      </c>
      <c r="AU92" s="105" t="e">
        <f t="shared" si="99"/>
        <v>#DIV/0!</v>
      </c>
      <c r="AV92" s="105" t="e">
        <f t="shared" si="132"/>
        <v>#DIV/0!</v>
      </c>
      <c r="AW92" s="105" t="e">
        <f t="shared" si="133"/>
        <v>#DIV/0!</v>
      </c>
      <c r="AX92" s="105">
        <f t="shared" si="128"/>
        <v>0</v>
      </c>
      <c r="AY92" s="105">
        <f t="shared" si="129"/>
        <v>0</v>
      </c>
      <c r="AZ92" s="105"/>
      <c r="BA92" s="105"/>
      <c r="BB92" s="105"/>
      <c r="BC92" s="105"/>
      <c r="BD92" s="105"/>
      <c r="BE92" s="105" t="e">
        <f t="shared" si="120"/>
        <v>#DIV/0!</v>
      </c>
      <c r="BF92" s="108">
        <f t="shared" si="124"/>
        <v>0</v>
      </c>
      <c r="BG92" s="108">
        <f t="shared" si="118"/>
        <v>0</v>
      </c>
      <c r="BH92" s="22">
        <f t="shared" si="101"/>
        <v>46816</v>
      </c>
      <c r="BI92" s="108">
        <f t="shared" si="102"/>
        <v>0</v>
      </c>
      <c r="BJ92" s="2" t="e">
        <f t="shared" si="103"/>
        <v>#DIV/0!</v>
      </c>
    </row>
    <row r="93" spans="1:62" s="16" customFormat="1" ht="14.25" x14ac:dyDescent="0.2">
      <c r="A93" s="2"/>
      <c r="B93" s="2"/>
      <c r="C93" s="1"/>
      <c r="D93" s="2"/>
      <c r="E93" s="2"/>
      <c r="F93" s="2"/>
      <c r="G93" s="426">
        <f t="shared" si="121"/>
        <v>85</v>
      </c>
      <c r="H93" s="427">
        <f t="shared" si="108"/>
        <v>47030</v>
      </c>
      <c r="I93" s="494">
        <f t="shared" si="77"/>
        <v>5.9000000000000004E-2</v>
      </c>
      <c r="J93" s="423">
        <f t="shared" si="134"/>
        <v>0</v>
      </c>
      <c r="K93" s="423">
        <f t="shared" si="110"/>
        <v>0</v>
      </c>
      <c r="L93" s="423">
        <f t="shared" si="111"/>
        <v>0</v>
      </c>
      <c r="M93" s="423">
        <f t="shared" si="112"/>
        <v>0</v>
      </c>
      <c r="N93" s="423">
        <f t="shared" si="131"/>
        <v>0</v>
      </c>
      <c r="O93" s="423">
        <f t="shared" si="109"/>
        <v>0</v>
      </c>
      <c r="P93" s="423">
        <f t="shared" si="113"/>
        <v>0</v>
      </c>
      <c r="Q93" s="423">
        <f t="shared" si="114"/>
        <v>0</v>
      </c>
      <c r="R93" s="423">
        <f t="shared" si="115"/>
        <v>0</v>
      </c>
      <c r="S93" s="470"/>
      <c r="T93" s="36">
        <f t="shared" si="122"/>
        <v>0</v>
      </c>
      <c r="U93" s="36">
        <f t="shared" si="116"/>
        <v>0</v>
      </c>
      <c r="V93" s="2"/>
      <c r="W93" s="2" t="e">
        <f t="shared" si="126"/>
        <v>#VALUE!</v>
      </c>
      <c r="X93" s="34">
        <f t="shared" si="68"/>
        <v>0</v>
      </c>
      <c r="Y93" s="57">
        <f t="shared" si="69"/>
        <v>60868</v>
      </c>
      <c r="AE93" s="47">
        <f>ROUNDUP(AG93/AG91*C24/1,0)*1</f>
        <v>232</v>
      </c>
      <c r="AF93" s="169">
        <f>IF(C7&lt;=1000000,3%,IF(C11=13.9%,3%,2%))</f>
        <v>0.03</v>
      </c>
      <c r="AG93" s="16">
        <f>IF(C7&gt;1000000,INDEX(V40:AF40,MATCH($C$11,$V$39:$AF$39,0)),INDEX(V43:AF43,MATCH($C$11,$V$42:$AF$42,0)))</f>
        <v>4000</v>
      </c>
      <c r="AL93" s="2" t="e">
        <f t="shared" si="130"/>
        <v>#VALUE!</v>
      </c>
      <c r="AM93" s="34" t="e">
        <f t="shared" si="65"/>
        <v>#DIV/0!</v>
      </c>
      <c r="AN93" s="57">
        <f t="shared" si="127"/>
        <v>61233</v>
      </c>
      <c r="AO93" s="130" t="e">
        <f t="shared" si="117"/>
        <v>#DIV/0!</v>
      </c>
      <c r="AP93" s="109">
        <f t="shared" si="123"/>
        <v>85</v>
      </c>
      <c r="AQ93" s="110">
        <f t="shared" si="98"/>
        <v>47030</v>
      </c>
      <c r="AR93" s="105" t="e">
        <f t="shared" si="125"/>
        <v>#DIV/0!</v>
      </c>
      <c r="AS93" s="105" t="e">
        <f t="shared" si="105"/>
        <v>#DIV/0!</v>
      </c>
      <c r="AT93" s="105">
        <f t="shared" si="119"/>
        <v>0</v>
      </c>
      <c r="AU93" s="105" t="e">
        <f t="shared" si="99"/>
        <v>#DIV/0!</v>
      </c>
      <c r="AV93" s="105" t="e">
        <f t="shared" si="132"/>
        <v>#DIV/0!</v>
      </c>
      <c r="AW93" s="105" t="e">
        <f t="shared" si="133"/>
        <v>#DIV/0!</v>
      </c>
      <c r="AX93" s="105">
        <f t="shared" si="128"/>
        <v>0</v>
      </c>
      <c r="AY93" s="105">
        <f t="shared" si="129"/>
        <v>0</v>
      </c>
      <c r="AZ93" s="105"/>
      <c r="BA93" s="105"/>
      <c r="BB93" s="105"/>
      <c r="BC93" s="105"/>
      <c r="BD93" s="105"/>
      <c r="BE93" s="105" t="e">
        <f t="shared" si="120"/>
        <v>#DIV/0!</v>
      </c>
      <c r="BF93" s="108">
        <f t="shared" si="124"/>
        <v>0</v>
      </c>
      <c r="BG93" s="108">
        <f t="shared" si="118"/>
        <v>0</v>
      </c>
      <c r="BH93" s="22">
        <f t="shared" si="101"/>
        <v>46847</v>
      </c>
      <c r="BI93" s="108">
        <f t="shared" si="102"/>
        <v>0</v>
      </c>
      <c r="BJ93" s="2" t="e">
        <f t="shared" si="103"/>
        <v>#DIV/0!</v>
      </c>
    </row>
    <row r="94" spans="1:62" s="16" customFormat="1" ht="14.25" x14ac:dyDescent="0.2">
      <c r="A94" s="2"/>
      <c r="B94" s="2"/>
      <c r="C94" s="1"/>
      <c r="D94" s="2"/>
      <c r="E94" s="2"/>
      <c r="F94" s="2"/>
      <c r="G94" s="426">
        <f t="shared" si="121"/>
        <v>86</v>
      </c>
      <c r="H94" s="427">
        <f t="shared" si="108"/>
        <v>47061</v>
      </c>
      <c r="I94" s="494">
        <f t="shared" si="77"/>
        <v>5.9000000000000004E-2</v>
      </c>
      <c r="J94" s="423">
        <f t="shared" si="134"/>
        <v>0</v>
      </c>
      <c r="K94" s="423">
        <f t="shared" si="110"/>
        <v>0</v>
      </c>
      <c r="L94" s="423">
        <f t="shared" si="111"/>
        <v>0</v>
      </c>
      <c r="M94" s="423">
        <f t="shared" si="112"/>
        <v>0</v>
      </c>
      <c r="N94" s="423">
        <f t="shared" si="131"/>
        <v>0</v>
      </c>
      <c r="O94" s="423">
        <f t="shared" si="109"/>
        <v>0</v>
      </c>
      <c r="P94" s="423">
        <f t="shared" si="113"/>
        <v>0</v>
      </c>
      <c r="Q94" s="423">
        <f t="shared" si="114"/>
        <v>0</v>
      </c>
      <c r="R94" s="423">
        <f t="shared" si="115"/>
        <v>0</v>
      </c>
      <c r="S94" s="470"/>
      <c r="T94" s="36">
        <f t="shared" si="122"/>
        <v>0</v>
      </c>
      <c r="U94" s="36">
        <f t="shared" si="116"/>
        <v>0</v>
      </c>
      <c r="V94" s="2"/>
      <c r="W94" s="2" t="e">
        <f t="shared" si="126"/>
        <v>#VALUE!</v>
      </c>
      <c r="X94" s="34">
        <f t="shared" si="68"/>
        <v>0</v>
      </c>
      <c r="Y94" s="57">
        <f t="shared" si="69"/>
        <v>61233</v>
      </c>
      <c r="AE94" s="47">
        <f>C25</f>
        <v>12190</v>
      </c>
      <c r="AF94" s="15">
        <f>IF(OR(C$8="Гарантия стандарт",C$8="Гарантия пакет"),AD13,C13)</f>
        <v>0.159</v>
      </c>
      <c r="AG94" s="16">
        <f>IF(C7&gt;1000000,INDEX(V41:AF41,MATCH($C$11,$V$39:$AF$39,0)),INDEX(V44:AF44,MATCH($C$11,$V$42:$AF$42,0)))</f>
        <v>210990</v>
      </c>
      <c r="AL94" s="2" t="e">
        <f t="shared" si="130"/>
        <v>#VALUE!</v>
      </c>
      <c r="AM94" s="34" t="e">
        <f t="shared" si="65"/>
        <v>#DIV/0!</v>
      </c>
      <c r="AN94" s="57">
        <f t="shared" si="127"/>
        <v>61598</v>
      </c>
      <c r="AO94" s="130" t="e">
        <f t="shared" si="117"/>
        <v>#DIV/0!</v>
      </c>
      <c r="AP94" s="109">
        <f t="shared" si="123"/>
        <v>86</v>
      </c>
      <c r="AQ94" s="110">
        <f t="shared" si="98"/>
        <v>47061</v>
      </c>
      <c r="AR94" s="105" t="e">
        <f t="shared" si="125"/>
        <v>#DIV/0!</v>
      </c>
      <c r="AS94" s="105" t="e">
        <f t="shared" si="105"/>
        <v>#DIV/0!</v>
      </c>
      <c r="AT94" s="105">
        <f t="shared" si="119"/>
        <v>0</v>
      </c>
      <c r="AU94" s="105" t="e">
        <f t="shared" si="99"/>
        <v>#DIV/0!</v>
      </c>
      <c r="AV94" s="105" t="e">
        <f t="shared" si="132"/>
        <v>#DIV/0!</v>
      </c>
      <c r="AW94" s="105" t="e">
        <f t="shared" si="133"/>
        <v>#DIV/0!</v>
      </c>
      <c r="AX94" s="105">
        <f t="shared" si="128"/>
        <v>0</v>
      </c>
      <c r="AY94" s="105">
        <f t="shared" si="129"/>
        <v>0</v>
      </c>
      <c r="AZ94" s="105"/>
      <c r="BA94" s="105"/>
      <c r="BB94" s="105"/>
      <c r="BC94" s="105"/>
      <c r="BD94" s="105"/>
      <c r="BE94" s="105" t="e">
        <f t="shared" si="120"/>
        <v>#DIV/0!</v>
      </c>
      <c r="BF94" s="108">
        <f t="shared" si="124"/>
        <v>0</v>
      </c>
      <c r="BG94" s="108">
        <f t="shared" si="118"/>
        <v>0</v>
      </c>
      <c r="BH94" s="22">
        <f t="shared" si="101"/>
        <v>46877</v>
      </c>
      <c r="BI94" s="108">
        <f t="shared" si="102"/>
        <v>0</v>
      </c>
      <c r="BJ94" s="2" t="e">
        <f t="shared" si="103"/>
        <v>#DIV/0!</v>
      </c>
    </row>
    <row r="95" spans="1:62" s="16" customFormat="1" ht="14.25" x14ac:dyDescent="0.2">
      <c r="A95" s="2"/>
      <c r="B95" s="2"/>
      <c r="C95" s="1"/>
      <c r="D95" s="2"/>
      <c r="E95" s="2"/>
      <c r="F95" s="2"/>
      <c r="G95" s="426">
        <f t="shared" si="121"/>
        <v>87</v>
      </c>
      <c r="H95" s="427">
        <f t="shared" si="108"/>
        <v>47091</v>
      </c>
      <c r="I95" s="494">
        <f t="shared" si="77"/>
        <v>5.9000000000000004E-2</v>
      </c>
      <c r="J95" s="423">
        <f t="shared" si="134"/>
        <v>0</v>
      </c>
      <c r="K95" s="423">
        <f t="shared" si="110"/>
        <v>0</v>
      </c>
      <c r="L95" s="423">
        <f t="shared" si="111"/>
        <v>0</v>
      </c>
      <c r="M95" s="423">
        <f t="shared" si="112"/>
        <v>0</v>
      </c>
      <c r="N95" s="423">
        <f t="shared" si="131"/>
        <v>0</v>
      </c>
      <c r="O95" s="423">
        <f t="shared" si="109"/>
        <v>0</v>
      </c>
      <c r="P95" s="423">
        <f t="shared" si="113"/>
        <v>0</v>
      </c>
      <c r="Q95" s="423">
        <f t="shared" si="114"/>
        <v>0</v>
      </c>
      <c r="R95" s="423">
        <f t="shared" si="115"/>
        <v>0</v>
      </c>
      <c r="S95" s="470"/>
      <c r="T95" s="36">
        <f t="shared" si="122"/>
        <v>0</v>
      </c>
      <c r="U95" s="36">
        <f t="shared" si="116"/>
        <v>0</v>
      </c>
      <c r="V95" s="2"/>
      <c r="W95" s="2" t="e">
        <f t="shared" si="126"/>
        <v>#VALUE!</v>
      </c>
      <c r="X95" s="34">
        <f t="shared" si="68"/>
        <v>0</v>
      </c>
      <c r="Y95" s="57">
        <f t="shared" si="69"/>
        <v>61598</v>
      </c>
      <c r="AE95" s="47">
        <f>IF(AF95-AF94=0,AE94,AE94-$AE$93)</f>
        <v>11958</v>
      </c>
      <c r="AF95" s="169">
        <f>AF94-$AF$93</f>
        <v>0.129</v>
      </c>
      <c r="AL95" s="2" t="e">
        <f t="shared" si="130"/>
        <v>#VALUE!</v>
      </c>
      <c r="AM95" s="34" t="e">
        <f t="shared" si="65"/>
        <v>#DIV/0!</v>
      </c>
      <c r="AN95" s="57">
        <f t="shared" si="127"/>
        <v>61963</v>
      </c>
      <c r="AO95" s="130" t="e">
        <f t="shared" si="117"/>
        <v>#DIV/0!</v>
      </c>
      <c r="AP95" s="109">
        <f t="shared" si="123"/>
        <v>87</v>
      </c>
      <c r="AQ95" s="110">
        <f t="shared" si="98"/>
        <v>47091</v>
      </c>
      <c r="AR95" s="105" t="e">
        <f t="shared" si="125"/>
        <v>#DIV/0!</v>
      </c>
      <c r="AS95" s="105" t="e">
        <f t="shared" si="105"/>
        <v>#DIV/0!</v>
      </c>
      <c r="AT95" s="105">
        <f t="shared" si="119"/>
        <v>0</v>
      </c>
      <c r="AU95" s="105" t="e">
        <f t="shared" si="99"/>
        <v>#DIV/0!</v>
      </c>
      <c r="AV95" s="105" t="e">
        <f t="shared" si="132"/>
        <v>#DIV/0!</v>
      </c>
      <c r="AW95" s="105" t="e">
        <f t="shared" si="133"/>
        <v>#DIV/0!</v>
      </c>
      <c r="AX95" s="105">
        <f t="shared" si="128"/>
        <v>0</v>
      </c>
      <c r="AY95" s="105">
        <f t="shared" si="129"/>
        <v>0</v>
      </c>
      <c r="AZ95" s="105"/>
      <c r="BA95" s="105"/>
      <c r="BB95" s="105"/>
      <c r="BC95" s="105"/>
      <c r="BD95" s="105"/>
      <c r="BE95" s="105" t="e">
        <f t="shared" si="120"/>
        <v>#DIV/0!</v>
      </c>
      <c r="BF95" s="108">
        <f t="shared" si="124"/>
        <v>0</v>
      </c>
      <c r="BG95" s="108">
        <f t="shared" si="118"/>
        <v>0</v>
      </c>
      <c r="BH95" s="22">
        <f t="shared" si="101"/>
        <v>46908</v>
      </c>
      <c r="BI95" s="108">
        <f t="shared" si="102"/>
        <v>0</v>
      </c>
      <c r="BJ95" s="2" t="e">
        <f t="shared" si="103"/>
        <v>#DIV/0!</v>
      </c>
    </row>
    <row r="96" spans="1:62" s="16" customFormat="1" ht="14.25" x14ac:dyDescent="0.2">
      <c r="A96" s="2"/>
      <c r="B96" s="2"/>
      <c r="C96" s="1"/>
      <c r="D96" s="2"/>
      <c r="E96" s="2"/>
      <c r="F96" s="2"/>
      <c r="G96" s="426">
        <f t="shared" si="121"/>
        <v>88</v>
      </c>
      <c r="H96" s="427">
        <f t="shared" si="108"/>
        <v>47122</v>
      </c>
      <c r="I96" s="494">
        <f t="shared" si="77"/>
        <v>5.9000000000000004E-2</v>
      </c>
      <c r="J96" s="423">
        <f t="shared" si="134"/>
        <v>0</v>
      </c>
      <c r="K96" s="423">
        <f t="shared" si="110"/>
        <v>0</v>
      </c>
      <c r="L96" s="423">
        <f t="shared" si="111"/>
        <v>0</v>
      </c>
      <c r="M96" s="423">
        <f t="shared" si="112"/>
        <v>0</v>
      </c>
      <c r="N96" s="423">
        <f t="shared" si="131"/>
        <v>0</v>
      </c>
      <c r="O96" s="423">
        <f t="shared" si="109"/>
        <v>0</v>
      </c>
      <c r="P96" s="423">
        <f t="shared" si="113"/>
        <v>0</v>
      </c>
      <c r="Q96" s="423">
        <f t="shared" si="114"/>
        <v>0</v>
      </c>
      <c r="R96" s="423">
        <f t="shared" si="115"/>
        <v>0</v>
      </c>
      <c r="S96" s="470"/>
      <c r="T96" s="36">
        <f t="shared" si="122"/>
        <v>0</v>
      </c>
      <c r="U96" s="36">
        <f t="shared" si="116"/>
        <v>0</v>
      </c>
      <c r="V96" s="2"/>
      <c r="W96" s="2" t="e">
        <f t="shared" si="126"/>
        <v>#VALUE!</v>
      </c>
      <c r="X96" s="34">
        <f t="shared" si="68"/>
        <v>0</v>
      </c>
      <c r="Y96" s="57">
        <f t="shared" si="69"/>
        <v>61963</v>
      </c>
      <c r="AE96" s="47">
        <f t="shared" ref="AE96:AE97" si="135">IF(AF96-AF95=0,AE95,AE95-$AE$93)</f>
        <v>11726</v>
      </c>
      <c r="AF96" s="169">
        <f>AF95-$AF$93</f>
        <v>9.9000000000000005E-2</v>
      </c>
      <c r="AL96" s="2" t="e">
        <f t="shared" si="130"/>
        <v>#VALUE!</v>
      </c>
      <c r="AM96" s="34" t="e">
        <f t="shared" si="65"/>
        <v>#DIV/0!</v>
      </c>
      <c r="AN96" s="57">
        <f t="shared" si="127"/>
        <v>62328</v>
      </c>
      <c r="AO96" s="130" t="e">
        <f t="shared" si="117"/>
        <v>#DIV/0!</v>
      </c>
      <c r="AP96" s="109">
        <f t="shared" si="123"/>
        <v>88</v>
      </c>
      <c r="AQ96" s="110">
        <f t="shared" si="98"/>
        <v>47122</v>
      </c>
      <c r="AR96" s="105" t="e">
        <f t="shared" si="125"/>
        <v>#DIV/0!</v>
      </c>
      <c r="AS96" s="105" t="e">
        <f t="shared" si="105"/>
        <v>#DIV/0!</v>
      </c>
      <c r="AT96" s="105">
        <f t="shared" si="119"/>
        <v>0</v>
      </c>
      <c r="AU96" s="105" t="e">
        <f t="shared" si="99"/>
        <v>#DIV/0!</v>
      </c>
      <c r="AV96" s="105" t="e">
        <f t="shared" si="132"/>
        <v>#DIV/0!</v>
      </c>
      <c r="AW96" s="105" t="e">
        <f t="shared" si="133"/>
        <v>#DIV/0!</v>
      </c>
      <c r="AX96" s="105">
        <f t="shared" si="128"/>
        <v>0</v>
      </c>
      <c r="AY96" s="105">
        <f t="shared" si="129"/>
        <v>0</v>
      </c>
      <c r="AZ96" s="105"/>
      <c r="BA96" s="105"/>
      <c r="BB96" s="105"/>
      <c r="BC96" s="105"/>
      <c r="BD96" s="105"/>
      <c r="BE96" s="105" t="e">
        <f t="shared" si="120"/>
        <v>#DIV/0!</v>
      </c>
      <c r="BF96" s="108">
        <f t="shared" si="124"/>
        <v>0</v>
      </c>
      <c r="BG96" s="108">
        <f t="shared" si="118"/>
        <v>0</v>
      </c>
      <c r="BH96" s="22">
        <f t="shared" si="101"/>
        <v>46938</v>
      </c>
      <c r="BI96" s="108">
        <f t="shared" si="102"/>
        <v>0</v>
      </c>
      <c r="BJ96" s="2" t="e">
        <f t="shared" si="103"/>
        <v>#DIV/0!</v>
      </c>
    </row>
    <row r="97" spans="1:1215" s="16" customFormat="1" ht="14.25" x14ac:dyDescent="0.2">
      <c r="A97" s="2"/>
      <c r="B97" s="2"/>
      <c r="C97" s="1"/>
      <c r="D97" s="2"/>
      <c r="E97" s="2"/>
      <c r="F97" s="2"/>
      <c r="G97" s="426">
        <f t="shared" si="121"/>
        <v>89</v>
      </c>
      <c r="H97" s="427">
        <f t="shared" si="108"/>
        <v>47153</v>
      </c>
      <c r="I97" s="494">
        <f t="shared" si="77"/>
        <v>5.9000000000000004E-2</v>
      </c>
      <c r="J97" s="423">
        <f t="shared" si="134"/>
        <v>0</v>
      </c>
      <c r="K97" s="423">
        <f t="shared" si="110"/>
        <v>0</v>
      </c>
      <c r="L97" s="423">
        <f t="shared" si="111"/>
        <v>0</v>
      </c>
      <c r="M97" s="423">
        <f t="shared" si="112"/>
        <v>0</v>
      </c>
      <c r="N97" s="423">
        <f t="shared" si="131"/>
        <v>0</v>
      </c>
      <c r="O97" s="423">
        <f t="shared" si="109"/>
        <v>0</v>
      </c>
      <c r="P97" s="423">
        <f t="shared" si="113"/>
        <v>0</v>
      </c>
      <c r="Q97" s="423">
        <f t="shared" si="114"/>
        <v>0</v>
      </c>
      <c r="R97" s="423">
        <f t="shared" si="115"/>
        <v>0</v>
      </c>
      <c r="S97" s="470"/>
      <c r="T97" s="36">
        <f t="shared" si="122"/>
        <v>0</v>
      </c>
      <c r="U97" s="36">
        <f t="shared" si="116"/>
        <v>0</v>
      </c>
      <c r="V97" s="2"/>
      <c r="W97" s="2" t="e">
        <f t="shared" si="126"/>
        <v>#VALUE!</v>
      </c>
      <c r="X97" s="34">
        <f t="shared" si="68"/>
        <v>0</v>
      </c>
      <c r="Y97" s="57">
        <f t="shared" si="69"/>
        <v>62328</v>
      </c>
      <c r="AE97" s="47">
        <f t="shared" si="135"/>
        <v>11494</v>
      </c>
      <c r="AF97" s="169">
        <f>MAX(5.9%,AF96-$AF$93)</f>
        <v>6.9000000000000006E-2</v>
      </c>
      <c r="AL97" s="2" t="e">
        <f t="shared" si="130"/>
        <v>#VALUE!</v>
      </c>
      <c r="AM97" s="34" t="e">
        <f t="shared" si="65"/>
        <v>#DIV/0!</v>
      </c>
      <c r="AN97" s="57">
        <f t="shared" si="127"/>
        <v>62693</v>
      </c>
      <c r="AO97" s="130" t="e">
        <f t="shared" si="117"/>
        <v>#DIV/0!</v>
      </c>
      <c r="AP97" s="109">
        <f t="shared" si="123"/>
        <v>89</v>
      </c>
      <c r="AQ97" s="110">
        <f t="shared" si="98"/>
        <v>47153</v>
      </c>
      <c r="AR97" s="105" t="e">
        <f t="shared" si="125"/>
        <v>#DIV/0!</v>
      </c>
      <c r="AS97" s="105" t="e">
        <f t="shared" si="105"/>
        <v>#DIV/0!</v>
      </c>
      <c r="AT97" s="105">
        <f t="shared" si="119"/>
        <v>0</v>
      </c>
      <c r="AU97" s="105" t="e">
        <f t="shared" si="99"/>
        <v>#DIV/0!</v>
      </c>
      <c r="AV97" s="105" t="e">
        <f t="shared" si="132"/>
        <v>#DIV/0!</v>
      </c>
      <c r="AW97" s="105" t="e">
        <f t="shared" si="133"/>
        <v>#DIV/0!</v>
      </c>
      <c r="AX97" s="105">
        <f t="shared" si="128"/>
        <v>0</v>
      </c>
      <c r="AY97" s="105">
        <f t="shared" si="129"/>
        <v>0</v>
      </c>
      <c r="AZ97" s="105"/>
      <c r="BA97" s="105"/>
      <c r="BB97" s="105"/>
      <c r="BC97" s="105"/>
      <c r="BD97" s="105"/>
      <c r="BE97" s="105" t="e">
        <f t="shared" si="120"/>
        <v>#DIV/0!</v>
      </c>
      <c r="BF97" s="108">
        <f t="shared" si="124"/>
        <v>0</v>
      </c>
      <c r="BG97" s="108">
        <f t="shared" si="118"/>
        <v>0</v>
      </c>
      <c r="BH97" s="22">
        <f t="shared" si="101"/>
        <v>46969</v>
      </c>
      <c r="BI97" s="108">
        <f t="shared" si="102"/>
        <v>0</v>
      </c>
      <c r="BJ97" s="2" t="e">
        <f t="shared" si="103"/>
        <v>#DIV/0!</v>
      </c>
    </row>
    <row r="98" spans="1:1215" s="16" customFormat="1" ht="14.25" x14ac:dyDescent="0.2">
      <c r="A98" s="2"/>
      <c r="B98" s="2"/>
      <c r="C98" s="1"/>
      <c r="D98" s="2"/>
      <c r="E98" s="2"/>
      <c r="F98" s="2"/>
      <c r="G98" s="426">
        <f t="shared" si="121"/>
        <v>90</v>
      </c>
      <c r="H98" s="427">
        <f t="shared" si="108"/>
        <v>47181</v>
      </c>
      <c r="I98" s="494">
        <f t="shared" si="77"/>
        <v>5.9000000000000004E-2</v>
      </c>
      <c r="J98" s="423">
        <f t="shared" si="134"/>
        <v>0</v>
      </c>
      <c r="K98" s="423">
        <f t="shared" si="110"/>
        <v>0</v>
      </c>
      <c r="L98" s="423">
        <f t="shared" si="111"/>
        <v>0</v>
      </c>
      <c r="M98" s="423">
        <f t="shared" si="112"/>
        <v>0</v>
      </c>
      <c r="N98" s="423">
        <f t="shared" si="131"/>
        <v>0</v>
      </c>
      <c r="O98" s="423">
        <f t="shared" si="109"/>
        <v>0</v>
      </c>
      <c r="P98" s="423">
        <f t="shared" si="113"/>
        <v>0</v>
      </c>
      <c r="Q98" s="423">
        <f t="shared" si="114"/>
        <v>0</v>
      </c>
      <c r="R98" s="423">
        <f t="shared" si="115"/>
        <v>0</v>
      </c>
      <c r="S98" s="470"/>
      <c r="T98" s="36">
        <f t="shared" si="122"/>
        <v>0</v>
      </c>
      <c r="U98" s="36">
        <f t="shared" si="116"/>
        <v>0</v>
      </c>
      <c r="V98" s="2"/>
      <c r="W98" s="2" t="e">
        <f t="shared" si="126"/>
        <v>#VALUE!</v>
      </c>
      <c r="X98" s="34">
        <f t="shared" si="68"/>
        <v>0</v>
      </c>
      <c r="Y98" s="57">
        <f t="shared" si="69"/>
        <v>62693</v>
      </c>
      <c r="AE98" s="47">
        <f>IF(AF97-$AF$93&gt;=2%,AE97-$AE$93,AE97)</f>
        <v>11262</v>
      </c>
      <c r="AF98" s="169">
        <f>MAX(5.9%,AF97-$AF$93)</f>
        <v>5.9000000000000004E-2</v>
      </c>
      <c r="AL98" s="2" t="e">
        <f t="shared" si="130"/>
        <v>#VALUE!</v>
      </c>
      <c r="AM98" s="34" t="e">
        <f t="shared" ref="AM98:AM105" si="136">AS59</f>
        <v>#DIV/0!</v>
      </c>
      <c r="AN98" s="57">
        <f t="shared" si="127"/>
        <v>63058</v>
      </c>
      <c r="AO98" s="130" t="e">
        <f t="shared" si="117"/>
        <v>#DIV/0!</v>
      </c>
      <c r="AP98" s="109">
        <f t="shared" si="123"/>
        <v>90</v>
      </c>
      <c r="AQ98" s="110">
        <f t="shared" si="98"/>
        <v>47181</v>
      </c>
      <c r="AR98" s="105" t="e">
        <f t="shared" si="125"/>
        <v>#DIV/0!</v>
      </c>
      <c r="AS98" s="105" t="e">
        <f t="shared" si="105"/>
        <v>#DIV/0!</v>
      </c>
      <c r="AT98" s="105">
        <f t="shared" si="119"/>
        <v>0</v>
      </c>
      <c r="AU98" s="105" t="e">
        <f t="shared" si="99"/>
        <v>#DIV/0!</v>
      </c>
      <c r="AV98" s="105" t="e">
        <f t="shared" si="132"/>
        <v>#DIV/0!</v>
      </c>
      <c r="AW98" s="105" t="e">
        <f t="shared" si="133"/>
        <v>#DIV/0!</v>
      </c>
      <c r="AX98" s="105">
        <f t="shared" si="128"/>
        <v>0</v>
      </c>
      <c r="AY98" s="105">
        <f t="shared" si="129"/>
        <v>0</v>
      </c>
      <c r="AZ98" s="105"/>
      <c r="BA98" s="105"/>
      <c r="BB98" s="105"/>
      <c r="BC98" s="105"/>
      <c r="BD98" s="105"/>
      <c r="BE98" s="105" t="e">
        <f t="shared" si="120"/>
        <v>#DIV/0!</v>
      </c>
      <c r="BF98" s="108">
        <f t="shared" si="124"/>
        <v>0</v>
      </c>
      <c r="BG98" s="108">
        <f t="shared" si="118"/>
        <v>0</v>
      </c>
      <c r="BH98" s="22">
        <f t="shared" si="101"/>
        <v>47000</v>
      </c>
      <c r="BI98" s="108">
        <f t="shared" si="102"/>
        <v>0</v>
      </c>
      <c r="BJ98" s="2" t="e">
        <f t="shared" si="103"/>
        <v>#DIV/0!</v>
      </c>
    </row>
    <row r="99" spans="1:1215" s="16" customFormat="1" ht="14.25" x14ac:dyDescent="0.2">
      <c r="A99" s="2"/>
      <c r="B99" s="2"/>
      <c r="C99" s="1"/>
      <c r="D99" s="2"/>
      <c r="E99" s="2"/>
      <c r="F99" s="2"/>
      <c r="G99" s="426">
        <f t="shared" si="121"/>
        <v>91</v>
      </c>
      <c r="H99" s="427">
        <f t="shared" si="108"/>
        <v>47212</v>
      </c>
      <c r="I99" s="494">
        <f t="shared" si="77"/>
        <v>5.9000000000000004E-2</v>
      </c>
      <c r="J99" s="423">
        <f t="shared" si="134"/>
        <v>0</v>
      </c>
      <c r="K99" s="423">
        <f t="shared" si="110"/>
        <v>0</v>
      </c>
      <c r="L99" s="423">
        <f t="shared" si="111"/>
        <v>0</v>
      </c>
      <c r="M99" s="423">
        <f t="shared" si="112"/>
        <v>0</v>
      </c>
      <c r="N99" s="423">
        <f t="shared" si="131"/>
        <v>0</v>
      </c>
      <c r="O99" s="423">
        <f t="shared" si="109"/>
        <v>0</v>
      </c>
      <c r="P99" s="423">
        <f t="shared" si="113"/>
        <v>0</v>
      </c>
      <c r="Q99" s="423">
        <f t="shared" si="114"/>
        <v>0</v>
      </c>
      <c r="R99" s="423">
        <f t="shared" si="115"/>
        <v>0</v>
      </c>
      <c r="S99" s="470"/>
      <c r="T99" s="36">
        <f t="shared" si="122"/>
        <v>0</v>
      </c>
      <c r="U99" s="36">
        <f t="shared" si="116"/>
        <v>0</v>
      </c>
      <c r="V99" s="2"/>
      <c r="W99" s="2" t="e">
        <f t="shared" si="126"/>
        <v>#VALUE!</v>
      </c>
      <c r="X99" s="34">
        <f t="shared" si="68"/>
        <v>0</v>
      </c>
      <c r="Y99" s="57">
        <f t="shared" si="69"/>
        <v>63058</v>
      </c>
      <c r="AE99" s="2"/>
      <c r="AF99" s="2"/>
      <c r="AG99" s="2"/>
      <c r="AL99" s="2" t="e">
        <f t="shared" si="130"/>
        <v>#VALUE!</v>
      </c>
      <c r="AM99" s="34" t="e">
        <f t="shared" si="136"/>
        <v>#DIV/0!</v>
      </c>
      <c r="AN99" s="57">
        <f t="shared" si="127"/>
        <v>63423</v>
      </c>
      <c r="AO99" s="130" t="e">
        <f t="shared" si="117"/>
        <v>#DIV/0!</v>
      </c>
      <c r="AP99" s="109">
        <f t="shared" si="123"/>
        <v>91</v>
      </c>
      <c r="AQ99" s="110">
        <f t="shared" si="98"/>
        <v>47212</v>
      </c>
      <c r="AR99" s="105" t="e">
        <f t="shared" si="125"/>
        <v>#DIV/0!</v>
      </c>
      <c r="AS99" s="105" t="e">
        <f t="shared" si="105"/>
        <v>#DIV/0!</v>
      </c>
      <c r="AT99" s="105">
        <f t="shared" si="119"/>
        <v>0</v>
      </c>
      <c r="AU99" s="105" t="e">
        <f t="shared" si="99"/>
        <v>#DIV/0!</v>
      </c>
      <c r="AV99" s="105" t="e">
        <f t="shared" si="132"/>
        <v>#DIV/0!</v>
      </c>
      <c r="AW99" s="105" t="e">
        <f t="shared" si="133"/>
        <v>#DIV/0!</v>
      </c>
      <c r="AX99" s="105">
        <f t="shared" si="128"/>
        <v>0</v>
      </c>
      <c r="AY99" s="105">
        <f t="shared" si="129"/>
        <v>0</v>
      </c>
      <c r="AZ99" s="105"/>
      <c r="BA99" s="105"/>
      <c r="BB99" s="105"/>
      <c r="BC99" s="105"/>
      <c r="BD99" s="105"/>
      <c r="BE99" s="105" t="e">
        <f t="shared" si="120"/>
        <v>#DIV/0!</v>
      </c>
      <c r="BF99" s="108">
        <f t="shared" si="124"/>
        <v>0</v>
      </c>
      <c r="BG99" s="108">
        <f t="shared" si="118"/>
        <v>0</v>
      </c>
      <c r="BH99" s="22">
        <f t="shared" si="101"/>
        <v>47030</v>
      </c>
      <c r="BI99" s="108">
        <f t="shared" si="102"/>
        <v>0</v>
      </c>
      <c r="BJ99" s="2" t="e">
        <f t="shared" si="103"/>
        <v>#DIV/0!</v>
      </c>
    </row>
    <row r="100" spans="1:1215" s="16" customFormat="1" ht="14.25" x14ac:dyDescent="0.2">
      <c r="A100" s="2"/>
      <c r="B100" s="2"/>
      <c r="C100" s="1"/>
      <c r="D100" s="2"/>
      <c r="E100" s="2"/>
      <c r="F100" s="2"/>
      <c r="G100" s="426">
        <f t="shared" si="121"/>
        <v>92</v>
      </c>
      <c r="H100" s="427">
        <f t="shared" si="108"/>
        <v>47242</v>
      </c>
      <c r="I100" s="494">
        <f t="shared" si="77"/>
        <v>5.9000000000000004E-2</v>
      </c>
      <c r="J100" s="423">
        <f t="shared" si="134"/>
        <v>0</v>
      </c>
      <c r="K100" s="423">
        <f t="shared" si="110"/>
        <v>0</v>
      </c>
      <c r="L100" s="423">
        <f t="shared" si="111"/>
        <v>0</v>
      </c>
      <c r="M100" s="423">
        <f t="shared" si="112"/>
        <v>0</v>
      </c>
      <c r="N100" s="423">
        <f t="shared" si="131"/>
        <v>0</v>
      </c>
      <c r="O100" s="423">
        <f t="shared" si="109"/>
        <v>0</v>
      </c>
      <c r="P100" s="423">
        <f t="shared" si="113"/>
        <v>0</v>
      </c>
      <c r="Q100" s="423">
        <f t="shared" si="114"/>
        <v>0</v>
      </c>
      <c r="R100" s="423">
        <f t="shared" si="115"/>
        <v>0</v>
      </c>
      <c r="S100" s="470"/>
      <c r="T100" s="36">
        <f t="shared" si="122"/>
        <v>0</v>
      </c>
      <c r="U100" s="36">
        <f t="shared" si="116"/>
        <v>0</v>
      </c>
      <c r="V100" s="2"/>
      <c r="W100" s="2" t="e">
        <f t="shared" si="126"/>
        <v>#VALUE!</v>
      </c>
      <c r="X100" s="34">
        <f t="shared" si="68"/>
        <v>0</v>
      </c>
      <c r="Y100" s="57">
        <f t="shared" si="69"/>
        <v>63423</v>
      </c>
      <c r="AL100" s="2" t="e">
        <f t="shared" si="130"/>
        <v>#VALUE!</v>
      </c>
      <c r="AM100" s="34" t="e">
        <f t="shared" si="136"/>
        <v>#DIV/0!</v>
      </c>
      <c r="AN100" s="57">
        <f t="shared" si="127"/>
        <v>63788</v>
      </c>
      <c r="AO100" s="130" t="e">
        <f t="shared" si="117"/>
        <v>#DIV/0!</v>
      </c>
      <c r="AP100" s="109">
        <f t="shared" si="123"/>
        <v>92</v>
      </c>
      <c r="AQ100" s="110">
        <f t="shared" si="98"/>
        <v>47242</v>
      </c>
      <c r="AR100" s="105" t="e">
        <f>IF(BF106=1,AU100+AS100+AT100,IF(BE99+AU100+AS100&gt;AR99,$D$39,IF(BE99=0,0,BE99+AU100+AS100+AS109)))</f>
        <v>#DIV/0!</v>
      </c>
      <c r="AS100" s="105" t="e">
        <f t="shared" si="105"/>
        <v>#DIV/0!</v>
      </c>
      <c r="AT100" s="105">
        <f t="shared" si="119"/>
        <v>0</v>
      </c>
      <c r="AU100" s="105" t="e">
        <f t="shared" si="99"/>
        <v>#DIV/0!</v>
      </c>
      <c r="AV100" s="105" t="e">
        <f t="shared" si="132"/>
        <v>#DIV/0!</v>
      </c>
      <c r="AW100" s="105" t="e">
        <f t="shared" si="133"/>
        <v>#DIV/0!</v>
      </c>
      <c r="AX100" s="105">
        <f t="shared" si="128"/>
        <v>0</v>
      </c>
      <c r="AY100" s="105">
        <f t="shared" si="129"/>
        <v>0</v>
      </c>
      <c r="AZ100" s="105"/>
      <c r="BA100" s="105"/>
      <c r="BB100" s="105"/>
      <c r="BC100" s="105"/>
      <c r="BD100" s="105"/>
      <c r="BE100" s="105" t="e">
        <f t="shared" si="120"/>
        <v>#DIV/0!</v>
      </c>
      <c r="BF100" s="108">
        <f t="shared" si="124"/>
        <v>0</v>
      </c>
      <c r="BG100" s="108">
        <f t="shared" si="118"/>
        <v>0</v>
      </c>
      <c r="BH100" s="22">
        <f t="shared" si="101"/>
        <v>47061</v>
      </c>
      <c r="BI100" s="108">
        <f t="shared" si="102"/>
        <v>0</v>
      </c>
      <c r="BJ100" s="2" t="e">
        <f t="shared" si="103"/>
        <v>#DIV/0!</v>
      </c>
    </row>
    <row r="101" spans="1:1215" s="16" customFormat="1" ht="14.25" x14ac:dyDescent="0.2">
      <c r="A101" s="2"/>
      <c r="B101" s="2"/>
      <c r="C101" s="1"/>
      <c r="D101" s="13"/>
      <c r="E101" s="2"/>
      <c r="F101" s="2"/>
      <c r="G101" s="426">
        <f t="shared" si="121"/>
        <v>93</v>
      </c>
      <c r="H101" s="427">
        <f t="shared" si="108"/>
        <v>47273</v>
      </c>
      <c r="I101" s="494">
        <f t="shared" si="77"/>
        <v>5.9000000000000004E-2</v>
      </c>
      <c r="J101" s="423">
        <f t="shared" si="134"/>
        <v>0</v>
      </c>
      <c r="K101" s="423">
        <f t="shared" si="110"/>
        <v>0</v>
      </c>
      <c r="L101" s="423">
        <f t="shared" si="111"/>
        <v>0</v>
      </c>
      <c r="M101" s="423">
        <f t="shared" si="112"/>
        <v>0</v>
      </c>
      <c r="N101" s="423">
        <f t="shared" si="131"/>
        <v>0</v>
      </c>
      <c r="O101" s="423">
        <f t="shared" si="109"/>
        <v>0</v>
      </c>
      <c r="P101" s="423">
        <f t="shared" si="113"/>
        <v>0</v>
      </c>
      <c r="Q101" s="423">
        <f t="shared" si="114"/>
        <v>0</v>
      </c>
      <c r="R101" s="423">
        <f t="shared" si="115"/>
        <v>0</v>
      </c>
      <c r="S101" s="470"/>
      <c r="T101" s="36">
        <f t="shared" si="122"/>
        <v>0</v>
      </c>
      <c r="U101" s="36">
        <f t="shared" si="116"/>
        <v>0</v>
      </c>
      <c r="V101" s="2"/>
      <c r="W101" s="2" t="e">
        <f t="shared" si="126"/>
        <v>#VALUE!</v>
      </c>
      <c r="X101" s="34">
        <f t="shared" si="68"/>
        <v>0</v>
      </c>
      <c r="Y101" s="57">
        <f t="shared" si="69"/>
        <v>63788</v>
      </c>
      <c r="AL101" s="2" t="e">
        <f t="shared" si="130"/>
        <v>#VALUE!</v>
      </c>
      <c r="AM101" s="34" t="e">
        <f t="shared" si="136"/>
        <v>#DIV/0!</v>
      </c>
      <c r="AN101" s="57">
        <f t="shared" si="127"/>
        <v>64153</v>
      </c>
      <c r="AO101" s="130" t="e">
        <f t="shared" si="117"/>
        <v>#DIV/0!</v>
      </c>
      <c r="AP101" s="109">
        <f t="shared" si="123"/>
        <v>93</v>
      </c>
      <c r="AQ101" s="110">
        <f t="shared" si="98"/>
        <v>47273</v>
      </c>
      <c r="AR101" s="105" t="e">
        <f t="shared" ref="AR101:AR108" si="137">IF(BF107=1,AU101+AS101+AT101,IF(BE100+AU101+AS101&gt;AR100,$D$39,IF(BE100=0,0,BE100+AU101+AS101+AS132)))</f>
        <v>#DIV/0!</v>
      </c>
      <c r="AS101" s="105" t="e">
        <f t="shared" si="105"/>
        <v>#DIV/0!</v>
      </c>
      <c r="AT101" s="105">
        <f t="shared" si="119"/>
        <v>0</v>
      </c>
      <c r="AU101" s="105" t="e">
        <f t="shared" si="99"/>
        <v>#DIV/0!</v>
      </c>
      <c r="AV101" s="105" t="e">
        <f t="shared" si="132"/>
        <v>#DIV/0!</v>
      </c>
      <c r="AW101" s="105" t="e">
        <f t="shared" si="133"/>
        <v>#DIV/0!</v>
      </c>
      <c r="AX101" s="105">
        <f t="shared" si="128"/>
        <v>0</v>
      </c>
      <c r="AY101" s="105">
        <f t="shared" si="129"/>
        <v>0</v>
      </c>
      <c r="AZ101" s="105"/>
      <c r="BA101" s="105"/>
      <c r="BB101" s="105"/>
      <c r="BC101" s="105"/>
      <c r="BD101" s="105"/>
      <c r="BE101" s="105" t="e">
        <f t="shared" si="120"/>
        <v>#DIV/0!</v>
      </c>
      <c r="BF101" s="108">
        <f t="shared" si="124"/>
        <v>0</v>
      </c>
      <c r="BG101" s="108">
        <f t="shared" si="118"/>
        <v>0</v>
      </c>
      <c r="BH101" s="22">
        <f t="shared" si="101"/>
        <v>47091</v>
      </c>
      <c r="BI101" s="108">
        <f t="shared" si="102"/>
        <v>0</v>
      </c>
      <c r="BJ101" s="2" t="e">
        <f t="shared" si="103"/>
        <v>#DIV/0!</v>
      </c>
    </row>
    <row r="102" spans="1:1215" s="16" customFormat="1" ht="14.25" x14ac:dyDescent="0.2">
      <c r="A102" s="2"/>
      <c r="B102" s="2"/>
      <c r="C102" s="1"/>
      <c r="D102" s="2"/>
      <c r="E102" s="2"/>
      <c r="F102" s="2"/>
      <c r="G102" s="426">
        <f t="shared" si="121"/>
        <v>94</v>
      </c>
      <c r="H102" s="427">
        <f t="shared" si="108"/>
        <v>47303</v>
      </c>
      <c r="I102" s="494">
        <f t="shared" si="77"/>
        <v>5.9000000000000004E-2</v>
      </c>
      <c r="J102" s="423">
        <f t="shared" si="134"/>
        <v>0</v>
      </c>
      <c r="K102" s="423">
        <f t="shared" si="110"/>
        <v>0</v>
      </c>
      <c r="L102" s="423">
        <f t="shared" si="111"/>
        <v>0</v>
      </c>
      <c r="M102" s="423">
        <f t="shared" si="112"/>
        <v>0</v>
      </c>
      <c r="N102" s="423">
        <f t="shared" si="131"/>
        <v>0</v>
      </c>
      <c r="O102" s="423">
        <f t="shared" si="109"/>
        <v>0</v>
      </c>
      <c r="P102" s="423">
        <f t="shared" si="113"/>
        <v>0</v>
      </c>
      <c r="Q102" s="423">
        <f t="shared" si="114"/>
        <v>0</v>
      </c>
      <c r="R102" s="423">
        <f t="shared" si="115"/>
        <v>0</v>
      </c>
      <c r="S102" s="470"/>
      <c r="T102" s="36">
        <f t="shared" si="122"/>
        <v>0</v>
      </c>
      <c r="U102" s="36">
        <f t="shared" si="116"/>
        <v>0</v>
      </c>
      <c r="V102" s="2"/>
      <c r="W102" s="2" t="e">
        <f t="shared" si="126"/>
        <v>#VALUE!</v>
      </c>
      <c r="X102" s="34">
        <f t="shared" si="68"/>
        <v>0</v>
      </c>
      <c r="Y102" s="57">
        <f t="shared" si="69"/>
        <v>64153</v>
      </c>
      <c r="AL102" s="2" t="e">
        <f t="shared" si="130"/>
        <v>#VALUE!</v>
      </c>
      <c r="AM102" s="34" t="e">
        <f t="shared" si="136"/>
        <v>#DIV/0!</v>
      </c>
      <c r="AN102" s="57">
        <f t="shared" si="127"/>
        <v>64518</v>
      </c>
      <c r="AO102" s="130" t="e">
        <f t="shared" si="117"/>
        <v>#DIV/0!</v>
      </c>
      <c r="AP102" s="109">
        <f t="shared" si="123"/>
        <v>94</v>
      </c>
      <c r="AQ102" s="110">
        <f t="shared" si="98"/>
        <v>47303</v>
      </c>
      <c r="AR102" s="105" t="e">
        <f t="shared" si="137"/>
        <v>#DIV/0!</v>
      </c>
      <c r="AS102" s="105" t="e">
        <f t="shared" si="105"/>
        <v>#DIV/0!</v>
      </c>
      <c r="AT102" s="105">
        <f t="shared" si="119"/>
        <v>0</v>
      </c>
      <c r="AU102" s="105" t="e">
        <f t="shared" si="99"/>
        <v>#DIV/0!</v>
      </c>
      <c r="AV102" s="105" t="e">
        <f t="shared" si="132"/>
        <v>#DIV/0!</v>
      </c>
      <c r="AW102" s="105" t="e">
        <f t="shared" si="133"/>
        <v>#DIV/0!</v>
      </c>
      <c r="AX102" s="105">
        <f t="shared" si="128"/>
        <v>0</v>
      </c>
      <c r="AY102" s="105">
        <f t="shared" si="129"/>
        <v>0</v>
      </c>
      <c r="AZ102" s="105"/>
      <c r="BA102" s="105"/>
      <c r="BB102" s="105"/>
      <c r="BC102" s="105"/>
      <c r="BD102" s="105"/>
      <c r="BE102" s="105" t="e">
        <f t="shared" si="120"/>
        <v>#DIV/0!</v>
      </c>
      <c r="BF102" s="108">
        <f t="shared" si="124"/>
        <v>0</v>
      </c>
      <c r="BG102" s="108">
        <f t="shared" si="118"/>
        <v>0</v>
      </c>
      <c r="BH102" s="22">
        <f t="shared" si="101"/>
        <v>47122</v>
      </c>
      <c r="BI102" s="108">
        <f t="shared" si="102"/>
        <v>0</v>
      </c>
      <c r="BJ102" s="2" t="e">
        <f t="shared" si="103"/>
        <v>#DIV/0!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</row>
    <row r="103" spans="1:1215" ht="14.25" x14ac:dyDescent="0.2">
      <c r="E103" s="2"/>
      <c r="F103" s="2"/>
      <c r="G103" s="426">
        <f t="shared" si="121"/>
        <v>95</v>
      </c>
      <c r="H103" s="427">
        <f t="shared" si="108"/>
        <v>47334</v>
      </c>
      <c r="I103" s="494">
        <f t="shared" si="77"/>
        <v>5.9000000000000004E-2</v>
      </c>
      <c r="J103" s="423">
        <f t="shared" si="134"/>
        <v>0</v>
      </c>
      <c r="K103" s="423">
        <f t="shared" si="110"/>
        <v>0</v>
      </c>
      <c r="L103" s="423">
        <f t="shared" si="111"/>
        <v>0</v>
      </c>
      <c r="M103" s="423">
        <f t="shared" si="112"/>
        <v>0</v>
      </c>
      <c r="N103" s="423">
        <f t="shared" si="131"/>
        <v>0</v>
      </c>
      <c r="O103" s="423">
        <f t="shared" si="109"/>
        <v>0</v>
      </c>
      <c r="P103" s="423">
        <f t="shared" si="113"/>
        <v>0</v>
      </c>
      <c r="Q103" s="423">
        <f t="shared" si="114"/>
        <v>0</v>
      </c>
      <c r="R103" s="423">
        <f t="shared" si="115"/>
        <v>0</v>
      </c>
      <c r="S103" s="470"/>
      <c r="T103" s="36">
        <f t="shared" si="122"/>
        <v>0</v>
      </c>
      <c r="U103" s="36">
        <f t="shared" si="116"/>
        <v>0</v>
      </c>
      <c r="W103" s="2" t="e">
        <f t="shared" si="126"/>
        <v>#VALUE!</v>
      </c>
      <c r="X103" s="34">
        <f t="shared" si="68"/>
        <v>0</v>
      </c>
      <c r="Y103" s="57">
        <f t="shared" si="69"/>
        <v>64518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 t="shared" si="130"/>
        <v>#VALUE!</v>
      </c>
      <c r="AM103" s="34" t="e">
        <f t="shared" si="136"/>
        <v>#DIV/0!</v>
      </c>
      <c r="AN103" s="57">
        <f t="shared" si="127"/>
        <v>64883</v>
      </c>
      <c r="AO103" s="130" t="e">
        <f t="shared" si="117"/>
        <v>#DIV/0!</v>
      </c>
      <c r="AP103" s="109">
        <f t="shared" si="123"/>
        <v>95</v>
      </c>
      <c r="AQ103" s="110">
        <f t="shared" si="98"/>
        <v>47334</v>
      </c>
      <c r="AR103" s="105" t="e">
        <f t="shared" si="137"/>
        <v>#DIV/0!</v>
      </c>
      <c r="AS103" s="105" t="e">
        <f t="shared" si="105"/>
        <v>#DIV/0!</v>
      </c>
      <c r="AT103" s="105">
        <f t="shared" si="119"/>
        <v>0</v>
      </c>
      <c r="AU103" s="105" t="e">
        <f t="shared" si="99"/>
        <v>#DIV/0!</v>
      </c>
      <c r="AV103" s="105" t="e">
        <f t="shared" si="132"/>
        <v>#DIV/0!</v>
      </c>
      <c r="AW103" s="105" t="e">
        <f t="shared" si="133"/>
        <v>#DIV/0!</v>
      </c>
      <c r="AX103" s="105">
        <f t="shared" si="128"/>
        <v>0</v>
      </c>
      <c r="AY103" s="105">
        <f t="shared" si="129"/>
        <v>0</v>
      </c>
      <c r="AZ103" s="105"/>
      <c r="BA103" s="105"/>
      <c r="BB103" s="105"/>
      <c r="BC103" s="105"/>
      <c r="BD103" s="105"/>
      <c r="BE103" s="105" t="e">
        <f t="shared" si="120"/>
        <v>#DIV/0!</v>
      </c>
      <c r="BF103" s="108">
        <f t="shared" si="124"/>
        <v>0</v>
      </c>
      <c r="BG103" s="108">
        <f t="shared" si="118"/>
        <v>0</v>
      </c>
      <c r="BH103" s="22">
        <f t="shared" si="101"/>
        <v>47153</v>
      </c>
      <c r="BI103" s="108">
        <f t="shared" si="102"/>
        <v>0</v>
      </c>
      <c r="BJ103" s="2" t="e">
        <f t="shared" si="103"/>
        <v>#DIV/0!</v>
      </c>
    </row>
    <row r="104" spans="1:1215" ht="14.25" x14ac:dyDescent="0.2">
      <c r="E104" s="2"/>
      <c r="F104" s="2"/>
      <c r="G104" s="426">
        <f t="shared" si="121"/>
        <v>96</v>
      </c>
      <c r="H104" s="427">
        <f t="shared" si="108"/>
        <v>47365</v>
      </c>
      <c r="I104" s="494">
        <f t="shared" si="77"/>
        <v>5.9000000000000004E-2</v>
      </c>
      <c r="J104" s="423">
        <f t="shared" si="134"/>
        <v>0</v>
      </c>
      <c r="K104" s="423">
        <f t="shared" si="110"/>
        <v>0</v>
      </c>
      <c r="L104" s="423">
        <f t="shared" si="111"/>
        <v>0</v>
      </c>
      <c r="M104" s="423">
        <f t="shared" si="112"/>
        <v>0</v>
      </c>
      <c r="N104" s="423">
        <f t="shared" si="131"/>
        <v>0</v>
      </c>
      <c r="O104" s="423">
        <f t="shared" si="109"/>
        <v>0</v>
      </c>
      <c r="P104" s="423">
        <f t="shared" si="113"/>
        <v>0</v>
      </c>
      <c r="Q104" s="423">
        <f t="shared" si="114"/>
        <v>0</v>
      </c>
      <c r="R104" s="423">
        <f t="shared" si="115"/>
        <v>0</v>
      </c>
      <c r="S104" s="470"/>
      <c r="T104" s="36">
        <f t="shared" si="122"/>
        <v>0</v>
      </c>
      <c r="U104" s="36">
        <f t="shared" si="116"/>
        <v>0</v>
      </c>
      <c r="W104" s="2" t="e">
        <f t="shared" si="126"/>
        <v>#VALUE!</v>
      </c>
      <c r="X104" s="34">
        <f t="shared" si="68"/>
        <v>0</v>
      </c>
      <c r="Y104" s="57">
        <f t="shared" si="69"/>
        <v>64883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 t="shared" si="130"/>
        <v>#VALUE!</v>
      </c>
      <c r="AM104" s="34" t="e">
        <f t="shared" si="136"/>
        <v>#DIV/0!</v>
      </c>
      <c r="AN104" s="57">
        <f t="shared" si="127"/>
        <v>65248</v>
      </c>
      <c r="AO104" s="130" t="e">
        <f t="shared" si="117"/>
        <v>#DIV/0!</v>
      </c>
      <c r="AP104" s="109">
        <f t="shared" si="123"/>
        <v>96</v>
      </c>
      <c r="AQ104" s="110">
        <f t="shared" si="98"/>
        <v>47365</v>
      </c>
      <c r="AR104" s="105" t="e">
        <f t="shared" si="137"/>
        <v>#DIV/0!</v>
      </c>
      <c r="AS104" s="105" t="e">
        <f t="shared" si="105"/>
        <v>#DIV/0!</v>
      </c>
      <c r="AT104" s="105">
        <f t="shared" si="119"/>
        <v>0</v>
      </c>
      <c r="AU104" s="105" t="e">
        <f t="shared" si="99"/>
        <v>#DIV/0!</v>
      </c>
      <c r="AV104" s="105" t="e">
        <f t="shared" si="132"/>
        <v>#DIV/0!</v>
      </c>
      <c r="AW104" s="105" t="e">
        <f t="shared" si="133"/>
        <v>#DIV/0!</v>
      </c>
      <c r="AX104" s="105">
        <f t="shared" si="128"/>
        <v>0</v>
      </c>
      <c r="AY104" s="105">
        <f t="shared" si="129"/>
        <v>0</v>
      </c>
      <c r="AZ104" s="105"/>
      <c r="BA104" s="105"/>
      <c r="BB104" s="105"/>
      <c r="BC104" s="105"/>
      <c r="BD104" s="105"/>
      <c r="BE104" s="105" t="e">
        <f t="shared" si="120"/>
        <v>#DIV/0!</v>
      </c>
      <c r="BF104" s="108">
        <f t="shared" si="124"/>
        <v>0</v>
      </c>
      <c r="BG104" s="108">
        <f t="shared" si="118"/>
        <v>0</v>
      </c>
      <c r="BH104" s="22">
        <f t="shared" si="101"/>
        <v>47181</v>
      </c>
      <c r="BI104" s="108">
        <f t="shared" si="102"/>
        <v>0</v>
      </c>
      <c r="BJ104" s="2" t="e">
        <f>IF(AND(G59&gt;=$W$14,G59&lt;=$W$14+5),0,IF($C$9&gt;$AF$51,ROUND(BE58*IF($D$33="",0,$D$33)/(DATEVALUE(CONCATENATE("01/01/",YEAR(AR59)+1))-DATEVALUE(CONCATENATE("01/01/",YEAR(AR59))))*(AR59-AQ58),2),0))</f>
        <v>#DIV/0!</v>
      </c>
    </row>
    <row r="105" spans="1:1215" ht="14.25" x14ac:dyDescent="0.2">
      <c r="E105" s="2"/>
      <c r="F105" s="2"/>
      <c r="G105" s="426">
        <f t="shared" si="121"/>
        <v>97</v>
      </c>
      <c r="H105" s="427">
        <f t="shared" si="108"/>
        <v>47395</v>
      </c>
      <c r="I105" s="494">
        <f t="shared" si="77"/>
        <v>5.9000000000000004E-2</v>
      </c>
      <c r="J105" s="423">
        <f t="shared" si="134"/>
        <v>0</v>
      </c>
      <c r="K105" s="423">
        <f t="shared" si="110"/>
        <v>0</v>
      </c>
      <c r="L105" s="423">
        <f t="shared" si="111"/>
        <v>0</v>
      </c>
      <c r="M105" s="423">
        <f t="shared" si="112"/>
        <v>0</v>
      </c>
      <c r="N105" s="423">
        <f t="shared" si="131"/>
        <v>0</v>
      </c>
      <c r="O105" s="423">
        <f t="shared" si="109"/>
        <v>0</v>
      </c>
      <c r="P105" s="423">
        <f t="shared" si="113"/>
        <v>0</v>
      </c>
      <c r="Q105" s="423">
        <f t="shared" si="114"/>
        <v>0</v>
      </c>
      <c r="R105" s="423">
        <f t="shared" si="115"/>
        <v>0</v>
      </c>
      <c r="S105" s="470"/>
      <c r="T105" s="36">
        <f t="shared" si="122"/>
        <v>0</v>
      </c>
      <c r="U105" s="36">
        <f t="shared" si="116"/>
        <v>0</v>
      </c>
      <c r="W105" s="2" t="e">
        <f t="shared" si="126"/>
        <v>#VALUE!</v>
      </c>
      <c r="X105" s="34">
        <f t="shared" si="68"/>
        <v>0</v>
      </c>
      <c r="Y105" s="57">
        <f t="shared" si="69"/>
        <v>65248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 t="shared" si="130"/>
        <v>#VALUE!</v>
      </c>
      <c r="AM105" s="34" t="e">
        <f t="shared" si="136"/>
        <v>#DIV/0!</v>
      </c>
      <c r="AN105" s="57">
        <f t="shared" si="127"/>
        <v>65613</v>
      </c>
      <c r="AO105" s="130" t="e">
        <f t="shared" si="117"/>
        <v>#DIV/0!</v>
      </c>
      <c r="AP105" s="109">
        <f t="shared" si="123"/>
        <v>97</v>
      </c>
      <c r="AQ105" s="110">
        <f t="shared" si="98"/>
        <v>47395</v>
      </c>
      <c r="AR105" s="105" t="e">
        <f t="shared" si="137"/>
        <v>#DIV/0!</v>
      </c>
      <c r="AS105" s="105" t="e">
        <f t="shared" si="105"/>
        <v>#DIV/0!</v>
      </c>
      <c r="AT105" s="105">
        <f t="shared" si="119"/>
        <v>0</v>
      </c>
      <c r="AU105" s="105" t="e">
        <f t="shared" si="99"/>
        <v>#DIV/0!</v>
      </c>
      <c r="AV105" s="105" t="e">
        <f t="shared" si="132"/>
        <v>#DIV/0!</v>
      </c>
      <c r="AW105" s="105" t="e">
        <f t="shared" si="133"/>
        <v>#DIV/0!</v>
      </c>
      <c r="AX105" s="105">
        <f t="shared" si="128"/>
        <v>0</v>
      </c>
      <c r="AY105" s="105">
        <f t="shared" si="129"/>
        <v>0</v>
      </c>
      <c r="AZ105" s="105"/>
      <c r="BA105" s="105"/>
      <c r="BB105" s="105"/>
      <c r="BC105" s="105"/>
      <c r="BD105" s="105"/>
      <c r="BE105" s="105" t="e">
        <f t="shared" si="120"/>
        <v>#DIV/0!</v>
      </c>
      <c r="BF105" s="108">
        <f t="shared" si="124"/>
        <v>0</v>
      </c>
      <c r="BG105" s="108">
        <f t="shared" si="118"/>
        <v>0</v>
      </c>
      <c r="BH105" s="22">
        <f t="shared" si="101"/>
        <v>47212</v>
      </c>
      <c r="BI105" s="108">
        <f t="shared" si="102"/>
        <v>0</v>
      </c>
      <c r="BJ105" s="2" t="e">
        <f t="shared" ref="BJ105:BJ111" si="138">IF(AND(G60&gt;=$W$14,G60&lt;=$W$14+5),0,IF($C$9&gt;$AF$51,ROUND(BF59*IF($D$33="",0,$D$33)/(DATEVALUE(CONCATENATE("01/01/",YEAR(AR60)+1))-DATEVALUE(CONCATENATE("01/01/",YEAR(AR60))))*(AR60-AR59),2),0))</f>
        <v>#DIV/0!</v>
      </c>
    </row>
    <row r="106" spans="1:1215" ht="14.25" x14ac:dyDescent="0.2">
      <c r="E106" s="2"/>
      <c r="F106" s="2"/>
      <c r="G106" s="426">
        <f t="shared" si="121"/>
        <v>98</v>
      </c>
      <c r="H106" s="427">
        <f t="shared" si="108"/>
        <v>47426</v>
      </c>
      <c r="I106" s="494">
        <f t="shared" si="77"/>
        <v>5.9000000000000004E-2</v>
      </c>
      <c r="J106" s="423">
        <f t="shared" si="134"/>
        <v>0</v>
      </c>
      <c r="K106" s="423">
        <f t="shared" si="110"/>
        <v>0</v>
      </c>
      <c r="L106" s="423">
        <f t="shared" si="111"/>
        <v>0</v>
      </c>
      <c r="M106" s="423">
        <f t="shared" si="112"/>
        <v>0</v>
      </c>
      <c r="N106" s="423">
        <f t="shared" si="131"/>
        <v>0</v>
      </c>
      <c r="O106" s="423">
        <f t="shared" si="109"/>
        <v>0</v>
      </c>
      <c r="P106" s="423">
        <f t="shared" si="113"/>
        <v>0</v>
      </c>
      <c r="Q106" s="423">
        <f t="shared" si="114"/>
        <v>0</v>
      </c>
      <c r="R106" s="423">
        <f t="shared" si="115"/>
        <v>0</v>
      </c>
      <c r="S106" s="470"/>
      <c r="T106" s="36">
        <f t="shared" si="122"/>
        <v>0</v>
      </c>
      <c r="U106" s="36">
        <f t="shared" si="116"/>
        <v>0</v>
      </c>
      <c r="W106" s="2" t="e">
        <f t="shared" si="126"/>
        <v>#VALUE!</v>
      </c>
      <c r="X106" s="34">
        <f t="shared" si="68"/>
        <v>0</v>
      </c>
      <c r="Y106" s="57">
        <f t="shared" si="69"/>
        <v>65613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 t="shared" si="130"/>
        <v>#VALUE!</v>
      </c>
      <c r="AM106" s="34" t="e">
        <f t="shared" si="65"/>
        <v>#DIV/0!</v>
      </c>
      <c r="AN106" s="57">
        <f t="shared" si="127"/>
        <v>65978</v>
      </c>
      <c r="AO106" s="130" t="e">
        <f t="shared" si="117"/>
        <v>#DIV/0!</v>
      </c>
      <c r="AP106" s="109">
        <f t="shared" si="123"/>
        <v>98</v>
      </c>
      <c r="AQ106" s="110">
        <f t="shared" si="98"/>
        <v>47426</v>
      </c>
      <c r="AR106" s="105" t="e">
        <f t="shared" si="137"/>
        <v>#DIV/0!</v>
      </c>
      <c r="AS106" s="105" t="e">
        <f t="shared" si="105"/>
        <v>#DIV/0!</v>
      </c>
      <c r="AT106" s="105">
        <f t="shared" si="119"/>
        <v>0</v>
      </c>
      <c r="AU106" s="105" t="e">
        <f t="shared" si="99"/>
        <v>#DIV/0!</v>
      </c>
      <c r="AV106" s="105" t="e">
        <f t="shared" si="132"/>
        <v>#DIV/0!</v>
      </c>
      <c r="AW106" s="105" t="e">
        <f t="shared" si="133"/>
        <v>#DIV/0!</v>
      </c>
      <c r="AX106" s="105">
        <f t="shared" si="128"/>
        <v>0</v>
      </c>
      <c r="AY106" s="105">
        <f t="shared" si="129"/>
        <v>0</v>
      </c>
      <c r="AZ106" s="105"/>
      <c r="BA106" s="105"/>
      <c r="BB106" s="105"/>
      <c r="BC106" s="105"/>
      <c r="BD106" s="105"/>
      <c r="BE106" s="105" t="e">
        <f t="shared" si="120"/>
        <v>#DIV/0!</v>
      </c>
      <c r="BF106" s="108">
        <f t="shared" si="124"/>
        <v>0</v>
      </c>
      <c r="BG106" s="108">
        <f t="shared" si="118"/>
        <v>0</v>
      </c>
      <c r="BH106" s="22">
        <f t="shared" si="101"/>
        <v>47242</v>
      </c>
      <c r="BI106" s="108">
        <f t="shared" si="102"/>
        <v>0</v>
      </c>
      <c r="BJ106" s="2" t="e">
        <f t="shared" si="138"/>
        <v>#DIV/0!</v>
      </c>
    </row>
    <row r="107" spans="1:1215" ht="14.25" x14ac:dyDescent="0.2">
      <c r="E107" s="2"/>
      <c r="F107" s="2"/>
      <c r="G107" s="426">
        <f t="shared" si="121"/>
        <v>99</v>
      </c>
      <c r="H107" s="427">
        <f t="shared" si="108"/>
        <v>47456</v>
      </c>
      <c r="I107" s="494">
        <f t="shared" si="77"/>
        <v>5.9000000000000004E-2</v>
      </c>
      <c r="J107" s="423">
        <f t="shared" si="134"/>
        <v>0</v>
      </c>
      <c r="K107" s="423">
        <f t="shared" si="110"/>
        <v>0</v>
      </c>
      <c r="L107" s="423">
        <f t="shared" si="111"/>
        <v>0</v>
      </c>
      <c r="M107" s="423">
        <f t="shared" si="112"/>
        <v>0</v>
      </c>
      <c r="N107" s="423">
        <f t="shared" si="131"/>
        <v>0</v>
      </c>
      <c r="O107" s="423">
        <f t="shared" si="109"/>
        <v>0</v>
      </c>
      <c r="P107" s="423">
        <f t="shared" si="113"/>
        <v>0</v>
      </c>
      <c r="Q107" s="423">
        <f t="shared" si="114"/>
        <v>0</v>
      </c>
      <c r="R107" s="423">
        <f t="shared" si="115"/>
        <v>0</v>
      </c>
      <c r="S107" s="470"/>
      <c r="T107" s="36">
        <f t="shared" si="122"/>
        <v>0</v>
      </c>
      <c r="U107" s="36">
        <f t="shared" si="116"/>
        <v>0</v>
      </c>
      <c r="W107" s="2" t="e">
        <f t="shared" si="126"/>
        <v>#VALUE!</v>
      </c>
      <c r="X107" s="34">
        <f t="shared" si="68"/>
        <v>0</v>
      </c>
      <c r="Y107" s="57">
        <f t="shared" si="69"/>
        <v>65978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 t="shared" si="130"/>
        <v>#VALUE!</v>
      </c>
      <c r="AM107" s="34" t="e">
        <f t="shared" si="65"/>
        <v>#DIV/0!</v>
      </c>
      <c r="AN107" s="57">
        <f t="shared" si="127"/>
        <v>66343</v>
      </c>
      <c r="AO107" s="130" t="e">
        <f t="shared" si="117"/>
        <v>#DIV/0!</v>
      </c>
      <c r="AP107" s="109">
        <f t="shared" si="123"/>
        <v>99</v>
      </c>
      <c r="AQ107" s="110">
        <f t="shared" si="98"/>
        <v>47456</v>
      </c>
      <c r="AR107" s="105" t="e">
        <f t="shared" si="137"/>
        <v>#DIV/0!</v>
      </c>
      <c r="AS107" s="105" t="e">
        <f t="shared" si="105"/>
        <v>#DIV/0!</v>
      </c>
      <c r="AT107" s="105">
        <f t="shared" si="119"/>
        <v>0</v>
      </c>
      <c r="AU107" s="105" t="e">
        <f t="shared" si="99"/>
        <v>#DIV/0!</v>
      </c>
      <c r="AV107" s="105" t="e">
        <f t="shared" si="132"/>
        <v>#DIV/0!</v>
      </c>
      <c r="AW107" s="105" t="e">
        <f t="shared" si="133"/>
        <v>#DIV/0!</v>
      </c>
      <c r="AX107" s="105">
        <f t="shared" si="128"/>
        <v>0</v>
      </c>
      <c r="AY107" s="105">
        <f t="shared" si="129"/>
        <v>0</v>
      </c>
      <c r="AZ107" s="105"/>
      <c r="BA107" s="105"/>
      <c r="BB107" s="105"/>
      <c r="BC107" s="105"/>
      <c r="BD107" s="105"/>
      <c r="BE107" s="105" t="e">
        <f t="shared" si="120"/>
        <v>#DIV/0!</v>
      </c>
      <c r="BF107" s="108">
        <f t="shared" si="124"/>
        <v>0</v>
      </c>
      <c r="BG107" s="108">
        <f t="shared" si="118"/>
        <v>0</v>
      </c>
      <c r="BH107" s="22">
        <f t="shared" si="101"/>
        <v>47273</v>
      </c>
      <c r="BI107" s="108">
        <f t="shared" si="102"/>
        <v>0</v>
      </c>
      <c r="BJ107" s="2" t="e">
        <f t="shared" si="138"/>
        <v>#DIV/0!</v>
      </c>
    </row>
    <row r="108" spans="1:1215" ht="14.25" x14ac:dyDescent="0.2">
      <c r="E108" s="2"/>
      <c r="F108" s="2"/>
      <c r="G108" s="426">
        <f t="shared" si="121"/>
        <v>100</v>
      </c>
      <c r="H108" s="427">
        <f t="shared" si="108"/>
        <v>47487</v>
      </c>
      <c r="I108" s="494">
        <f t="shared" si="77"/>
        <v>5.9000000000000004E-2</v>
      </c>
      <c r="J108" s="423">
        <f t="shared" si="134"/>
        <v>0</v>
      </c>
      <c r="K108" s="423">
        <f t="shared" si="110"/>
        <v>0</v>
      </c>
      <c r="L108" s="423">
        <f t="shared" si="111"/>
        <v>0</v>
      </c>
      <c r="M108" s="423">
        <f t="shared" si="112"/>
        <v>0</v>
      </c>
      <c r="N108" s="423">
        <f t="shared" si="131"/>
        <v>0</v>
      </c>
      <c r="O108" s="423">
        <f t="shared" si="109"/>
        <v>0</v>
      </c>
      <c r="P108" s="423">
        <f t="shared" si="113"/>
        <v>0</v>
      </c>
      <c r="Q108" s="423">
        <f t="shared" si="114"/>
        <v>0</v>
      </c>
      <c r="R108" s="423">
        <f t="shared" si="115"/>
        <v>0</v>
      </c>
      <c r="S108" s="470"/>
      <c r="T108" s="36">
        <f t="shared" si="122"/>
        <v>0</v>
      </c>
      <c r="U108" s="36">
        <f>IF(ISERR(CEILING(FLOOR(NPER($C$11/12,-$AD$55,R107),0.1),1))=TRUE,0,CEILING(FLOOR(NPER($C$11/12,-$AD$55,R107),0.1),1))</f>
        <v>0</v>
      </c>
      <c r="W108" s="2" t="e">
        <f t="shared" si="126"/>
        <v>#VALUE!</v>
      </c>
      <c r="X108" s="34">
        <f t="shared" si="68"/>
        <v>0</v>
      </c>
      <c r="Y108" s="57">
        <f t="shared" si="69"/>
        <v>66343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 t="shared" si="130"/>
        <v>#VALUE!</v>
      </c>
      <c r="AM108" s="34" t="e">
        <f t="shared" si="65"/>
        <v>#DIV/0!</v>
      </c>
      <c r="AN108" s="57">
        <f t="shared" si="127"/>
        <v>66708</v>
      </c>
      <c r="AO108" s="130" t="e">
        <f t="shared" si="117"/>
        <v>#DIV/0!</v>
      </c>
      <c r="AP108" s="109">
        <f t="shared" si="123"/>
        <v>100</v>
      </c>
      <c r="AQ108" s="110">
        <f t="shared" si="98"/>
        <v>47487</v>
      </c>
      <c r="AR108" s="105" t="e">
        <f t="shared" si="137"/>
        <v>#DIV/0!</v>
      </c>
      <c r="AS108" s="105" t="e">
        <f t="shared" si="105"/>
        <v>#DIV/0!</v>
      </c>
      <c r="AT108" s="105">
        <f t="shared" si="119"/>
        <v>0</v>
      </c>
      <c r="AU108" s="105" t="e">
        <f t="shared" si="99"/>
        <v>#DIV/0!</v>
      </c>
      <c r="AV108" s="105" t="e">
        <f t="shared" si="132"/>
        <v>#DIV/0!</v>
      </c>
      <c r="AW108" s="105" t="e">
        <f t="shared" si="133"/>
        <v>#DIV/0!</v>
      </c>
      <c r="AX108" s="105">
        <f t="shared" si="128"/>
        <v>0</v>
      </c>
      <c r="AY108" s="105">
        <f t="shared" si="129"/>
        <v>0</v>
      </c>
      <c r="AZ108" s="105"/>
      <c r="BA108" s="105"/>
      <c r="BB108" s="105"/>
      <c r="BC108" s="105"/>
      <c r="BD108" s="105"/>
      <c r="BE108" s="105" t="e">
        <f t="shared" si="120"/>
        <v>#DIV/0!</v>
      </c>
      <c r="BF108" s="108">
        <f t="shared" si="124"/>
        <v>0</v>
      </c>
      <c r="BG108" s="108">
        <f t="shared" si="118"/>
        <v>0</v>
      </c>
      <c r="BH108" s="22">
        <f t="shared" si="101"/>
        <v>47303</v>
      </c>
      <c r="BI108" s="108">
        <f t="shared" si="102"/>
        <v>0</v>
      </c>
      <c r="BJ108" s="2" t="e">
        <f t="shared" si="138"/>
        <v>#DIV/0!</v>
      </c>
    </row>
    <row r="109" spans="1:1215" ht="14.25" x14ac:dyDescent="0.3">
      <c r="G109" s="443"/>
      <c r="H109" s="444" t="s">
        <v>7</v>
      </c>
      <c r="I109" s="444"/>
      <c r="J109" s="445">
        <f>(SUM(J9:J108)-IF(CODE(C12)=209,AI51,0))</f>
        <v>415093.14999999997</v>
      </c>
      <c r="K109" s="445">
        <f>(SUM(K9:K108)-IF(CODE(D28)=209,AJ51,0))</f>
        <v>68453.149999999994</v>
      </c>
      <c r="L109" s="445">
        <f>SUM(L9:L108)</f>
        <v>346639.99999999994</v>
      </c>
      <c r="M109" s="445">
        <f>SUM(M9:M108)</f>
        <v>0</v>
      </c>
      <c r="N109" s="445"/>
      <c r="O109" s="445"/>
      <c r="P109" s="445"/>
      <c r="Q109" s="445"/>
      <c r="R109" s="445"/>
      <c r="S109" s="445"/>
      <c r="T109" s="31"/>
      <c r="U109" s="51"/>
      <c r="W109" s="2" t="e">
        <f t="shared" si="126"/>
        <v>#VALUE!</v>
      </c>
      <c r="X109" s="34">
        <f t="shared" si="68"/>
        <v>0</v>
      </c>
      <c r="Y109" s="57">
        <f t="shared" si="69"/>
        <v>66708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 t="shared" si="130"/>
        <v>#VALUE!</v>
      </c>
      <c r="AM109" s="34" t="e">
        <f t="shared" si="65"/>
        <v>#DIV/0!</v>
      </c>
      <c r="AN109" s="57">
        <f t="shared" si="127"/>
        <v>67073</v>
      </c>
      <c r="AO109" s="130"/>
      <c r="AP109" s="28"/>
      <c r="AQ109" s="29" t="s">
        <v>7</v>
      </c>
      <c r="AR109" s="30" t="e">
        <f>(SUM(AR9:AR108)-IF(CODE(C12)=209,BV57,0))</f>
        <v>#DIV/0!</v>
      </c>
      <c r="AS109" s="30" t="e">
        <f>(SUM(AS9:AS108)-IF(CODE(D28)=209,BW57,0))</f>
        <v>#DIV/0!</v>
      </c>
      <c r="AT109" s="30" t="e">
        <f>SUM(AT9:AT108)</f>
        <v>#DIV/0!</v>
      </c>
      <c r="AU109" s="105" t="e">
        <f t="shared" si="99"/>
        <v>#DIV/0!</v>
      </c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108">
        <f t="shared" si="124"/>
        <v>0</v>
      </c>
      <c r="BG109" s="108">
        <f t="shared" si="118"/>
        <v>0</v>
      </c>
      <c r="BH109" s="22">
        <f t="shared" si="101"/>
        <v>47334</v>
      </c>
      <c r="BI109" s="108">
        <f t="shared" si="102"/>
        <v>0</v>
      </c>
      <c r="BJ109" s="2" t="e">
        <f t="shared" si="138"/>
        <v>#DIV/0!</v>
      </c>
    </row>
    <row r="110" spans="1:1215" ht="14.25" x14ac:dyDescent="0.3">
      <c r="G110" s="184"/>
      <c r="H110" s="184"/>
      <c r="I110" s="184"/>
      <c r="J110" s="184"/>
      <c r="K110" s="178"/>
      <c r="L110" s="184"/>
      <c r="M110" s="446"/>
      <c r="N110" s="446"/>
      <c r="O110" s="446"/>
      <c r="P110" s="446"/>
      <c r="Q110" s="446"/>
      <c r="R110" s="178"/>
      <c r="S110" s="178"/>
      <c r="W110" s="2" t="e">
        <f t="shared" si="126"/>
        <v>#VALUE!</v>
      </c>
      <c r="X110" s="34">
        <f t="shared" si="68"/>
        <v>0</v>
      </c>
      <c r="Y110" s="57">
        <f t="shared" si="69"/>
        <v>67073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 t="shared" si="130"/>
        <v>#VALUE!</v>
      </c>
      <c r="AM110" s="34" t="e">
        <f t="shared" si="65"/>
        <v>#DIV/0!</v>
      </c>
      <c r="AN110" s="57">
        <f t="shared" si="127"/>
        <v>67438</v>
      </c>
      <c r="AO110" s="130"/>
      <c r="BF110" s="108">
        <f t="shared" si="124"/>
        <v>0</v>
      </c>
      <c r="BG110" s="108">
        <f t="shared" si="118"/>
        <v>0</v>
      </c>
      <c r="BH110" s="22">
        <f t="shared" si="101"/>
        <v>47365</v>
      </c>
      <c r="BI110" s="108">
        <f t="shared" si="102"/>
        <v>0</v>
      </c>
      <c r="BJ110" s="2" t="e">
        <f t="shared" si="138"/>
        <v>#DIV/0!</v>
      </c>
    </row>
    <row r="111" spans="1:1215" x14ac:dyDescent="0.2">
      <c r="W111" s="2" t="e">
        <f t="shared" si="126"/>
        <v>#VALUE!</v>
      </c>
      <c r="X111" s="34">
        <f t="shared" si="68"/>
        <v>0</v>
      </c>
      <c r="Y111" s="57">
        <f t="shared" si="69"/>
        <v>67438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 t="shared" si="130"/>
        <v>#VALUE!</v>
      </c>
      <c r="AM111" s="34" t="e">
        <f t="shared" si="65"/>
        <v>#DIV/0!</v>
      </c>
      <c r="AN111" s="57">
        <f t="shared" si="127"/>
        <v>67803</v>
      </c>
      <c r="AO111" s="130"/>
      <c r="BF111" s="108">
        <f t="shared" si="124"/>
        <v>0</v>
      </c>
      <c r="BG111" s="108">
        <f t="shared" si="118"/>
        <v>0</v>
      </c>
      <c r="BH111" s="22">
        <f t="shared" si="101"/>
        <v>47395</v>
      </c>
      <c r="BI111" s="108">
        <f t="shared" si="102"/>
        <v>0</v>
      </c>
      <c r="BJ111" s="2" t="e">
        <f t="shared" si="138"/>
        <v>#DIV/0!</v>
      </c>
    </row>
    <row r="112" spans="1:1215" x14ac:dyDescent="0.2">
      <c r="W112" s="2" t="e">
        <f t="shared" si="126"/>
        <v>#VALUE!</v>
      </c>
      <c r="X112" s="34">
        <f t="shared" si="68"/>
        <v>0</v>
      </c>
      <c r="Y112" s="57">
        <f t="shared" si="69"/>
        <v>67803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 t="shared" si="130"/>
        <v>#VALUE!</v>
      </c>
      <c r="AM112" s="34" t="e">
        <f t="shared" ref="AM112:AM147" si="139">AR73</f>
        <v>#DIV/0!</v>
      </c>
      <c r="AN112" s="57">
        <f t="shared" si="127"/>
        <v>68168</v>
      </c>
      <c r="AO112" s="130"/>
      <c r="BF112" s="108">
        <f t="shared" si="124"/>
        <v>0</v>
      </c>
      <c r="BG112" s="108">
        <f t="shared" si="118"/>
        <v>0</v>
      </c>
      <c r="BH112" s="22">
        <f t="shared" si="101"/>
        <v>47426</v>
      </c>
      <c r="BI112" s="108">
        <f t="shared" si="102"/>
        <v>0</v>
      </c>
      <c r="BJ112" s="2" t="e">
        <f>IF(AND(G67&gt;=$W$14,G67&lt;=$W$14+5),0,IF($C$9&gt;$AF$51,ROUND(BF66*IF($D$33="",0,$D$33)/(DATEVALUE(CONCATENATE("01/01/",YEAR(AQ67)+1))-DATEVALUE(CONCATENATE("01/01/",YEAR(AQ67))))*(AQ67-AR66),2),0))</f>
        <v>#DIV/0!</v>
      </c>
    </row>
    <row r="113" spans="23:62" x14ac:dyDescent="0.2">
      <c r="W113" s="2" t="e">
        <f t="shared" ref="W113:W144" si="140">IF(AND(G73&gt;=$W$14,G73&lt;=$W$14+5),0,IF($C$9&gt;$AF$51,ROUND(R72*$C$43/(DATEVALUE(CONCATENATE("01/01/",YEAR(H73)+1))-DATEVALUE(CONCATENATE("01/01/",YEAR(H73))))*(H73-H72),2),0))</f>
        <v>#VALUE!</v>
      </c>
      <c r="X113" s="34">
        <f t="shared" si="68"/>
        <v>0</v>
      </c>
      <c r="Y113" s="57">
        <f t="shared" si="69"/>
        <v>68168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 t="shared" si="130"/>
        <v>#VALUE!</v>
      </c>
      <c r="AM113" s="34" t="e">
        <f t="shared" si="139"/>
        <v>#DIV/0!</v>
      </c>
      <c r="AN113" s="57">
        <f t="shared" si="127"/>
        <v>68533</v>
      </c>
      <c r="AO113" s="130"/>
      <c r="BF113" s="108">
        <f t="shared" si="124"/>
        <v>0</v>
      </c>
      <c r="BG113" s="108">
        <f t="shared" si="118"/>
        <v>0</v>
      </c>
      <c r="BH113" s="22">
        <f t="shared" si="101"/>
        <v>47456</v>
      </c>
      <c r="BI113" s="108">
        <f t="shared" si="102"/>
        <v>0</v>
      </c>
      <c r="BJ113" s="2" t="e">
        <f t="shared" ref="BJ113:BJ153" si="141">IF(AND(G68&gt;=$W$14,G68&lt;=$W$14+5),0,IF($C$9&gt;$AF$51,ROUND(BE67*IF($D$33="",0,$D$33)/(DATEVALUE(CONCATENATE("01/01/",YEAR(AQ68)+1))-DATEVALUE(CONCATENATE("01/01/",YEAR(AQ68))))*(AQ68-AQ67),2),0))</f>
        <v>#DIV/0!</v>
      </c>
    </row>
    <row r="114" spans="23:62" x14ac:dyDescent="0.2">
      <c r="W114" s="2" t="e">
        <f t="shared" si="140"/>
        <v>#VALUE!</v>
      </c>
      <c r="X114" s="34">
        <f t="shared" ref="X114:X148" si="142">IF(J74 &gt; 0, J74, 0)</f>
        <v>0</v>
      </c>
      <c r="Y114" s="57">
        <f t="shared" ref="Y114:Y148" si="143">Y113+365</f>
        <v>68533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 t="shared" si="130"/>
        <v>#VALUE!</v>
      </c>
      <c r="AM114" s="34" t="e">
        <f t="shared" si="139"/>
        <v>#DIV/0!</v>
      </c>
      <c r="AN114" s="57">
        <f t="shared" si="127"/>
        <v>68898</v>
      </c>
      <c r="AO114" s="130"/>
      <c r="BF114" s="108">
        <f t="shared" si="124"/>
        <v>0</v>
      </c>
      <c r="BG114" s="108">
        <f t="shared" si="118"/>
        <v>0</v>
      </c>
      <c r="BH114" s="22">
        <f t="shared" si="101"/>
        <v>47487</v>
      </c>
      <c r="BI114" s="108">
        <f t="shared" si="102"/>
        <v>0</v>
      </c>
      <c r="BJ114" s="2" t="e">
        <f t="shared" si="141"/>
        <v>#DIV/0!</v>
      </c>
    </row>
    <row r="115" spans="23:62" x14ac:dyDescent="0.2">
      <c r="W115" s="2" t="e">
        <f t="shared" si="140"/>
        <v>#VALUE!</v>
      </c>
      <c r="X115" s="34">
        <f t="shared" si="142"/>
        <v>0</v>
      </c>
      <c r="Y115" s="57">
        <f t="shared" si="143"/>
        <v>68898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 t="shared" si="130"/>
        <v>#VALUE!</v>
      </c>
      <c r="AM115" s="34" t="e">
        <f t="shared" si="139"/>
        <v>#DIV/0!</v>
      </c>
      <c r="AN115" s="57">
        <f t="shared" si="127"/>
        <v>69263</v>
      </c>
      <c r="AO115" s="130"/>
      <c r="BF115" s="31"/>
      <c r="BG115" s="51"/>
      <c r="BH115" s="29" t="s">
        <v>67</v>
      </c>
      <c r="BI115" s="152" t="e">
        <f>XIRR(BI7:BI114,BH7:BH114)</f>
        <v>#NUM!</v>
      </c>
      <c r="BJ115" s="2" t="e">
        <f t="shared" si="141"/>
        <v>#DIV/0!</v>
      </c>
    </row>
    <row r="116" spans="23:62" x14ac:dyDescent="0.2">
      <c r="W116" s="2" t="e">
        <f t="shared" si="140"/>
        <v>#VALUE!</v>
      </c>
      <c r="X116" s="34">
        <f t="shared" si="142"/>
        <v>0</v>
      </c>
      <c r="Y116" s="57">
        <f t="shared" si="143"/>
        <v>69263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 t="shared" si="130"/>
        <v>#VALUE!</v>
      </c>
      <c r="AM116" s="34" t="e">
        <f t="shared" si="139"/>
        <v>#DIV/0!</v>
      </c>
      <c r="AN116" s="57">
        <f t="shared" si="127"/>
        <v>69628</v>
      </c>
      <c r="AO116" s="130"/>
      <c r="BJ116" s="2" t="e">
        <f t="shared" si="141"/>
        <v>#DIV/0!</v>
      </c>
    </row>
    <row r="117" spans="23:62" x14ac:dyDescent="0.2">
      <c r="W117" s="2" t="e">
        <f t="shared" si="140"/>
        <v>#VALUE!</v>
      </c>
      <c r="X117" s="34">
        <f t="shared" si="142"/>
        <v>0</v>
      </c>
      <c r="Y117" s="57">
        <f t="shared" si="143"/>
        <v>69628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 t="shared" ref="AL117:AL147" si="144">IF(AND(Y79&gt;=$W$14,Y79&lt;=$W$14+5),0,IF($C$9&gt;$AF$51,ROUND(AI77*$C$43/(DATEVALUE(CONCATENATE("01/01/",YEAR(Z79)+1))-DATEVALUE(CONCATENATE("01/01/",YEAR(Z79))))*(Z79-Z78),2),0))</f>
        <v>#VALUE!</v>
      </c>
      <c r="AM117" s="34" t="e">
        <f t="shared" si="139"/>
        <v>#DIV/0!</v>
      </c>
      <c r="AN117" s="57">
        <f t="shared" si="127"/>
        <v>69993</v>
      </c>
      <c r="AO117" s="130"/>
      <c r="BJ117" s="2" t="e">
        <f t="shared" si="141"/>
        <v>#DIV/0!</v>
      </c>
    </row>
    <row r="118" spans="23:62" x14ac:dyDescent="0.2">
      <c r="W118" s="2" t="e">
        <f t="shared" si="140"/>
        <v>#VALUE!</v>
      </c>
      <c r="X118" s="34">
        <f t="shared" si="142"/>
        <v>0</v>
      </c>
      <c r="Y118" s="57">
        <f t="shared" si="143"/>
        <v>69993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 t="shared" si="144"/>
        <v>#VALUE!</v>
      </c>
      <c r="AM118" s="34" t="e">
        <f t="shared" si="139"/>
        <v>#DIV/0!</v>
      </c>
      <c r="AN118" s="57">
        <f>AN87+365</f>
        <v>59408</v>
      </c>
      <c r="AO118" s="130"/>
      <c r="BJ118" s="2" t="e">
        <f t="shared" si="141"/>
        <v>#DIV/0!</v>
      </c>
    </row>
    <row r="119" spans="23:62" x14ac:dyDescent="0.2">
      <c r="W119" s="2" t="e">
        <f t="shared" si="140"/>
        <v>#VALUE!</v>
      </c>
      <c r="X119" s="34">
        <f t="shared" si="142"/>
        <v>0</v>
      </c>
      <c r="Y119" s="57">
        <f>Y88+365</f>
        <v>59408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 t="shared" si="144"/>
        <v>#VALUE!</v>
      </c>
      <c r="AM119" s="34" t="e">
        <f t="shared" si="139"/>
        <v>#DIV/0!</v>
      </c>
      <c r="AN119" s="57">
        <f t="shared" si="127"/>
        <v>59773</v>
      </c>
      <c r="AO119" s="130"/>
      <c r="BJ119" s="2" t="e">
        <f t="shared" si="141"/>
        <v>#DIV/0!</v>
      </c>
    </row>
    <row r="120" spans="23:62" x14ac:dyDescent="0.2">
      <c r="W120" s="2" t="e">
        <f t="shared" si="140"/>
        <v>#VALUE!</v>
      </c>
      <c r="X120" s="34">
        <f t="shared" si="142"/>
        <v>0</v>
      </c>
      <c r="Y120" s="57">
        <f t="shared" si="143"/>
        <v>59773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 t="shared" si="144"/>
        <v>#VALUE!</v>
      </c>
      <c r="AM120" s="34" t="e">
        <f t="shared" si="139"/>
        <v>#DIV/0!</v>
      </c>
      <c r="AN120" s="57">
        <f t="shared" si="127"/>
        <v>60138</v>
      </c>
      <c r="AO120" s="130"/>
      <c r="BJ120" s="2" t="e">
        <f t="shared" si="141"/>
        <v>#DIV/0!</v>
      </c>
    </row>
    <row r="121" spans="23:62" x14ac:dyDescent="0.2">
      <c r="W121" s="2" t="e">
        <f t="shared" si="140"/>
        <v>#VALUE!</v>
      </c>
      <c r="X121" s="34">
        <f t="shared" si="142"/>
        <v>0</v>
      </c>
      <c r="Y121" s="57">
        <f t="shared" si="143"/>
        <v>60138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 t="shared" si="144"/>
        <v>#VALUE!</v>
      </c>
      <c r="AM121" s="34" t="e">
        <f t="shared" si="139"/>
        <v>#DIV/0!</v>
      </c>
      <c r="AN121" s="57">
        <f t="shared" si="127"/>
        <v>60503</v>
      </c>
      <c r="AO121" s="130"/>
      <c r="BJ121" s="2" t="e">
        <f t="shared" si="141"/>
        <v>#DIV/0!</v>
      </c>
    </row>
    <row r="122" spans="23:62" x14ac:dyDescent="0.2">
      <c r="W122" s="2" t="e">
        <f t="shared" si="140"/>
        <v>#VALUE!</v>
      </c>
      <c r="X122" s="34">
        <f t="shared" si="142"/>
        <v>0</v>
      </c>
      <c r="Y122" s="57">
        <f t="shared" si="143"/>
        <v>60503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 t="shared" si="144"/>
        <v>#VALUE!</v>
      </c>
      <c r="AM122" s="34" t="e">
        <f t="shared" si="139"/>
        <v>#DIV/0!</v>
      </c>
      <c r="AN122" s="57">
        <f t="shared" si="127"/>
        <v>60868</v>
      </c>
      <c r="AO122" s="130"/>
      <c r="BJ122" s="2" t="e">
        <f t="shared" si="141"/>
        <v>#DIV/0!</v>
      </c>
    </row>
    <row r="123" spans="23:62" x14ac:dyDescent="0.2">
      <c r="W123" s="2" t="e">
        <f t="shared" si="140"/>
        <v>#VALUE!</v>
      </c>
      <c r="X123" s="34">
        <f t="shared" si="142"/>
        <v>0</v>
      </c>
      <c r="Y123" s="57">
        <f t="shared" si="143"/>
        <v>60868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 t="shared" si="144"/>
        <v>#VALUE!</v>
      </c>
      <c r="AM123" s="34" t="e">
        <f t="shared" si="139"/>
        <v>#DIV/0!</v>
      </c>
      <c r="AN123" s="57">
        <f t="shared" si="127"/>
        <v>61233</v>
      </c>
      <c r="AO123" s="130"/>
      <c r="BJ123" s="2" t="e">
        <f t="shared" si="141"/>
        <v>#DIV/0!</v>
      </c>
    </row>
    <row r="124" spans="23:62" x14ac:dyDescent="0.2">
      <c r="W124" s="2" t="e">
        <f t="shared" si="140"/>
        <v>#VALUE!</v>
      </c>
      <c r="X124" s="34">
        <f t="shared" si="142"/>
        <v>0</v>
      </c>
      <c r="Y124" s="57">
        <f t="shared" si="143"/>
        <v>61233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 t="shared" si="144"/>
        <v>#VALUE!</v>
      </c>
      <c r="AM124" s="34" t="e">
        <f t="shared" si="139"/>
        <v>#DIV/0!</v>
      </c>
      <c r="AN124" s="57">
        <f t="shared" si="127"/>
        <v>61598</v>
      </c>
      <c r="AO124" s="130"/>
      <c r="BJ124" s="2" t="e">
        <f t="shared" si="141"/>
        <v>#DIV/0!</v>
      </c>
    </row>
    <row r="125" spans="23:62" x14ac:dyDescent="0.2">
      <c r="W125" s="2" t="e">
        <f t="shared" si="140"/>
        <v>#VALUE!</v>
      </c>
      <c r="X125" s="34">
        <f t="shared" si="142"/>
        <v>0</v>
      </c>
      <c r="Y125" s="57">
        <f t="shared" si="143"/>
        <v>61598</v>
      </c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 t="shared" si="144"/>
        <v>#VALUE!</v>
      </c>
      <c r="AM125" s="34" t="e">
        <f t="shared" si="139"/>
        <v>#DIV/0!</v>
      </c>
      <c r="AN125" s="57">
        <f t="shared" si="127"/>
        <v>61963</v>
      </c>
      <c r="AO125" s="130"/>
      <c r="BJ125" s="2" t="e">
        <f t="shared" si="141"/>
        <v>#DIV/0!</v>
      </c>
    </row>
    <row r="126" spans="23:62" x14ac:dyDescent="0.2">
      <c r="W126" s="2" t="e">
        <f t="shared" si="140"/>
        <v>#VALUE!</v>
      </c>
      <c r="X126" s="34">
        <f t="shared" si="142"/>
        <v>0</v>
      </c>
      <c r="Y126" s="57">
        <f t="shared" si="143"/>
        <v>61963</v>
      </c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 t="shared" si="144"/>
        <v>#VALUE!</v>
      </c>
      <c r="AM126" s="34" t="e">
        <f t="shared" si="139"/>
        <v>#DIV/0!</v>
      </c>
      <c r="AN126" s="57">
        <f t="shared" si="127"/>
        <v>62328</v>
      </c>
      <c r="AO126" s="130"/>
      <c r="BJ126" s="2" t="e">
        <f t="shared" si="141"/>
        <v>#DIV/0!</v>
      </c>
    </row>
    <row r="127" spans="23:62" x14ac:dyDescent="0.2">
      <c r="W127" s="2" t="e">
        <f t="shared" si="140"/>
        <v>#VALUE!</v>
      </c>
      <c r="X127" s="34">
        <f t="shared" si="142"/>
        <v>0</v>
      </c>
      <c r="Y127" s="57">
        <f t="shared" si="143"/>
        <v>62328</v>
      </c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 t="shared" si="144"/>
        <v>#VALUE!</v>
      </c>
      <c r="AM127" s="34" t="e">
        <f t="shared" si="139"/>
        <v>#DIV/0!</v>
      </c>
      <c r="AN127" s="57">
        <f t="shared" si="127"/>
        <v>62693</v>
      </c>
      <c r="BJ127" s="2" t="e">
        <f t="shared" si="141"/>
        <v>#DIV/0!</v>
      </c>
    </row>
    <row r="128" spans="23:62" x14ac:dyDescent="0.2">
      <c r="W128" s="2" t="e">
        <f t="shared" si="140"/>
        <v>#VALUE!</v>
      </c>
      <c r="X128" s="34">
        <f t="shared" si="142"/>
        <v>0</v>
      </c>
      <c r="Y128" s="57">
        <f t="shared" si="143"/>
        <v>62693</v>
      </c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 t="shared" si="144"/>
        <v>#VALUE!</v>
      </c>
      <c r="AM128" s="34" t="e">
        <f t="shared" si="139"/>
        <v>#DIV/0!</v>
      </c>
      <c r="AN128" s="57">
        <f t="shared" si="127"/>
        <v>63058</v>
      </c>
      <c r="BJ128" s="2" t="e">
        <f t="shared" si="141"/>
        <v>#DIV/0!</v>
      </c>
    </row>
    <row r="129" spans="23:62" x14ac:dyDescent="0.2">
      <c r="W129" s="2" t="e">
        <f t="shared" si="140"/>
        <v>#VALUE!</v>
      </c>
      <c r="X129" s="34">
        <f t="shared" si="142"/>
        <v>0</v>
      </c>
      <c r="Y129" s="57">
        <f t="shared" si="143"/>
        <v>63058</v>
      </c>
      <c r="Z129" s="16"/>
      <c r="AA129" s="16"/>
      <c r="AB129" s="16"/>
      <c r="AC129" s="16"/>
      <c r="AD129" s="16"/>
      <c r="AE129" s="33"/>
      <c r="AF129" s="33"/>
      <c r="AG129" s="33"/>
      <c r="AH129" s="33"/>
      <c r="AI129" s="16"/>
      <c r="AL129" s="2" t="e">
        <f t="shared" si="144"/>
        <v>#VALUE!</v>
      </c>
      <c r="AM129" s="34" t="e">
        <f t="shared" si="139"/>
        <v>#DIV/0!</v>
      </c>
      <c r="AN129" s="57">
        <f t="shared" si="127"/>
        <v>63423</v>
      </c>
      <c r="BJ129" s="2" t="e">
        <f t="shared" si="141"/>
        <v>#DIV/0!</v>
      </c>
    </row>
    <row r="130" spans="23:62" x14ac:dyDescent="0.2">
      <c r="W130" s="2" t="e">
        <f t="shared" si="140"/>
        <v>#VALUE!</v>
      </c>
      <c r="X130" s="34">
        <f t="shared" si="142"/>
        <v>0</v>
      </c>
      <c r="Y130" s="57">
        <f t="shared" si="143"/>
        <v>63423</v>
      </c>
      <c r="AL130" s="2" t="e">
        <f t="shared" si="144"/>
        <v>#VALUE!</v>
      </c>
      <c r="AM130" s="34" t="e">
        <f t="shared" si="139"/>
        <v>#DIV/0!</v>
      </c>
      <c r="AN130" s="57">
        <f t="shared" si="127"/>
        <v>63788</v>
      </c>
      <c r="BJ130" s="2" t="e">
        <f t="shared" si="141"/>
        <v>#DIV/0!</v>
      </c>
    </row>
    <row r="131" spans="23:62" x14ac:dyDescent="0.2">
      <c r="W131" s="2" t="e">
        <f t="shared" si="140"/>
        <v>#VALUE!</v>
      </c>
      <c r="X131" s="34">
        <f t="shared" si="142"/>
        <v>0</v>
      </c>
      <c r="Y131" s="57">
        <f t="shared" si="143"/>
        <v>63788</v>
      </c>
      <c r="AL131" s="2" t="e">
        <f t="shared" si="144"/>
        <v>#VALUE!</v>
      </c>
      <c r="AM131" s="34" t="e">
        <f t="shared" si="139"/>
        <v>#DIV/0!</v>
      </c>
      <c r="AN131" s="57">
        <f t="shared" si="127"/>
        <v>64153</v>
      </c>
      <c r="BJ131" s="2" t="e">
        <f t="shared" si="141"/>
        <v>#DIV/0!</v>
      </c>
    </row>
    <row r="132" spans="23:62" x14ac:dyDescent="0.2">
      <c r="W132" s="2" t="e">
        <f t="shared" si="140"/>
        <v>#VALUE!</v>
      </c>
      <c r="X132" s="34">
        <f t="shared" si="142"/>
        <v>0</v>
      </c>
      <c r="Y132" s="57">
        <f t="shared" si="143"/>
        <v>64153</v>
      </c>
      <c r="AL132" s="2" t="e">
        <f t="shared" si="144"/>
        <v>#VALUE!</v>
      </c>
      <c r="AM132" s="34" t="e">
        <f t="shared" si="139"/>
        <v>#DIV/0!</v>
      </c>
      <c r="AN132" s="57">
        <f t="shared" si="127"/>
        <v>64518</v>
      </c>
      <c r="BJ132" s="2" t="e">
        <f t="shared" si="141"/>
        <v>#DIV/0!</v>
      </c>
    </row>
    <row r="133" spans="23:62" x14ac:dyDescent="0.2">
      <c r="W133" s="2" t="e">
        <f t="shared" si="140"/>
        <v>#VALUE!</v>
      </c>
      <c r="X133" s="34">
        <f t="shared" si="142"/>
        <v>0</v>
      </c>
      <c r="Y133" s="57">
        <f t="shared" si="143"/>
        <v>64518</v>
      </c>
      <c r="AL133" s="2" t="e">
        <f t="shared" si="144"/>
        <v>#VALUE!</v>
      </c>
      <c r="AM133" s="34" t="e">
        <f t="shared" si="139"/>
        <v>#DIV/0!</v>
      </c>
      <c r="AN133" s="57">
        <f t="shared" si="127"/>
        <v>64883</v>
      </c>
      <c r="BJ133" s="2" t="e">
        <f t="shared" si="141"/>
        <v>#DIV/0!</v>
      </c>
    </row>
    <row r="134" spans="23:62" x14ac:dyDescent="0.2">
      <c r="W134" s="2" t="e">
        <f t="shared" si="140"/>
        <v>#VALUE!</v>
      </c>
      <c r="X134" s="34">
        <f t="shared" si="142"/>
        <v>0</v>
      </c>
      <c r="Y134" s="57">
        <f t="shared" si="143"/>
        <v>64883</v>
      </c>
      <c r="AL134" s="2" t="e">
        <f t="shared" si="144"/>
        <v>#VALUE!</v>
      </c>
      <c r="AM134" s="34" t="e">
        <f t="shared" si="139"/>
        <v>#DIV/0!</v>
      </c>
      <c r="AN134" s="57">
        <f t="shared" si="127"/>
        <v>65248</v>
      </c>
      <c r="BJ134" s="2" t="e">
        <f t="shared" si="141"/>
        <v>#DIV/0!</v>
      </c>
    </row>
    <row r="135" spans="23:62" x14ac:dyDescent="0.2">
      <c r="W135" s="2" t="e">
        <f t="shared" si="140"/>
        <v>#VALUE!</v>
      </c>
      <c r="X135" s="34">
        <f t="shared" si="142"/>
        <v>0</v>
      </c>
      <c r="Y135" s="57">
        <f t="shared" si="143"/>
        <v>65248</v>
      </c>
      <c r="AL135" s="2" t="e">
        <f t="shared" si="144"/>
        <v>#VALUE!</v>
      </c>
      <c r="AM135" s="34" t="e">
        <f t="shared" si="139"/>
        <v>#DIV/0!</v>
      </c>
      <c r="AN135" s="57">
        <f t="shared" si="127"/>
        <v>65613</v>
      </c>
      <c r="BJ135" s="2" t="e">
        <f t="shared" si="141"/>
        <v>#DIV/0!</v>
      </c>
    </row>
    <row r="136" spans="23:62" x14ac:dyDescent="0.2">
      <c r="W136" s="2" t="e">
        <f t="shared" si="140"/>
        <v>#VALUE!</v>
      </c>
      <c r="X136" s="34">
        <f t="shared" si="142"/>
        <v>0</v>
      </c>
      <c r="Y136" s="57">
        <f t="shared" si="143"/>
        <v>65613</v>
      </c>
      <c r="AL136" s="2" t="e">
        <f t="shared" si="144"/>
        <v>#VALUE!</v>
      </c>
      <c r="AM136" s="34" t="e">
        <f t="shared" si="139"/>
        <v>#DIV/0!</v>
      </c>
      <c r="AN136" s="57">
        <f t="shared" si="127"/>
        <v>65978</v>
      </c>
      <c r="BJ136" s="2" t="e">
        <f t="shared" si="141"/>
        <v>#DIV/0!</v>
      </c>
    </row>
    <row r="137" spans="23:62" x14ac:dyDescent="0.2">
      <c r="W137" s="2" t="e">
        <f t="shared" si="140"/>
        <v>#VALUE!</v>
      </c>
      <c r="X137" s="34">
        <f t="shared" si="142"/>
        <v>0</v>
      </c>
      <c r="Y137" s="57">
        <f t="shared" si="143"/>
        <v>65978</v>
      </c>
      <c r="AL137" s="2" t="e">
        <f t="shared" si="144"/>
        <v>#VALUE!</v>
      </c>
      <c r="AM137" s="34" t="e">
        <f t="shared" si="139"/>
        <v>#DIV/0!</v>
      </c>
      <c r="AN137" s="57">
        <f t="shared" si="127"/>
        <v>66343</v>
      </c>
      <c r="BJ137" s="2" t="e">
        <f t="shared" si="141"/>
        <v>#DIV/0!</v>
      </c>
    </row>
    <row r="138" spans="23:62" x14ac:dyDescent="0.2">
      <c r="W138" s="2" t="e">
        <f t="shared" si="140"/>
        <v>#VALUE!</v>
      </c>
      <c r="X138" s="34">
        <f t="shared" si="142"/>
        <v>0</v>
      </c>
      <c r="Y138" s="57">
        <f t="shared" si="143"/>
        <v>66343</v>
      </c>
      <c r="AL138" s="2" t="e">
        <f t="shared" si="144"/>
        <v>#VALUE!</v>
      </c>
      <c r="AM138" s="34" t="e">
        <f t="shared" si="139"/>
        <v>#DIV/0!</v>
      </c>
      <c r="AN138" s="57">
        <f t="shared" si="127"/>
        <v>66708</v>
      </c>
      <c r="BJ138" s="2" t="e">
        <f t="shared" si="141"/>
        <v>#DIV/0!</v>
      </c>
    </row>
    <row r="139" spans="23:62" x14ac:dyDescent="0.2">
      <c r="W139" s="2" t="e">
        <f t="shared" si="140"/>
        <v>#VALUE!</v>
      </c>
      <c r="X139" s="34">
        <f t="shared" si="142"/>
        <v>0</v>
      </c>
      <c r="Y139" s="57">
        <f t="shared" si="143"/>
        <v>66708</v>
      </c>
      <c r="AL139" s="2" t="e">
        <f t="shared" si="144"/>
        <v>#VALUE!</v>
      </c>
      <c r="AM139" s="34" t="e">
        <f t="shared" si="139"/>
        <v>#DIV/0!</v>
      </c>
      <c r="AN139" s="57">
        <f t="shared" si="127"/>
        <v>67073</v>
      </c>
      <c r="BJ139" s="2" t="e">
        <f t="shared" si="141"/>
        <v>#DIV/0!</v>
      </c>
    </row>
    <row r="140" spans="23:62" x14ac:dyDescent="0.2">
      <c r="W140" s="2" t="e">
        <f t="shared" si="140"/>
        <v>#VALUE!</v>
      </c>
      <c r="X140" s="34">
        <f t="shared" si="142"/>
        <v>0</v>
      </c>
      <c r="Y140" s="57">
        <f t="shared" si="143"/>
        <v>67073</v>
      </c>
      <c r="AL140" s="2" t="e">
        <f t="shared" si="144"/>
        <v>#VALUE!</v>
      </c>
      <c r="AM140" s="34" t="e">
        <f t="shared" si="139"/>
        <v>#DIV/0!</v>
      </c>
      <c r="AN140" s="57">
        <f t="shared" si="127"/>
        <v>67438</v>
      </c>
      <c r="BJ140" s="2" t="e">
        <f t="shared" si="141"/>
        <v>#DIV/0!</v>
      </c>
    </row>
    <row r="141" spans="23:62" x14ac:dyDescent="0.2">
      <c r="W141" s="2" t="e">
        <f t="shared" si="140"/>
        <v>#VALUE!</v>
      </c>
      <c r="X141" s="34">
        <f t="shared" si="142"/>
        <v>0</v>
      </c>
      <c r="Y141" s="57">
        <f t="shared" si="143"/>
        <v>67438</v>
      </c>
      <c r="AL141" s="2" t="e">
        <f t="shared" si="144"/>
        <v>#VALUE!</v>
      </c>
      <c r="AM141" s="34" t="e">
        <f t="shared" si="139"/>
        <v>#DIV/0!</v>
      </c>
      <c r="AN141" s="57">
        <f t="shared" si="127"/>
        <v>67803</v>
      </c>
      <c r="BJ141" s="2" t="e">
        <f t="shared" si="141"/>
        <v>#DIV/0!</v>
      </c>
    </row>
    <row r="142" spans="23:62" x14ac:dyDescent="0.2">
      <c r="W142" s="2" t="e">
        <f t="shared" si="140"/>
        <v>#VALUE!</v>
      </c>
      <c r="X142" s="34">
        <f t="shared" si="142"/>
        <v>0</v>
      </c>
      <c r="Y142" s="57">
        <f t="shared" si="143"/>
        <v>67803</v>
      </c>
      <c r="AL142" s="2" t="e">
        <f t="shared" si="144"/>
        <v>#VALUE!</v>
      </c>
      <c r="AM142" s="34" t="e">
        <f t="shared" si="139"/>
        <v>#DIV/0!</v>
      </c>
      <c r="AN142" s="57">
        <f t="shared" si="127"/>
        <v>68168</v>
      </c>
      <c r="BJ142" s="2" t="e">
        <f t="shared" si="141"/>
        <v>#DIV/0!</v>
      </c>
    </row>
    <row r="143" spans="23:62" x14ac:dyDescent="0.2">
      <c r="W143" s="2" t="e">
        <f t="shared" si="140"/>
        <v>#VALUE!</v>
      </c>
      <c r="X143" s="34">
        <f t="shared" si="142"/>
        <v>0</v>
      </c>
      <c r="Y143" s="57">
        <f t="shared" si="143"/>
        <v>68168</v>
      </c>
      <c r="AL143" s="2" t="e">
        <f t="shared" si="144"/>
        <v>#VALUE!</v>
      </c>
      <c r="AM143" s="34" t="e">
        <f t="shared" si="139"/>
        <v>#DIV/0!</v>
      </c>
      <c r="AN143" s="57">
        <f t="shared" si="127"/>
        <v>68533</v>
      </c>
      <c r="BJ143" s="2" t="e">
        <f t="shared" si="141"/>
        <v>#DIV/0!</v>
      </c>
    </row>
    <row r="144" spans="23:62" x14ac:dyDescent="0.2">
      <c r="W144" s="2" t="e">
        <f t="shared" si="140"/>
        <v>#VALUE!</v>
      </c>
      <c r="X144" s="34">
        <f t="shared" si="142"/>
        <v>0</v>
      </c>
      <c r="Y144" s="57">
        <f t="shared" si="143"/>
        <v>68533</v>
      </c>
      <c r="AL144" s="2" t="e">
        <f t="shared" si="144"/>
        <v>#VALUE!</v>
      </c>
      <c r="AM144" s="34" t="e">
        <f t="shared" si="139"/>
        <v>#DIV/0!</v>
      </c>
      <c r="AN144" s="57">
        <f t="shared" si="127"/>
        <v>68898</v>
      </c>
      <c r="BJ144" s="2" t="e">
        <f t="shared" si="141"/>
        <v>#DIV/0!</v>
      </c>
    </row>
    <row r="145" spans="22:62" x14ac:dyDescent="0.2">
      <c r="W145" s="2" t="e">
        <f t="shared" ref="W145:W148" si="145">IF(AND(G105&gt;=$W$14,G105&lt;=$W$14+5),0,IF($C$9&gt;$AF$51,ROUND(R104*$C$43/(DATEVALUE(CONCATENATE("01/01/",YEAR(H105)+1))-DATEVALUE(CONCATENATE("01/01/",YEAR(H105))))*(H105-H104),2),0))</f>
        <v>#VALUE!</v>
      </c>
      <c r="X145" s="34">
        <f t="shared" si="142"/>
        <v>0</v>
      </c>
      <c r="Y145" s="57">
        <f t="shared" si="143"/>
        <v>68898</v>
      </c>
      <c r="AL145" s="2" t="e">
        <f t="shared" si="144"/>
        <v>#VALUE!</v>
      </c>
      <c r="AM145" s="34" t="e">
        <f t="shared" si="139"/>
        <v>#DIV/0!</v>
      </c>
      <c r="AN145" s="57">
        <f t="shared" ref="AN145:AN147" si="146">AN144+365</f>
        <v>69263</v>
      </c>
      <c r="BJ145" s="2" t="e">
        <f t="shared" si="141"/>
        <v>#DIV/0!</v>
      </c>
    </row>
    <row r="146" spans="22:62" x14ac:dyDescent="0.2">
      <c r="W146" s="2" t="e">
        <f t="shared" si="145"/>
        <v>#VALUE!</v>
      </c>
      <c r="X146" s="34">
        <f t="shared" si="142"/>
        <v>0</v>
      </c>
      <c r="Y146" s="57">
        <f t="shared" si="143"/>
        <v>69263</v>
      </c>
      <c r="AL146" s="2" t="e">
        <f t="shared" si="144"/>
        <v>#VALUE!</v>
      </c>
      <c r="AM146" s="34" t="e">
        <f t="shared" si="139"/>
        <v>#DIV/0!</v>
      </c>
      <c r="AN146" s="57">
        <f t="shared" si="146"/>
        <v>69628</v>
      </c>
      <c r="BJ146" s="2" t="e">
        <f t="shared" si="141"/>
        <v>#DIV/0!</v>
      </c>
    </row>
    <row r="147" spans="22:62" x14ac:dyDescent="0.2">
      <c r="W147" s="2" t="e">
        <f t="shared" si="145"/>
        <v>#VALUE!</v>
      </c>
      <c r="X147" s="34">
        <f t="shared" si="142"/>
        <v>0</v>
      </c>
      <c r="Y147" s="57">
        <f t="shared" si="143"/>
        <v>69628</v>
      </c>
      <c r="AL147" s="2" t="e">
        <f t="shared" si="144"/>
        <v>#VALUE!</v>
      </c>
      <c r="AM147" s="34" t="e">
        <f t="shared" si="139"/>
        <v>#DIV/0!</v>
      </c>
      <c r="AN147" s="57">
        <f t="shared" si="146"/>
        <v>69993</v>
      </c>
      <c r="BJ147" s="2" t="e">
        <f t="shared" si="141"/>
        <v>#DIV/0!</v>
      </c>
    </row>
    <row r="148" spans="22:62" x14ac:dyDescent="0.2">
      <c r="W148" s="2" t="e">
        <f t="shared" si="145"/>
        <v>#VALUE!</v>
      </c>
      <c r="X148" s="34">
        <f t="shared" si="142"/>
        <v>0</v>
      </c>
      <c r="Y148" s="57">
        <f t="shared" si="143"/>
        <v>69993</v>
      </c>
      <c r="AL148" s="35" t="e">
        <f>SUM(AL48:AL147)</f>
        <v>#VALUE!</v>
      </c>
      <c r="AM148" s="35" t="e">
        <f>SUM(AM48:AM147)</f>
        <v>#DIV/0!</v>
      </c>
      <c r="AN148" s="154" t="e">
        <f>XIRR(AM46:AM147,AN46:AN147)*12</f>
        <v>#DIV/0!</v>
      </c>
      <c r="BJ148" s="2" t="e">
        <f t="shared" si="141"/>
        <v>#DIV/0!</v>
      </c>
    </row>
    <row r="149" spans="22:62" x14ac:dyDescent="0.2">
      <c r="V149" s="35"/>
      <c r="W149" s="35" t="e">
        <f>SUM(W49:W148)</f>
        <v>#VALUE!</v>
      </c>
      <c r="X149" s="35">
        <f>SUM(X49:X148)</f>
        <v>415093.14999999997</v>
      </c>
      <c r="Y149" s="154">
        <f>XIRR(X47:X148,Y47:Y148)*12</f>
        <v>9.6517574787139876E-2</v>
      </c>
      <c r="BJ149" s="2" t="e">
        <f t="shared" si="141"/>
        <v>#DIV/0!</v>
      </c>
    </row>
    <row r="150" spans="22:62" x14ac:dyDescent="0.2">
      <c r="X150" s="34"/>
      <c r="Y150" s="57"/>
      <c r="BJ150" s="2" t="e">
        <f t="shared" si="141"/>
        <v>#DIV/0!</v>
      </c>
    </row>
    <row r="151" spans="22:62" x14ac:dyDescent="0.2">
      <c r="X151" s="34"/>
      <c r="Y151" s="57"/>
      <c r="BJ151" s="2" t="e">
        <f t="shared" si="141"/>
        <v>#DIV/0!</v>
      </c>
    </row>
    <row r="152" spans="22:62" x14ac:dyDescent="0.2">
      <c r="X152" s="34"/>
      <c r="Y152" s="57"/>
      <c r="BJ152" s="2" t="e">
        <f t="shared" si="141"/>
        <v>#DIV/0!</v>
      </c>
    </row>
    <row r="153" spans="22:62" x14ac:dyDescent="0.2">
      <c r="X153" s="34"/>
      <c r="Y153" s="57"/>
      <c r="BJ153" s="2" t="e">
        <f t="shared" si="141"/>
        <v>#DIV/0!</v>
      </c>
    </row>
    <row r="154" spans="22:62" x14ac:dyDescent="0.2">
      <c r="BJ154" s="35" t="e">
        <f>SUM(BJ54:BJ153)</f>
        <v>#DIV/0!</v>
      </c>
    </row>
  </sheetData>
  <sheetProtection sheet="1" selectLockedCells="1"/>
  <dataConsolidate/>
  <mergeCells count="65">
    <mergeCell ref="A20:B20"/>
    <mergeCell ref="C20:D20"/>
    <mergeCell ref="I6:I7"/>
    <mergeCell ref="A5:E5"/>
    <mergeCell ref="A1:E2"/>
    <mergeCell ref="A3:E3"/>
    <mergeCell ref="G3:T4"/>
    <mergeCell ref="A8:B8"/>
    <mergeCell ref="A9:B9"/>
    <mergeCell ref="C9:D9"/>
    <mergeCell ref="L6:L7"/>
    <mergeCell ref="R6:R7"/>
    <mergeCell ref="S6:S7"/>
    <mergeCell ref="AP3:BF4"/>
    <mergeCell ref="BL3:BR3"/>
    <mergeCell ref="A10:B10"/>
    <mergeCell ref="C10:D10"/>
    <mergeCell ref="BL10:BL11"/>
    <mergeCell ref="BM10:BM11"/>
    <mergeCell ref="A11:B11"/>
    <mergeCell ref="E7:E12"/>
    <mergeCell ref="BL7:BL8"/>
    <mergeCell ref="BM7:BM8"/>
    <mergeCell ref="G6:G7"/>
    <mergeCell ref="H6:H7"/>
    <mergeCell ref="J6:J7"/>
    <mergeCell ref="K6:K7"/>
    <mergeCell ref="BQ7:BQ8"/>
    <mergeCell ref="BR7:BR8"/>
    <mergeCell ref="BL6:BR6"/>
    <mergeCell ref="A7:B7"/>
    <mergeCell ref="C7:D7"/>
    <mergeCell ref="BP7:BP8"/>
    <mergeCell ref="A6:B6"/>
    <mergeCell ref="C6:D6"/>
    <mergeCell ref="A26:B26"/>
    <mergeCell ref="A12:B12"/>
    <mergeCell ref="A13:B13"/>
    <mergeCell ref="BL13:BL14"/>
    <mergeCell ref="BM13:BM14"/>
    <mergeCell ref="A14:B14"/>
    <mergeCell ref="A15:A16"/>
    <mergeCell ref="A21:B21"/>
    <mergeCell ref="A22:C22"/>
    <mergeCell ref="A23:C23"/>
    <mergeCell ref="A24:B24"/>
    <mergeCell ref="A25:B25"/>
    <mergeCell ref="A17:E17"/>
    <mergeCell ref="A18:E18"/>
    <mergeCell ref="A19:B19"/>
    <mergeCell ref="C19:D19"/>
    <mergeCell ref="BL33:BL35"/>
    <mergeCell ref="A39:B39"/>
    <mergeCell ref="A27:B27"/>
    <mergeCell ref="A28:B28"/>
    <mergeCell ref="A30:B30"/>
    <mergeCell ref="A31:B31"/>
    <mergeCell ref="A32:B32"/>
    <mergeCell ref="A33:B33"/>
    <mergeCell ref="A29:B29"/>
    <mergeCell ref="D57:D63"/>
    <mergeCell ref="A34:B34"/>
    <mergeCell ref="A35:C35"/>
    <mergeCell ref="A36:A37"/>
    <mergeCell ref="A38:B38"/>
  </mergeCells>
  <dataValidations count="7">
    <dataValidation type="list" allowBlank="1" showInputMessage="1" showErrorMessage="1" sqref="C11">
      <formula1>IF($C$7&gt;1000000,$W$9:$W$11,$W$6:$W$8)</formula1>
    </dataValidation>
    <dataValidation type="list" allowBlank="1" showInputMessage="1" showErrorMessage="1" sqref="D11 C15">
      <formula1>$Y$33:$Z$33</formula1>
    </dataValidation>
    <dataValidation type="list" allowBlank="1" showInputMessage="1" showErrorMessage="1" sqref="D32 C42">
      <formula1>$AC$30:$AD$30</formula1>
    </dataValidation>
    <dataValidation type="list" allowBlank="1" showInputMessage="1" showErrorMessage="1" sqref="D28 C12">
      <formula1>$W$3:$AA$3</formula1>
    </dataValidation>
    <dataValidation type="list" allowBlank="1" showInputMessage="1" showErrorMessage="1" sqref="C19:D19">
      <formula1>$BX$12:$BX$24</formula1>
    </dataValidation>
    <dataValidation type="list" allowBlank="1" showInputMessage="1" showErrorMessage="1" sqref="D8">
      <formula1>$AC$59:$AJ$59</formula1>
    </dataValidation>
    <dataValidation type="list" allowBlank="1" showInputMessage="1" showErrorMessage="1" sqref="C8">
      <formula1>$AC$59:$AG$59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5" max="114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снижаем ставку'!$B$1:$F$1</xm:f>
          </x14:formula1>
          <xm:sqref>C10:D10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A4" workbookViewId="0">
      <selection activeCell="I12" sqref="I12"/>
    </sheetView>
  </sheetViews>
  <sheetFormatPr defaultColWidth="8.7109375" defaultRowHeight="12.75" x14ac:dyDescent="0.2"/>
  <cols>
    <col min="2" max="3" width="10.28515625" customWidth="1"/>
    <col min="4" max="4" width="10.7109375" customWidth="1"/>
    <col min="6" max="6" width="12.7109375" customWidth="1"/>
    <col min="9" max="9" width="10.28515625" customWidth="1"/>
  </cols>
  <sheetData>
    <row r="1" spans="1:9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9" x14ac:dyDescent="0.2">
      <c r="A2" s="174">
        <v>9.9000000000000005E-2</v>
      </c>
      <c r="B2" s="16">
        <v>3000</v>
      </c>
      <c r="C2">
        <v>3000</v>
      </c>
      <c r="D2" s="16">
        <v>4000</v>
      </c>
    </row>
    <row r="3" spans="1:9" x14ac:dyDescent="0.2">
      <c r="B3" s="16">
        <v>194000</v>
      </c>
      <c r="C3" s="16">
        <v>152000</v>
      </c>
      <c r="D3" s="16">
        <v>128000</v>
      </c>
      <c r="F3" s="477"/>
      <c r="I3" s="174"/>
    </row>
    <row r="4" spans="1:9" x14ac:dyDescent="0.2">
      <c r="A4" s="174">
        <v>0.11899999999999999</v>
      </c>
      <c r="B4" s="478">
        <v>4000</v>
      </c>
      <c r="C4" s="478">
        <v>4500</v>
      </c>
      <c r="D4" s="478">
        <v>5600</v>
      </c>
      <c r="G4" s="477" t="s">
        <v>305</v>
      </c>
      <c r="I4" s="174"/>
    </row>
    <row r="5" spans="1:9" x14ac:dyDescent="0.2">
      <c r="B5" s="16">
        <f>ROUND(B$7+(B$23-B$7)/($A$22-$A$6)*($A$4-$A$6),0)</f>
        <v>200000</v>
      </c>
      <c r="C5" s="16">
        <f>ROUND(C$7+(C$23-C$7)/($A$22-$A$6)*($A$4-$A$6),0)</f>
        <v>158000</v>
      </c>
      <c r="D5" s="16">
        <f>ROUND(D$7+(D$23-D$7)/($A$22-$A$6)*($A$4-$A$6),0)</f>
        <v>134000</v>
      </c>
      <c r="G5" s="477"/>
      <c r="I5" s="174"/>
    </row>
    <row r="6" spans="1:9" x14ac:dyDescent="0.2">
      <c r="A6" s="174">
        <v>0.11899999999999999</v>
      </c>
      <c r="B6">
        <v>4000</v>
      </c>
      <c r="C6">
        <v>5000</v>
      </c>
      <c r="D6">
        <v>5500</v>
      </c>
      <c r="G6" t="s">
        <v>306</v>
      </c>
      <c r="I6" s="486"/>
    </row>
    <row r="7" spans="1:9" x14ac:dyDescent="0.2">
      <c r="B7">
        <v>200000</v>
      </c>
      <c r="C7">
        <v>158000</v>
      </c>
      <c r="D7" s="16">
        <v>134000</v>
      </c>
    </row>
    <row r="8" spans="1:9" x14ac:dyDescent="0.2">
      <c r="A8" s="174">
        <v>0.129</v>
      </c>
      <c r="B8" s="16">
        <f>ROUND(B$6+(B$22-B$6)/($A$22-$A$6)*($A$8-$A$6),0)</f>
        <v>4000</v>
      </c>
      <c r="C8" s="16">
        <v>5500</v>
      </c>
      <c r="D8" s="16">
        <v>5500</v>
      </c>
    </row>
    <row r="9" spans="1:9" x14ac:dyDescent="0.2">
      <c r="B9" s="16">
        <f>ROUND(B$7+(B$23-B$7)/($A$22-$A$6)*($A$8-$A$6),0)</f>
        <v>202858</v>
      </c>
      <c r="C9" s="16">
        <f>ROUND(C$7+(C$23-C$7)/($A$22-$A$6)*($A$8-$A$6),0)</f>
        <v>161056</v>
      </c>
      <c r="D9" s="16">
        <v>136260</v>
      </c>
    </row>
    <row r="10" spans="1:9" x14ac:dyDescent="0.2">
      <c r="A10" s="174">
        <v>0.13900000000000001</v>
      </c>
      <c r="B10" s="491">
        <v>4000</v>
      </c>
      <c r="C10" s="491">
        <v>4500</v>
      </c>
      <c r="D10" s="491">
        <v>5200</v>
      </c>
      <c r="E10" s="491">
        <v>5500</v>
      </c>
      <c r="F10" s="491">
        <v>5700</v>
      </c>
    </row>
    <row r="11" spans="1:9" x14ac:dyDescent="0.2">
      <c r="B11" s="16">
        <v>205050</v>
      </c>
      <c r="C11" s="16">
        <v>163980</v>
      </c>
      <c r="D11" s="16">
        <v>140000</v>
      </c>
      <c r="E11" s="16">
        <v>124000</v>
      </c>
      <c r="F11" s="16">
        <v>112500</v>
      </c>
    </row>
    <row r="12" spans="1:9" x14ac:dyDescent="0.2">
      <c r="A12" s="174">
        <v>0.14899999999999999</v>
      </c>
      <c r="B12" s="490">
        <f>ROUND(B$6+(B$22-B$6)/($A$22-$A$6)*($A$12-$A$6),0)</f>
        <v>4000</v>
      </c>
      <c r="C12" s="490">
        <f>ROUND(C$6+(C$22-C$6)/($A$22-$A$6)*($A$12-$A$6),0)</f>
        <v>5000</v>
      </c>
      <c r="D12" s="490">
        <v>7000</v>
      </c>
      <c r="E12" s="490"/>
      <c r="F12" s="490"/>
    </row>
    <row r="13" spans="1:9" x14ac:dyDescent="0.2">
      <c r="B13" s="16">
        <f>ROUND(B$7+(B$23-B$7)/($A$22-$A$6)*($A$12-$A$6),0)</f>
        <v>208573</v>
      </c>
      <c r="C13" s="16">
        <f>ROUND(C$7+(C$23-C$7)/($A$22-$A$6)*($A$12-$A$6),0)</f>
        <v>167169</v>
      </c>
      <c r="D13" s="16">
        <f>ROUND(D$9+(D$23-D$9)/($A$22-$A$6)*($A$12-$A$6),0)</f>
        <v>144671</v>
      </c>
      <c r="E13" s="490"/>
      <c r="F13" s="490"/>
    </row>
    <row r="14" spans="1:9" x14ac:dyDescent="0.2">
      <c r="A14" s="174">
        <v>0.159</v>
      </c>
      <c r="B14" s="491">
        <v>4000</v>
      </c>
      <c r="C14" s="491">
        <v>5500</v>
      </c>
      <c r="D14" s="491">
        <v>5400</v>
      </c>
      <c r="E14" s="491">
        <v>6000</v>
      </c>
      <c r="F14" s="491">
        <v>6500</v>
      </c>
    </row>
    <row r="15" spans="1:9" x14ac:dyDescent="0.2">
      <c r="B15" s="16">
        <v>210990</v>
      </c>
      <c r="C15" s="16">
        <v>170140</v>
      </c>
      <c r="D15" s="16">
        <v>145800</v>
      </c>
      <c r="E15" s="16">
        <v>130100</v>
      </c>
      <c r="F15" s="16">
        <v>119100</v>
      </c>
    </row>
    <row r="16" spans="1:9" x14ac:dyDescent="0.2">
      <c r="A16" s="174">
        <v>0.16900000000000001</v>
      </c>
      <c r="B16">
        <f>ROUND(B$6+(B$22-B$6)/($A$22-$A$6)*($A$16-$A$6),0)</f>
        <v>4000</v>
      </c>
      <c r="C16">
        <f>ROUND(C$6+(C$22-C$6)/($A$22-$A$6)*($A$16-$A$6),0)</f>
        <v>5000</v>
      </c>
      <c r="D16">
        <v>6500</v>
      </c>
    </row>
    <row r="17" spans="1:4" x14ac:dyDescent="0.2">
      <c r="B17" s="16">
        <f>ROUND(B$7+(B$23-B$7)/($A$22-$A$6)*($A$16-$A$6),0)</f>
        <v>214288</v>
      </c>
      <c r="C17" s="16">
        <f>ROUND(C$7+(C$23-C$7)/($A$22-$A$6)*($A$16-$A$6),0)</f>
        <v>173281</v>
      </c>
      <c r="D17" s="16">
        <f>ROUND(D$9+(D$23-D$9)/($A$22-$A$6)*($A$16-$A$6),0)</f>
        <v>150279</v>
      </c>
    </row>
    <row r="18" spans="1:4" x14ac:dyDescent="0.2">
      <c r="A18" s="174">
        <v>0.17899999999999999</v>
      </c>
      <c r="B18">
        <f>ROUND(B$6+(B$22-B$6)/($A$22-$A$6)*($A$18-$A$6),0)</f>
        <v>4000</v>
      </c>
      <c r="C18">
        <f>ROUND(C$6+(C$22-C$6)/($A$22-$A$6)*($A$18-$A$6),0)</f>
        <v>5000</v>
      </c>
      <c r="D18">
        <v>6500</v>
      </c>
    </row>
    <row r="19" spans="1:4" x14ac:dyDescent="0.2">
      <c r="B19" s="16">
        <f>ROUND(B$7+(B$23-B$7)/($A$22-$A$6)*($A$18-$A$6),0)</f>
        <v>217145</v>
      </c>
      <c r="C19" s="16">
        <f>ROUND(C$7+(C$23-C$7)/($A$22-$A$6)*($A$18-$A$6),0)</f>
        <v>176338</v>
      </c>
      <c r="D19" s="16">
        <f>ROUND(D$9+(D$23-D$9)/($A$22-$A$6)*($A$18-$A$6),0)</f>
        <v>153083</v>
      </c>
    </row>
    <row r="20" spans="1:4" x14ac:dyDescent="0.2">
      <c r="A20" s="174">
        <v>0.189</v>
      </c>
      <c r="B20">
        <f>ROUND(B$6+(B$22-B$6)/($A$22-$A$6)*($A$20-$A$6),0)</f>
        <v>4000</v>
      </c>
      <c r="C20">
        <f>ROUND(C$6+(C$22-C$6)/($A$22-$A$6)*($A$20-$A$6),0)</f>
        <v>5000</v>
      </c>
      <c r="D20">
        <v>6500</v>
      </c>
    </row>
    <row r="21" spans="1:4" x14ac:dyDescent="0.2">
      <c r="B21" s="16">
        <f>ROUND(B$7+(B$23-B$7)/($A$22-$A$6)*($A$20-$A$6),0)</f>
        <v>220003</v>
      </c>
      <c r="C21" s="16">
        <f>ROUND(C$7+(C$23-C$7)/($A$22-$A$6)*($A$20-$A$6),0)</f>
        <v>179394</v>
      </c>
      <c r="D21" s="16">
        <f>ROUND(D$9+(D$23-D$9)/($A$22-$A$6)*($A$20-$A$6),0)</f>
        <v>155886</v>
      </c>
    </row>
    <row r="22" spans="1:4" x14ac:dyDescent="0.2">
      <c r="A22" s="174">
        <v>0.19900000000000001</v>
      </c>
      <c r="B22">
        <v>4000</v>
      </c>
      <c r="C22">
        <v>5000</v>
      </c>
      <c r="D22" s="16">
        <v>6000</v>
      </c>
    </row>
    <row r="23" spans="1:4" x14ac:dyDescent="0.2">
      <c r="B23">
        <v>222860</v>
      </c>
      <c r="C23">
        <v>182450</v>
      </c>
      <c r="D23" s="16">
        <v>158690</v>
      </c>
    </row>
    <row r="24" spans="1:4" x14ac:dyDescent="0.2">
      <c r="B24" s="477"/>
      <c r="C24" s="477"/>
      <c r="D24" s="477"/>
    </row>
    <row r="26" spans="1:4" x14ac:dyDescent="0.2">
      <c r="C26" s="478"/>
    </row>
    <row r="27" spans="1:4" x14ac:dyDescent="0.2">
      <c r="B27" s="478"/>
      <c r="C27" s="478"/>
    </row>
    <row r="31" spans="1:4" x14ac:dyDescent="0.2">
      <c r="B31" s="478"/>
      <c r="C31" s="478"/>
    </row>
  </sheetData>
  <sheetProtection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285156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66" t="s">
        <v>167</v>
      </c>
      <c r="B1" s="867"/>
      <c r="C1" s="867"/>
      <c r="D1" s="867"/>
      <c r="E1" s="868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69"/>
      <c r="B2" s="870"/>
      <c r="C2" s="870"/>
      <c r="D2" s="870"/>
      <c r="E2" s="87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70" t="s">
        <v>196</v>
      </c>
      <c r="B3" s="771"/>
      <c r="C3" s="771"/>
      <c r="D3" s="771"/>
      <c r="E3" s="772"/>
      <c r="F3" s="310"/>
      <c r="G3" s="865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2" ht="13.5" hidden="1" customHeight="1" x14ac:dyDescent="0.2">
      <c r="A4" s="187"/>
      <c r="B4" s="185"/>
      <c r="C4" s="185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2" ht="13.5" hidden="1" customHeight="1" thickBot="1" x14ac:dyDescent="0.25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776" t="s">
        <v>189</v>
      </c>
      <c r="K6" s="776" t="s">
        <v>190</v>
      </c>
      <c r="L6" s="776" t="s">
        <v>191</v>
      </c>
      <c r="M6" s="776" t="s">
        <v>192</v>
      </c>
      <c r="N6" s="238"/>
      <c r="O6" s="238"/>
      <c r="P6" s="238"/>
      <c r="Q6" s="776" t="s">
        <v>195</v>
      </c>
      <c r="R6" s="238"/>
      <c r="S6" s="776" t="s">
        <v>193</v>
      </c>
      <c r="T6" s="776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14" t="s">
        <v>148</v>
      </c>
      <c r="AQ6" s="914" t="s">
        <v>187</v>
      </c>
      <c r="AR6" s="914" t="s">
        <v>188</v>
      </c>
      <c r="AS6" s="267"/>
      <c r="AT6" s="914" t="s">
        <v>194</v>
      </c>
      <c r="AU6" s="914" t="s">
        <v>191</v>
      </c>
      <c r="AV6" s="914" t="s">
        <v>192</v>
      </c>
      <c r="AW6" s="267"/>
      <c r="AX6" s="267"/>
      <c r="AY6" s="267"/>
      <c r="AZ6" s="267"/>
      <c r="BA6" s="267"/>
      <c r="BB6" s="267"/>
      <c r="BC6" s="267"/>
      <c r="BD6" s="267"/>
      <c r="BE6" s="267"/>
      <c r="BF6" s="267"/>
      <c r="BG6" s="914" t="s">
        <v>193</v>
      </c>
      <c r="BH6" s="103"/>
      <c r="BI6" s="102"/>
      <c r="BJ6" s="117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2" ht="28.9" customHeight="1" x14ac:dyDescent="0.5">
      <c r="A7" s="766" t="s">
        <v>200</v>
      </c>
      <c r="B7" s="766"/>
      <c r="C7" s="767">
        <v>500000</v>
      </c>
      <c r="D7" s="767"/>
      <c r="E7" s="219"/>
      <c r="F7" s="231"/>
      <c r="G7" s="776"/>
      <c r="H7" s="776"/>
      <c r="I7" s="776"/>
      <c r="J7" s="776"/>
      <c r="K7" s="776"/>
      <c r="L7" s="776"/>
      <c r="M7" s="776"/>
      <c r="N7" s="237" t="s">
        <v>36</v>
      </c>
      <c r="O7" s="237" t="s">
        <v>39</v>
      </c>
      <c r="P7" s="237" t="s">
        <v>38</v>
      </c>
      <c r="Q7" s="776"/>
      <c r="R7" s="326" t="s">
        <v>40</v>
      </c>
      <c r="S7" s="776"/>
      <c r="T7" s="776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57</v>
      </c>
      <c r="AP7" s="914"/>
      <c r="AQ7" s="914"/>
      <c r="AR7" s="914"/>
      <c r="AS7" s="461" t="s">
        <v>156</v>
      </c>
      <c r="AT7" s="914"/>
      <c r="AU7" s="914"/>
      <c r="AV7" s="914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14"/>
      <c r="BH7" s="163" t="s">
        <v>32</v>
      </c>
      <c r="BI7" s="104" t="s">
        <v>31</v>
      </c>
      <c r="BJ7" s="153">
        <f>BJ8</f>
        <v>44285</v>
      </c>
      <c r="BK7" s="108">
        <f>K8</f>
        <v>-593750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2" ht="18" customHeight="1" thickBot="1" x14ac:dyDescent="0.55000000000000004">
      <c r="A8" s="766" t="s">
        <v>276</v>
      </c>
      <c r="B8" s="766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-593750</v>
      </c>
      <c r="L8" s="242"/>
      <c r="M8" s="243"/>
      <c r="N8" s="243"/>
      <c r="O8" s="243"/>
      <c r="P8" s="243"/>
      <c r="Q8" s="243"/>
      <c r="R8" s="243"/>
      <c r="S8" s="239">
        <f>C23</f>
        <v>593750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-593750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593750</v>
      </c>
      <c r="BH8" s="106"/>
      <c r="BI8" s="108"/>
      <c r="BJ8" s="22">
        <f>H8</f>
        <v>44285</v>
      </c>
      <c r="BK8" s="104">
        <f>$C$25</f>
        <v>93750</v>
      </c>
      <c r="BN8" s="785"/>
      <c r="BO8" s="778"/>
      <c r="BP8" s="125" t="s">
        <v>87</v>
      </c>
      <c r="BQ8" s="126" t="s">
        <v>88</v>
      </c>
      <c r="BR8" s="799"/>
      <c r="BS8" s="801"/>
      <c r="BT8" s="797"/>
    </row>
    <row r="9" spans="1:72" ht="16.899999999999999" customHeight="1" thickBot="1" x14ac:dyDescent="0.25">
      <c r="A9" s="766" t="s">
        <v>199</v>
      </c>
      <c r="B9" s="766"/>
      <c r="C9" s="788">
        <v>44285</v>
      </c>
      <c r="D9" s="788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7000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2">IF(P9-Q9&gt;$C$24,$C$24-L9,IF(V9=0,0,R9)+$AI$51)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593750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20" si="4">$D$13</f>
        <v>0.155</v>
      </c>
      <c r="AS9" s="258">
        <f>AT9+AZ9</f>
        <v>14930</v>
      </c>
      <c r="AT9" s="258">
        <f>IF(AND(BG8+AW9+AU9&gt;AT8,AT8&lt;&gt;0),IF($D$16="Да",$AL$36,$D$24),IF(BG8=0,0,BG8+AW9+AU9+AU10))</f>
        <v>14930</v>
      </c>
      <c r="AU9" s="258">
        <f>IF($C$9&gt;$AF$51,ROUND(BG8*AR9*((AQ9-DATE(YEAR(AQ9),MONTH(AQ9),1)+1)/(DATE(YEAR(AQ9)+1,1,1)-DATE(YEAR(AQ9),1,1))+(EOMONTH(AQ8,0)-AQ8)/(DATE(YEAR(AQ8)+1,1,1)-DATE(YEAR(AQ8),1,1))),2),0)</f>
        <v>7059.93</v>
      </c>
      <c r="AV9" s="258">
        <f>IF(BI9=0,0,IF(BI9=1,BG8,IF(BG8+AW9+AU9&gt;AT8,AT9-AU9-AW9,BG8)))</f>
        <v>7870.07</v>
      </c>
      <c r="AW9" s="258">
        <f t="shared" ref="AW9:AW40" si="5">IF(AY9-AZ9&gt;$D$24,$D$24-AU9,IF(BI9=0,0,BA9)+BX57)</f>
        <v>0</v>
      </c>
      <c r="AX9" s="258"/>
      <c r="AY9" s="258">
        <f>AU9+AZ9</f>
        <v>7059.93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585879.93000000005</v>
      </c>
      <c r="BH9" s="108">
        <f>C10</f>
        <v>60</v>
      </c>
      <c r="BI9" s="108">
        <f>BH9</f>
        <v>60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763" t="s">
        <v>198</v>
      </c>
      <c r="B10" s="763"/>
      <c r="C10" s="787">
        <v>60</v>
      </c>
      <c r="D10" s="787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7000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7000</v>
      </c>
      <c r="Q10" s="242">
        <f t="shared" ref="Q10:Q14" si="13">IF(OR($C$8="Нет",$C$16="Нет"),0,IF($C$17="Серебряный",3600,IF($C$17="Золотой",5000,IF($C$17="Платиновый",7000,""))))</f>
        <v>7000</v>
      </c>
      <c r="R10" s="242">
        <f t="shared" ref="R10:R73" si="14">IF(V10=0,0,0)</f>
        <v>0</v>
      </c>
      <c r="S10" s="242">
        <f t="shared" ref="S10:S73" si="15">S9-M10-T10</f>
        <v>593750</v>
      </c>
      <c r="T10" s="467"/>
      <c r="U10" s="198">
        <f>IF((U9-1)&lt;0,0,U9-1)</f>
        <v>59</v>
      </c>
      <c r="V10" s="36">
        <f t="shared" ref="V10:V73" si="16">U10</f>
        <v>59</v>
      </c>
      <c r="W10" s="54">
        <f>ROUND(S8*0%,-2)</f>
        <v>0</v>
      </c>
      <c r="X10" s="54">
        <f>ROUND(S8*0.5%,0)</f>
        <v>2969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0.155</v>
      </c>
      <c r="AS10" s="258">
        <f t="shared" ref="AS10:AS73" si="18">AT10+AZ10</f>
        <v>14930</v>
      </c>
      <c r="AT10" s="258">
        <f t="shared" ref="AT10:AT73" si="19">IF(AND(BG9+AW10+AU10&gt;AT9,AT9&lt;&gt;0),IF($D$16="Да",$AL$36,$D$24),IF(BG9=0,0,BG9+AW10+AU10+AU11))</f>
        <v>14930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7463.95</v>
      </c>
      <c r="AV10" s="258">
        <f t="shared" ref="AV10:AV73" si="21">IF(BI10=0,0,IF(BI10=1,BG9,IF(BG9+AW10+AU10&gt;AT9,AT10-AU10-AW10,BG9)))</f>
        <v>7466.05</v>
      </c>
      <c r="AW10" s="258">
        <f t="shared" si="5"/>
        <v>0</v>
      </c>
      <c r="AX10" s="258">
        <v>0</v>
      </c>
      <c r="AY10" s="258">
        <f t="shared" ref="AY10:AY85" si="22">AU10+AZ10</f>
        <v>7463.95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578413.88</v>
      </c>
      <c r="BH10" s="108">
        <f>IF((BH9-1)&lt;0,0,BH9-1)</f>
        <v>59</v>
      </c>
      <c r="BI10" s="108">
        <f>BH10</f>
        <v>59</v>
      </c>
      <c r="BJ10" s="22">
        <f>H10</f>
        <v>44343</v>
      </c>
      <c r="BK10" s="108">
        <f t="shared" si="7"/>
        <v>0</v>
      </c>
      <c r="BN10" s="784" t="s">
        <v>90</v>
      </c>
      <c r="BO10" s="777" t="s">
        <v>85</v>
      </c>
      <c r="BP10" s="129" t="s">
        <v>84</v>
      </c>
    </row>
    <row r="11" spans="1:72" ht="18" customHeight="1" thickBot="1" x14ac:dyDescent="0.25">
      <c r="A11" s="805" t="s">
        <v>172</v>
      </c>
      <c r="B11" s="805"/>
      <c r="C11" s="220">
        <v>0.17499999999999999</v>
      </c>
      <c r="D11" s="217">
        <f>C11</f>
        <v>0.17499999999999999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7000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7000</v>
      </c>
      <c r="Q11" s="242">
        <f t="shared" si="13"/>
        <v>7000</v>
      </c>
      <c r="R11" s="242">
        <f t="shared" si="14"/>
        <v>0</v>
      </c>
      <c r="S11" s="242">
        <f t="shared" si="15"/>
        <v>593750</v>
      </c>
      <c r="T11" s="467"/>
      <c r="U11" s="198">
        <f>IF((U10-1)&lt;0,0,U10-1)</f>
        <v>58</v>
      </c>
      <c r="V11" s="36">
        <f t="shared" si="16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0.155</v>
      </c>
      <c r="AS11" s="258">
        <f t="shared" si="18"/>
        <v>14930</v>
      </c>
      <c r="AT11" s="258">
        <f t="shared" si="19"/>
        <v>14930</v>
      </c>
      <c r="AU11" s="258">
        <f t="shared" si="20"/>
        <v>7614.46</v>
      </c>
      <c r="AV11" s="258">
        <f>IF(BI11=0,0,IF(BI11=1,BG10,IF(BG10+AW11+AU11&gt;AT10,AT11-AU11-AW11,BG10)))</f>
        <v>7315.54</v>
      </c>
      <c r="AW11" s="258">
        <f t="shared" si="5"/>
        <v>0</v>
      </c>
      <c r="AX11" s="258">
        <v>0</v>
      </c>
      <c r="AY11" s="258">
        <f t="shared" si="22"/>
        <v>7614.46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571098.34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44374</v>
      </c>
      <c r="BK11" s="108">
        <f t="shared" si="7"/>
        <v>0</v>
      </c>
      <c r="BN11" s="785"/>
      <c r="BO11" s="778"/>
      <c r="BP11" s="128" t="s">
        <v>91</v>
      </c>
    </row>
    <row r="12" spans="1:72" ht="18" customHeight="1" thickBot="1" x14ac:dyDescent="0.25">
      <c r="A12" s="805" t="s">
        <v>173</v>
      </c>
      <c r="B12" s="805"/>
      <c r="C12" s="221" t="s">
        <v>72</v>
      </c>
      <c r="D12" s="218" t="str">
        <f>C12</f>
        <v>Зарплатный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7000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7000</v>
      </c>
      <c r="Q12" s="242">
        <f t="shared" si="13"/>
        <v>7000</v>
      </c>
      <c r="R12" s="242">
        <f t="shared" si="14"/>
        <v>0</v>
      </c>
      <c r="S12" s="242">
        <f t="shared" si="15"/>
        <v>593750</v>
      </c>
      <c r="T12" s="467"/>
      <c r="U12" s="198">
        <f t="shared" ref="U12:U75" si="29">IF((U11-1)&lt;0,0,U11-1)</f>
        <v>57</v>
      </c>
      <c r="V12" s="36">
        <f t="shared" si="16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0.155</v>
      </c>
      <c r="AS12" s="258">
        <f t="shared" si="18"/>
        <v>14930</v>
      </c>
      <c r="AT12" s="258">
        <f t="shared" si="19"/>
        <v>14930</v>
      </c>
      <c r="AU12" s="258">
        <f t="shared" si="20"/>
        <v>7275.64</v>
      </c>
      <c r="AV12" s="258">
        <f t="shared" si="21"/>
        <v>7654.36</v>
      </c>
      <c r="AW12" s="258">
        <f t="shared" si="5"/>
        <v>0</v>
      </c>
      <c r="AX12" s="258">
        <v>0</v>
      </c>
      <c r="AY12" s="258">
        <f t="shared" si="22"/>
        <v>7275.64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563443.98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805" t="s">
        <v>171</v>
      </c>
      <c r="B13" s="805"/>
      <c r="C13" s="222">
        <f>IF(OR(C8="Гарантия стандарт",C8="Гарантия пакет",C12="Базовый"),C11,C11-2%)</f>
        <v>0.155</v>
      </c>
      <c r="D13" s="217">
        <f>IF(OR(D8="Гарантия стандарт",D8="Гарантия пакет",D12="Базовый"),D11,D11-2%)</f>
        <v>0.155</v>
      </c>
      <c r="E13" s="214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7000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7000</v>
      </c>
      <c r="Q13" s="242">
        <f t="shared" si="13"/>
        <v>7000</v>
      </c>
      <c r="R13" s="242">
        <f t="shared" si="14"/>
        <v>0</v>
      </c>
      <c r="S13" s="242">
        <f t="shared" si="15"/>
        <v>593750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>
        <f>INDEX(AD4:AD12,MATCH(C11,$W$4:$W$7,0))</f>
        <v>0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0.155</v>
      </c>
      <c r="AS13" s="258">
        <f t="shared" si="18"/>
        <v>14930</v>
      </c>
      <c r="AT13" s="258">
        <f t="shared" si="19"/>
        <v>14930</v>
      </c>
      <c r="AU13" s="258">
        <f t="shared" si="20"/>
        <v>7417.39</v>
      </c>
      <c r="AV13" s="258">
        <f t="shared" si="21"/>
        <v>7512.61</v>
      </c>
      <c r="AW13" s="258">
        <f t="shared" si="5"/>
        <v>0</v>
      </c>
      <c r="AX13" s="258">
        <v>0</v>
      </c>
      <c r="AY13" s="258">
        <f t="shared" si="22"/>
        <v>7417.39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555931.37</v>
      </c>
      <c r="BH13" s="108">
        <f t="shared" si="31"/>
        <v>56</v>
      </c>
      <c r="BI13" s="108">
        <f t="shared" si="26"/>
        <v>56</v>
      </c>
      <c r="BJ13" s="22">
        <f t="shared" si="27"/>
        <v>44435</v>
      </c>
      <c r="BK13" s="108">
        <f t="shared" si="7"/>
        <v>0</v>
      </c>
      <c r="BN13" s="784" t="s">
        <v>92</v>
      </c>
      <c r="BO13" s="777" t="s">
        <v>85</v>
      </c>
      <c r="BP13" s="129" t="s">
        <v>90</v>
      </c>
    </row>
    <row r="14" spans="1:72" ht="19.5" customHeight="1" thickBot="1" x14ac:dyDescent="0.25">
      <c r="A14" s="819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7000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7000</v>
      </c>
      <c r="Q14" s="252">
        <f t="shared" si="13"/>
        <v>7000</v>
      </c>
      <c r="R14" s="252">
        <f t="shared" si="14"/>
        <v>0</v>
      </c>
      <c r="S14" s="252">
        <f t="shared" si="15"/>
        <v>593750</v>
      </c>
      <c r="T14" s="468"/>
      <c r="U14" s="198">
        <f>IF((U13-1)&lt;0,0,U13-1)</f>
        <v>55</v>
      </c>
      <c r="V14" s="36">
        <f t="shared" si="16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0.155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0.155</v>
      </c>
      <c r="AS14" s="258">
        <f t="shared" si="18"/>
        <v>14930</v>
      </c>
      <c r="AT14" s="258">
        <f t="shared" si="19"/>
        <v>14930</v>
      </c>
      <c r="AU14" s="258">
        <f t="shared" si="20"/>
        <v>7318.49</v>
      </c>
      <c r="AV14" s="258">
        <f t="shared" si="21"/>
        <v>7611.51</v>
      </c>
      <c r="AW14" s="258">
        <f t="shared" si="5"/>
        <v>0</v>
      </c>
      <c r="AX14" s="258">
        <v>0</v>
      </c>
      <c r="AY14" s="258">
        <f t="shared" si="22"/>
        <v>7318.49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548319.86</v>
      </c>
      <c r="BH14" s="108">
        <f t="shared" si="31"/>
        <v>55</v>
      </c>
      <c r="BI14" s="108">
        <f t="shared" si="26"/>
        <v>55</v>
      </c>
      <c r="BJ14" s="22">
        <f t="shared" si="27"/>
        <v>44466</v>
      </c>
      <c r="BK14" s="108">
        <f t="shared" si="7"/>
        <v>0</v>
      </c>
      <c r="BN14" s="785"/>
      <c r="BO14" s="778"/>
      <c r="BP14" s="128" t="s">
        <v>93</v>
      </c>
    </row>
    <row r="15" spans="1:72" ht="20.25" customHeight="1" x14ac:dyDescent="0.2">
      <c r="A15" s="820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16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>$C$13</f>
        <v>0.155</v>
      </c>
      <c r="J15" s="242">
        <f t="shared" si="9"/>
        <v>14930</v>
      </c>
      <c r="K15" s="242">
        <f>IF(AND(G15&gt;=$W$9,G15&lt;=$W$9+5),$W$10,IF(S14+N15+L15&gt;K14,$C$24,IF(S14=0,0,S14+N15+L15+L16)))</f>
        <v>14930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7564.21</v>
      </c>
      <c r="M15" s="242">
        <f t="shared" si="12"/>
        <v>7365.79</v>
      </c>
      <c r="N15" s="242">
        <f t="shared" si="2"/>
        <v>0</v>
      </c>
      <c r="O15" s="242">
        <v>0</v>
      </c>
      <c r="P15" s="242">
        <f t="shared" si="25"/>
        <v>7564.21</v>
      </c>
      <c r="Q15" s="242">
        <f t="shared" ref="Q15:Q20" si="32">IF(V15=0,0,0)</f>
        <v>0</v>
      </c>
      <c r="R15" s="242">
        <f t="shared" si="14"/>
        <v>0</v>
      </c>
      <c r="S15" s="242">
        <f t="shared" si="15"/>
        <v>586384.21</v>
      </c>
      <c r="T15" s="467"/>
      <c r="U15" s="198">
        <f t="shared" si="29"/>
        <v>54</v>
      </c>
      <c r="V15" s="36">
        <f t="shared" si="16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si="4"/>
        <v>0.155</v>
      </c>
      <c r="AS15" s="258">
        <f t="shared" si="18"/>
        <v>14930</v>
      </c>
      <c r="AT15" s="258">
        <f t="shared" si="19"/>
        <v>14930</v>
      </c>
      <c r="AU15" s="258">
        <f t="shared" si="20"/>
        <v>6985.44</v>
      </c>
      <c r="AV15" s="258">
        <f t="shared" si="21"/>
        <v>7944.56</v>
      </c>
      <c r="AW15" s="258">
        <f t="shared" si="5"/>
        <v>0</v>
      </c>
      <c r="AX15" s="258">
        <v>0</v>
      </c>
      <c r="AY15" s="258">
        <f t="shared" si="22"/>
        <v>6985.44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540375.29999999993</v>
      </c>
      <c r="BH15" s="108">
        <f t="shared" si="31"/>
        <v>54</v>
      </c>
      <c r="BI15" s="108">
        <f t="shared" si="26"/>
        <v>54</v>
      </c>
      <c r="BJ15" s="22">
        <f t="shared" si="27"/>
        <v>44496</v>
      </c>
      <c r="BK15" s="108">
        <f t="shared" si="7"/>
        <v>14930</v>
      </c>
    </row>
    <row r="16" spans="1:72" ht="19.149999999999999" customHeight="1" x14ac:dyDescent="0.2">
      <c r="A16" s="821" t="s">
        <v>169</v>
      </c>
      <c r="B16" s="186" t="s">
        <v>170</v>
      </c>
      <c r="C16" s="447" t="s">
        <v>179</v>
      </c>
      <c r="D16" s="448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ref="I16:I20" si="33">$C$13</f>
        <v>0.155</v>
      </c>
      <c r="J16" s="242">
        <f t="shared" si="9"/>
        <v>14930</v>
      </c>
      <c r="K16" s="242">
        <f>IF(AND(G16&gt;=$W$9,G16&lt;=$W$9+5),$W$10,IF(AND(S15+N16+L16&gt;K15,K15&lt;&gt;0),$C$24,IF(S15=0,0,S15+N16+L16+L17)))</f>
        <v>14930</v>
      </c>
      <c r="L16" s="242">
        <f t="shared" ref="L16:L72" si="34">IF(AND(G16&gt;=$W$9,G16&lt;=$W$9+5),0,IF($C$9&gt;$AF$51,ROUND(S15*I16*((H16-DATE(YEAR(H16),MONTH(H16),1)+1)/(DATE(YEAR(H16)+1,1,1)-DATE(YEAR(H16),1,1))+(EOMONTH(H15,0)-H15)/(DATE(YEAR(H15)+1,1,1)-DATE(YEAR(H15),1,1))),2),0))</f>
        <v>7719.39</v>
      </c>
      <c r="M16" s="242">
        <f>IF(S15=0,0,IF(S15+N16+L16&gt;K15,K16-L16-N16,S15))</f>
        <v>7210.61</v>
      </c>
      <c r="N16" s="242">
        <f t="shared" si="2"/>
        <v>0</v>
      </c>
      <c r="O16" s="242">
        <v>0</v>
      </c>
      <c r="P16" s="242">
        <f t="shared" si="25"/>
        <v>7719.39</v>
      </c>
      <c r="Q16" s="242">
        <f t="shared" si="32"/>
        <v>0</v>
      </c>
      <c r="R16" s="242">
        <f t="shared" si="14"/>
        <v>0</v>
      </c>
      <c r="S16" s="242">
        <f t="shared" si="15"/>
        <v>579173.6</v>
      </c>
      <c r="T16" s="467"/>
      <c r="U16" s="198">
        <f t="shared" si="29"/>
        <v>53</v>
      </c>
      <c r="V16" s="36">
        <f t="shared" si="16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4"/>
        <v>0.155</v>
      </c>
      <c r="AS16" s="258">
        <f t="shared" si="18"/>
        <v>14930</v>
      </c>
      <c r="AT16" s="258">
        <f t="shared" si="19"/>
        <v>14930</v>
      </c>
      <c r="AU16" s="258">
        <f t="shared" si="20"/>
        <v>7113.71</v>
      </c>
      <c r="AV16" s="258">
        <f t="shared" si="21"/>
        <v>7816.29</v>
      </c>
      <c r="AW16" s="258">
        <f t="shared" si="5"/>
        <v>0</v>
      </c>
      <c r="AX16" s="258">
        <v>0</v>
      </c>
      <c r="AY16" s="258">
        <f t="shared" si="22"/>
        <v>7113.71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532559.00999999989</v>
      </c>
      <c r="BH16" s="108">
        <f t="shared" si="31"/>
        <v>53</v>
      </c>
      <c r="BI16" s="108">
        <f t="shared" si="26"/>
        <v>53</v>
      </c>
      <c r="BJ16" s="22">
        <f t="shared" si="27"/>
        <v>44527</v>
      </c>
      <c r="BK16" s="108">
        <f t="shared" si="7"/>
        <v>14930</v>
      </c>
    </row>
    <row r="17" spans="1:393" ht="19.899999999999999" customHeight="1" x14ac:dyDescent="0.2">
      <c r="A17" s="821"/>
      <c r="B17" s="186" t="s">
        <v>183</v>
      </c>
      <c r="C17" s="449" t="str">
        <f>IF(C16="Да",IF(AND($C$23&gt;=100000,$C$23&lt;200000),"Серебряный",IF(AND($C$23&gt;=200000,$C$23&lt;300000),"Золотой",IF(AND($C$23&gt;=300000,$C$7&lt;=500000),"Платиновый",""))),"")</f>
        <v>Платиновый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3"/>
        <v>0.155</v>
      </c>
      <c r="J17" s="242">
        <f t="shared" si="9"/>
        <v>14930</v>
      </c>
      <c r="K17" s="242">
        <f>IF(AND(G17&gt;=$W$9,G17&lt;=$W$9+5),$W$10,IF(AND(S16+N17+L17&gt;K16,K16&lt;&gt;0),$C$24,IF(S16=0,0,S16+N17+L17+L18)))</f>
        <v>14930</v>
      </c>
      <c r="L17" s="242">
        <f t="shared" si="34"/>
        <v>7378.51</v>
      </c>
      <c r="M17" s="242">
        <f t="shared" si="12"/>
        <v>7551.49</v>
      </c>
      <c r="N17" s="242">
        <f t="shared" si="2"/>
        <v>0</v>
      </c>
      <c r="O17" s="242">
        <v>0</v>
      </c>
      <c r="P17" s="242">
        <f t="shared" si="25"/>
        <v>7378.51</v>
      </c>
      <c r="Q17" s="242">
        <f t="shared" si="32"/>
        <v>0</v>
      </c>
      <c r="R17" s="242">
        <f t="shared" si="14"/>
        <v>0</v>
      </c>
      <c r="S17" s="242">
        <f t="shared" si="15"/>
        <v>571622.11</v>
      </c>
      <c r="T17" s="467"/>
      <c r="U17" s="198">
        <f t="shared" si="29"/>
        <v>52</v>
      </c>
      <c r="V17" s="36">
        <f t="shared" si="16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4"/>
        <v>0.155</v>
      </c>
      <c r="AS17" s="258">
        <f t="shared" si="18"/>
        <v>14930</v>
      </c>
      <c r="AT17" s="258">
        <f t="shared" si="19"/>
        <v>14930</v>
      </c>
      <c r="AU17" s="258">
        <f t="shared" si="20"/>
        <v>6784.66</v>
      </c>
      <c r="AV17" s="258">
        <f t="shared" si="21"/>
        <v>8145.34</v>
      </c>
      <c r="AW17" s="258">
        <f t="shared" si="5"/>
        <v>0</v>
      </c>
      <c r="AX17" s="258">
        <v>0</v>
      </c>
      <c r="AY17" s="258">
        <f t="shared" si="22"/>
        <v>6784.66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524413.66999999993</v>
      </c>
      <c r="BH17" s="108">
        <f t="shared" si="31"/>
        <v>52</v>
      </c>
      <c r="BI17" s="108">
        <f t="shared" si="26"/>
        <v>52</v>
      </c>
      <c r="BJ17" s="22">
        <f t="shared" si="27"/>
        <v>44557</v>
      </c>
      <c r="BK17" s="108">
        <f t="shared" si="7"/>
        <v>14930</v>
      </c>
    </row>
    <row r="18" spans="1:393" ht="19.899999999999999" customHeight="1" x14ac:dyDescent="0.2">
      <c r="A18" s="821"/>
      <c r="B18" s="186" t="s">
        <v>184</v>
      </c>
      <c r="C18" s="331">
        <f>IF($C$17="Серебряный",3600,IF($C$17="Золотой",5000,IF($C$17="Платиновый",7000,"")))</f>
        <v>7000</v>
      </c>
      <c r="D18" s="450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3"/>
        <v>0.155</v>
      </c>
      <c r="J18" s="242">
        <f t="shared" si="9"/>
        <v>14930</v>
      </c>
      <c r="K18" s="242">
        <f>IF(AND(G18&gt;=$W$9,G18&lt;=$W$9+5),$W$10,IF(AND(S17+N18+L18&gt;K17,K17&lt;&gt;0),$C$24,IF(S17=0,0,S17+N18+L18+L19)))</f>
        <v>14930</v>
      </c>
      <c r="L18" s="242">
        <f t="shared" si="34"/>
        <v>7525.05</v>
      </c>
      <c r="M18" s="242">
        <f t="shared" si="12"/>
        <v>7404.95</v>
      </c>
      <c r="N18" s="242">
        <f t="shared" si="2"/>
        <v>0</v>
      </c>
      <c r="O18" s="242">
        <v>0</v>
      </c>
      <c r="P18" s="242">
        <f t="shared" si="25"/>
        <v>7525.05</v>
      </c>
      <c r="Q18" s="242">
        <f t="shared" si="32"/>
        <v>0</v>
      </c>
      <c r="R18" s="242">
        <f t="shared" si="14"/>
        <v>0</v>
      </c>
      <c r="S18" s="242">
        <f t="shared" si="15"/>
        <v>564217.16</v>
      </c>
      <c r="T18" s="467"/>
      <c r="U18" s="198">
        <f t="shared" si="29"/>
        <v>51</v>
      </c>
      <c r="V18" s="36">
        <f t="shared" si="16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4"/>
        <v>0.155</v>
      </c>
      <c r="AS18" s="258">
        <f t="shared" si="18"/>
        <v>14930</v>
      </c>
      <c r="AT18" s="258">
        <f t="shared" si="19"/>
        <v>14930</v>
      </c>
      <c r="AU18" s="258">
        <f t="shared" si="20"/>
        <v>6903.58</v>
      </c>
      <c r="AV18" s="258">
        <f t="shared" si="21"/>
        <v>8026.42</v>
      </c>
      <c r="AW18" s="258">
        <f t="shared" si="5"/>
        <v>0</v>
      </c>
      <c r="AX18" s="258">
        <v>0</v>
      </c>
      <c r="AY18" s="258">
        <f t="shared" si="22"/>
        <v>6903.58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516387.24999999994</v>
      </c>
      <c r="BH18" s="108">
        <f t="shared" si="31"/>
        <v>51</v>
      </c>
      <c r="BI18" s="108">
        <f t="shared" si="26"/>
        <v>51</v>
      </c>
      <c r="BJ18" s="22">
        <f t="shared" si="27"/>
        <v>44588</v>
      </c>
      <c r="BK18" s="108">
        <f t="shared" si="7"/>
        <v>14930</v>
      </c>
    </row>
    <row r="19" spans="1:393" ht="28.15" customHeight="1" x14ac:dyDescent="0.2">
      <c r="A19" s="807" t="s">
        <v>303</v>
      </c>
      <c r="B19" s="807"/>
      <c r="C19" s="807"/>
      <c r="D19" s="807"/>
      <c r="E19" s="807"/>
      <c r="F19" s="233"/>
      <c r="G19" s="244">
        <f t="shared" si="28"/>
        <v>11</v>
      </c>
      <c r="H19" s="245">
        <f t="shared" si="1"/>
        <v>44619</v>
      </c>
      <c r="I19" s="246">
        <f t="shared" si="33"/>
        <v>0.155</v>
      </c>
      <c r="J19" s="242">
        <f t="shared" si="9"/>
        <v>14930</v>
      </c>
      <c r="K19" s="242">
        <f>IF(AND(G19&gt;=$W$9,G19&lt;=$W$9+5),$W$10,IF(AND(S18+N19+L19&gt;K18,K18&lt;&gt;0),$C$24,IF(S18=0,0,S18+N19+L19+L20)))</f>
        <v>14930</v>
      </c>
      <c r="L19" s="242">
        <f t="shared" si="34"/>
        <v>7427.57</v>
      </c>
      <c r="M19" s="242">
        <f t="shared" si="12"/>
        <v>7502.43</v>
      </c>
      <c r="N19" s="242">
        <f t="shared" si="2"/>
        <v>0</v>
      </c>
      <c r="O19" s="242">
        <v>0</v>
      </c>
      <c r="P19" s="242">
        <f t="shared" si="25"/>
        <v>7427.57</v>
      </c>
      <c r="Q19" s="242">
        <f t="shared" si="32"/>
        <v>0</v>
      </c>
      <c r="R19" s="242">
        <f t="shared" si="14"/>
        <v>0</v>
      </c>
      <c r="S19" s="242">
        <f t="shared" si="15"/>
        <v>556714.73</v>
      </c>
      <c r="T19" s="467"/>
      <c r="U19" s="198">
        <f>IF((U18-1)&lt;0,0,U18-1)</f>
        <v>50</v>
      </c>
      <c r="V19" s="36">
        <f t="shared" si="16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4"/>
        <v>0.155</v>
      </c>
      <c r="AS19" s="258">
        <f t="shared" si="18"/>
        <v>14930</v>
      </c>
      <c r="AT19" s="258">
        <f t="shared" si="19"/>
        <v>14930</v>
      </c>
      <c r="AU19" s="258">
        <f t="shared" si="20"/>
        <v>6797.92</v>
      </c>
      <c r="AV19" s="258">
        <f t="shared" si="21"/>
        <v>8132.08</v>
      </c>
      <c r="AW19" s="258">
        <f t="shared" si="5"/>
        <v>0</v>
      </c>
      <c r="AX19" s="258">
        <v>0</v>
      </c>
      <c r="AY19" s="258">
        <f t="shared" si="22"/>
        <v>6797.92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508255.16999999993</v>
      </c>
      <c r="BH19" s="108">
        <f t="shared" si="31"/>
        <v>50</v>
      </c>
      <c r="BI19" s="108">
        <f t="shared" si="26"/>
        <v>50</v>
      </c>
      <c r="BJ19" s="22">
        <f t="shared" si="27"/>
        <v>44619</v>
      </c>
      <c r="BK19" s="108">
        <f t="shared" si="7"/>
        <v>14930</v>
      </c>
    </row>
    <row r="20" spans="1:393" ht="16.899999999999999" customHeight="1" thickBot="1" x14ac:dyDescent="0.25">
      <c r="A20" s="817" t="s">
        <v>309</v>
      </c>
      <c r="B20" s="817"/>
      <c r="C20" s="817"/>
      <c r="D20" s="817"/>
      <c r="E20" s="817"/>
      <c r="F20" s="224"/>
      <c r="G20" s="248">
        <f t="shared" si="28"/>
        <v>12</v>
      </c>
      <c r="H20" s="249">
        <f t="shared" si="1"/>
        <v>44647</v>
      </c>
      <c r="I20" s="250">
        <f t="shared" si="33"/>
        <v>0.155</v>
      </c>
      <c r="J20" s="252">
        <f t="shared" si="9"/>
        <v>14930</v>
      </c>
      <c r="K20" s="252">
        <f>IF(AND(G20&gt;=$W$9,G20&lt;=$W$9+5),$W$10,IF(AND(S19+N20+L20&gt;K19,K19&lt;&gt;0),$C$24,IF(S19=0,0,S19+N20+L20+L21)))</f>
        <v>14930</v>
      </c>
      <c r="L20" s="252">
        <f t="shared" si="34"/>
        <v>6619.57</v>
      </c>
      <c r="M20" s="252">
        <f t="shared" si="12"/>
        <v>8310.43</v>
      </c>
      <c r="N20" s="252">
        <f t="shared" si="2"/>
        <v>0</v>
      </c>
      <c r="O20" s="252">
        <v>0</v>
      </c>
      <c r="P20" s="252">
        <f t="shared" si="25"/>
        <v>6619.57</v>
      </c>
      <c r="Q20" s="252">
        <f t="shared" si="32"/>
        <v>0</v>
      </c>
      <c r="R20" s="252">
        <f t="shared" si="14"/>
        <v>0</v>
      </c>
      <c r="S20" s="252">
        <f t="shared" si="15"/>
        <v>548404.29999999993</v>
      </c>
      <c r="T20" s="468"/>
      <c r="U20" s="198">
        <f>IF((U19-1)&lt;0,0,U19-1)</f>
        <v>49</v>
      </c>
      <c r="V20" s="36">
        <f t="shared" si="16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4"/>
        <v>0.155</v>
      </c>
      <c r="AS20" s="258">
        <f t="shared" si="18"/>
        <v>14930</v>
      </c>
      <c r="AT20" s="258">
        <f t="shared" si="19"/>
        <v>14930</v>
      </c>
      <c r="AU20" s="258">
        <f t="shared" si="20"/>
        <v>6043.36</v>
      </c>
      <c r="AV20" s="258">
        <f t="shared" si="21"/>
        <v>8886.64</v>
      </c>
      <c r="AW20" s="258">
        <f t="shared" si="5"/>
        <v>0</v>
      </c>
      <c r="AX20" s="258">
        <v>0</v>
      </c>
      <c r="AY20" s="258">
        <f t="shared" si="22"/>
        <v>6043.36</v>
      </c>
      <c r="AZ20" s="258">
        <f t="shared" si="6"/>
        <v>0</v>
      </c>
      <c r="BA20" s="258">
        <f t="shared" ref="BA20:BA83" si="35">IF(BI26=0,0,0)</f>
        <v>0</v>
      </c>
      <c r="BB20" s="258"/>
      <c r="BC20" s="258"/>
      <c r="BD20" s="258"/>
      <c r="BE20" s="258"/>
      <c r="BF20" s="258"/>
      <c r="BG20" s="258">
        <f t="shared" si="24"/>
        <v>499368.52999999991</v>
      </c>
      <c r="BH20" s="108">
        <f t="shared" si="31"/>
        <v>49</v>
      </c>
      <c r="BI20" s="108">
        <f t="shared" si="26"/>
        <v>49</v>
      </c>
      <c r="BJ20" s="22">
        <f t="shared" si="27"/>
        <v>44647</v>
      </c>
      <c r="BK20" s="108">
        <f t="shared" si="7"/>
        <v>14930</v>
      </c>
    </row>
    <row r="21" spans="1:393" ht="38.25" customHeight="1" x14ac:dyDescent="0.2">
      <c r="A21" s="913" t="str">
        <f>CONCATENATE("Наличие акции Снижаем ставку 2,0:
- 0% на 6 мес;
- ежегодное снижение ставки на ",AG35*100," % годовых")</f>
        <v>Наличие акции Снижаем ставку 2,0:
- 0% на 6 мес;
- ежегодное снижение ставки на 4 % годовых</v>
      </c>
      <c r="B21" s="890"/>
      <c r="C21" s="447" t="s">
        <v>179</v>
      </c>
      <c r="D21" s="448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0.13499999999999998</v>
      </c>
      <c r="J21" s="242">
        <f>K21+Q21</f>
        <v>14278</v>
      </c>
      <c r="K21" s="242">
        <f>IF(AND(G21&gt;=$W$9,G21&lt;=$W$9+5),$W$10,IF(AND(S20+N21+L21&gt;K20,K20&lt;&gt;0),IF(AND($C$16="Да",$C$8&lt;&gt;"Нет"),$AF$37,$C$24),IF(S20=0,0,S20+N21+L21+L22)))</f>
        <v>14278</v>
      </c>
      <c r="L21" s="242">
        <f t="shared" si="34"/>
        <v>6287.87</v>
      </c>
      <c r="M21" s="242">
        <f t="shared" si="12"/>
        <v>7990.13</v>
      </c>
      <c r="N21" s="242">
        <f t="shared" si="2"/>
        <v>0</v>
      </c>
      <c r="O21" s="242">
        <v>0</v>
      </c>
      <c r="P21" s="242">
        <f t="shared" si="25"/>
        <v>6287.87</v>
      </c>
      <c r="Q21" s="242">
        <f t="shared" ref="Q21:Q84" si="36">IF(V21=0,0,0)</f>
        <v>0</v>
      </c>
      <c r="R21" s="242">
        <f t="shared" si="14"/>
        <v>0</v>
      </c>
      <c r="S21" s="242">
        <f t="shared" si="15"/>
        <v>540414.16999999993</v>
      </c>
      <c r="T21" s="467"/>
      <c r="U21" s="198">
        <f>IF((U20-1)&lt;0,0,U20-1)</f>
        <v>48</v>
      </c>
      <c r="V21" s="36">
        <f t="shared" si="16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7">IF($D$16="Да",$AM$37,$D$13)</f>
        <v>0.155</v>
      </c>
      <c r="AS21" s="258">
        <f t="shared" si="18"/>
        <v>14930</v>
      </c>
      <c r="AT21" s="258">
        <f t="shared" si="19"/>
        <v>14930</v>
      </c>
      <c r="AU21" s="258">
        <f t="shared" si="20"/>
        <v>6573.88</v>
      </c>
      <c r="AV21" s="258">
        <f t="shared" si="21"/>
        <v>8356.119999999999</v>
      </c>
      <c r="AW21" s="258">
        <f t="shared" si="5"/>
        <v>0</v>
      </c>
      <c r="AX21" s="258">
        <v>0</v>
      </c>
      <c r="AY21" s="258">
        <f t="shared" si="22"/>
        <v>6573.88</v>
      </c>
      <c r="AZ21" s="258">
        <f t="shared" ref="AZ21:AZ84" si="38">IF(BI27=0,0,0)</f>
        <v>0</v>
      </c>
      <c r="BA21" s="258">
        <f t="shared" si="35"/>
        <v>0</v>
      </c>
      <c r="BB21" s="258"/>
      <c r="BC21" s="258"/>
      <c r="BD21" s="258"/>
      <c r="BE21" s="258"/>
      <c r="BF21" s="258"/>
      <c r="BG21" s="258">
        <f t="shared" si="24"/>
        <v>491012.40999999992</v>
      </c>
      <c r="BH21" s="108">
        <f t="shared" si="31"/>
        <v>48</v>
      </c>
      <c r="BI21" s="108">
        <f t="shared" si="26"/>
        <v>48</v>
      </c>
      <c r="BJ21" s="22">
        <f t="shared" si="27"/>
        <v>44678</v>
      </c>
      <c r="BK21" s="108">
        <f t="shared" si="7"/>
        <v>14278</v>
      </c>
    </row>
    <row r="22" spans="1:393" ht="34.15" customHeight="1" x14ac:dyDescent="0.2">
      <c r="A22" s="872" t="s">
        <v>174</v>
      </c>
      <c r="B22" s="872"/>
      <c r="C22" s="872"/>
      <c r="D22" s="872"/>
      <c r="E22" s="872"/>
      <c r="F22" s="225"/>
      <c r="G22" s="244">
        <f t="shared" si="28"/>
        <v>14</v>
      </c>
      <c r="H22" s="245">
        <f t="shared" si="1"/>
        <v>44708</v>
      </c>
      <c r="I22" s="246">
        <f t="shared" ref="I22:I32" si="39">IF(AND($C$16="Да",$C$8&lt;&gt;"Нет"),$AG$37,$C$13)</f>
        <v>0.13499999999999998</v>
      </c>
      <c r="J22" s="242">
        <f t="shared" si="9"/>
        <v>14278</v>
      </c>
      <c r="K22" s="242">
        <f t="shared" ref="K22:K31" si="40">IF(AND(G22&gt;=$W$9,G22&lt;=$W$9+5),$W$10,IF(AND(S21+N22+L22&gt;K21,K21&lt;&gt;0),IF(AND($C$16="Да",$C$8&lt;&gt;"Нет"),$AF$37,$C$24),IF(S21=0,0,S21+N22+L22+L23)))</f>
        <v>14278</v>
      </c>
      <c r="L22" s="242">
        <f t="shared" si="34"/>
        <v>5996.38</v>
      </c>
      <c r="M22" s="242">
        <f t="shared" si="12"/>
        <v>8281.619999999999</v>
      </c>
      <c r="N22" s="242">
        <f t="shared" si="2"/>
        <v>0</v>
      </c>
      <c r="O22" s="242">
        <v>0</v>
      </c>
      <c r="P22" s="242">
        <f t="shared" si="25"/>
        <v>5996.38</v>
      </c>
      <c r="Q22" s="242">
        <f t="shared" si="36"/>
        <v>0</v>
      </c>
      <c r="R22" s="242">
        <f t="shared" si="14"/>
        <v>0</v>
      </c>
      <c r="S22" s="242">
        <f t="shared" si="15"/>
        <v>532132.54999999993</v>
      </c>
      <c r="T22" s="467"/>
      <c r="U22" s="198">
        <f t="shared" si="29"/>
        <v>47</v>
      </c>
      <c r="V22" s="36">
        <f t="shared" si="16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7"/>
        <v>0.155</v>
      </c>
      <c r="AS22" s="258">
        <f t="shared" si="18"/>
        <v>14930</v>
      </c>
      <c r="AT22" s="258">
        <f t="shared" si="19"/>
        <v>14930</v>
      </c>
      <c r="AU22" s="258">
        <f t="shared" si="20"/>
        <v>6255.36</v>
      </c>
      <c r="AV22" s="258">
        <f t="shared" si="21"/>
        <v>8674.64</v>
      </c>
      <c r="AW22" s="258">
        <f t="shared" si="5"/>
        <v>0</v>
      </c>
      <c r="AX22" s="258">
        <v>0</v>
      </c>
      <c r="AY22" s="258">
        <f t="shared" si="22"/>
        <v>6255.36</v>
      </c>
      <c r="AZ22" s="258">
        <f t="shared" si="38"/>
        <v>0</v>
      </c>
      <c r="BA22" s="258">
        <f t="shared" si="35"/>
        <v>0</v>
      </c>
      <c r="BB22" s="258"/>
      <c r="BC22" s="258"/>
      <c r="BD22" s="258"/>
      <c r="BE22" s="258"/>
      <c r="BF22" s="258"/>
      <c r="BG22" s="258">
        <f t="shared" si="24"/>
        <v>482337.7699999999</v>
      </c>
      <c r="BH22" s="108">
        <f t="shared" si="31"/>
        <v>47</v>
      </c>
      <c r="BI22" s="108">
        <f t="shared" si="26"/>
        <v>47</v>
      </c>
      <c r="BJ22" s="22">
        <f t="shared" si="27"/>
        <v>44708</v>
      </c>
      <c r="BK22" s="108">
        <f t="shared" si="7"/>
        <v>14278</v>
      </c>
    </row>
    <row r="23" spans="1:393" ht="19.149999999999999" customHeight="1" x14ac:dyDescent="0.2">
      <c r="A23" s="769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769"/>
      <c r="C23" s="358">
        <f>$C$7+(IF($C$8="Нет",0,IF($C$25&lt;&gt;"",$C$25,0))+IF(C14="Нет",0,IF(C14="Да",C15,0)))</f>
        <v>593750</v>
      </c>
      <c r="D23" s="355">
        <f>$C$7+(IF($D$8="Нет",0,IF($D$25&lt;&gt;"",$D$25,0))+IF(D14="Нет",0,IF(D14="Да",D15,0)))</f>
        <v>593750</v>
      </c>
      <c r="E23" s="204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39"/>
        <v>0.13499999999999998</v>
      </c>
      <c r="J23" s="242">
        <f t="shared" si="9"/>
        <v>14278</v>
      </c>
      <c r="K23" s="242">
        <f t="shared" si="40"/>
        <v>14278</v>
      </c>
      <c r="L23" s="242">
        <f t="shared" si="34"/>
        <v>6101.3</v>
      </c>
      <c r="M23" s="242">
        <f t="shared" si="12"/>
        <v>8176.7</v>
      </c>
      <c r="N23" s="242">
        <f t="shared" si="2"/>
        <v>0</v>
      </c>
      <c r="O23" s="242">
        <v>0</v>
      </c>
      <c r="P23" s="242">
        <f t="shared" si="25"/>
        <v>6101.3</v>
      </c>
      <c r="Q23" s="242">
        <f t="shared" si="36"/>
        <v>0</v>
      </c>
      <c r="R23" s="242">
        <f t="shared" si="14"/>
        <v>0</v>
      </c>
      <c r="S23" s="242">
        <f t="shared" si="15"/>
        <v>523955.84999999992</v>
      </c>
      <c r="T23" s="467"/>
      <c r="U23" s="198">
        <f t="shared" si="29"/>
        <v>46</v>
      </c>
      <c r="V23" s="36">
        <f t="shared" si="16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7"/>
        <v>0.155</v>
      </c>
      <c r="AS23" s="258">
        <f t="shared" si="18"/>
        <v>14930</v>
      </c>
      <c r="AT23" s="258">
        <f t="shared" si="19"/>
        <v>14930</v>
      </c>
      <c r="AU23" s="258">
        <f t="shared" si="20"/>
        <v>6349.68</v>
      </c>
      <c r="AV23" s="258">
        <f t="shared" si="21"/>
        <v>8580.32</v>
      </c>
      <c r="AW23" s="258">
        <f t="shared" si="5"/>
        <v>0</v>
      </c>
      <c r="AX23" s="258">
        <v>0</v>
      </c>
      <c r="AY23" s="258">
        <f t="shared" si="22"/>
        <v>6349.68</v>
      </c>
      <c r="AZ23" s="258">
        <f t="shared" si="38"/>
        <v>0</v>
      </c>
      <c r="BA23" s="258">
        <f t="shared" si="35"/>
        <v>0</v>
      </c>
      <c r="BB23" s="258"/>
      <c r="BC23" s="258"/>
      <c r="BD23" s="258"/>
      <c r="BE23" s="258"/>
      <c r="BF23" s="258"/>
      <c r="BG23" s="258">
        <f t="shared" si="24"/>
        <v>473757.4499999999</v>
      </c>
      <c r="BH23" s="108">
        <f t="shared" si="31"/>
        <v>46</v>
      </c>
      <c r="BI23" s="108">
        <f t="shared" si="26"/>
        <v>46</v>
      </c>
      <c r="BJ23" s="22">
        <f t="shared" si="27"/>
        <v>44739</v>
      </c>
      <c r="BK23" s="108">
        <f t="shared" si="7"/>
        <v>14278</v>
      </c>
    </row>
    <row r="24" spans="1:393" ht="18" customHeight="1" x14ac:dyDescent="0.2">
      <c r="A24" s="769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769"/>
      <c r="C24" s="358">
        <f>ROUNDUP(AH36/AH33*C23/AG47,0)*AG47</f>
        <v>14930</v>
      </c>
      <c r="D24" s="355">
        <f>ROUNDUP(AI36/AH33*D23/AG47,0)*AG47</f>
        <v>14930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39"/>
        <v>0.13499999999999998</v>
      </c>
      <c r="J24" s="242">
        <f t="shared" si="9"/>
        <v>14278</v>
      </c>
      <c r="K24" s="242">
        <f t="shared" si="40"/>
        <v>14278</v>
      </c>
      <c r="L24" s="242">
        <f t="shared" si="34"/>
        <v>5813.76</v>
      </c>
      <c r="M24" s="242">
        <f t="shared" si="12"/>
        <v>8464.24</v>
      </c>
      <c r="N24" s="242">
        <f t="shared" si="2"/>
        <v>0</v>
      </c>
      <c r="O24" s="242">
        <v>0</v>
      </c>
      <c r="P24" s="242">
        <f t="shared" si="25"/>
        <v>5813.76</v>
      </c>
      <c r="Q24" s="242">
        <f t="shared" si="36"/>
        <v>0</v>
      </c>
      <c r="R24" s="242">
        <f t="shared" si="14"/>
        <v>0</v>
      </c>
      <c r="S24" s="242">
        <f t="shared" si="15"/>
        <v>515491.60999999993</v>
      </c>
      <c r="T24" s="467"/>
      <c r="U24" s="198">
        <f t="shared" si="29"/>
        <v>45</v>
      </c>
      <c r="V24" s="36">
        <f t="shared" si="16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7"/>
        <v>0.155</v>
      </c>
      <c r="AS24" s="258">
        <f t="shared" si="18"/>
        <v>14930</v>
      </c>
      <c r="AT24" s="258">
        <f t="shared" si="19"/>
        <v>14930</v>
      </c>
      <c r="AU24" s="258">
        <f t="shared" si="20"/>
        <v>6035.54</v>
      </c>
      <c r="AV24" s="258">
        <f t="shared" si="21"/>
        <v>8894.4599999999991</v>
      </c>
      <c r="AW24" s="258">
        <f t="shared" si="5"/>
        <v>0</v>
      </c>
      <c r="AX24" s="258">
        <v>0</v>
      </c>
      <c r="AY24" s="258">
        <f t="shared" si="22"/>
        <v>6035.54</v>
      </c>
      <c r="AZ24" s="258">
        <f t="shared" si="38"/>
        <v>0</v>
      </c>
      <c r="BA24" s="258">
        <f t="shared" si="35"/>
        <v>0</v>
      </c>
      <c r="BB24" s="258"/>
      <c r="BC24" s="258"/>
      <c r="BD24" s="258"/>
      <c r="BE24" s="258"/>
      <c r="BF24" s="258"/>
      <c r="BG24" s="258">
        <f t="shared" si="24"/>
        <v>464862.98999999987</v>
      </c>
      <c r="BH24" s="108">
        <f t="shared" si="31"/>
        <v>45</v>
      </c>
      <c r="BI24" s="108">
        <f t="shared" si="26"/>
        <v>45</v>
      </c>
      <c r="BJ24" s="22">
        <f t="shared" si="27"/>
        <v>44769</v>
      </c>
      <c r="BK24" s="108">
        <f t="shared" si="7"/>
        <v>14278</v>
      </c>
    </row>
    <row r="25" spans="1:393" ht="18" customHeight="1" x14ac:dyDescent="0.2">
      <c r="A25" s="763" t="s">
        <v>285</v>
      </c>
      <c r="B25" s="763"/>
      <c r="C25" s="331">
        <f>IF(C8="Гарантия пакет",(AH65*AH79+AI65*AI79),INDEX($AC$79:$AI$79,MATCH(C$8,$AC$59:$AJ$59,0))*C26)*$C$10</f>
        <v>93750</v>
      </c>
      <c r="D25" s="357">
        <f>IF(D8="Гарантия пакет",(AH65*AH79+AI65*AI79),INDEX($AC$79:$AI$79,MATCH(D$8,$AC$59:$AJ$59,0))*D26)*$C$10</f>
        <v>93750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39"/>
        <v>0.13499999999999998</v>
      </c>
      <c r="J25" s="242">
        <f t="shared" si="9"/>
        <v>14278</v>
      </c>
      <c r="K25" s="242">
        <f t="shared" si="40"/>
        <v>14278</v>
      </c>
      <c r="L25" s="242">
        <f t="shared" si="34"/>
        <v>5910.5</v>
      </c>
      <c r="M25" s="242">
        <f t="shared" si="12"/>
        <v>8367.5</v>
      </c>
      <c r="N25" s="242">
        <f t="shared" si="2"/>
        <v>0</v>
      </c>
      <c r="O25" s="242">
        <v>0</v>
      </c>
      <c r="P25" s="242">
        <f t="shared" si="25"/>
        <v>5910.5</v>
      </c>
      <c r="Q25" s="242">
        <f t="shared" si="36"/>
        <v>0</v>
      </c>
      <c r="R25" s="242">
        <f t="shared" si="14"/>
        <v>0</v>
      </c>
      <c r="S25" s="242">
        <f t="shared" si="15"/>
        <v>507124.10999999993</v>
      </c>
      <c r="T25" s="467"/>
      <c r="U25" s="198">
        <f t="shared" si="29"/>
        <v>44</v>
      </c>
      <c r="V25" s="36">
        <f t="shared" si="16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7"/>
        <v>0.155</v>
      </c>
      <c r="AS25" s="258">
        <f t="shared" si="18"/>
        <v>14930</v>
      </c>
      <c r="AT25" s="258">
        <f t="shared" si="19"/>
        <v>14930</v>
      </c>
      <c r="AU25" s="258">
        <f t="shared" si="20"/>
        <v>6119.63</v>
      </c>
      <c r="AV25" s="258">
        <f t="shared" si="21"/>
        <v>8810.369999999999</v>
      </c>
      <c r="AW25" s="258">
        <f t="shared" si="5"/>
        <v>0</v>
      </c>
      <c r="AX25" s="258">
        <v>0</v>
      </c>
      <c r="AY25" s="258">
        <f t="shared" si="22"/>
        <v>6119.63</v>
      </c>
      <c r="AZ25" s="258">
        <f t="shared" si="38"/>
        <v>0</v>
      </c>
      <c r="BA25" s="258">
        <f t="shared" si="35"/>
        <v>0</v>
      </c>
      <c r="BB25" s="258"/>
      <c r="BC25" s="258"/>
      <c r="BD25" s="258"/>
      <c r="BE25" s="258"/>
      <c r="BF25" s="258"/>
      <c r="BG25" s="258">
        <f t="shared" si="24"/>
        <v>456052.61999999988</v>
      </c>
      <c r="BH25" s="108">
        <f t="shared" si="31"/>
        <v>44</v>
      </c>
      <c r="BI25" s="108">
        <f t="shared" si="26"/>
        <v>44</v>
      </c>
      <c r="BJ25" s="22">
        <f t="shared" si="27"/>
        <v>44800</v>
      </c>
      <c r="BK25" s="108">
        <f t="shared" si="7"/>
        <v>14278</v>
      </c>
    </row>
    <row r="26" spans="1:393" ht="18" customHeight="1" x14ac:dyDescent="0.2">
      <c r="A26" s="763" t="s">
        <v>100</v>
      </c>
      <c r="B26" s="804"/>
      <c r="C26" s="330">
        <f>IF(C8="Нет",0,IF(C8=AC59,AC65,IF(C8=AD59,AD65,IF(C8=AF59,AF65,IF(C8=AG59,AG65,IF(C8=AE59,AE65,IF(C8=AH59,AH65,IF(C8=AI59,AI65,IF(C8=AJ59,AJ65,Y23)))))))))</f>
        <v>2.5000000000000001E-3</v>
      </c>
      <c r="D26" s="356">
        <f>IF(D8=AC59,AC65,IF(D8=AD59,AD65,IF(D8=AF59,AF65,IF(D8=AG59,AG65,IF(D8=AE59,AE65,IF(D8=AH59,AH65,IF(D8=AI59,AI65,IF(D8=AJ59,AJ65,Y23))))))))</f>
        <v>2.5000000000000001E-3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39"/>
        <v>0.13499999999999998</v>
      </c>
      <c r="J26" s="242">
        <f t="shared" si="9"/>
        <v>14278</v>
      </c>
      <c r="K26" s="242">
        <f t="shared" si="40"/>
        <v>14278</v>
      </c>
      <c r="L26" s="242">
        <f t="shared" si="34"/>
        <v>5814.56</v>
      </c>
      <c r="M26" s="242">
        <f t="shared" si="12"/>
        <v>8463.4399999999987</v>
      </c>
      <c r="N26" s="242">
        <f t="shared" si="2"/>
        <v>0</v>
      </c>
      <c r="O26" s="242">
        <v>0</v>
      </c>
      <c r="P26" s="242">
        <f t="shared" si="25"/>
        <v>5814.56</v>
      </c>
      <c r="Q26" s="242">
        <f t="shared" si="36"/>
        <v>0</v>
      </c>
      <c r="R26" s="242">
        <f t="shared" si="14"/>
        <v>0</v>
      </c>
      <c r="S26" s="242">
        <f t="shared" si="15"/>
        <v>498660.66999999993</v>
      </c>
      <c r="T26" s="467"/>
      <c r="U26" s="198">
        <f t="shared" si="29"/>
        <v>43</v>
      </c>
      <c r="V26" s="36">
        <f t="shared" si="16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7"/>
        <v>0.155</v>
      </c>
      <c r="AS26" s="258">
        <f t="shared" si="18"/>
        <v>14930</v>
      </c>
      <c r="AT26" s="258">
        <f t="shared" si="19"/>
        <v>14930</v>
      </c>
      <c r="AU26" s="258">
        <f t="shared" si="20"/>
        <v>6003.65</v>
      </c>
      <c r="AV26" s="258">
        <f t="shared" si="21"/>
        <v>8926.35</v>
      </c>
      <c r="AW26" s="258">
        <f t="shared" si="5"/>
        <v>0</v>
      </c>
      <c r="AX26" s="258">
        <v>0</v>
      </c>
      <c r="AY26" s="258">
        <f t="shared" si="22"/>
        <v>6003.65</v>
      </c>
      <c r="AZ26" s="258">
        <f t="shared" si="38"/>
        <v>0</v>
      </c>
      <c r="BA26" s="258">
        <f t="shared" si="35"/>
        <v>0</v>
      </c>
      <c r="BB26" s="258"/>
      <c r="BC26" s="258"/>
      <c r="BD26" s="258"/>
      <c r="BE26" s="258"/>
      <c r="BF26" s="258"/>
      <c r="BG26" s="258">
        <f t="shared" si="24"/>
        <v>447126.2699999999</v>
      </c>
      <c r="BH26" s="108">
        <f t="shared" si="31"/>
        <v>43</v>
      </c>
      <c r="BI26" s="108">
        <f t="shared" si="26"/>
        <v>43</v>
      </c>
      <c r="BJ26" s="22">
        <f t="shared" si="27"/>
        <v>44831</v>
      </c>
      <c r="BK26" s="108">
        <f t="shared" si="7"/>
        <v>14278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63" t="s">
        <v>325</v>
      </c>
      <c r="B27" s="763"/>
      <c r="C27" s="331">
        <f>IF(C8="Гарантия пакет",(AH65*AH79+AI65*AI79),INDEX($AC$79:$AI$79,MATCH(C$8,$AC$59:$AJ$59,0)))</f>
        <v>625000</v>
      </c>
      <c r="D27" s="357">
        <f>IF(D8="Гарантия пакет",(AH65*AH79+AI65*AI79),INDEX($AC$79:$AI$79,MATCH(D$8,$AC$59:$AJ$59,0)))</f>
        <v>625000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39"/>
        <v>0.13499999999999998</v>
      </c>
      <c r="J27" s="242">
        <f t="shared" si="9"/>
        <v>14278</v>
      </c>
      <c r="K27" s="242">
        <f t="shared" si="40"/>
        <v>14278</v>
      </c>
      <c r="L27" s="242">
        <f t="shared" si="34"/>
        <v>5533.08</v>
      </c>
      <c r="M27" s="242">
        <f t="shared" si="12"/>
        <v>8744.92</v>
      </c>
      <c r="N27" s="242">
        <f t="shared" si="2"/>
        <v>0</v>
      </c>
      <c r="O27" s="242">
        <v>0</v>
      </c>
      <c r="P27" s="242">
        <f t="shared" si="25"/>
        <v>5533.08</v>
      </c>
      <c r="Q27" s="242">
        <f t="shared" si="36"/>
        <v>0</v>
      </c>
      <c r="R27" s="242">
        <f t="shared" si="14"/>
        <v>0</v>
      </c>
      <c r="S27" s="242">
        <f t="shared" si="15"/>
        <v>489915.74999999994</v>
      </c>
      <c r="T27" s="467"/>
      <c r="U27" s="198">
        <f t="shared" si="29"/>
        <v>42</v>
      </c>
      <c r="V27" s="36">
        <f t="shared" si="16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7"/>
        <v>0.155</v>
      </c>
      <c r="AS27" s="258">
        <f t="shared" si="18"/>
        <v>14930</v>
      </c>
      <c r="AT27" s="258">
        <f t="shared" si="19"/>
        <v>14930</v>
      </c>
      <c r="AU27" s="258">
        <f t="shared" si="20"/>
        <v>5696.27</v>
      </c>
      <c r="AV27" s="258">
        <f t="shared" si="21"/>
        <v>9233.73</v>
      </c>
      <c r="AW27" s="258">
        <f t="shared" si="5"/>
        <v>0</v>
      </c>
      <c r="AX27" s="258">
        <v>0</v>
      </c>
      <c r="AY27" s="258">
        <f t="shared" si="22"/>
        <v>5696.27</v>
      </c>
      <c r="AZ27" s="258">
        <f t="shared" si="38"/>
        <v>0</v>
      </c>
      <c r="BA27" s="258">
        <f t="shared" si="35"/>
        <v>0</v>
      </c>
      <c r="BB27" s="258"/>
      <c r="BC27" s="258"/>
      <c r="BD27" s="258"/>
      <c r="BE27" s="258"/>
      <c r="BF27" s="258"/>
      <c r="BG27" s="258">
        <f t="shared" si="24"/>
        <v>437892.53999999992</v>
      </c>
      <c r="BH27" s="108">
        <f t="shared" si="31"/>
        <v>42</v>
      </c>
      <c r="BI27" s="108">
        <f t="shared" si="26"/>
        <v>42</v>
      </c>
      <c r="BJ27" s="22">
        <f t="shared" si="27"/>
        <v>44861</v>
      </c>
      <c r="BK27" s="108">
        <f t="shared" si="7"/>
        <v>14278</v>
      </c>
    </row>
    <row r="28" spans="1:393" ht="22.5" customHeight="1" x14ac:dyDescent="0.2">
      <c r="A28" s="763" t="s">
        <v>310</v>
      </c>
      <c r="B28" s="763"/>
      <c r="C28" s="331">
        <f>C25/$C$10</f>
        <v>1562.5</v>
      </c>
      <c r="D28" s="357">
        <f>D25/$C$10</f>
        <v>1562.5</v>
      </c>
      <c r="E28" s="206">
        <f t="shared" ref="E28:E29" si="41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39"/>
        <v>0.13499999999999998</v>
      </c>
      <c r="J28" s="242">
        <f t="shared" si="9"/>
        <v>14278</v>
      </c>
      <c r="K28" s="242">
        <f t="shared" si="40"/>
        <v>14278</v>
      </c>
      <c r="L28" s="242">
        <f t="shared" si="34"/>
        <v>5617.25</v>
      </c>
      <c r="M28" s="242">
        <f t="shared" si="12"/>
        <v>8660.75</v>
      </c>
      <c r="N28" s="242">
        <f t="shared" si="2"/>
        <v>0</v>
      </c>
      <c r="O28" s="242">
        <v>0</v>
      </c>
      <c r="P28" s="242">
        <f t="shared" si="25"/>
        <v>5617.25</v>
      </c>
      <c r="Q28" s="242">
        <f t="shared" si="36"/>
        <v>0</v>
      </c>
      <c r="R28" s="242">
        <f t="shared" si="14"/>
        <v>0</v>
      </c>
      <c r="S28" s="242">
        <f t="shared" si="15"/>
        <v>481254.99999999994</v>
      </c>
      <c r="T28" s="467"/>
      <c r="U28" s="198">
        <f t="shared" si="29"/>
        <v>41</v>
      </c>
      <c r="V28" s="36">
        <f t="shared" si="16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7"/>
        <v>0.155</v>
      </c>
      <c r="AS28" s="258">
        <f t="shared" si="18"/>
        <v>14930</v>
      </c>
      <c r="AT28" s="258">
        <f t="shared" si="19"/>
        <v>14930</v>
      </c>
      <c r="AU28" s="258">
        <f t="shared" si="20"/>
        <v>5764.59</v>
      </c>
      <c r="AV28" s="258">
        <f t="shared" si="21"/>
        <v>9165.41</v>
      </c>
      <c r="AW28" s="258">
        <f t="shared" si="5"/>
        <v>0</v>
      </c>
      <c r="AX28" s="258">
        <v>0</v>
      </c>
      <c r="AY28" s="258">
        <f t="shared" si="22"/>
        <v>5764.59</v>
      </c>
      <c r="AZ28" s="258">
        <f t="shared" si="38"/>
        <v>0</v>
      </c>
      <c r="BA28" s="258">
        <f t="shared" si="35"/>
        <v>0</v>
      </c>
      <c r="BB28" s="258"/>
      <c r="BC28" s="258"/>
      <c r="BD28" s="258"/>
      <c r="BE28" s="258"/>
      <c r="BF28" s="258"/>
      <c r="BG28" s="258">
        <f t="shared" si="24"/>
        <v>428727.12999999995</v>
      </c>
      <c r="BH28" s="108">
        <f t="shared" si="31"/>
        <v>41</v>
      </c>
      <c r="BI28" s="108">
        <f t="shared" si="26"/>
        <v>41</v>
      </c>
      <c r="BJ28" s="22">
        <f t="shared" si="27"/>
        <v>44892</v>
      </c>
      <c r="BK28" s="108">
        <f t="shared" si="7"/>
        <v>14278</v>
      </c>
    </row>
    <row r="29" spans="1:393" ht="19.5" customHeight="1" x14ac:dyDescent="0.25">
      <c r="A29" s="763" t="s">
        <v>311</v>
      </c>
      <c r="B29" s="763"/>
      <c r="C29" s="354">
        <f>ROUND($C$28/30.4,2)</f>
        <v>51.4</v>
      </c>
      <c r="D29" s="208">
        <f>ROUND($D$28/30.4,2)</f>
        <v>51.4</v>
      </c>
      <c r="E29" s="210">
        <f t="shared" si="41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39"/>
        <v>0.13499999999999998</v>
      </c>
      <c r="J29" s="242">
        <f t="shared" si="9"/>
        <v>14278</v>
      </c>
      <c r="K29" s="242">
        <f t="shared" si="40"/>
        <v>14278</v>
      </c>
      <c r="L29" s="242">
        <f t="shared" si="34"/>
        <v>5339.95</v>
      </c>
      <c r="M29" s="242">
        <f t="shared" si="12"/>
        <v>8938.0499999999993</v>
      </c>
      <c r="N29" s="242">
        <f t="shared" si="2"/>
        <v>0</v>
      </c>
      <c r="O29" s="242">
        <v>0</v>
      </c>
      <c r="P29" s="242">
        <f t="shared" si="25"/>
        <v>5339.95</v>
      </c>
      <c r="Q29" s="242">
        <f t="shared" si="36"/>
        <v>0</v>
      </c>
      <c r="R29" s="242">
        <f t="shared" si="14"/>
        <v>0</v>
      </c>
      <c r="S29" s="242">
        <f t="shared" si="15"/>
        <v>472316.94999999995</v>
      </c>
      <c r="T29" s="467"/>
      <c r="U29" s="198">
        <f t="shared" si="29"/>
        <v>40</v>
      </c>
      <c r="V29" s="36">
        <f t="shared" si="16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7"/>
        <v>0.155</v>
      </c>
      <c r="AS29" s="258">
        <f t="shared" si="18"/>
        <v>14930</v>
      </c>
      <c r="AT29" s="258">
        <f t="shared" si="19"/>
        <v>14930</v>
      </c>
      <c r="AU29" s="258">
        <f t="shared" si="20"/>
        <v>5461.87</v>
      </c>
      <c r="AV29" s="258">
        <f t="shared" si="21"/>
        <v>9468.130000000001</v>
      </c>
      <c r="AW29" s="258">
        <f t="shared" si="5"/>
        <v>0</v>
      </c>
      <c r="AX29" s="258">
        <v>0</v>
      </c>
      <c r="AY29" s="258">
        <f t="shared" si="22"/>
        <v>5461.87</v>
      </c>
      <c r="AZ29" s="258">
        <f t="shared" si="38"/>
        <v>0</v>
      </c>
      <c r="BA29" s="258">
        <f t="shared" si="35"/>
        <v>0</v>
      </c>
      <c r="BB29" s="258"/>
      <c r="BC29" s="258"/>
      <c r="BD29" s="258"/>
      <c r="BE29" s="258"/>
      <c r="BF29" s="258"/>
      <c r="BG29" s="258">
        <f t="shared" si="24"/>
        <v>419258.99999999994</v>
      </c>
      <c r="BH29" s="108">
        <f t="shared" si="31"/>
        <v>40</v>
      </c>
      <c r="BI29" s="108">
        <f t="shared" si="26"/>
        <v>40</v>
      </c>
      <c r="BJ29" s="22">
        <f t="shared" si="27"/>
        <v>44922</v>
      </c>
      <c r="BK29" s="108">
        <f t="shared" si="7"/>
        <v>14278</v>
      </c>
    </row>
    <row r="30" spans="1:393" ht="17.25" customHeight="1" x14ac:dyDescent="0.25">
      <c r="A30" s="763" t="s">
        <v>75</v>
      </c>
      <c r="B30" s="763"/>
      <c r="C30" s="194">
        <f>L109</f>
        <v>170804.76999999996</v>
      </c>
      <c r="D30" s="209">
        <f>AU109</f>
        <v>243889.36999999991</v>
      </c>
      <c r="E30" s="192">
        <f>C30-D30</f>
        <v>-73084.599999999948</v>
      </c>
      <c r="F30" s="235"/>
      <c r="G30" s="244">
        <f>G29+1</f>
        <v>22</v>
      </c>
      <c r="H30" s="245">
        <f t="shared" si="1"/>
        <v>44953</v>
      </c>
      <c r="I30" s="246">
        <f t="shared" si="39"/>
        <v>0.13499999999999998</v>
      </c>
      <c r="J30" s="242">
        <f t="shared" si="9"/>
        <v>14278</v>
      </c>
      <c r="K30" s="242">
        <f t="shared" si="40"/>
        <v>14278</v>
      </c>
      <c r="L30" s="242">
        <f t="shared" si="34"/>
        <v>5415.47</v>
      </c>
      <c r="M30" s="242">
        <f t="shared" si="12"/>
        <v>8862.5299999999988</v>
      </c>
      <c r="N30" s="242">
        <f t="shared" si="2"/>
        <v>0</v>
      </c>
      <c r="O30" s="242">
        <v>0</v>
      </c>
      <c r="P30" s="242">
        <f t="shared" si="25"/>
        <v>5415.47</v>
      </c>
      <c r="Q30" s="242">
        <f t="shared" si="36"/>
        <v>0</v>
      </c>
      <c r="R30" s="242">
        <f t="shared" si="14"/>
        <v>0</v>
      </c>
      <c r="S30" s="242">
        <f t="shared" si="15"/>
        <v>463454.41999999993</v>
      </c>
      <c r="T30" s="467"/>
      <c r="U30" s="198">
        <f>IF((U29-1)&lt;0,0,U29-1)</f>
        <v>39</v>
      </c>
      <c r="V30" s="36">
        <f t="shared" si="16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7"/>
        <v>0.155</v>
      </c>
      <c r="AS30" s="258">
        <f t="shared" si="18"/>
        <v>14930</v>
      </c>
      <c r="AT30" s="258">
        <f t="shared" si="19"/>
        <v>14930</v>
      </c>
      <c r="AU30" s="258">
        <f t="shared" si="20"/>
        <v>5519.29</v>
      </c>
      <c r="AV30" s="258">
        <f>IF(BI30=0,0,IF(BI30=1,BG29,IF(BG29+AW30+AU30&gt;AT29,AT30-AU30-AW30,BG29)))</f>
        <v>9410.7099999999991</v>
      </c>
      <c r="AW30" s="258">
        <f t="shared" si="5"/>
        <v>0</v>
      </c>
      <c r="AX30" s="258">
        <v>0</v>
      </c>
      <c r="AY30" s="258">
        <f t="shared" si="22"/>
        <v>5519.29</v>
      </c>
      <c r="AZ30" s="258">
        <f t="shared" si="38"/>
        <v>0</v>
      </c>
      <c r="BA30" s="258">
        <f t="shared" si="35"/>
        <v>0</v>
      </c>
      <c r="BB30" s="258"/>
      <c r="BC30" s="258"/>
      <c r="BD30" s="258"/>
      <c r="BE30" s="258"/>
      <c r="BF30" s="258"/>
      <c r="BG30" s="258">
        <f>IF(OR(BI30=1,BG29=0),0,BG29-AV30)</f>
        <v>409848.28999999992</v>
      </c>
      <c r="BH30" s="108">
        <f>IF((BH29-1)&lt;0,0,BH29-1)</f>
        <v>39</v>
      </c>
      <c r="BI30" s="108">
        <f t="shared" si="26"/>
        <v>39</v>
      </c>
      <c r="BJ30" s="22">
        <f t="shared" si="27"/>
        <v>44953</v>
      </c>
      <c r="BK30" s="108">
        <f t="shared" si="7"/>
        <v>14278</v>
      </c>
    </row>
    <row r="31" spans="1:393" ht="16.5" customHeight="1" x14ac:dyDescent="0.2">
      <c r="A31" s="763" t="s">
        <v>290</v>
      </c>
      <c r="B31" s="763"/>
      <c r="C31" s="194">
        <f>IF(C18="",0,C18*6)</f>
        <v>42000</v>
      </c>
      <c r="D31" s="209">
        <f>IF(D18="",0,D18*12)</f>
        <v>0</v>
      </c>
      <c r="E31" s="274">
        <f>C31-D31</f>
        <v>42000</v>
      </c>
      <c r="F31" s="236"/>
      <c r="G31" s="244">
        <f t="shared" si="28"/>
        <v>23</v>
      </c>
      <c r="H31" s="245">
        <f t="shared" si="1"/>
        <v>44984</v>
      </c>
      <c r="I31" s="246">
        <f t="shared" si="39"/>
        <v>0.13499999999999998</v>
      </c>
      <c r="J31" s="242">
        <f t="shared" si="9"/>
        <v>14278</v>
      </c>
      <c r="K31" s="242">
        <f t="shared" si="40"/>
        <v>14278</v>
      </c>
      <c r="L31" s="242">
        <f t="shared" si="34"/>
        <v>5313.85</v>
      </c>
      <c r="M31" s="242">
        <f t="shared" si="12"/>
        <v>8964.15</v>
      </c>
      <c r="N31" s="242">
        <f t="shared" si="2"/>
        <v>0</v>
      </c>
      <c r="O31" s="242">
        <v>0</v>
      </c>
      <c r="P31" s="242">
        <f t="shared" si="25"/>
        <v>5313.85</v>
      </c>
      <c r="Q31" s="242">
        <f t="shared" si="36"/>
        <v>0</v>
      </c>
      <c r="R31" s="242">
        <f t="shared" si="14"/>
        <v>0</v>
      </c>
      <c r="S31" s="242">
        <f t="shared" si="15"/>
        <v>454490.2699999999</v>
      </c>
      <c r="T31" s="467"/>
      <c r="U31" s="198">
        <f t="shared" si="29"/>
        <v>38</v>
      </c>
      <c r="V31" s="36">
        <f t="shared" si="16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7"/>
        <v>0.155</v>
      </c>
      <c r="AS31" s="258">
        <f t="shared" si="18"/>
        <v>14930</v>
      </c>
      <c r="AT31" s="258">
        <f t="shared" si="19"/>
        <v>14930</v>
      </c>
      <c r="AU31" s="258">
        <f t="shared" si="20"/>
        <v>5395.4</v>
      </c>
      <c r="AV31" s="258">
        <f t="shared" si="21"/>
        <v>9534.6</v>
      </c>
      <c r="AW31" s="258">
        <f t="shared" si="5"/>
        <v>0</v>
      </c>
      <c r="AX31" s="258">
        <v>0</v>
      </c>
      <c r="AY31" s="258">
        <f t="shared" si="22"/>
        <v>5395.4</v>
      </c>
      <c r="AZ31" s="258">
        <f t="shared" si="38"/>
        <v>0</v>
      </c>
      <c r="BA31" s="258">
        <f t="shared" si="35"/>
        <v>0</v>
      </c>
      <c r="BB31" s="258"/>
      <c r="BC31" s="258"/>
      <c r="BD31" s="258"/>
      <c r="BE31" s="258"/>
      <c r="BF31" s="258"/>
      <c r="BG31" s="258">
        <f t="shared" si="24"/>
        <v>400313.68999999994</v>
      </c>
      <c r="BH31" s="108">
        <f t="shared" si="31"/>
        <v>38</v>
      </c>
      <c r="BI31" s="108">
        <f t="shared" si="26"/>
        <v>38</v>
      </c>
      <c r="BJ31" s="22">
        <f t="shared" si="27"/>
        <v>44984</v>
      </c>
      <c r="BK31" s="108">
        <f t="shared" si="7"/>
        <v>14278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763" t="s">
        <v>157</v>
      </c>
      <c r="B32" s="763"/>
      <c r="C32" s="199">
        <f>J109</f>
        <v>806554.7699999999</v>
      </c>
      <c r="D32" s="207">
        <f>AT109</f>
        <v>837639.37</v>
      </c>
      <c r="E32" s="473">
        <f>C32-D32</f>
        <v>-31084.600000000093</v>
      </c>
      <c r="F32" s="191"/>
      <c r="G32" s="248">
        <f t="shared" si="28"/>
        <v>24</v>
      </c>
      <c r="H32" s="249">
        <f t="shared" si="1"/>
        <v>45012</v>
      </c>
      <c r="I32" s="250">
        <f t="shared" si="39"/>
        <v>0.13499999999999998</v>
      </c>
      <c r="J32" s="252">
        <f t="shared" si="9"/>
        <v>14278</v>
      </c>
      <c r="K32" s="252">
        <f>IF(AND(G32&gt;=$W$9,G32&lt;=$W$9+5),$W$10,IF(AND(S31+N32+L32&gt;K31,K31&lt;&gt;0),IF(AND($C$16="Да",$C$8&lt;&gt;"Нет"),$AF$37,$C$24),IF(S31=0,0,S31+N32+L32+L33)))</f>
        <v>14278</v>
      </c>
      <c r="L32" s="252">
        <f t="shared" si="34"/>
        <v>4706.78</v>
      </c>
      <c r="M32" s="252">
        <f t="shared" si="12"/>
        <v>9571.2200000000012</v>
      </c>
      <c r="N32" s="252">
        <f t="shared" si="2"/>
        <v>0</v>
      </c>
      <c r="O32" s="252">
        <v>0</v>
      </c>
      <c r="P32" s="252">
        <f t="shared" si="25"/>
        <v>4706.78</v>
      </c>
      <c r="Q32" s="252">
        <f t="shared" si="36"/>
        <v>0</v>
      </c>
      <c r="R32" s="252">
        <f t="shared" si="14"/>
        <v>0</v>
      </c>
      <c r="S32" s="252">
        <f t="shared" si="15"/>
        <v>444919.04999999993</v>
      </c>
      <c r="T32" s="468"/>
      <c r="U32" s="198">
        <f t="shared" si="29"/>
        <v>37</v>
      </c>
      <c r="V32" s="36">
        <f t="shared" si="16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7"/>
        <v>0.155</v>
      </c>
      <c r="AS32" s="258">
        <f t="shared" si="18"/>
        <v>14930</v>
      </c>
      <c r="AT32" s="258">
        <f t="shared" si="19"/>
        <v>14930</v>
      </c>
      <c r="AU32" s="258">
        <f t="shared" si="20"/>
        <v>4759.8900000000003</v>
      </c>
      <c r="AV32" s="258">
        <f t="shared" si="21"/>
        <v>10170.11</v>
      </c>
      <c r="AW32" s="258">
        <f t="shared" si="5"/>
        <v>0</v>
      </c>
      <c r="AX32" s="258">
        <v>0</v>
      </c>
      <c r="AY32" s="258">
        <f t="shared" si="22"/>
        <v>4759.8900000000003</v>
      </c>
      <c r="AZ32" s="258">
        <f t="shared" si="38"/>
        <v>0</v>
      </c>
      <c r="BA32" s="258">
        <f t="shared" si="35"/>
        <v>0</v>
      </c>
      <c r="BB32" s="258"/>
      <c r="BC32" s="258"/>
      <c r="BD32" s="258"/>
      <c r="BE32" s="258"/>
      <c r="BF32" s="258"/>
      <c r="BG32" s="258">
        <f t="shared" si="24"/>
        <v>390143.57999999996</v>
      </c>
      <c r="BH32" s="108">
        <f t="shared" si="31"/>
        <v>37</v>
      </c>
      <c r="BI32" s="108">
        <f t="shared" si="26"/>
        <v>37</v>
      </c>
      <c r="BJ32" s="22">
        <f t="shared" si="27"/>
        <v>45012</v>
      </c>
      <c r="BK32" s="108">
        <f t="shared" si="7"/>
        <v>14278</v>
      </c>
    </row>
    <row r="33" spans="1:1217" ht="51.75" customHeight="1" x14ac:dyDescent="0.2">
      <c r="A33" s="815" t="s">
        <v>302</v>
      </c>
      <c r="B33" s="815"/>
      <c r="C33" s="211">
        <f>C30+C31</f>
        <v>212804.76999999996</v>
      </c>
      <c r="D33" s="212">
        <f>D30+D31</f>
        <v>243889.36999999991</v>
      </c>
      <c r="E33" s="200">
        <f>C33-D33</f>
        <v>-31084.599999999948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9.4999999999999973E-2</v>
      </c>
      <c r="J33" s="242">
        <f t="shared" si="9"/>
        <v>13626</v>
      </c>
      <c r="K33" s="242">
        <f>IF(AND(G33&gt;=$W$9,G33&lt;=$W$9+5),$W$10,IF(AND(S32+N33+L33&gt;K32,K32&lt;&gt;0),IF(AND($C$16="Да",$C$8&lt;&gt;"Нет"),$AF$38,$C$24),IF(S32=0,0,S32+N33+L33+L34)))</f>
        <v>13626</v>
      </c>
      <c r="L33" s="242">
        <f t="shared" si="34"/>
        <v>3589.83</v>
      </c>
      <c r="M33" s="242">
        <f t="shared" si="12"/>
        <v>10036.17</v>
      </c>
      <c r="N33" s="242">
        <f t="shared" si="2"/>
        <v>0</v>
      </c>
      <c r="O33" s="242">
        <v>0</v>
      </c>
      <c r="P33" s="242">
        <f t="shared" si="25"/>
        <v>3589.83</v>
      </c>
      <c r="Q33" s="242">
        <f t="shared" si="36"/>
        <v>0</v>
      </c>
      <c r="R33" s="242">
        <f t="shared" si="14"/>
        <v>0</v>
      </c>
      <c r="S33" s="242">
        <f t="shared" si="15"/>
        <v>434882.87999999995</v>
      </c>
      <c r="T33" s="467"/>
      <c r="U33" s="198">
        <f t="shared" si="29"/>
        <v>36</v>
      </c>
      <c r="V33" s="36">
        <f t="shared" si="16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70</v>
      </c>
      <c r="AG33" s="2">
        <f>ROUNDUP(((S20)*AG37/12*(1+AG37/12)^(U21)/((1+AG37/12)^(U21)-1)+S20/10000*IF(U21&lt;11,20,IF(U21&lt;34,0.7,IF(U21&lt;58,0.3,0.1)))*IF(AG37&lt;0.3,AG37/0.2,AG37/0.1))/AG47,0)*AG47</f>
        <v>14860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2">IF($D$16="Да",$AM$38,$D$13)</f>
        <v>0.155</v>
      </c>
      <c r="AS33" s="258">
        <f t="shared" si="18"/>
        <v>14930</v>
      </c>
      <c r="AT33" s="258">
        <f t="shared" si="19"/>
        <v>14930</v>
      </c>
      <c r="AU33" s="258">
        <f t="shared" si="20"/>
        <v>5136</v>
      </c>
      <c r="AV33" s="258">
        <f t="shared" si="21"/>
        <v>9794</v>
      </c>
      <c r="AW33" s="258">
        <f t="shared" si="5"/>
        <v>0</v>
      </c>
      <c r="AX33" s="258">
        <v>0</v>
      </c>
      <c r="AY33" s="258">
        <f t="shared" si="22"/>
        <v>5136</v>
      </c>
      <c r="AZ33" s="258">
        <f t="shared" si="38"/>
        <v>0</v>
      </c>
      <c r="BA33" s="258">
        <f t="shared" si="35"/>
        <v>0</v>
      </c>
      <c r="BB33" s="258"/>
      <c r="BC33" s="258"/>
      <c r="BD33" s="258"/>
      <c r="BE33" s="258"/>
      <c r="BF33" s="258"/>
      <c r="BG33" s="258">
        <f t="shared" si="24"/>
        <v>380349.57999999996</v>
      </c>
      <c r="BH33" s="108">
        <f t="shared" si="31"/>
        <v>36</v>
      </c>
      <c r="BI33" s="108">
        <f t="shared" si="26"/>
        <v>36</v>
      </c>
      <c r="BJ33" s="22">
        <f t="shared" si="27"/>
        <v>45043</v>
      </c>
      <c r="BK33" s="108">
        <f t="shared" si="7"/>
        <v>13626</v>
      </c>
      <c r="BN33" s="782"/>
      <c r="BP33" s="131"/>
    </row>
    <row r="34" spans="1:1217" ht="52.5" customHeight="1" x14ac:dyDescent="0.2">
      <c r="A34" s="909" t="s">
        <v>293</v>
      </c>
      <c r="B34" s="909"/>
      <c r="C34" s="912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31085 рублей</v>
      </c>
      <c r="D34" s="912"/>
      <c r="E34" s="912"/>
      <c r="F34" s="191"/>
      <c r="G34" s="244">
        <f t="shared" si="28"/>
        <v>26</v>
      </c>
      <c r="H34" s="245">
        <f t="shared" si="1"/>
        <v>45073</v>
      </c>
      <c r="I34" s="246">
        <f t="shared" ref="I34:I44" si="43">IF(AND($C$16="Да",$C$8&lt;&gt;"Нет"),$AG$38,$C$13)</f>
        <v>9.4999999999999973E-2</v>
      </c>
      <c r="J34" s="242">
        <f t="shared" si="9"/>
        <v>13626</v>
      </c>
      <c r="K34" s="242">
        <f t="shared" ref="K34:K44" si="44">IF(AND(G34&gt;=$W$9,G34&lt;=$W$9+5),$W$10,IF(AND(S33+N34+L34&gt;K33,K33&lt;&gt;0),IF(AND($C$16="Да",$C$8&lt;&gt;"Нет"),$AF$38,$C$24),IF(S33=0,0,S33+N34+L34+L35)))</f>
        <v>13626</v>
      </c>
      <c r="L34" s="242">
        <f t="shared" si="34"/>
        <v>3395.66</v>
      </c>
      <c r="M34" s="242">
        <f t="shared" si="12"/>
        <v>10230.34</v>
      </c>
      <c r="N34" s="242">
        <f t="shared" si="2"/>
        <v>0</v>
      </c>
      <c r="O34" s="242">
        <v>0</v>
      </c>
      <c r="P34" s="242">
        <f t="shared" si="25"/>
        <v>3395.66</v>
      </c>
      <c r="Q34" s="242">
        <f t="shared" si="36"/>
        <v>0</v>
      </c>
      <c r="R34" s="242">
        <f t="shared" si="14"/>
        <v>0</v>
      </c>
      <c r="S34" s="242">
        <f t="shared" si="15"/>
        <v>424652.53999999992</v>
      </c>
      <c r="T34" s="467"/>
      <c r="U34" s="198">
        <f t="shared" si="29"/>
        <v>35</v>
      </c>
      <c r="V34" s="36">
        <f t="shared" si="16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2"/>
        <v>0.155</v>
      </c>
      <c r="AS34" s="258">
        <f t="shared" si="18"/>
        <v>14930</v>
      </c>
      <c r="AT34" s="258">
        <f t="shared" si="19"/>
        <v>14930</v>
      </c>
      <c r="AU34" s="258">
        <f t="shared" si="20"/>
        <v>4845.55</v>
      </c>
      <c r="AV34" s="258">
        <f t="shared" si="21"/>
        <v>10084.450000000001</v>
      </c>
      <c r="AW34" s="258">
        <f t="shared" si="5"/>
        <v>0</v>
      </c>
      <c r="AX34" s="258">
        <v>0</v>
      </c>
      <c r="AY34" s="258">
        <f t="shared" si="22"/>
        <v>4845.55</v>
      </c>
      <c r="AZ34" s="258">
        <f t="shared" si="38"/>
        <v>0</v>
      </c>
      <c r="BA34" s="258">
        <f t="shared" si="35"/>
        <v>0</v>
      </c>
      <c r="BB34" s="258"/>
      <c r="BC34" s="258"/>
      <c r="BD34" s="258"/>
      <c r="BE34" s="258"/>
      <c r="BF34" s="258"/>
      <c r="BG34" s="258">
        <f t="shared" si="24"/>
        <v>370265.12999999995</v>
      </c>
      <c r="BH34" s="108">
        <f t="shared" si="31"/>
        <v>35</v>
      </c>
      <c r="BI34" s="108">
        <f t="shared" si="26"/>
        <v>35</v>
      </c>
      <c r="BJ34" s="22">
        <f t="shared" si="27"/>
        <v>45073</v>
      </c>
      <c r="BK34" s="108">
        <f t="shared" si="7"/>
        <v>13626</v>
      </c>
      <c r="BN34" s="782"/>
    </row>
    <row r="35" spans="1:1217" ht="18.75" customHeight="1" thickBot="1" x14ac:dyDescent="0.25">
      <c r="A35" s="911" t="s">
        <v>312</v>
      </c>
      <c r="B35" s="911"/>
      <c r="C35" s="911"/>
      <c r="D35" s="911"/>
      <c r="E35" s="911"/>
      <c r="F35" s="191"/>
      <c r="G35" s="244">
        <f t="shared" si="28"/>
        <v>27</v>
      </c>
      <c r="H35" s="245">
        <f t="shared" si="1"/>
        <v>45104</v>
      </c>
      <c r="I35" s="246">
        <f t="shared" si="43"/>
        <v>9.4999999999999973E-2</v>
      </c>
      <c r="J35" s="242">
        <f t="shared" si="9"/>
        <v>13626</v>
      </c>
      <c r="K35" s="242">
        <f t="shared" si="44"/>
        <v>13626</v>
      </c>
      <c r="L35" s="242">
        <f t="shared" si="34"/>
        <v>3426.31</v>
      </c>
      <c r="M35" s="242">
        <f t="shared" si="12"/>
        <v>10199.69</v>
      </c>
      <c r="N35" s="242">
        <f t="shared" si="2"/>
        <v>0</v>
      </c>
      <c r="O35" s="242">
        <v>0</v>
      </c>
      <c r="P35" s="242">
        <f t="shared" si="25"/>
        <v>3426.31</v>
      </c>
      <c r="Q35" s="242">
        <f t="shared" si="36"/>
        <v>0</v>
      </c>
      <c r="R35" s="242">
        <f t="shared" si="14"/>
        <v>0</v>
      </c>
      <c r="S35" s="242">
        <f t="shared" si="15"/>
        <v>414452.84999999992</v>
      </c>
      <c r="T35" s="467"/>
      <c r="U35" s="198">
        <f t="shared" si="29"/>
        <v>34</v>
      </c>
      <c r="V35" s="36">
        <f t="shared" si="16"/>
        <v>34</v>
      </c>
      <c r="AE35" s="15"/>
      <c r="AF35" s="47">
        <f>ROUNDUP(AH35/AH33*C7/1,0)*1</f>
        <v>652</v>
      </c>
      <c r="AG35" s="169">
        <f>IF(C11&gt;=16.9%,4%,IF(C11&gt;=11.9%,3%,0%))</f>
        <v>0.04</v>
      </c>
      <c r="AH35" s="16">
        <f>IF(AG35=3%,INDEX(W40:AE40,MATCH($C$11,$W$39:$AE$39,0)),IF(AG35=4%,INDEX(W37:AE37,MATCH($C$11,$W$36:$AE$36,0)),0))</f>
        <v>7820</v>
      </c>
      <c r="AL35" s="47">
        <f>ROUNDUP(AH35/AH33*C7/1,0)*1</f>
        <v>652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2"/>
        <v>0.155</v>
      </c>
      <c r="AS35" s="258">
        <f t="shared" si="18"/>
        <v>14930</v>
      </c>
      <c r="AT35" s="258">
        <f t="shared" si="19"/>
        <v>14930</v>
      </c>
      <c r="AU35" s="258">
        <f t="shared" si="20"/>
        <v>4874.3100000000004</v>
      </c>
      <c r="AV35" s="258">
        <f t="shared" si="21"/>
        <v>10055.689999999999</v>
      </c>
      <c r="AW35" s="258">
        <f t="shared" si="5"/>
        <v>0</v>
      </c>
      <c r="AX35" s="258">
        <v>0</v>
      </c>
      <c r="AY35" s="258">
        <f t="shared" si="22"/>
        <v>4874.3100000000004</v>
      </c>
      <c r="AZ35" s="258">
        <f t="shared" si="38"/>
        <v>0</v>
      </c>
      <c r="BA35" s="258">
        <f t="shared" si="35"/>
        <v>0</v>
      </c>
      <c r="BB35" s="258"/>
      <c r="BC35" s="258"/>
      <c r="BD35" s="258"/>
      <c r="BE35" s="258"/>
      <c r="BF35" s="258"/>
      <c r="BG35" s="258">
        <f t="shared" si="24"/>
        <v>360209.43999999994</v>
      </c>
      <c r="BH35" s="108">
        <f t="shared" si="31"/>
        <v>34</v>
      </c>
      <c r="BI35" s="108">
        <f t="shared" si="26"/>
        <v>34</v>
      </c>
      <c r="BJ35" s="22">
        <f t="shared" si="27"/>
        <v>45104</v>
      </c>
      <c r="BK35" s="108">
        <f t="shared" si="7"/>
        <v>13626</v>
      </c>
      <c r="BN35" s="782"/>
    </row>
    <row r="36" spans="1:1217" ht="16.5" customHeight="1" x14ac:dyDescent="0.3">
      <c r="A36" s="894" t="s">
        <v>294</v>
      </c>
      <c r="B36" s="878"/>
      <c r="C36" s="487" t="s">
        <v>179</v>
      </c>
      <c r="D36" s="907" t="s">
        <v>304</v>
      </c>
      <c r="E36" s="908"/>
      <c r="F36" s="178"/>
      <c r="G36" s="244">
        <f t="shared" si="28"/>
        <v>28</v>
      </c>
      <c r="H36" s="245">
        <f t="shared" si="1"/>
        <v>45134</v>
      </c>
      <c r="I36" s="246">
        <f t="shared" si="43"/>
        <v>9.4999999999999973E-2</v>
      </c>
      <c r="J36" s="242">
        <f t="shared" si="9"/>
        <v>13626</v>
      </c>
      <c r="K36" s="242">
        <f t="shared" si="44"/>
        <v>13626</v>
      </c>
      <c r="L36" s="242">
        <f t="shared" si="34"/>
        <v>3236.14</v>
      </c>
      <c r="M36" s="242">
        <f t="shared" si="12"/>
        <v>10389.86</v>
      </c>
      <c r="N36" s="242">
        <f t="shared" si="2"/>
        <v>0</v>
      </c>
      <c r="O36" s="242">
        <v>0</v>
      </c>
      <c r="P36" s="242">
        <f t="shared" si="25"/>
        <v>3236.14</v>
      </c>
      <c r="Q36" s="242">
        <f t="shared" si="36"/>
        <v>0</v>
      </c>
      <c r="R36" s="242">
        <f t="shared" si="14"/>
        <v>0</v>
      </c>
      <c r="S36" s="242">
        <f t="shared" si="15"/>
        <v>404062.98999999993</v>
      </c>
      <c r="T36" s="467"/>
      <c r="U36" s="198">
        <f t="shared" si="29"/>
        <v>33</v>
      </c>
      <c r="V36" s="36">
        <f t="shared" si="16"/>
        <v>33</v>
      </c>
      <c r="W36" s="15">
        <v>0.11899999999999999</v>
      </c>
      <c r="X36" s="15">
        <v>0.129</v>
      </c>
      <c r="Y36" s="169">
        <v>0.13900000000000001</v>
      </c>
      <c r="Z36" s="15">
        <v>0.14899999999999999</v>
      </c>
      <c r="AA36" s="169">
        <v>0.16900000000000001</v>
      </c>
      <c r="AB36" s="15">
        <v>0.17499999999999999</v>
      </c>
      <c r="AC36" s="169">
        <v>0.17899999999999999</v>
      </c>
      <c r="AD36" s="15">
        <v>0.189</v>
      </c>
      <c r="AE36" s="15">
        <v>0.19900000000000001</v>
      </c>
      <c r="AF36" s="47">
        <f>C24</f>
        <v>14930</v>
      </c>
      <c r="AG36" s="15">
        <f>IF(OR(C$8="Гарантия стандарт",C$8="Гарантия пакет"),AD13,C11)</f>
        <v>0.17499999999999999</v>
      </c>
      <c r="AH36" s="16">
        <f>IF(AG35=3%,INDEX(W41:AE41,MATCH($C$11,$W$39:$AE$39,0)),IF(AG35=4%,INDEX(W38:AE38,MATCH($C$11,$W$36:$AE$36,0)),0))</f>
        <v>150800</v>
      </c>
      <c r="AI36" s="2">
        <f>INDEX(W41:AE41,MATCH($D$11,$W$39:$AE$39,0))</f>
        <v>150800</v>
      </c>
      <c r="AL36" s="47">
        <f>D24</f>
        <v>14930</v>
      </c>
      <c r="AM36" s="15">
        <f>IF(OR(D$8="Гарантия стандарт",D$8="Гарантия пакет"),AD13,D11)</f>
        <v>0.17499999999999999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2"/>
        <v>0.155</v>
      </c>
      <c r="AS36" s="258">
        <f t="shared" si="18"/>
        <v>14930</v>
      </c>
      <c r="AT36" s="258">
        <f t="shared" si="19"/>
        <v>14930</v>
      </c>
      <c r="AU36" s="258">
        <f t="shared" si="20"/>
        <v>4588.97</v>
      </c>
      <c r="AV36" s="258">
        <f t="shared" si="21"/>
        <v>10341.029999999999</v>
      </c>
      <c r="AW36" s="258">
        <f t="shared" si="5"/>
        <v>0</v>
      </c>
      <c r="AX36" s="258">
        <v>0</v>
      </c>
      <c r="AY36" s="258">
        <f t="shared" si="22"/>
        <v>4588.97</v>
      </c>
      <c r="AZ36" s="258">
        <f t="shared" si="38"/>
        <v>0</v>
      </c>
      <c r="BA36" s="258">
        <f t="shared" si="35"/>
        <v>0</v>
      </c>
      <c r="BB36" s="258"/>
      <c r="BC36" s="258"/>
      <c r="BD36" s="258"/>
      <c r="BE36" s="258"/>
      <c r="BF36" s="258"/>
      <c r="BG36" s="258">
        <f t="shared" si="24"/>
        <v>349868.40999999992</v>
      </c>
      <c r="BH36" s="108">
        <f t="shared" si="31"/>
        <v>33</v>
      </c>
      <c r="BI36" s="108">
        <f t="shared" si="26"/>
        <v>33</v>
      </c>
      <c r="BJ36" s="22">
        <f t="shared" si="27"/>
        <v>45134</v>
      </c>
      <c r="BK36" s="108">
        <f t="shared" si="7"/>
        <v>13626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894" t="s">
        <v>295</v>
      </c>
      <c r="B37" s="878"/>
      <c r="C37" s="397" t="s">
        <v>47</v>
      </c>
      <c r="D37" s="184"/>
      <c r="E37" s="184"/>
      <c r="F37" s="178"/>
      <c r="G37" s="244">
        <f t="shared" si="28"/>
        <v>29</v>
      </c>
      <c r="H37" s="245">
        <f t="shared" si="1"/>
        <v>45165</v>
      </c>
      <c r="I37" s="246">
        <f t="shared" si="43"/>
        <v>9.4999999999999973E-2</v>
      </c>
      <c r="J37" s="242">
        <f t="shared" si="9"/>
        <v>13626</v>
      </c>
      <c r="K37" s="242">
        <f t="shared" si="44"/>
        <v>13626</v>
      </c>
      <c r="L37" s="242">
        <f t="shared" si="34"/>
        <v>3260.18</v>
      </c>
      <c r="M37" s="242">
        <f t="shared" si="12"/>
        <v>10365.82</v>
      </c>
      <c r="N37" s="242">
        <f t="shared" si="2"/>
        <v>0</v>
      </c>
      <c r="O37" s="242">
        <v>0</v>
      </c>
      <c r="P37" s="242">
        <f t="shared" si="25"/>
        <v>3260.18</v>
      </c>
      <c r="Q37" s="242">
        <f t="shared" si="36"/>
        <v>0</v>
      </c>
      <c r="R37" s="242">
        <f t="shared" si="14"/>
        <v>0</v>
      </c>
      <c r="S37" s="242">
        <f t="shared" si="15"/>
        <v>393697.16999999993</v>
      </c>
      <c r="T37" s="467"/>
      <c r="U37" s="198">
        <f t="shared" si="29"/>
        <v>32</v>
      </c>
      <c r="V37" s="36">
        <f t="shared" si="16"/>
        <v>32</v>
      </c>
      <c r="W37" s="16">
        <f>INDEX('Для Прайм'!G2:I2,MATCH($C$10,'Для Прайм'!$G$1:$I$1,0))</f>
        <v>7633</v>
      </c>
      <c r="X37" s="16">
        <f>INDEX('Для Прайм'!$G4:$I4,MATCH($C$10,'Для Прайм'!$G$1:$I$1,0))</f>
        <v>4600</v>
      </c>
      <c r="Y37" s="16">
        <f>INDEX('Для Прайм'!$G6:$I6,MATCH($C$10,'Для Прайм'!$G$1:$I$1,0))</f>
        <v>7700</v>
      </c>
      <c r="Z37" s="16">
        <f>INDEX('Для Прайм'!$G8:$I8,MATCH($C$10,'Для Прайм'!$G$1:$I$1,0))</f>
        <v>5500</v>
      </c>
      <c r="AA37" s="16">
        <f>INDEX('Для Прайм'!$G12:$I12,MATCH($C$10,'Для Прайм'!$G$1:$I$1,0))</f>
        <v>7800</v>
      </c>
      <c r="AB37" s="16">
        <f>INDEX('Для Прайм'!$G14:$I14,MATCH($C$10,'Для Прайм'!$G$1:$I$1,0))</f>
        <v>7820</v>
      </c>
      <c r="AC37" s="16">
        <f>INDEX('Для Прайм'!$G16:$I16,MATCH($C$10,'Для Прайм'!$G$1:$I$1,0))</f>
        <v>8700</v>
      </c>
      <c r="AD37" s="16">
        <f>INDEX('Для Прайм'!$G18:$I18,MATCH($C$10,'Для Прайм'!$G$1:$I$1,0))</f>
        <v>8300</v>
      </c>
      <c r="AE37" s="16">
        <f>INDEX('Для Прайм'!$G20:$I20,MATCH($C$10,'Для Прайм'!$G$1:$I$1,0))</f>
        <v>7900</v>
      </c>
      <c r="AF37" s="47">
        <f>IF(AG37=AG36,AF36,AF36-$AF$35)</f>
        <v>14278</v>
      </c>
      <c r="AG37" s="169">
        <f>AG36-$AG$35</f>
        <v>0.13499999999999998</v>
      </c>
      <c r="AI37" s="2"/>
      <c r="AJ37" s="2"/>
      <c r="AK37" s="57"/>
      <c r="AL37" s="47">
        <f>AL36-$AL$35</f>
        <v>14278</v>
      </c>
      <c r="AM37" s="169">
        <f>IF(AM36-$AM$35 &gt;= 5.9%, AM36-$AM$35, 5.9%)</f>
        <v>0.13499999999999998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2"/>
        <v>0.155</v>
      </c>
      <c r="AS37" s="258">
        <f t="shared" si="18"/>
        <v>14930</v>
      </c>
      <c r="AT37" s="258">
        <f t="shared" si="19"/>
        <v>14930</v>
      </c>
      <c r="AU37" s="258">
        <f t="shared" si="20"/>
        <v>4605.8</v>
      </c>
      <c r="AV37" s="258">
        <f t="shared" si="21"/>
        <v>10324.200000000001</v>
      </c>
      <c r="AW37" s="258">
        <f t="shared" si="5"/>
        <v>0</v>
      </c>
      <c r="AX37" s="258">
        <v>0</v>
      </c>
      <c r="AY37" s="258">
        <f t="shared" si="22"/>
        <v>4605.8</v>
      </c>
      <c r="AZ37" s="258">
        <f t="shared" si="38"/>
        <v>0</v>
      </c>
      <c r="BA37" s="258">
        <f t="shared" si="35"/>
        <v>0</v>
      </c>
      <c r="BB37" s="258"/>
      <c r="BC37" s="258"/>
      <c r="BD37" s="258"/>
      <c r="BE37" s="258"/>
      <c r="BF37" s="258"/>
      <c r="BG37" s="258">
        <f t="shared" si="24"/>
        <v>339544.2099999999</v>
      </c>
      <c r="BH37" s="108">
        <f t="shared" si="31"/>
        <v>32</v>
      </c>
      <c r="BI37" s="108">
        <f t="shared" si="26"/>
        <v>32</v>
      </c>
      <c r="BJ37" s="22">
        <f t="shared" si="27"/>
        <v>45165</v>
      </c>
      <c r="BK37" s="108">
        <f t="shared" si="7"/>
        <v>13626</v>
      </c>
    </row>
    <row r="38" spans="1:1217" s="16" customFormat="1" ht="16.5" customHeight="1" x14ac:dyDescent="0.3">
      <c r="A38" s="910" t="s">
        <v>315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3"/>
        <v>9.4999999999999973E-2</v>
      </c>
      <c r="J38" s="242">
        <f t="shared" si="9"/>
        <v>13626</v>
      </c>
      <c r="K38" s="242">
        <f t="shared" si="44"/>
        <v>13626</v>
      </c>
      <c r="L38" s="242">
        <f t="shared" si="34"/>
        <v>3176.54</v>
      </c>
      <c r="M38" s="242">
        <f t="shared" si="12"/>
        <v>10449.459999999999</v>
      </c>
      <c r="N38" s="242">
        <f t="shared" si="2"/>
        <v>0</v>
      </c>
      <c r="O38" s="242">
        <v>0</v>
      </c>
      <c r="P38" s="242">
        <f t="shared" si="25"/>
        <v>3176.54</v>
      </c>
      <c r="Q38" s="242">
        <f t="shared" si="36"/>
        <v>0</v>
      </c>
      <c r="R38" s="242">
        <f t="shared" si="14"/>
        <v>0</v>
      </c>
      <c r="S38" s="242">
        <f t="shared" si="15"/>
        <v>383247.7099999999</v>
      </c>
      <c r="T38" s="467"/>
      <c r="U38" s="198">
        <f t="shared" si="29"/>
        <v>31</v>
      </c>
      <c r="V38" s="36">
        <f t="shared" si="16"/>
        <v>31</v>
      </c>
      <c r="W38" s="16">
        <f>INDEX('Для Прайм'!G3:I3,MATCH($C$10,'Для Прайм'!$G$1:$I$1,0))</f>
        <v>133200</v>
      </c>
      <c r="X38" s="16">
        <f>INDEX('Для Прайм'!$G5:$I5,MATCH($C$10,'Для Прайм'!$G$1:$I$1,0))</f>
        <v>136300</v>
      </c>
      <c r="Y38" s="16">
        <f>INDEX('Для Прайм'!$G7:$I7,MATCH($C$10,'Для Прайм'!$G$1:$I$1,0))</f>
        <v>139300</v>
      </c>
      <c r="Z38" s="16">
        <f>INDEX('Для Прайм'!$G9:$I9,MATCH($C$10,'Для Прайм'!$G$1:$I$1,0))</f>
        <v>143000</v>
      </c>
      <c r="AA38" s="16">
        <f>INDEX('Для Прайм'!$G13:$I13,MATCH($C$10,'Для Прайм'!$G$1:$I$1,0))</f>
        <v>149000</v>
      </c>
      <c r="AB38" s="16">
        <f>INDEX('Для Прайм'!$G15:$I15,MATCH($C$10,'Для Прайм'!$G$1:$I$1,0))</f>
        <v>150800</v>
      </c>
      <c r="AC38" s="16">
        <f>INDEX('Для Прайм'!$G17:$I17,MATCH($C$10,'Для Прайм'!$G$1:$I$1,0))</f>
        <v>153000</v>
      </c>
      <c r="AD38" s="16">
        <f>INDEX('Для Прайм'!$G19:$I19,MATCH($C$10,'Для Прайм'!$G$1:$I$1,0))</f>
        <v>155400</v>
      </c>
      <c r="AE38" s="16">
        <f>INDEX('Для Прайм'!$G21:$I21,MATCH($C$10,'Для Прайм'!$G$1:$I$1,0))</f>
        <v>159000</v>
      </c>
      <c r="AF38" s="47">
        <f t="shared" ref="AF38:AF40" si="45">IF(AG38=AG37,AF37,AF37-$AF$35)</f>
        <v>13626</v>
      </c>
      <c r="AG38" s="169">
        <f>IF(AG37-$AG$35 &gt;= 5.9%, AG37-$AG$35, 5.9%)</f>
        <v>9.4999999999999973E-2</v>
      </c>
      <c r="AI38" s="2"/>
      <c r="AJ38" s="2"/>
      <c r="AK38" s="57"/>
      <c r="AL38" s="47">
        <f>AL37-$AL$35</f>
        <v>13626</v>
      </c>
      <c r="AM38" s="169">
        <f>IF(AM37-$AM$35 &gt;= 5.9%, AM37-$AM$35, 5.9%)</f>
        <v>9.4999999999999973E-2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2"/>
        <v>0.155</v>
      </c>
      <c r="AS38" s="258">
        <f t="shared" si="18"/>
        <v>14930</v>
      </c>
      <c r="AT38" s="258">
        <f t="shared" si="19"/>
        <v>14930</v>
      </c>
      <c r="AU38" s="258">
        <f t="shared" si="20"/>
        <v>4469.8900000000003</v>
      </c>
      <c r="AV38" s="258">
        <f t="shared" si="21"/>
        <v>10460.11</v>
      </c>
      <c r="AW38" s="258">
        <f t="shared" si="5"/>
        <v>0</v>
      </c>
      <c r="AX38" s="258">
        <v>0</v>
      </c>
      <c r="AY38" s="258">
        <f t="shared" si="22"/>
        <v>4469.8900000000003</v>
      </c>
      <c r="AZ38" s="258">
        <f t="shared" si="38"/>
        <v>0</v>
      </c>
      <c r="BA38" s="258">
        <f t="shared" si="35"/>
        <v>0</v>
      </c>
      <c r="BB38" s="258"/>
      <c r="BC38" s="258"/>
      <c r="BD38" s="258"/>
      <c r="BE38" s="258"/>
      <c r="BF38" s="258"/>
      <c r="BG38" s="258">
        <f t="shared" si="24"/>
        <v>329084.09999999992</v>
      </c>
      <c r="BH38" s="108">
        <f t="shared" si="31"/>
        <v>31</v>
      </c>
      <c r="BI38" s="108">
        <f t="shared" si="26"/>
        <v>31</v>
      </c>
      <c r="BJ38" s="22">
        <f t="shared" si="27"/>
        <v>45196</v>
      </c>
      <c r="BK38" s="108">
        <f t="shared" si="7"/>
        <v>13626</v>
      </c>
    </row>
    <row r="39" spans="1:1217" s="16" customFormat="1" ht="12" customHeight="1" x14ac:dyDescent="0.3">
      <c r="A39" s="910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3"/>
        <v>9.4999999999999973E-2</v>
      </c>
      <c r="J39" s="242">
        <f t="shared" si="9"/>
        <v>13626</v>
      </c>
      <c r="K39" s="242">
        <f t="shared" si="44"/>
        <v>13626</v>
      </c>
      <c r="L39" s="242">
        <f t="shared" si="34"/>
        <v>2992.48</v>
      </c>
      <c r="M39" s="242">
        <f t="shared" si="12"/>
        <v>10633.52</v>
      </c>
      <c r="N39" s="242">
        <f t="shared" si="2"/>
        <v>0</v>
      </c>
      <c r="O39" s="242">
        <v>0</v>
      </c>
      <c r="P39" s="242">
        <f t="shared" si="25"/>
        <v>2992.48</v>
      </c>
      <c r="Q39" s="242">
        <f t="shared" si="36"/>
        <v>0</v>
      </c>
      <c r="R39" s="242">
        <f t="shared" si="14"/>
        <v>0</v>
      </c>
      <c r="S39" s="242">
        <f t="shared" si="15"/>
        <v>372614.18999999989</v>
      </c>
      <c r="T39" s="467"/>
      <c r="U39" s="198">
        <f t="shared" si="29"/>
        <v>30</v>
      </c>
      <c r="V39" s="36">
        <f t="shared" si="16"/>
        <v>30</v>
      </c>
      <c r="W39" s="15">
        <v>0.11899999999999999</v>
      </c>
      <c r="X39" s="15">
        <v>0.129</v>
      </c>
      <c r="Y39" s="169">
        <v>0.13900000000000001</v>
      </c>
      <c r="Z39" s="15">
        <v>0.14899999999999999</v>
      </c>
      <c r="AA39" s="169">
        <v>0.16900000000000001</v>
      </c>
      <c r="AB39" s="15">
        <v>0.17499999999999999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12974</v>
      </c>
      <c r="AG39" s="169">
        <f>IF(AG38-$AG$35 &gt;= 5.9%, AG38-$AG$35, 5.9%)</f>
        <v>5.9000000000000004E-2</v>
      </c>
      <c r="AI39" s="2"/>
      <c r="AJ39" s="2"/>
      <c r="AK39" s="57"/>
      <c r="AL39" s="47">
        <f>AL38-$AL$35</f>
        <v>12974</v>
      </c>
      <c r="AM39" s="169">
        <f>IF(AM38-$AM$35 &gt;= 5.9%, AM38-$AM$35, 5.9%)</f>
        <v>5.9000000000000004E-2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2"/>
        <v>0.155</v>
      </c>
      <c r="AS39" s="258">
        <f t="shared" si="18"/>
        <v>14930</v>
      </c>
      <c r="AT39" s="258">
        <f t="shared" si="19"/>
        <v>14930</v>
      </c>
      <c r="AU39" s="258">
        <f t="shared" si="20"/>
        <v>4192.4399999999996</v>
      </c>
      <c r="AV39" s="258">
        <f t="shared" si="21"/>
        <v>10737.560000000001</v>
      </c>
      <c r="AW39" s="258">
        <f t="shared" si="5"/>
        <v>0</v>
      </c>
      <c r="AX39" s="258">
        <v>0</v>
      </c>
      <c r="AY39" s="258">
        <f t="shared" si="22"/>
        <v>4192.4399999999996</v>
      </c>
      <c r="AZ39" s="258">
        <f t="shared" si="38"/>
        <v>0</v>
      </c>
      <c r="BA39" s="258">
        <f t="shared" si="35"/>
        <v>0</v>
      </c>
      <c r="BB39" s="258"/>
      <c r="BC39" s="258"/>
      <c r="BD39" s="258"/>
      <c r="BE39" s="258"/>
      <c r="BF39" s="258"/>
      <c r="BG39" s="258">
        <f t="shared" si="24"/>
        <v>318346.53999999992</v>
      </c>
      <c r="BH39" s="108">
        <f t="shared" si="31"/>
        <v>30</v>
      </c>
      <c r="BI39" s="108">
        <f t="shared" si="26"/>
        <v>30</v>
      </c>
      <c r="BJ39" s="22">
        <f t="shared" si="27"/>
        <v>45226</v>
      </c>
      <c r="BK39" s="108">
        <f t="shared" si="7"/>
        <v>13626</v>
      </c>
    </row>
    <row r="40" spans="1:1217" s="16" customFormat="1" ht="13.9" customHeight="1" x14ac:dyDescent="0.3">
      <c r="A40" s="910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3"/>
        <v>9.4999999999999973E-2</v>
      </c>
      <c r="J40" s="242">
        <f t="shared" si="9"/>
        <v>13626</v>
      </c>
      <c r="K40" s="242">
        <f t="shared" si="44"/>
        <v>13626</v>
      </c>
      <c r="L40" s="242">
        <f t="shared" si="34"/>
        <v>3006.44</v>
      </c>
      <c r="M40" s="242">
        <f t="shared" si="12"/>
        <v>10619.56</v>
      </c>
      <c r="N40" s="242">
        <f t="shared" si="2"/>
        <v>0</v>
      </c>
      <c r="O40" s="242">
        <v>0</v>
      </c>
      <c r="P40" s="242">
        <f t="shared" si="25"/>
        <v>3006.44</v>
      </c>
      <c r="Q40" s="242">
        <f t="shared" si="36"/>
        <v>0</v>
      </c>
      <c r="R40" s="242">
        <f t="shared" si="14"/>
        <v>0</v>
      </c>
      <c r="S40" s="242">
        <f t="shared" si="15"/>
        <v>361994.62999999989</v>
      </c>
      <c r="T40" s="467"/>
      <c r="U40" s="198">
        <f t="shared" si="29"/>
        <v>29</v>
      </c>
      <c r="V40" s="36">
        <f t="shared" si="16"/>
        <v>29</v>
      </c>
      <c r="W40" s="16">
        <f>INDEX('Для Прайм'!B2:D2,MATCH($C$10,'Для Прайм'!$B$1:$D$1,0))</f>
        <v>4571</v>
      </c>
      <c r="X40" s="16">
        <f>INDEX('Для Прайм'!B4:D4,MATCH($C$10,'Для Прайм'!$B$1:$D$1,0))</f>
        <v>5000</v>
      </c>
      <c r="Y40" s="16">
        <f>INDEX('Для Прайм'!B6:D6,MATCH($C$10,'Для Прайм'!$B$1:$D$1,0))</f>
        <v>5429</v>
      </c>
      <c r="Z40" s="16">
        <f>INDEX('Для Прайм'!B8:D8,MATCH($C$10,'Для Прайм'!$B$1:$D$1,0))</f>
        <v>7000</v>
      </c>
      <c r="AA40" s="16">
        <f>INDEX('Для Прайм'!B12:D12,MATCH($C$10,'Для Прайм'!$B$1:$D$1,0))</f>
        <v>6714</v>
      </c>
      <c r="AB40" s="16">
        <f>INDEX('Для Прайм'!B14:D14,MATCH($C$10,'Для Прайм'!$B$1:$D$1,0))</f>
        <v>6971</v>
      </c>
      <c r="AC40" s="16">
        <f>INDEX('Для Прайм'!B16:D16,MATCH($C$10,'Для Прайм'!$B$1:$D$1,0))</f>
        <v>7143</v>
      </c>
      <c r="AD40" s="16">
        <f>INDEX('Для Прайм'!B18:D18,MATCH($C$10,'Для Прайм'!$B$1:$D$1,0))</f>
        <v>7571</v>
      </c>
      <c r="AE40" s="16">
        <f>INDEX('Для Прайм'!B20:D20,MATCH($C$10,'Для Прайм'!$B$1:$D$1,0))</f>
        <v>8000</v>
      </c>
      <c r="AF40" s="47">
        <f t="shared" si="45"/>
        <v>12974</v>
      </c>
      <c r="AG40" s="169">
        <f>IF(AG39-$AG$35 &gt;= 5.9%, AG39-$AG$35, 5.9%)</f>
        <v>5.9000000000000004E-2</v>
      </c>
      <c r="AI40" s="2"/>
      <c r="AJ40" s="2"/>
      <c r="AK40" s="57"/>
      <c r="AL40" s="47">
        <f>IF(AM39-$AM$35&gt;=3.9%,AL39-$AL$35,AL39-$AL$35)</f>
        <v>12322</v>
      </c>
      <c r="AM40" s="169">
        <f>IF(AM39-$AM$35 &gt;= 5.9%, AM39-$AM$35, 5.9%)</f>
        <v>5.9000000000000004E-2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2"/>
        <v>0.155</v>
      </c>
      <c r="AS40" s="258">
        <f t="shared" si="18"/>
        <v>14930</v>
      </c>
      <c r="AT40" s="258">
        <f t="shared" si="19"/>
        <v>14930</v>
      </c>
      <c r="AU40" s="258">
        <f t="shared" si="20"/>
        <v>4190.84</v>
      </c>
      <c r="AV40" s="258">
        <f t="shared" si="21"/>
        <v>10739.16</v>
      </c>
      <c r="AW40" s="258">
        <f t="shared" si="5"/>
        <v>0</v>
      </c>
      <c r="AX40" s="258">
        <v>0</v>
      </c>
      <c r="AY40" s="258">
        <f t="shared" si="22"/>
        <v>4190.84</v>
      </c>
      <c r="AZ40" s="258">
        <f t="shared" si="38"/>
        <v>0</v>
      </c>
      <c r="BA40" s="258">
        <f t="shared" si="35"/>
        <v>0</v>
      </c>
      <c r="BB40" s="258"/>
      <c r="BC40" s="258"/>
      <c r="BD40" s="258"/>
      <c r="BE40" s="258"/>
      <c r="BF40" s="258"/>
      <c r="BG40" s="258">
        <f t="shared" si="24"/>
        <v>307607.37999999995</v>
      </c>
      <c r="BH40" s="108">
        <f t="shared" si="31"/>
        <v>29</v>
      </c>
      <c r="BI40" s="108">
        <f t="shared" si="26"/>
        <v>29</v>
      </c>
      <c r="BJ40" s="22">
        <f t="shared" si="27"/>
        <v>45257</v>
      </c>
      <c r="BK40" s="108">
        <f t="shared" si="7"/>
        <v>13626</v>
      </c>
    </row>
    <row r="41" spans="1:1217" s="16" customFormat="1" ht="19.5" customHeight="1" x14ac:dyDescent="0.3">
      <c r="A41" s="910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3"/>
        <v>9.4999999999999973E-2</v>
      </c>
      <c r="J41" s="242">
        <f t="shared" si="9"/>
        <v>13626</v>
      </c>
      <c r="K41" s="242">
        <f t="shared" si="44"/>
        <v>13626</v>
      </c>
      <c r="L41" s="242">
        <f t="shared" si="34"/>
        <v>2826.53</v>
      </c>
      <c r="M41" s="242">
        <f t="shared" si="12"/>
        <v>10799.47</v>
      </c>
      <c r="N41" s="242">
        <f t="shared" ref="N41:N72" si="46">IF(P41-Q41&gt;$C$24,$C$24-L41,IF(V41=0,0,R41)+$AI$51)</f>
        <v>0</v>
      </c>
      <c r="O41" s="242">
        <v>0</v>
      </c>
      <c r="P41" s="242">
        <f t="shared" si="25"/>
        <v>2826.53</v>
      </c>
      <c r="Q41" s="242">
        <f t="shared" si="36"/>
        <v>0</v>
      </c>
      <c r="R41" s="242">
        <f t="shared" si="14"/>
        <v>0</v>
      </c>
      <c r="S41" s="242">
        <f t="shared" si="15"/>
        <v>351195.15999999992</v>
      </c>
      <c r="T41" s="467"/>
      <c r="U41" s="198">
        <f t="shared" si="29"/>
        <v>28</v>
      </c>
      <c r="V41" s="36">
        <f t="shared" si="16"/>
        <v>28</v>
      </c>
      <c r="W41" s="16">
        <f>INDEX('Для Прайм'!B3:D3,MATCH($C$10,'Для Прайм'!$B$1:$D$1,0))</f>
        <v>133200</v>
      </c>
      <c r="X41" s="16">
        <f>INDEX('Для Прайм'!B5:D5,MATCH($C$10,'Для Прайм'!$B$1:$D$1,0))</f>
        <v>136300</v>
      </c>
      <c r="Y41" s="16">
        <f>INDEX('Для Прайм'!B7:D7,MATCH($C$10,'Для Прайм'!$B$1:$D$1,0))</f>
        <v>139300</v>
      </c>
      <c r="Z41" s="16">
        <f>INDEX('Для Прайм'!B9:D9,MATCH($C$10,'Для Прайм'!$B$1:$D$1,0))</f>
        <v>142500</v>
      </c>
      <c r="AA41" s="16">
        <f>INDEX('Для Прайм'!B13:D13,MATCH($C$10,'Для Прайм'!$B$1:$D$1,0))</f>
        <v>148800</v>
      </c>
      <c r="AB41" s="16">
        <f>INDEX('Для Прайм'!B15:D15,MATCH($C$10,'Для Прайм'!$B$1:$D$1,0))</f>
        <v>150800</v>
      </c>
      <c r="AC41" s="16">
        <f>INDEX('Для Прайм'!B17:D17,MATCH($C$10,'Для Прайм'!$B$1:$D$1,0))</f>
        <v>152100</v>
      </c>
      <c r="AD41" s="16">
        <f>INDEX('Для Прайм'!B19:D19,MATCH($C$10,'Для Прайм'!$B$1:$D$1,0))</f>
        <v>155400</v>
      </c>
      <c r="AE41" s="16">
        <f>INDEX('Для Прайм'!B21:D21,MATCH($C$10,'Для Прайм'!$B$1:$D$1,0))</f>
        <v>158700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2"/>
        <v>0.155</v>
      </c>
      <c r="AS41" s="258">
        <f t="shared" si="18"/>
        <v>14930</v>
      </c>
      <c r="AT41" s="258">
        <f t="shared" si="19"/>
        <v>14930</v>
      </c>
      <c r="AU41" s="258">
        <f t="shared" si="20"/>
        <v>3918.83</v>
      </c>
      <c r="AV41" s="258">
        <f t="shared" si="21"/>
        <v>11011.17</v>
      </c>
      <c r="AW41" s="258">
        <f t="shared" ref="AW41:AW72" si="47">IF(AY41-AZ41&gt;$D$24,$D$24-AU41,IF(BI41=0,0,BA41)+BX89)</f>
        <v>0</v>
      </c>
      <c r="AX41" s="258">
        <v>0</v>
      </c>
      <c r="AY41" s="258">
        <f t="shared" si="22"/>
        <v>3918.83</v>
      </c>
      <c r="AZ41" s="258">
        <f t="shared" si="38"/>
        <v>0</v>
      </c>
      <c r="BA41" s="258">
        <f t="shared" si="35"/>
        <v>0</v>
      </c>
      <c r="BB41" s="258"/>
      <c r="BC41" s="258"/>
      <c r="BD41" s="258"/>
      <c r="BE41" s="258"/>
      <c r="BF41" s="258"/>
      <c r="BG41" s="258">
        <f t="shared" si="24"/>
        <v>296596.20999999996</v>
      </c>
      <c r="BH41" s="108">
        <f t="shared" si="31"/>
        <v>28</v>
      </c>
      <c r="BI41" s="108">
        <f t="shared" si="26"/>
        <v>28</v>
      </c>
      <c r="BJ41" s="22">
        <f t="shared" si="27"/>
        <v>45287</v>
      </c>
      <c r="BK41" s="108">
        <f t="shared" si="7"/>
        <v>13626</v>
      </c>
    </row>
    <row r="42" spans="1:1217" s="16" customFormat="1" ht="45.75" customHeight="1" x14ac:dyDescent="0.3">
      <c r="A42" s="897" t="s">
        <v>313</v>
      </c>
      <c r="B42" s="793"/>
      <c r="C42" s="898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899"/>
      <c r="E42" s="900"/>
      <c r="F42" s="178"/>
      <c r="G42" s="244">
        <f t="shared" si="28"/>
        <v>34</v>
      </c>
      <c r="H42" s="245">
        <f t="shared" si="1"/>
        <v>45318</v>
      </c>
      <c r="I42" s="246">
        <f t="shared" si="43"/>
        <v>9.4999999999999973E-2</v>
      </c>
      <c r="J42" s="242">
        <f t="shared" si="9"/>
        <v>13626</v>
      </c>
      <c r="K42" s="242">
        <f t="shared" si="44"/>
        <v>13626</v>
      </c>
      <c r="L42" s="242">
        <f t="shared" si="34"/>
        <v>2826.87</v>
      </c>
      <c r="M42" s="242">
        <f t="shared" si="12"/>
        <v>10799.130000000001</v>
      </c>
      <c r="N42" s="242">
        <f t="shared" si="46"/>
        <v>0</v>
      </c>
      <c r="O42" s="242">
        <v>0</v>
      </c>
      <c r="P42" s="242">
        <f t="shared" si="25"/>
        <v>2826.87</v>
      </c>
      <c r="Q42" s="242">
        <f t="shared" si="36"/>
        <v>0</v>
      </c>
      <c r="R42" s="242">
        <f t="shared" si="14"/>
        <v>0</v>
      </c>
      <c r="S42" s="242">
        <f t="shared" si="15"/>
        <v>340396.02999999991</v>
      </c>
      <c r="T42" s="467"/>
      <c r="U42" s="198">
        <f t="shared" si="29"/>
        <v>27</v>
      </c>
      <c r="V42" s="36">
        <f t="shared" si="16"/>
        <v>27</v>
      </c>
      <c r="W42" s="2"/>
      <c r="X42" s="18">
        <f>K8</f>
        <v>-593750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2"/>
        <v>0.155</v>
      </c>
      <c r="AS42" s="258">
        <f t="shared" si="18"/>
        <v>14930</v>
      </c>
      <c r="AT42" s="258">
        <f t="shared" si="19"/>
        <v>14930</v>
      </c>
      <c r="AU42" s="258">
        <f t="shared" si="20"/>
        <v>3895.21</v>
      </c>
      <c r="AV42" s="258">
        <f t="shared" si="21"/>
        <v>11034.79</v>
      </c>
      <c r="AW42" s="258">
        <f t="shared" si="47"/>
        <v>0</v>
      </c>
      <c r="AX42" s="258">
        <v>0</v>
      </c>
      <c r="AY42" s="258">
        <f t="shared" si="22"/>
        <v>3895.21</v>
      </c>
      <c r="AZ42" s="258">
        <f t="shared" si="38"/>
        <v>0</v>
      </c>
      <c r="BA42" s="258">
        <f t="shared" si="35"/>
        <v>0</v>
      </c>
      <c r="BB42" s="258"/>
      <c r="BC42" s="258"/>
      <c r="BD42" s="258"/>
      <c r="BE42" s="258"/>
      <c r="BF42" s="258"/>
      <c r="BG42" s="258">
        <f t="shared" si="24"/>
        <v>285561.42</v>
      </c>
      <c r="BH42" s="108">
        <f t="shared" si="31"/>
        <v>27</v>
      </c>
      <c r="BI42" s="108">
        <f t="shared" si="26"/>
        <v>27</v>
      </c>
      <c r="BJ42" s="22">
        <f t="shared" si="27"/>
        <v>45318</v>
      </c>
      <c r="BK42" s="108">
        <f t="shared" si="7"/>
        <v>13626</v>
      </c>
    </row>
    <row r="43" spans="1:1217" s="16" customFormat="1" ht="14.25" x14ac:dyDescent="0.3">
      <c r="A43" s="895" t="s">
        <v>316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3"/>
        <v>9.4999999999999973E-2</v>
      </c>
      <c r="J43" s="242">
        <f t="shared" si="9"/>
        <v>13626</v>
      </c>
      <c r="K43" s="242">
        <f t="shared" si="44"/>
        <v>13626</v>
      </c>
      <c r="L43" s="242">
        <f t="shared" si="34"/>
        <v>2738.98</v>
      </c>
      <c r="M43" s="242">
        <f t="shared" si="12"/>
        <v>10887.02</v>
      </c>
      <c r="N43" s="242">
        <f t="shared" si="46"/>
        <v>0</v>
      </c>
      <c r="O43" s="242">
        <v>0</v>
      </c>
      <c r="P43" s="242">
        <f t="shared" si="25"/>
        <v>2738.98</v>
      </c>
      <c r="Q43" s="242">
        <f t="shared" si="36"/>
        <v>0</v>
      </c>
      <c r="R43" s="242">
        <f t="shared" si="14"/>
        <v>0</v>
      </c>
      <c r="S43" s="242">
        <f t="shared" si="15"/>
        <v>329509.00999999989</v>
      </c>
      <c r="T43" s="467"/>
      <c r="U43" s="198">
        <f t="shared" si="29"/>
        <v>26</v>
      </c>
      <c r="V43" s="36">
        <f t="shared" si="16"/>
        <v>26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2"/>
        <v>0.155</v>
      </c>
      <c r="AS43" s="258">
        <f t="shared" si="18"/>
        <v>14930</v>
      </c>
      <c r="AT43" s="258">
        <f t="shared" si="19"/>
        <v>14930</v>
      </c>
      <c r="AU43" s="258">
        <f t="shared" si="20"/>
        <v>3748.97</v>
      </c>
      <c r="AV43" s="258">
        <f t="shared" si="21"/>
        <v>11181.03</v>
      </c>
      <c r="AW43" s="258">
        <f t="shared" si="47"/>
        <v>0</v>
      </c>
      <c r="AX43" s="258">
        <v>0</v>
      </c>
      <c r="AY43" s="258">
        <f t="shared" si="22"/>
        <v>3748.97</v>
      </c>
      <c r="AZ43" s="258">
        <f t="shared" si="38"/>
        <v>0</v>
      </c>
      <c r="BA43" s="258">
        <f t="shared" si="35"/>
        <v>0</v>
      </c>
      <c r="BB43" s="258"/>
      <c r="BC43" s="258"/>
      <c r="BD43" s="258"/>
      <c r="BE43" s="258"/>
      <c r="BF43" s="258"/>
      <c r="BG43" s="258">
        <f t="shared" si="24"/>
        <v>274380.38999999996</v>
      </c>
      <c r="BH43" s="108">
        <f t="shared" si="31"/>
        <v>26</v>
      </c>
      <c r="BI43" s="108">
        <f t="shared" si="26"/>
        <v>26</v>
      </c>
      <c r="BJ43" s="22">
        <f t="shared" si="27"/>
        <v>45349</v>
      </c>
      <c r="BK43" s="108">
        <f t="shared" si="7"/>
        <v>13626</v>
      </c>
    </row>
    <row r="44" spans="1:1217" s="16" customFormat="1" ht="15.75" customHeight="1" thickBot="1" x14ac:dyDescent="0.35">
      <c r="A44" s="896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3"/>
        <v>9.4999999999999973E-2</v>
      </c>
      <c r="J44" s="252">
        <f t="shared" si="9"/>
        <v>13626</v>
      </c>
      <c r="K44" s="252">
        <f t="shared" si="44"/>
        <v>13626</v>
      </c>
      <c r="L44" s="252">
        <f t="shared" si="34"/>
        <v>2480.3200000000002</v>
      </c>
      <c r="M44" s="252">
        <f t="shared" si="12"/>
        <v>11145.68</v>
      </c>
      <c r="N44" s="252">
        <f t="shared" si="46"/>
        <v>0</v>
      </c>
      <c r="O44" s="252">
        <v>0</v>
      </c>
      <c r="P44" s="252">
        <f t="shared" si="25"/>
        <v>2480.3200000000002</v>
      </c>
      <c r="Q44" s="252">
        <f t="shared" si="36"/>
        <v>0</v>
      </c>
      <c r="R44" s="252">
        <f t="shared" si="14"/>
        <v>0</v>
      </c>
      <c r="S44" s="252">
        <f t="shared" si="15"/>
        <v>318363.3299999999</v>
      </c>
      <c r="T44" s="468"/>
      <c r="U44" s="198">
        <f t="shared" si="29"/>
        <v>25</v>
      </c>
      <c r="V44" s="36">
        <f t="shared" si="16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2"/>
        <v>0.155</v>
      </c>
      <c r="AS44" s="258">
        <f t="shared" si="18"/>
        <v>14930</v>
      </c>
      <c r="AT44" s="258">
        <f t="shared" si="19"/>
        <v>14930</v>
      </c>
      <c r="AU44" s="258">
        <f t="shared" si="20"/>
        <v>3369.78</v>
      </c>
      <c r="AV44" s="258">
        <f t="shared" si="21"/>
        <v>11560.22</v>
      </c>
      <c r="AW44" s="258">
        <f t="shared" si="47"/>
        <v>0</v>
      </c>
      <c r="AX44" s="258">
        <v>0</v>
      </c>
      <c r="AY44" s="258">
        <f t="shared" si="22"/>
        <v>3369.78</v>
      </c>
      <c r="AZ44" s="258">
        <f t="shared" si="38"/>
        <v>0</v>
      </c>
      <c r="BA44" s="258">
        <f t="shared" si="35"/>
        <v>0</v>
      </c>
      <c r="BB44" s="258"/>
      <c r="BC44" s="258"/>
      <c r="BD44" s="258"/>
      <c r="BE44" s="258"/>
      <c r="BF44" s="258"/>
      <c r="BG44" s="258">
        <f t="shared" si="24"/>
        <v>262820.17</v>
      </c>
      <c r="BH44" s="108">
        <f t="shared" si="31"/>
        <v>25</v>
      </c>
      <c r="BI44" s="108">
        <f t="shared" si="26"/>
        <v>25</v>
      </c>
      <c r="BJ44" s="22">
        <f t="shared" si="27"/>
        <v>45378</v>
      </c>
      <c r="BK44" s="108">
        <f t="shared" si="7"/>
        <v>13626</v>
      </c>
    </row>
    <row r="45" spans="1:1217" s="16" customFormat="1" ht="16.899999999999999" customHeight="1" x14ac:dyDescent="0.3">
      <c r="A45" s="896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5.9000000000000004E-2</v>
      </c>
      <c r="J45" s="242">
        <f t="shared" si="9"/>
        <v>12974</v>
      </c>
      <c r="K45" s="242">
        <f>IF(AND(G45&gt;=$W$9,G45&lt;=$W$9+5),$W$10,IF(AND(S44+N45+L45&gt;K44,K44&lt;&gt;0),IF(AND($C$16="Да",$C$8&lt;&gt;"Нет"),$AF$39,$C$24),IF(S44=0,0,S44+N45+L45+L46)))</f>
        <v>12974</v>
      </c>
      <c r="L45" s="242">
        <f t="shared" si="34"/>
        <v>1590.95</v>
      </c>
      <c r="M45" s="242">
        <f t="shared" si="12"/>
        <v>11383.05</v>
      </c>
      <c r="N45" s="242">
        <f t="shared" si="46"/>
        <v>0</v>
      </c>
      <c r="O45" s="242">
        <v>0</v>
      </c>
      <c r="P45" s="242">
        <f t="shared" si="25"/>
        <v>1590.95</v>
      </c>
      <c r="Q45" s="242">
        <f t="shared" si="36"/>
        <v>0</v>
      </c>
      <c r="R45" s="242">
        <f t="shared" si="14"/>
        <v>0</v>
      </c>
      <c r="S45" s="242">
        <f t="shared" si="15"/>
        <v>306980.27999999991</v>
      </c>
      <c r="T45" s="467"/>
      <c r="U45" s="198">
        <f t="shared" si="29"/>
        <v>24</v>
      </c>
      <c r="V45" s="36">
        <f t="shared" si="16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8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9">IF($D$16="Да",$AM$39,$D$13)</f>
        <v>0.155</v>
      </c>
      <c r="AS45" s="258">
        <f t="shared" si="18"/>
        <v>14930</v>
      </c>
      <c r="AT45" s="258">
        <f t="shared" si="19"/>
        <v>14930</v>
      </c>
      <c r="AU45" s="258">
        <f t="shared" si="20"/>
        <v>3450.41</v>
      </c>
      <c r="AV45" s="258">
        <f t="shared" si="21"/>
        <v>11479.59</v>
      </c>
      <c r="AW45" s="258">
        <f t="shared" si="47"/>
        <v>0</v>
      </c>
      <c r="AX45" s="258">
        <v>0</v>
      </c>
      <c r="AY45" s="258">
        <f t="shared" si="22"/>
        <v>3450.41</v>
      </c>
      <c r="AZ45" s="258">
        <f t="shared" si="38"/>
        <v>0</v>
      </c>
      <c r="BA45" s="258">
        <f t="shared" si="35"/>
        <v>0</v>
      </c>
      <c r="BB45" s="258"/>
      <c r="BC45" s="258"/>
      <c r="BD45" s="258"/>
      <c r="BE45" s="258"/>
      <c r="BF45" s="258"/>
      <c r="BG45" s="258">
        <f t="shared" si="24"/>
        <v>251340.58</v>
      </c>
      <c r="BH45" s="108">
        <f t="shared" si="31"/>
        <v>24</v>
      </c>
      <c r="BI45" s="108">
        <f t="shared" si="26"/>
        <v>24</v>
      </c>
      <c r="BJ45" s="22">
        <f t="shared" si="27"/>
        <v>45409</v>
      </c>
      <c r="BK45" s="108">
        <f t="shared" si="7"/>
        <v>12974</v>
      </c>
    </row>
    <row r="46" spans="1:1217" s="16" customFormat="1" ht="19.5" customHeight="1" x14ac:dyDescent="0.3">
      <c r="A46" s="896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50">IF(AND($C$16="Да",$C$8&lt;&gt;"Нет"),$AG$39,$C$13)</f>
        <v>5.9000000000000004E-2</v>
      </c>
      <c r="J46" s="242">
        <f t="shared" si="9"/>
        <v>12974</v>
      </c>
      <c r="K46" s="242">
        <f t="shared" ref="K46:K56" si="51">IF(AND(G46&gt;=$W$9,G46&lt;=$W$9+5),$W$10,IF(AND(S45+N46+L46&gt;K45,K45&lt;&gt;0),IF(AND($C$16="Да",$C$8&lt;&gt;"Нет"),$AF$39,$C$24),IF(S45=0,0,S45+N46+L46+L47)))</f>
        <v>12974</v>
      </c>
      <c r="L46" s="242">
        <f t="shared" si="34"/>
        <v>1484.58</v>
      </c>
      <c r="M46" s="242">
        <f t="shared" si="12"/>
        <v>11489.42</v>
      </c>
      <c r="N46" s="242">
        <f t="shared" si="46"/>
        <v>0</v>
      </c>
      <c r="O46" s="242">
        <v>0</v>
      </c>
      <c r="P46" s="242">
        <f t="shared" si="25"/>
        <v>1484.58</v>
      </c>
      <c r="Q46" s="242">
        <f t="shared" si="36"/>
        <v>0</v>
      </c>
      <c r="R46" s="242">
        <f t="shared" si="14"/>
        <v>0</v>
      </c>
      <c r="S46" s="242">
        <f t="shared" si="15"/>
        <v>295490.85999999993</v>
      </c>
      <c r="T46" s="467"/>
      <c r="U46" s="198">
        <f t="shared" si="29"/>
        <v>23</v>
      </c>
      <c r="V46" s="36">
        <f t="shared" si="16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2">IF(K11 &gt; 0, K11, 0)</f>
        <v>0</v>
      </c>
      <c r="Y46" s="57">
        <f t="shared" si="48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-593750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9"/>
        <v>0.155</v>
      </c>
      <c r="AS46" s="258">
        <f t="shared" si="18"/>
        <v>14930</v>
      </c>
      <c r="AT46" s="258">
        <f t="shared" si="19"/>
        <v>14930</v>
      </c>
      <c r="AU46" s="258">
        <f t="shared" si="20"/>
        <v>3193.26</v>
      </c>
      <c r="AV46" s="258">
        <f t="shared" si="21"/>
        <v>11736.74</v>
      </c>
      <c r="AW46" s="258">
        <f t="shared" si="47"/>
        <v>0</v>
      </c>
      <c r="AX46" s="258">
        <v>0</v>
      </c>
      <c r="AY46" s="258">
        <f t="shared" si="22"/>
        <v>3193.26</v>
      </c>
      <c r="AZ46" s="258">
        <f t="shared" si="38"/>
        <v>0</v>
      </c>
      <c r="BA46" s="258">
        <f t="shared" si="35"/>
        <v>0</v>
      </c>
      <c r="BB46" s="258"/>
      <c r="BC46" s="258"/>
      <c r="BD46" s="258"/>
      <c r="BE46" s="258"/>
      <c r="BF46" s="258"/>
      <c r="BG46" s="258">
        <f t="shared" si="24"/>
        <v>239603.84</v>
      </c>
      <c r="BH46" s="108">
        <f t="shared" si="31"/>
        <v>23</v>
      </c>
      <c r="BI46" s="108">
        <f t="shared" si="26"/>
        <v>23</v>
      </c>
      <c r="BJ46" s="22">
        <f t="shared" si="27"/>
        <v>45439</v>
      </c>
      <c r="BK46" s="108">
        <f t="shared" si="7"/>
        <v>12974</v>
      </c>
    </row>
    <row r="47" spans="1:1217" s="16" customFormat="1" ht="56.25" customHeight="1" x14ac:dyDescent="0.3">
      <c r="A47" s="897" t="s">
        <v>314</v>
      </c>
      <c r="B47" s="793"/>
      <c r="C47" s="898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899"/>
      <c r="E47" s="900"/>
      <c r="F47" s="178"/>
      <c r="G47" s="244">
        <f t="shared" si="28"/>
        <v>39</v>
      </c>
      <c r="H47" s="245">
        <f t="shared" si="1"/>
        <v>45470</v>
      </c>
      <c r="I47" s="246">
        <f t="shared" si="50"/>
        <v>5.9000000000000004E-2</v>
      </c>
      <c r="J47" s="242">
        <f t="shared" si="9"/>
        <v>12974</v>
      </c>
      <c r="K47" s="242">
        <f t="shared" si="51"/>
        <v>12974</v>
      </c>
      <c r="L47" s="242">
        <f t="shared" si="34"/>
        <v>1476.65</v>
      </c>
      <c r="M47" s="242">
        <f t="shared" si="12"/>
        <v>11497.35</v>
      </c>
      <c r="N47" s="242">
        <f t="shared" si="46"/>
        <v>0</v>
      </c>
      <c r="O47" s="242">
        <v>0</v>
      </c>
      <c r="P47" s="242">
        <f t="shared" si="25"/>
        <v>1476.65</v>
      </c>
      <c r="Q47" s="242">
        <f t="shared" si="36"/>
        <v>0</v>
      </c>
      <c r="R47" s="242">
        <f t="shared" si="14"/>
        <v>0</v>
      </c>
      <c r="S47" s="242">
        <f t="shared" si="15"/>
        <v>283993.50999999995</v>
      </c>
      <c r="T47" s="467"/>
      <c r="U47" s="198">
        <f t="shared" si="29"/>
        <v>22</v>
      </c>
      <c r="V47" s="36">
        <f t="shared" si="16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2"/>
        <v>0</v>
      </c>
      <c r="Y47" s="57">
        <f t="shared" si="48"/>
        <v>45745</v>
      </c>
      <c r="Z47" s="5" t="s">
        <v>42</v>
      </c>
      <c r="AA47" s="8"/>
      <c r="AB47" s="17">
        <f>AC51/C7</f>
        <v>0.67527873999999999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9"/>
        <v>0.155</v>
      </c>
      <c r="AS47" s="258">
        <f t="shared" si="18"/>
        <v>14930</v>
      </c>
      <c r="AT47" s="258">
        <f t="shared" si="19"/>
        <v>14930</v>
      </c>
      <c r="AU47" s="258">
        <f t="shared" si="20"/>
        <v>3145.62</v>
      </c>
      <c r="AV47" s="258">
        <f t="shared" si="21"/>
        <v>11784.380000000001</v>
      </c>
      <c r="AW47" s="258">
        <f t="shared" si="47"/>
        <v>0</v>
      </c>
      <c r="AX47" s="258">
        <v>0</v>
      </c>
      <c r="AY47" s="258">
        <f t="shared" si="22"/>
        <v>3145.62</v>
      </c>
      <c r="AZ47" s="258">
        <f t="shared" si="38"/>
        <v>0</v>
      </c>
      <c r="BA47" s="258">
        <f t="shared" si="35"/>
        <v>0</v>
      </c>
      <c r="BB47" s="258"/>
      <c r="BC47" s="258"/>
      <c r="BD47" s="258"/>
      <c r="BE47" s="258"/>
      <c r="BF47" s="258"/>
      <c r="BG47" s="258">
        <f t="shared" si="24"/>
        <v>227819.46</v>
      </c>
      <c r="BH47" s="108">
        <f t="shared" si="31"/>
        <v>22</v>
      </c>
      <c r="BI47" s="108">
        <f t="shared" si="26"/>
        <v>22</v>
      </c>
      <c r="BJ47" s="22">
        <f t="shared" si="27"/>
        <v>45470</v>
      </c>
      <c r="BK47" s="108">
        <f t="shared" si="7"/>
        <v>12974</v>
      </c>
    </row>
    <row r="48" spans="1:1217" s="16" customFormat="1" ht="18.75" customHeight="1" x14ac:dyDescent="0.3">
      <c r="A48" s="901" t="s">
        <v>301</v>
      </c>
      <c r="B48" s="901"/>
      <c r="C48" s="901"/>
      <c r="D48" s="901"/>
      <c r="E48" s="901"/>
      <c r="F48" s="178"/>
      <c r="G48" s="244">
        <f t="shared" si="28"/>
        <v>40</v>
      </c>
      <c r="H48" s="245">
        <f t="shared" si="1"/>
        <v>45500</v>
      </c>
      <c r="I48" s="246">
        <f t="shared" si="50"/>
        <v>5.9000000000000004E-2</v>
      </c>
      <c r="J48" s="242">
        <f t="shared" si="9"/>
        <v>12974</v>
      </c>
      <c r="K48" s="242">
        <f t="shared" si="51"/>
        <v>12974</v>
      </c>
      <c r="L48" s="242">
        <f t="shared" si="34"/>
        <v>1373.41</v>
      </c>
      <c r="M48" s="242">
        <f t="shared" si="12"/>
        <v>11600.59</v>
      </c>
      <c r="N48" s="242">
        <f t="shared" si="46"/>
        <v>0</v>
      </c>
      <c r="O48" s="242">
        <v>0</v>
      </c>
      <c r="P48" s="242">
        <f t="shared" si="25"/>
        <v>1373.41</v>
      </c>
      <c r="Q48" s="242">
        <f t="shared" si="36"/>
        <v>0</v>
      </c>
      <c r="R48" s="242">
        <f t="shared" si="14"/>
        <v>0</v>
      </c>
      <c r="S48" s="242">
        <f t="shared" si="15"/>
        <v>272392.91999999993</v>
      </c>
      <c r="T48" s="467"/>
      <c r="U48" s="198">
        <f t="shared" si="29"/>
        <v>21</v>
      </c>
      <c r="V48" s="36">
        <f t="shared" si="16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2"/>
        <v>0</v>
      </c>
      <c r="Y48" s="57">
        <f t="shared" si="48"/>
        <v>46110</v>
      </c>
      <c r="Z48" s="5"/>
      <c r="AA48" s="8"/>
      <c r="AB48" s="17">
        <f>IF(C8=AC59,AC65,IF(C8=AD59,AD65,IF(C8=AF59,AF65,IF(C8=AG59,AG65,IF(C8=AE59,AE65,IF(C8=AH59,AH65,IF(C8=AI59,AI65,IF(C8=AJ59,AJ65,Y23))))))))</f>
        <v>2.5000000000000001E-3</v>
      </c>
      <c r="AC48" s="39">
        <f>C7*(1-AC47)</f>
        <v>500000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14930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9"/>
        <v>0.155</v>
      </c>
      <c r="AS48" s="258">
        <f t="shared" si="18"/>
        <v>14930</v>
      </c>
      <c r="AT48" s="258">
        <f t="shared" si="19"/>
        <v>14930</v>
      </c>
      <c r="AU48" s="258">
        <f t="shared" si="20"/>
        <v>2894.43</v>
      </c>
      <c r="AV48" s="258">
        <f t="shared" si="21"/>
        <v>12035.57</v>
      </c>
      <c r="AW48" s="258">
        <f t="shared" si="47"/>
        <v>0</v>
      </c>
      <c r="AX48" s="258">
        <v>0</v>
      </c>
      <c r="AY48" s="258">
        <f t="shared" si="22"/>
        <v>2894.43</v>
      </c>
      <c r="AZ48" s="258">
        <f t="shared" si="38"/>
        <v>0</v>
      </c>
      <c r="BA48" s="258">
        <f t="shared" si="35"/>
        <v>0</v>
      </c>
      <c r="BB48" s="258"/>
      <c r="BC48" s="258"/>
      <c r="BD48" s="258"/>
      <c r="BE48" s="258"/>
      <c r="BF48" s="258"/>
      <c r="BG48" s="258">
        <f t="shared" si="24"/>
        <v>215783.88999999998</v>
      </c>
      <c r="BH48" s="108">
        <f t="shared" si="31"/>
        <v>21</v>
      </c>
      <c r="BI48" s="108">
        <f t="shared" si="26"/>
        <v>21</v>
      </c>
      <c r="BJ48" s="22">
        <f t="shared" si="27"/>
        <v>45500</v>
      </c>
      <c r="BK48" s="108">
        <f t="shared" si="7"/>
        <v>12974</v>
      </c>
    </row>
    <row r="49" spans="1:64" s="16" customFormat="1" ht="55.15" customHeight="1" x14ac:dyDescent="0.25">
      <c r="A49" s="902" t="s">
        <v>308</v>
      </c>
      <c r="B49" s="903"/>
      <c r="C49" s="904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53485 рублей</v>
      </c>
      <c r="D49" s="905"/>
      <c r="E49" s="906"/>
      <c r="F49" s="180"/>
      <c r="G49" s="244">
        <f t="shared" si="28"/>
        <v>41</v>
      </c>
      <c r="H49" s="245">
        <f t="shared" si="1"/>
        <v>45531</v>
      </c>
      <c r="I49" s="246">
        <f t="shared" si="50"/>
        <v>5.9000000000000004E-2</v>
      </c>
      <c r="J49" s="242">
        <f t="shared" si="9"/>
        <v>12974</v>
      </c>
      <c r="K49" s="242">
        <f t="shared" si="51"/>
        <v>12974</v>
      </c>
      <c r="L49" s="242">
        <f t="shared" si="34"/>
        <v>1361.22</v>
      </c>
      <c r="M49" s="242">
        <f t="shared" si="12"/>
        <v>11612.78</v>
      </c>
      <c r="N49" s="242">
        <f t="shared" si="46"/>
        <v>0</v>
      </c>
      <c r="O49" s="242">
        <v>0</v>
      </c>
      <c r="P49" s="242">
        <f t="shared" si="25"/>
        <v>1361.22</v>
      </c>
      <c r="Q49" s="242">
        <f t="shared" si="36"/>
        <v>0</v>
      </c>
      <c r="R49" s="242">
        <f t="shared" si="14"/>
        <v>0</v>
      </c>
      <c r="S49" s="242">
        <f t="shared" si="15"/>
        <v>260780.13999999993</v>
      </c>
      <c r="T49" s="467"/>
      <c r="U49" s="198">
        <f t="shared" si="29"/>
        <v>20</v>
      </c>
      <c r="V49" s="36">
        <f t="shared" si="16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2"/>
        <v>0</v>
      </c>
      <c r="Y49" s="57">
        <f t="shared" si="48"/>
        <v>46475</v>
      </c>
      <c r="Z49" s="2"/>
      <c r="AA49" s="2"/>
      <c r="AB49" s="15">
        <f>IF(D8=AC59,AC65,IF(D8=AD59,AD65,IF(D8=AF59,AF65,IF(D8=AG59,AG65,IF(D8=AE59,AE65,IF(D8=AH59,AH65,IF(D8=AI59,AI65,Y23)))))))</f>
        <v>2.5000000000000001E-3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14920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14930</v>
      </c>
      <c r="AN49" s="57">
        <f t="shared" ref="AN49:AN112" si="53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9"/>
        <v>0.155</v>
      </c>
      <c r="AS49" s="258">
        <f t="shared" si="18"/>
        <v>14930</v>
      </c>
      <c r="AT49" s="258">
        <f t="shared" si="19"/>
        <v>14930</v>
      </c>
      <c r="AU49" s="258">
        <f t="shared" si="20"/>
        <v>2832.9</v>
      </c>
      <c r="AV49" s="258">
        <f t="shared" si="21"/>
        <v>12097.1</v>
      </c>
      <c r="AW49" s="258">
        <f t="shared" si="47"/>
        <v>0</v>
      </c>
      <c r="AX49" s="258">
        <v>0</v>
      </c>
      <c r="AY49" s="258">
        <f t="shared" si="22"/>
        <v>2832.9</v>
      </c>
      <c r="AZ49" s="258">
        <f t="shared" si="38"/>
        <v>0</v>
      </c>
      <c r="BA49" s="258">
        <f t="shared" si="35"/>
        <v>0</v>
      </c>
      <c r="BB49" s="258"/>
      <c r="BC49" s="258"/>
      <c r="BD49" s="258"/>
      <c r="BE49" s="258"/>
      <c r="BF49" s="258"/>
      <c r="BG49" s="258">
        <f t="shared" si="24"/>
        <v>203686.78999999998</v>
      </c>
      <c r="BH49" s="108">
        <f t="shared" si="31"/>
        <v>20</v>
      </c>
      <c r="BI49" s="108">
        <f t="shared" si="26"/>
        <v>20</v>
      </c>
      <c r="BJ49" s="22">
        <f t="shared" si="27"/>
        <v>45531</v>
      </c>
      <c r="BK49" s="108">
        <f t="shared" si="7"/>
        <v>12974</v>
      </c>
    </row>
    <row r="50" spans="1:64" s="16" customFormat="1" ht="55.5" customHeight="1" thickBot="1" x14ac:dyDescent="0.3">
      <c r="A50" s="790" t="s">
        <v>175</v>
      </c>
      <c r="B50" s="790"/>
      <c r="C50" s="790"/>
      <c r="D50" s="790"/>
      <c r="E50" s="790"/>
      <c r="F50" s="180"/>
      <c r="G50" s="244">
        <f t="shared" si="28"/>
        <v>42</v>
      </c>
      <c r="H50" s="245">
        <f t="shared" si="1"/>
        <v>45562</v>
      </c>
      <c r="I50" s="246">
        <f t="shared" si="50"/>
        <v>5.9000000000000004E-2</v>
      </c>
      <c r="J50" s="242">
        <f t="shared" si="9"/>
        <v>12974</v>
      </c>
      <c r="K50" s="242">
        <f t="shared" si="51"/>
        <v>12974</v>
      </c>
      <c r="L50" s="242">
        <f t="shared" si="34"/>
        <v>1303.19</v>
      </c>
      <c r="M50" s="242">
        <f t="shared" si="12"/>
        <v>11670.81</v>
      </c>
      <c r="N50" s="242">
        <f t="shared" si="46"/>
        <v>0</v>
      </c>
      <c r="O50" s="242">
        <v>0</v>
      </c>
      <c r="P50" s="242">
        <f t="shared" si="25"/>
        <v>1303.19</v>
      </c>
      <c r="Q50" s="242">
        <f t="shared" si="36"/>
        <v>0</v>
      </c>
      <c r="R50" s="242">
        <f t="shared" si="14"/>
        <v>0</v>
      </c>
      <c r="S50" s="242">
        <f t="shared" si="15"/>
        <v>249109.32999999993</v>
      </c>
      <c r="T50" s="467"/>
      <c r="U50" s="198">
        <f t="shared" si="29"/>
        <v>19</v>
      </c>
      <c r="V50" s="36">
        <f t="shared" si="16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2"/>
        <v>14930</v>
      </c>
      <c r="Y50" s="57">
        <f t="shared" si="48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4">AT11</f>
        <v>14930</v>
      </c>
      <c r="AN50" s="57">
        <f t="shared" si="53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9"/>
        <v>0.155</v>
      </c>
      <c r="AS50" s="258">
        <f t="shared" si="18"/>
        <v>14930</v>
      </c>
      <c r="AT50" s="258">
        <f t="shared" si="19"/>
        <v>14930</v>
      </c>
      <c r="AU50" s="258">
        <f t="shared" si="20"/>
        <v>2674.08</v>
      </c>
      <c r="AV50" s="258">
        <f t="shared" si="21"/>
        <v>12255.92</v>
      </c>
      <c r="AW50" s="258">
        <f t="shared" si="47"/>
        <v>0</v>
      </c>
      <c r="AX50" s="258">
        <v>0</v>
      </c>
      <c r="AY50" s="258">
        <f t="shared" si="22"/>
        <v>2674.08</v>
      </c>
      <c r="AZ50" s="258">
        <f t="shared" si="38"/>
        <v>0</v>
      </c>
      <c r="BA50" s="258">
        <f t="shared" si="35"/>
        <v>0</v>
      </c>
      <c r="BB50" s="258"/>
      <c r="BC50" s="258"/>
      <c r="BD50" s="258"/>
      <c r="BE50" s="258"/>
      <c r="BF50" s="258"/>
      <c r="BG50" s="258">
        <f t="shared" si="24"/>
        <v>191430.86999999997</v>
      </c>
      <c r="BH50" s="108">
        <f t="shared" si="31"/>
        <v>19</v>
      </c>
      <c r="BI50" s="108">
        <f t="shared" si="26"/>
        <v>19</v>
      </c>
      <c r="BJ50" s="22">
        <f t="shared" si="27"/>
        <v>45562</v>
      </c>
      <c r="BK50" s="108">
        <f t="shared" si="7"/>
        <v>12974</v>
      </c>
    </row>
    <row r="51" spans="1:64" s="16" customFormat="1" ht="19.5" customHeight="1" x14ac:dyDescent="0.3">
      <c r="A51" s="792" t="s">
        <v>186</v>
      </c>
      <c r="B51" s="213" t="s">
        <v>180</v>
      </c>
      <c r="C51" s="191">
        <f>C33/($C$10/12)</f>
        <v>42560.953999999991</v>
      </c>
      <c r="D51" s="191">
        <f>D33/($C$10/12)</f>
        <v>48777.873999999982</v>
      </c>
      <c r="E51" s="191">
        <f>C51-D51</f>
        <v>-6216.919999999991</v>
      </c>
      <c r="F51" s="178"/>
      <c r="G51" s="244">
        <f t="shared" si="28"/>
        <v>43</v>
      </c>
      <c r="H51" s="245">
        <f t="shared" si="1"/>
        <v>45592</v>
      </c>
      <c r="I51" s="246">
        <f t="shared" si="50"/>
        <v>5.9000000000000004E-2</v>
      </c>
      <c r="J51" s="242">
        <f t="shared" si="9"/>
        <v>12974</v>
      </c>
      <c r="K51" s="242">
        <f t="shared" si="51"/>
        <v>12974</v>
      </c>
      <c r="L51" s="242">
        <f t="shared" si="34"/>
        <v>1204.71</v>
      </c>
      <c r="M51" s="242">
        <f t="shared" si="12"/>
        <v>11769.29</v>
      </c>
      <c r="N51" s="242">
        <f t="shared" si="46"/>
        <v>0</v>
      </c>
      <c r="O51" s="242">
        <v>0</v>
      </c>
      <c r="P51" s="242">
        <f t="shared" si="25"/>
        <v>1204.71</v>
      </c>
      <c r="Q51" s="242">
        <f t="shared" si="36"/>
        <v>0</v>
      </c>
      <c r="R51" s="242">
        <f t="shared" si="14"/>
        <v>0</v>
      </c>
      <c r="S51" s="242">
        <f t="shared" si="15"/>
        <v>237340.03999999992</v>
      </c>
      <c r="T51" s="467"/>
      <c r="U51" s="198">
        <f t="shared" si="29"/>
        <v>18</v>
      </c>
      <c r="V51" s="36">
        <f t="shared" si="16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2"/>
        <v>14930</v>
      </c>
      <c r="Y51" s="57">
        <f t="shared" si="48"/>
        <v>47205</v>
      </c>
      <c r="Z51" s="11" t="s">
        <v>18</v>
      </c>
      <c r="AA51" s="11"/>
      <c r="AB51" s="11"/>
      <c r="AC51" s="42">
        <f>(D32-C7)</f>
        <v>337639.37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4"/>
        <v>14930</v>
      </c>
      <c r="AN51" s="57">
        <f t="shared" si="53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9"/>
        <v>0.155</v>
      </c>
      <c r="AS51" s="258">
        <f t="shared" si="18"/>
        <v>14930</v>
      </c>
      <c r="AT51" s="258">
        <f t="shared" si="19"/>
        <v>14930</v>
      </c>
      <c r="AU51" s="258">
        <f t="shared" si="20"/>
        <v>2432.11</v>
      </c>
      <c r="AV51" s="258">
        <f t="shared" si="21"/>
        <v>12497.89</v>
      </c>
      <c r="AW51" s="258">
        <f t="shared" si="47"/>
        <v>0</v>
      </c>
      <c r="AX51" s="258">
        <v>0</v>
      </c>
      <c r="AY51" s="258">
        <f t="shared" si="22"/>
        <v>2432.11</v>
      </c>
      <c r="AZ51" s="258">
        <f t="shared" si="38"/>
        <v>0</v>
      </c>
      <c r="BA51" s="258">
        <f t="shared" si="35"/>
        <v>0</v>
      </c>
      <c r="BB51" s="258"/>
      <c r="BC51" s="258"/>
      <c r="BD51" s="258"/>
      <c r="BE51" s="258"/>
      <c r="BF51" s="258"/>
      <c r="BG51" s="258">
        <f t="shared" si="24"/>
        <v>178932.97999999998</v>
      </c>
      <c r="BH51" s="108">
        <f t="shared" si="31"/>
        <v>18</v>
      </c>
      <c r="BI51" s="108">
        <f t="shared" si="26"/>
        <v>18</v>
      </c>
      <c r="BJ51" s="22">
        <f t="shared" si="27"/>
        <v>45592</v>
      </c>
      <c r="BK51" s="108">
        <f t="shared" si="7"/>
        <v>12974</v>
      </c>
    </row>
    <row r="52" spans="1:64" s="16" customFormat="1" ht="24" customHeight="1" x14ac:dyDescent="0.3">
      <c r="A52" s="792"/>
      <c r="B52" s="213" t="s">
        <v>181</v>
      </c>
      <c r="C52" s="201">
        <f>C51/C23</f>
        <v>7.1681606736842096E-2</v>
      </c>
      <c r="D52" s="201">
        <f>D51/D23</f>
        <v>8.2152208842105237E-2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50"/>
        <v>5.9000000000000004E-2</v>
      </c>
      <c r="J52" s="242">
        <f t="shared" si="9"/>
        <v>12974</v>
      </c>
      <c r="K52" s="242">
        <f t="shared" si="51"/>
        <v>12974</v>
      </c>
      <c r="L52" s="242">
        <f t="shared" si="34"/>
        <v>1186.05</v>
      </c>
      <c r="M52" s="242">
        <f t="shared" si="12"/>
        <v>11787.95</v>
      </c>
      <c r="N52" s="242">
        <f t="shared" si="46"/>
        <v>0</v>
      </c>
      <c r="O52" s="242">
        <v>0</v>
      </c>
      <c r="P52" s="242">
        <f t="shared" si="25"/>
        <v>1186.05</v>
      </c>
      <c r="Q52" s="242">
        <f t="shared" si="36"/>
        <v>0</v>
      </c>
      <c r="R52" s="242">
        <f t="shared" si="14"/>
        <v>0</v>
      </c>
      <c r="S52" s="242">
        <f t="shared" si="15"/>
        <v>225552.08999999991</v>
      </c>
      <c r="T52" s="467"/>
      <c r="U52" s="198">
        <f t="shared" si="29"/>
        <v>17</v>
      </c>
      <c r="V52" s="36">
        <f t="shared" si="16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2"/>
        <v>14930</v>
      </c>
      <c r="Y52" s="57">
        <f t="shared" si="48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4"/>
        <v>14930</v>
      </c>
      <c r="AN52" s="57">
        <f t="shared" si="53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9"/>
        <v>0.155</v>
      </c>
      <c r="AS52" s="258">
        <f t="shared" si="18"/>
        <v>14930</v>
      </c>
      <c r="AT52" s="258">
        <f t="shared" si="19"/>
        <v>14930</v>
      </c>
      <c r="AU52" s="258">
        <f t="shared" si="20"/>
        <v>2349.11</v>
      </c>
      <c r="AV52" s="258">
        <f t="shared" si="21"/>
        <v>12580.89</v>
      </c>
      <c r="AW52" s="258">
        <f t="shared" si="47"/>
        <v>0</v>
      </c>
      <c r="AX52" s="258">
        <v>0</v>
      </c>
      <c r="AY52" s="258">
        <f t="shared" si="22"/>
        <v>2349.11</v>
      </c>
      <c r="AZ52" s="258">
        <f t="shared" si="38"/>
        <v>0</v>
      </c>
      <c r="BA52" s="258">
        <f t="shared" si="35"/>
        <v>0</v>
      </c>
      <c r="BB52" s="258"/>
      <c r="BC52" s="258"/>
      <c r="BD52" s="258"/>
      <c r="BE52" s="258"/>
      <c r="BF52" s="258"/>
      <c r="BG52" s="258">
        <f t="shared" si="24"/>
        <v>166352.08999999997</v>
      </c>
      <c r="BH52" s="108">
        <f t="shared" si="31"/>
        <v>17</v>
      </c>
      <c r="BI52" s="108">
        <f t="shared" si="26"/>
        <v>17</v>
      </c>
      <c r="BJ52" s="22">
        <f t="shared" si="27"/>
        <v>45623</v>
      </c>
      <c r="BK52" s="108">
        <f t="shared" si="7"/>
        <v>12974</v>
      </c>
    </row>
    <row r="53" spans="1:64" s="16" customFormat="1" ht="24" customHeight="1" x14ac:dyDescent="0.3">
      <c r="A53" s="763" t="s">
        <v>177</v>
      </c>
      <c r="B53" s="763"/>
      <c r="C53" s="190">
        <f>C51/12</f>
        <v>3546.7461666666659</v>
      </c>
      <c r="D53" s="191">
        <f>D51/12</f>
        <v>4064.8228333333318</v>
      </c>
      <c r="E53" s="191">
        <f>C53-D53</f>
        <v>-518.07666666666591</v>
      </c>
      <c r="F53" s="178"/>
      <c r="G53" s="244">
        <f t="shared" si="28"/>
        <v>45</v>
      </c>
      <c r="H53" s="245">
        <f t="shared" si="1"/>
        <v>45653</v>
      </c>
      <c r="I53" s="246">
        <f t="shared" si="50"/>
        <v>5.9000000000000004E-2</v>
      </c>
      <c r="J53" s="242">
        <f t="shared" si="9"/>
        <v>12974</v>
      </c>
      <c r="K53" s="242">
        <f t="shared" si="51"/>
        <v>12974</v>
      </c>
      <c r="L53" s="242">
        <f t="shared" si="34"/>
        <v>1090.78</v>
      </c>
      <c r="M53" s="242">
        <f t="shared" si="12"/>
        <v>11883.22</v>
      </c>
      <c r="N53" s="242">
        <f t="shared" si="46"/>
        <v>0</v>
      </c>
      <c r="O53" s="242">
        <v>0</v>
      </c>
      <c r="P53" s="242">
        <f t="shared" si="25"/>
        <v>1090.78</v>
      </c>
      <c r="Q53" s="242">
        <f t="shared" si="36"/>
        <v>0</v>
      </c>
      <c r="R53" s="242">
        <f t="shared" si="14"/>
        <v>0</v>
      </c>
      <c r="S53" s="242">
        <f t="shared" si="15"/>
        <v>213668.86999999991</v>
      </c>
      <c r="T53" s="467"/>
      <c r="U53" s="198">
        <f t="shared" si="29"/>
        <v>16</v>
      </c>
      <c r="V53" s="36">
        <f t="shared" si="16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2"/>
        <v>14930</v>
      </c>
      <c r="Y53" s="57">
        <f t="shared" si="48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4"/>
        <v>14930</v>
      </c>
      <c r="AN53" s="57">
        <f t="shared" si="53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9"/>
        <v>0.155</v>
      </c>
      <c r="AS53" s="258">
        <f t="shared" si="18"/>
        <v>14930</v>
      </c>
      <c r="AT53" s="258">
        <f t="shared" si="19"/>
        <v>14930</v>
      </c>
      <c r="AU53" s="258">
        <f t="shared" si="20"/>
        <v>2113.4899999999998</v>
      </c>
      <c r="AV53" s="258">
        <f t="shared" si="21"/>
        <v>12816.51</v>
      </c>
      <c r="AW53" s="258">
        <f t="shared" si="47"/>
        <v>0</v>
      </c>
      <c r="AX53" s="258">
        <v>0</v>
      </c>
      <c r="AY53" s="258">
        <f t="shared" si="22"/>
        <v>2113.4899999999998</v>
      </c>
      <c r="AZ53" s="258">
        <f t="shared" si="38"/>
        <v>0</v>
      </c>
      <c r="BA53" s="258">
        <f t="shared" si="35"/>
        <v>0</v>
      </c>
      <c r="BB53" s="258"/>
      <c r="BC53" s="258"/>
      <c r="BD53" s="258"/>
      <c r="BE53" s="258"/>
      <c r="BF53" s="258"/>
      <c r="BG53" s="258">
        <f t="shared" si="24"/>
        <v>153535.57999999996</v>
      </c>
      <c r="BH53" s="108">
        <f t="shared" si="31"/>
        <v>16</v>
      </c>
      <c r="BI53" s="108">
        <f t="shared" si="26"/>
        <v>16</v>
      </c>
      <c r="BJ53" s="22">
        <f t="shared" si="27"/>
        <v>45653</v>
      </c>
      <c r="BK53" s="108">
        <f t="shared" si="7"/>
        <v>12974</v>
      </c>
    </row>
    <row r="54" spans="1:64" s="16" customFormat="1" ht="24" customHeight="1" thickBot="1" x14ac:dyDescent="0.35">
      <c r="A54" s="789" t="s">
        <v>176</v>
      </c>
      <c r="B54" s="789"/>
      <c r="C54" s="203">
        <f>C53/30</f>
        <v>118.2248722222222</v>
      </c>
      <c r="D54" s="202">
        <f>D53/30</f>
        <v>135.49409444444439</v>
      </c>
      <c r="E54" s="202">
        <f>C54-D54</f>
        <v>-17.269222222222183</v>
      </c>
      <c r="F54" s="178"/>
      <c r="G54" s="244">
        <f t="shared" si="28"/>
        <v>46</v>
      </c>
      <c r="H54" s="245">
        <f t="shared" si="1"/>
        <v>45684</v>
      </c>
      <c r="I54" s="246">
        <f t="shared" si="50"/>
        <v>5.9000000000000004E-2</v>
      </c>
      <c r="J54" s="242">
        <f t="shared" si="9"/>
        <v>12974</v>
      </c>
      <c r="K54" s="242">
        <f t="shared" si="51"/>
        <v>12974</v>
      </c>
      <c r="L54" s="242">
        <f t="shared" si="34"/>
        <v>1070.31</v>
      </c>
      <c r="M54" s="242">
        <f t="shared" si="12"/>
        <v>11903.69</v>
      </c>
      <c r="N54" s="242">
        <f t="shared" si="46"/>
        <v>0</v>
      </c>
      <c r="O54" s="242">
        <v>0</v>
      </c>
      <c r="P54" s="242">
        <f t="shared" si="25"/>
        <v>1070.31</v>
      </c>
      <c r="Q54" s="242">
        <f t="shared" si="36"/>
        <v>0</v>
      </c>
      <c r="R54" s="242">
        <f t="shared" si="14"/>
        <v>0</v>
      </c>
      <c r="S54" s="242">
        <f t="shared" si="15"/>
        <v>201765.17999999991</v>
      </c>
      <c r="T54" s="467"/>
      <c r="U54" s="198">
        <f t="shared" si="29"/>
        <v>15</v>
      </c>
      <c r="V54" s="36">
        <f t="shared" si="16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2"/>
        <v>14930</v>
      </c>
      <c r="Y54" s="57">
        <f t="shared" si="48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14942.290962815445</v>
      </c>
      <c r="AF54" s="2"/>
      <c r="AG54" s="47">
        <f>(D23+AI51)*AE14/12*(1+AE14/12)^(C10)/((1+AE14/12)^(C10)-1)+D23/10000*IF(C10&lt;11,20,IF(C10&lt;20,2.5,IF(C10&lt;37,1.5,IF(C10&lt;60,0.7,0.5))))*IF(AE14&lt;0.3,AE14/0.2,AE14/0.1)</f>
        <v>14304.59001607666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4"/>
        <v>14930</v>
      </c>
      <c r="AN54" s="57">
        <f t="shared" si="53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9"/>
        <v>0.155</v>
      </c>
      <c r="AS54" s="258">
        <f t="shared" si="18"/>
        <v>14930</v>
      </c>
      <c r="AT54" s="258">
        <f t="shared" si="19"/>
        <v>14930</v>
      </c>
      <c r="AU54" s="258">
        <f t="shared" si="20"/>
        <v>2020.49</v>
      </c>
      <c r="AV54" s="258">
        <f t="shared" si="21"/>
        <v>12909.51</v>
      </c>
      <c r="AW54" s="258">
        <f t="shared" si="47"/>
        <v>0</v>
      </c>
      <c r="AX54" s="258">
        <v>0</v>
      </c>
      <c r="AY54" s="258">
        <f t="shared" si="22"/>
        <v>2020.49</v>
      </c>
      <c r="AZ54" s="258">
        <f t="shared" si="38"/>
        <v>0</v>
      </c>
      <c r="BA54" s="258">
        <f t="shared" si="35"/>
        <v>0</v>
      </c>
      <c r="BB54" s="258"/>
      <c r="BC54" s="258"/>
      <c r="BD54" s="258"/>
      <c r="BE54" s="258"/>
      <c r="BF54" s="258"/>
      <c r="BG54" s="258">
        <f t="shared" si="24"/>
        <v>140626.06999999995</v>
      </c>
      <c r="BH54" s="108">
        <f t="shared" si="31"/>
        <v>15</v>
      </c>
      <c r="BI54" s="108">
        <f t="shared" si="26"/>
        <v>15</v>
      </c>
      <c r="BJ54" s="22">
        <f t="shared" si="27"/>
        <v>45684</v>
      </c>
      <c r="BK54" s="108">
        <f t="shared" si="7"/>
        <v>12974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50"/>
        <v>5.9000000000000004E-2</v>
      </c>
      <c r="J55" s="242">
        <f t="shared" si="9"/>
        <v>12974</v>
      </c>
      <c r="K55" s="242">
        <f t="shared" si="51"/>
        <v>12974</v>
      </c>
      <c r="L55" s="242">
        <f t="shared" si="34"/>
        <v>1011.04</v>
      </c>
      <c r="M55" s="242">
        <f t="shared" si="12"/>
        <v>11962.96</v>
      </c>
      <c r="N55" s="242">
        <f t="shared" si="46"/>
        <v>0</v>
      </c>
      <c r="O55" s="242">
        <v>0</v>
      </c>
      <c r="P55" s="242">
        <f t="shared" si="25"/>
        <v>1011.04</v>
      </c>
      <c r="Q55" s="242">
        <f t="shared" si="36"/>
        <v>0</v>
      </c>
      <c r="R55" s="242">
        <f t="shared" si="14"/>
        <v>0</v>
      </c>
      <c r="S55" s="242">
        <f t="shared" si="15"/>
        <v>189802.21999999991</v>
      </c>
      <c r="T55" s="467"/>
      <c r="U55" s="198">
        <f t="shared" si="29"/>
        <v>14</v>
      </c>
      <c r="V55" s="36">
        <f t="shared" si="16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2"/>
        <v>14930</v>
      </c>
      <c r="Y55" s="57">
        <f t="shared" si="48"/>
        <v>48665</v>
      </c>
      <c r="AA55" s="170" t="s">
        <v>134</v>
      </c>
      <c r="AD55" s="47">
        <f>IF(DAY(C9)&lt;4,AE54,IF(DAY(C9)&gt;28,AE56,AE55))</f>
        <v>14916.314400315445</v>
      </c>
      <c r="AE55" s="47">
        <f>(C23+AI51)*AG36/12*(1+AG36/12)^(C10)/((1+AG36/12)^(C10)-1)+C23/10000*IF(C10&lt;11,20,IF(C10&lt;34,0.7,IF(C10&lt;58,0.3,0.1)))*IF(AG36&lt;0.3,AG36/0.2,AG36/0.1)</f>
        <v>14921.509712815445</v>
      </c>
      <c r="AF55" s="13">
        <f>IF(DAY(C9)&lt;4,AG54,IF(DAY(C9)&gt;28,AG56,AG55))</f>
        <v>14281.58220357666</v>
      </c>
      <c r="AG55" s="156">
        <f>(D23+AI51)*AE14/12*(1+AE14/12)^(C10)/((1+AE14/12)^(C10)-1)+D23/10000*IF(C10&lt;11,20,IF(C10&lt;34,0.7,IF(C10&lt;58,0.3,0.1)))*IF(AE14&lt;0.3,AE14/0.2,AE14/0.1)</f>
        <v>14286.18376607666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4"/>
        <v>14930</v>
      </c>
      <c r="AN55" s="57">
        <f t="shared" si="53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9"/>
        <v>0.155</v>
      </c>
      <c r="AS55" s="258">
        <f t="shared" si="18"/>
        <v>14930</v>
      </c>
      <c r="AT55" s="258">
        <f t="shared" si="19"/>
        <v>14930</v>
      </c>
      <c r="AU55" s="258">
        <f t="shared" si="20"/>
        <v>1851.26</v>
      </c>
      <c r="AV55" s="258">
        <f t="shared" si="21"/>
        <v>13078.74</v>
      </c>
      <c r="AW55" s="258">
        <f t="shared" si="47"/>
        <v>0</v>
      </c>
      <c r="AX55" s="258">
        <v>0</v>
      </c>
      <c r="AY55" s="258">
        <f t="shared" si="22"/>
        <v>1851.26</v>
      </c>
      <c r="AZ55" s="258">
        <f t="shared" si="38"/>
        <v>0</v>
      </c>
      <c r="BA55" s="258">
        <f t="shared" si="35"/>
        <v>0</v>
      </c>
      <c r="BB55" s="258"/>
      <c r="BC55" s="258"/>
      <c r="BD55" s="258"/>
      <c r="BE55" s="258"/>
      <c r="BF55" s="258"/>
      <c r="BG55" s="258">
        <f t="shared" si="24"/>
        <v>127547.32999999994</v>
      </c>
      <c r="BH55" s="108">
        <f t="shared" si="31"/>
        <v>14</v>
      </c>
      <c r="BI55" s="108">
        <f t="shared" si="26"/>
        <v>14</v>
      </c>
      <c r="BJ55" s="22">
        <f t="shared" si="27"/>
        <v>45715</v>
      </c>
      <c r="BK55" s="108">
        <f t="shared" si="7"/>
        <v>12974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50"/>
        <v>5.9000000000000004E-2</v>
      </c>
      <c r="J56" s="252">
        <f t="shared" si="9"/>
        <v>12974</v>
      </c>
      <c r="K56" s="252">
        <f t="shared" si="51"/>
        <v>12974</v>
      </c>
      <c r="L56" s="252">
        <f t="shared" si="34"/>
        <v>859.05</v>
      </c>
      <c r="M56" s="252">
        <f t="shared" si="12"/>
        <v>12114.95</v>
      </c>
      <c r="N56" s="252">
        <f t="shared" si="46"/>
        <v>0</v>
      </c>
      <c r="O56" s="252">
        <v>0</v>
      </c>
      <c r="P56" s="252">
        <f t="shared" si="25"/>
        <v>859.05</v>
      </c>
      <c r="Q56" s="252">
        <f t="shared" si="36"/>
        <v>0</v>
      </c>
      <c r="R56" s="252">
        <f t="shared" si="14"/>
        <v>0</v>
      </c>
      <c r="S56" s="252">
        <f t="shared" si="15"/>
        <v>177687.2699999999</v>
      </c>
      <c r="T56" s="468"/>
      <c r="U56" s="198">
        <f t="shared" si="29"/>
        <v>13</v>
      </c>
      <c r="V56" s="36">
        <f t="shared" si="16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2"/>
        <v>14278</v>
      </c>
      <c r="Y56" s="57">
        <f t="shared" si="48"/>
        <v>49030</v>
      </c>
      <c r="AA56" s="171">
        <v>20000</v>
      </c>
      <c r="AB56" s="133" t="s">
        <v>135</v>
      </c>
      <c r="AC56" s="118">
        <f>ROUNDUP(AD56/AG47,0)*AG47</f>
        <v>11590</v>
      </c>
      <c r="AD56" s="13">
        <f>(C23+AI51)*AC57/12*(1+AC57/12)^(C10+AD57)/((1+AC57/12)^(C10+AD57)-1)+10*C23/100000*IF(C10+AD57&lt;24,4,IF(C10+AD57&lt;36,3,IF(C10+AD57&lt;48,2,IF(C10+AD57&lt;60,1.5,1))))*AC57/0.2</f>
        <v>11583.296590213118</v>
      </c>
      <c r="AE56" s="47">
        <f>(C23+AI51)*AG36/12*(1+AG36/12)^(C10)/((1+AG36/12)^(C10)-1)+C23/10000*IF(C10&lt;11,20,IF(C10&lt;34,0.7,IF(C10&lt;48,0.3,0)))*IF(AG36&lt;0.3,AG36/0.2,AG36/0.1)</f>
        <v>14916.314400315445</v>
      </c>
      <c r="AF56" s="13">
        <f>(D23+AI51)*AF57/12*(1+AF57/12)^(C10+AD57)/((1+AF57/12)^(C10+AD57)-1)+10*D23/100000*IF(C10+AD57&lt;24,4,IF(C10+AD57&lt;36,3,IF(C10+AD57&lt;48,2,IF(C10+AD57&lt;60,1.5,1))))*AF57/0.2</f>
        <v>10873.594760093758</v>
      </c>
      <c r="AG56" s="157">
        <f>(D23+AI51)*AE14/12*(1+AE14/12)^(C10)/((1+AE14/12)^(C10)-1)+D23/10000*IF(C10&lt;11,20,IF(C10&lt;34,0.7,IF(C10&lt;48,0.3,0)))*IF(AE14&lt;0.3,AE14/0.2,AE14/0.1)</f>
        <v>14281.58220357666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4"/>
        <v>14930</v>
      </c>
      <c r="AN56" s="57">
        <f t="shared" si="53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9"/>
        <v>0.155</v>
      </c>
      <c r="AS56" s="258">
        <f t="shared" si="18"/>
        <v>14930</v>
      </c>
      <c r="AT56" s="258">
        <f t="shared" si="19"/>
        <v>14930</v>
      </c>
      <c r="AU56" s="258">
        <f t="shared" si="20"/>
        <v>1516.59</v>
      </c>
      <c r="AV56" s="258">
        <f t="shared" si="21"/>
        <v>13413.41</v>
      </c>
      <c r="AW56" s="258">
        <f t="shared" si="47"/>
        <v>0</v>
      </c>
      <c r="AX56" s="258">
        <v>0</v>
      </c>
      <c r="AY56" s="258">
        <f t="shared" si="22"/>
        <v>1516.59</v>
      </c>
      <c r="AZ56" s="258">
        <f t="shared" si="38"/>
        <v>0</v>
      </c>
      <c r="BA56" s="258">
        <f t="shared" si="35"/>
        <v>0</v>
      </c>
      <c r="BB56" s="258"/>
      <c r="BC56" s="258"/>
      <c r="BD56" s="258"/>
      <c r="BE56" s="258"/>
      <c r="BF56" s="258"/>
      <c r="BG56" s="258">
        <f t="shared" si="24"/>
        <v>114133.91999999994</v>
      </c>
      <c r="BH56" s="108">
        <f t="shared" si="31"/>
        <v>13</v>
      </c>
      <c r="BI56" s="108">
        <f t="shared" si="26"/>
        <v>13</v>
      </c>
      <c r="BJ56" s="22">
        <f t="shared" si="27"/>
        <v>45743</v>
      </c>
      <c r="BK56" s="108">
        <f t="shared" si="7"/>
        <v>12974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5.9000000000000004E-2</v>
      </c>
      <c r="J57" s="242">
        <f t="shared" si="9"/>
        <v>12974</v>
      </c>
      <c r="K57" s="242">
        <f>IF(AND(G57&gt;=$W$9,G57&lt;=$W$9+5),$W$10,IF(AND(S56+N57+L57&gt;K56,K56&lt;&gt;0),IF(AND($C$16="Да",$C$8&lt;&gt;"Нет"),$AF$40,$C$24),IF(S56=0,0,S56+N57+L57+L58)))</f>
        <v>12974</v>
      </c>
      <c r="L57" s="242">
        <f t="shared" si="34"/>
        <v>890.38</v>
      </c>
      <c r="M57" s="242">
        <f t="shared" si="12"/>
        <v>12083.62</v>
      </c>
      <c r="N57" s="242">
        <f t="shared" si="46"/>
        <v>0</v>
      </c>
      <c r="O57" s="242">
        <v>0</v>
      </c>
      <c r="P57" s="242">
        <f t="shared" si="25"/>
        <v>890.38</v>
      </c>
      <c r="Q57" s="242">
        <f t="shared" si="36"/>
        <v>0</v>
      </c>
      <c r="R57" s="242">
        <f t="shared" si="14"/>
        <v>0</v>
      </c>
      <c r="S57" s="242">
        <f t="shared" si="15"/>
        <v>165603.64999999991</v>
      </c>
      <c r="T57" s="467"/>
      <c r="U57" s="198">
        <f t="shared" si="29"/>
        <v>12</v>
      </c>
      <c r="V57" s="36">
        <f t="shared" si="16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2"/>
        <v>14278</v>
      </c>
      <c r="Y57" s="57">
        <f t="shared" si="48"/>
        <v>49395</v>
      </c>
      <c r="AA57" s="171">
        <v>200000</v>
      </c>
      <c r="AB57" s="171">
        <v>200000</v>
      </c>
      <c r="AC57" s="15">
        <f>IF(C9&gt;AH48,C11,C11+0.05)</f>
        <v>0.17499999999999999</v>
      </c>
      <c r="AD57" s="2">
        <f xml:space="preserve"> IF(C9&gt;AH48,36,24)</f>
        <v>36</v>
      </c>
      <c r="AE57" s="44">
        <f>(C23+AI51)*AG36/12*(1+AG36/12)^(C10)/((1+AG36/12)^(C10)-1)</f>
        <v>14916.314400315445</v>
      </c>
      <c r="AF57" s="15">
        <f>IF(C9&gt;AH48,D13,D13+0.05)</f>
        <v>0.155</v>
      </c>
      <c r="AG57" s="118">
        <f>(D23+AI51)*AE14/12*(1+AE14/12)^(C10)/((1+AE14/12)^(C10)-1)</f>
        <v>14281.58220357666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4"/>
        <v>14930</v>
      </c>
      <c r="AN57" s="57">
        <f t="shared" si="53"/>
        <v>47935</v>
      </c>
      <c r="AO57" s="130">
        <f t="shared" si="17"/>
        <v>1</v>
      </c>
      <c r="AP57" s="261">
        <f t="shared" si="30"/>
        <v>49</v>
      </c>
      <c r="AQ57" s="262">
        <f t="shared" si="3"/>
        <v>45774</v>
      </c>
      <c r="AR57" s="263">
        <f t="shared" ref="AR57:AR108" si="55">IF($D$16="Да",$AM$40,$D$13)</f>
        <v>0.155</v>
      </c>
      <c r="AS57" s="258">
        <f t="shared" si="18"/>
        <v>14930</v>
      </c>
      <c r="AT57" s="258">
        <f t="shared" si="19"/>
        <v>14930</v>
      </c>
      <c r="AU57" s="258">
        <f t="shared" si="20"/>
        <v>1502.5</v>
      </c>
      <c r="AV57" s="258">
        <f t="shared" si="21"/>
        <v>13427.5</v>
      </c>
      <c r="AW57" s="258">
        <f t="shared" si="47"/>
        <v>0</v>
      </c>
      <c r="AX57" s="258">
        <v>0</v>
      </c>
      <c r="AY57" s="258">
        <f t="shared" si="22"/>
        <v>1502.5</v>
      </c>
      <c r="AZ57" s="258">
        <f t="shared" si="38"/>
        <v>0</v>
      </c>
      <c r="BA57" s="258">
        <f t="shared" si="35"/>
        <v>0</v>
      </c>
      <c r="BB57" s="258"/>
      <c r="BC57" s="258"/>
      <c r="BD57" s="258"/>
      <c r="BE57" s="258"/>
      <c r="BF57" s="258"/>
      <c r="BG57" s="258">
        <f t="shared" si="24"/>
        <v>100706.41999999994</v>
      </c>
      <c r="BH57" s="108">
        <f t="shared" si="31"/>
        <v>12</v>
      </c>
      <c r="BI57" s="108">
        <f t="shared" si="26"/>
        <v>12</v>
      </c>
      <c r="BJ57" s="22">
        <f t="shared" si="27"/>
        <v>45774</v>
      </c>
      <c r="BK57" s="108">
        <f t="shared" si="7"/>
        <v>12974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6">IF(AND($C$16="Да",$C$8&lt;&gt;"Нет"),$AG$40,$C$13)</f>
        <v>5.9000000000000004E-2</v>
      </c>
      <c r="J58" s="242">
        <f t="shared" si="9"/>
        <v>12974</v>
      </c>
      <c r="K58" s="242">
        <f t="shared" ref="K58:K68" si="57">IF(AND(G58&gt;=$W$9,G58&lt;=$W$9+5),$W$10,IF(AND(S57+N58+L58&gt;K57,K57&lt;&gt;0),IF(AND($C$16="Да",$C$8&lt;&gt;"Нет"),$AF$40,$C$24),IF(S57=0,0,S57+N58+L58+L59)))</f>
        <v>12974</v>
      </c>
      <c r="L58" s="242">
        <f t="shared" si="34"/>
        <v>803.06</v>
      </c>
      <c r="M58" s="242">
        <f t="shared" si="12"/>
        <v>12170.94</v>
      </c>
      <c r="N58" s="242">
        <f t="shared" si="46"/>
        <v>0</v>
      </c>
      <c r="O58" s="242">
        <v>0</v>
      </c>
      <c r="P58" s="242">
        <f t="shared" si="25"/>
        <v>803.06</v>
      </c>
      <c r="Q58" s="242">
        <f t="shared" si="36"/>
        <v>0</v>
      </c>
      <c r="R58" s="242">
        <f t="shared" si="14"/>
        <v>0</v>
      </c>
      <c r="S58" s="242">
        <f t="shared" si="15"/>
        <v>153432.7099999999</v>
      </c>
      <c r="T58" s="467"/>
      <c r="U58" s="198">
        <f t="shared" si="29"/>
        <v>11</v>
      </c>
      <c r="V58" s="36">
        <f t="shared" si="16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2"/>
        <v>14278</v>
      </c>
      <c r="Y58" s="57">
        <f t="shared" si="48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4"/>
        <v>14930</v>
      </c>
      <c r="AN58" s="57">
        <f t="shared" si="53"/>
        <v>48300</v>
      </c>
      <c r="AO58" s="130">
        <f t="shared" si="17"/>
        <v>1</v>
      </c>
      <c r="AP58" s="261">
        <f t="shared" si="30"/>
        <v>50</v>
      </c>
      <c r="AQ58" s="262">
        <f t="shared" si="3"/>
        <v>45804</v>
      </c>
      <c r="AR58" s="263">
        <f t="shared" si="55"/>
        <v>0.155</v>
      </c>
      <c r="AS58" s="258">
        <f t="shared" si="18"/>
        <v>14930</v>
      </c>
      <c r="AT58" s="258">
        <f t="shared" si="19"/>
        <v>14930</v>
      </c>
      <c r="AU58" s="258">
        <f t="shared" si="20"/>
        <v>1282.97</v>
      </c>
      <c r="AV58" s="258">
        <f t="shared" si="21"/>
        <v>13647.03</v>
      </c>
      <c r="AW58" s="258">
        <f t="shared" si="47"/>
        <v>0</v>
      </c>
      <c r="AX58" s="258">
        <v>0</v>
      </c>
      <c r="AY58" s="258">
        <f t="shared" si="22"/>
        <v>1282.97</v>
      </c>
      <c r="AZ58" s="258">
        <f t="shared" si="38"/>
        <v>0</v>
      </c>
      <c r="BA58" s="258">
        <f t="shared" si="35"/>
        <v>0</v>
      </c>
      <c r="BB58" s="258"/>
      <c r="BC58" s="258"/>
      <c r="BD58" s="258"/>
      <c r="BE58" s="258"/>
      <c r="BF58" s="258"/>
      <c r="BG58" s="258">
        <f t="shared" si="24"/>
        <v>87059.389999999941</v>
      </c>
      <c r="BH58" s="108">
        <f t="shared" si="31"/>
        <v>11</v>
      </c>
      <c r="BI58" s="108">
        <f t="shared" si="26"/>
        <v>11</v>
      </c>
      <c r="BJ58" s="22">
        <f t="shared" si="27"/>
        <v>45804</v>
      </c>
      <c r="BK58" s="108">
        <f t="shared" si="7"/>
        <v>12974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6"/>
        <v>5.9000000000000004E-2</v>
      </c>
      <c r="J59" s="242">
        <f t="shared" si="9"/>
        <v>12974</v>
      </c>
      <c r="K59" s="242">
        <f t="shared" si="57"/>
        <v>12974</v>
      </c>
      <c r="L59" s="242">
        <f t="shared" si="34"/>
        <v>768.85</v>
      </c>
      <c r="M59" s="242">
        <f t="shared" si="12"/>
        <v>12205.15</v>
      </c>
      <c r="N59" s="242">
        <f t="shared" si="46"/>
        <v>0</v>
      </c>
      <c r="O59" s="242">
        <v>0</v>
      </c>
      <c r="P59" s="242">
        <f t="shared" si="25"/>
        <v>768.85</v>
      </c>
      <c r="Q59" s="242">
        <f t="shared" si="36"/>
        <v>0</v>
      </c>
      <c r="R59" s="242">
        <f t="shared" si="14"/>
        <v>0</v>
      </c>
      <c r="S59" s="242">
        <f t="shared" si="15"/>
        <v>141227.55999999991</v>
      </c>
      <c r="T59" s="467"/>
      <c r="U59" s="198">
        <f t="shared" si="29"/>
        <v>10</v>
      </c>
      <c r="V59" s="36">
        <f t="shared" si="16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2"/>
        <v>14278</v>
      </c>
      <c r="Y59" s="57">
        <f t="shared" si="48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4"/>
        <v>14930</v>
      </c>
      <c r="AN59" s="57">
        <f t="shared" si="53"/>
        <v>48665</v>
      </c>
      <c r="AO59" s="130">
        <f t="shared" si="17"/>
        <v>1</v>
      </c>
      <c r="AP59" s="261">
        <f t="shared" si="30"/>
        <v>51</v>
      </c>
      <c r="AQ59" s="262">
        <f t="shared" si="3"/>
        <v>45835</v>
      </c>
      <c r="AR59" s="263">
        <f t="shared" si="55"/>
        <v>0.155</v>
      </c>
      <c r="AS59" s="258">
        <f t="shared" si="18"/>
        <v>14930</v>
      </c>
      <c r="AT59" s="258">
        <f t="shared" si="19"/>
        <v>14930</v>
      </c>
      <c r="AU59" s="258">
        <f t="shared" si="20"/>
        <v>1146.08</v>
      </c>
      <c r="AV59" s="258">
        <f t="shared" si="21"/>
        <v>13783.92</v>
      </c>
      <c r="AW59" s="258">
        <f t="shared" si="47"/>
        <v>0</v>
      </c>
      <c r="AX59" s="258">
        <v>0</v>
      </c>
      <c r="AY59" s="258">
        <f t="shared" si="22"/>
        <v>1146.08</v>
      </c>
      <c r="AZ59" s="258">
        <f t="shared" si="38"/>
        <v>0</v>
      </c>
      <c r="BA59" s="258">
        <f t="shared" si="35"/>
        <v>0</v>
      </c>
      <c r="BB59" s="258"/>
      <c r="BC59" s="258"/>
      <c r="BD59" s="258"/>
      <c r="BE59" s="258"/>
      <c r="BF59" s="258"/>
      <c r="BG59" s="258">
        <f t="shared" si="24"/>
        <v>73275.469999999943</v>
      </c>
      <c r="BH59" s="108">
        <f t="shared" si="31"/>
        <v>10</v>
      </c>
      <c r="BI59" s="108">
        <f t="shared" si="26"/>
        <v>10</v>
      </c>
      <c r="BJ59" s="22">
        <f t="shared" si="27"/>
        <v>45835</v>
      </c>
      <c r="BK59" s="108">
        <f t="shared" si="7"/>
        <v>12974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6"/>
        <v>5.9000000000000004E-2</v>
      </c>
      <c r="J60" s="242">
        <f t="shared" si="9"/>
        <v>12974</v>
      </c>
      <c r="K60" s="242">
        <f t="shared" si="57"/>
        <v>12974</v>
      </c>
      <c r="L60" s="242">
        <f t="shared" si="34"/>
        <v>684.86</v>
      </c>
      <c r="M60" s="242">
        <f t="shared" si="12"/>
        <v>12289.14</v>
      </c>
      <c r="N60" s="242">
        <f t="shared" si="46"/>
        <v>0</v>
      </c>
      <c r="O60" s="242">
        <v>0</v>
      </c>
      <c r="P60" s="242">
        <f t="shared" si="25"/>
        <v>684.86</v>
      </c>
      <c r="Q60" s="242">
        <f t="shared" si="36"/>
        <v>0</v>
      </c>
      <c r="R60" s="242">
        <f t="shared" si="14"/>
        <v>0</v>
      </c>
      <c r="S60" s="242">
        <f t="shared" si="15"/>
        <v>128938.41999999991</v>
      </c>
      <c r="T60" s="467"/>
      <c r="U60" s="198">
        <f t="shared" si="29"/>
        <v>9</v>
      </c>
      <c r="V60" s="36">
        <f t="shared" si="16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2"/>
        <v>14278</v>
      </c>
      <c r="Y60" s="57">
        <f t="shared" si="48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4"/>
        <v>14930</v>
      </c>
      <c r="AN60" s="57">
        <f t="shared" si="53"/>
        <v>49030</v>
      </c>
      <c r="AO60" s="130">
        <f t="shared" si="17"/>
        <v>1</v>
      </c>
      <c r="AP60" s="261">
        <f t="shared" si="30"/>
        <v>52</v>
      </c>
      <c r="AQ60" s="262">
        <f t="shared" si="3"/>
        <v>45865</v>
      </c>
      <c r="AR60" s="263">
        <f t="shared" si="55"/>
        <v>0.155</v>
      </c>
      <c r="AS60" s="258">
        <f t="shared" si="18"/>
        <v>14930</v>
      </c>
      <c r="AT60" s="258">
        <f t="shared" si="19"/>
        <v>14930</v>
      </c>
      <c r="AU60" s="258">
        <f t="shared" si="20"/>
        <v>933.51</v>
      </c>
      <c r="AV60" s="258">
        <f t="shared" si="21"/>
        <v>13996.49</v>
      </c>
      <c r="AW60" s="258">
        <f t="shared" si="47"/>
        <v>0</v>
      </c>
      <c r="AX60" s="258">
        <v>0</v>
      </c>
      <c r="AY60" s="258">
        <f t="shared" si="22"/>
        <v>933.51</v>
      </c>
      <c r="AZ60" s="258">
        <f t="shared" si="38"/>
        <v>0</v>
      </c>
      <c r="BA60" s="258">
        <f t="shared" si="35"/>
        <v>0</v>
      </c>
      <c r="BB60" s="258"/>
      <c r="BC60" s="258"/>
      <c r="BD60" s="258"/>
      <c r="BE60" s="258"/>
      <c r="BF60" s="258"/>
      <c r="BG60" s="258">
        <f t="shared" si="24"/>
        <v>59278.979999999945</v>
      </c>
      <c r="BH60" s="108">
        <f t="shared" si="31"/>
        <v>9</v>
      </c>
      <c r="BI60" s="108">
        <f t="shared" si="26"/>
        <v>9</v>
      </c>
      <c r="BJ60" s="22">
        <f t="shared" si="27"/>
        <v>45865</v>
      </c>
      <c r="BK60" s="108">
        <f t="shared" si="7"/>
        <v>12974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6"/>
        <v>5.9000000000000004E-2</v>
      </c>
      <c r="J61" s="242">
        <f t="shared" si="9"/>
        <v>12974</v>
      </c>
      <c r="K61" s="242">
        <f t="shared" si="57"/>
        <v>12974</v>
      </c>
      <c r="L61" s="242">
        <f t="shared" si="34"/>
        <v>646.11</v>
      </c>
      <c r="M61" s="242">
        <f t="shared" si="12"/>
        <v>12327.89</v>
      </c>
      <c r="N61" s="242">
        <f t="shared" si="46"/>
        <v>0</v>
      </c>
      <c r="O61" s="242">
        <v>0</v>
      </c>
      <c r="P61" s="242">
        <f t="shared" si="25"/>
        <v>646.11</v>
      </c>
      <c r="Q61" s="242">
        <f t="shared" si="36"/>
        <v>0</v>
      </c>
      <c r="R61" s="242">
        <f t="shared" si="14"/>
        <v>0</v>
      </c>
      <c r="S61" s="242">
        <f t="shared" si="15"/>
        <v>116610.52999999991</v>
      </c>
      <c r="T61" s="467"/>
      <c r="U61" s="198">
        <f t="shared" si="29"/>
        <v>8</v>
      </c>
      <c r="V61" s="36">
        <f t="shared" si="16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2"/>
        <v>14278</v>
      </c>
      <c r="Y61" s="57">
        <f t="shared" si="48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4"/>
        <v>14930</v>
      </c>
      <c r="AN61" s="57">
        <f t="shared" si="53"/>
        <v>49395</v>
      </c>
      <c r="AO61" s="130">
        <f t="shared" si="17"/>
        <v>1</v>
      </c>
      <c r="AP61" s="261">
        <f t="shared" si="30"/>
        <v>53</v>
      </c>
      <c r="AQ61" s="262">
        <f t="shared" si="3"/>
        <v>45896</v>
      </c>
      <c r="AR61" s="263">
        <f t="shared" si="55"/>
        <v>0.155</v>
      </c>
      <c r="AS61" s="258">
        <f t="shared" si="18"/>
        <v>14930</v>
      </c>
      <c r="AT61" s="258">
        <f t="shared" si="19"/>
        <v>14930</v>
      </c>
      <c r="AU61" s="258">
        <f t="shared" si="20"/>
        <v>780.37</v>
      </c>
      <c r="AV61" s="258">
        <f t="shared" si="21"/>
        <v>14149.63</v>
      </c>
      <c r="AW61" s="258">
        <f t="shared" si="47"/>
        <v>0</v>
      </c>
      <c r="AX61" s="258">
        <v>0</v>
      </c>
      <c r="AY61" s="258">
        <f t="shared" si="22"/>
        <v>780.37</v>
      </c>
      <c r="AZ61" s="258">
        <f t="shared" si="38"/>
        <v>0</v>
      </c>
      <c r="BA61" s="258">
        <f t="shared" si="35"/>
        <v>0</v>
      </c>
      <c r="BB61" s="258"/>
      <c r="BC61" s="258"/>
      <c r="BD61" s="258"/>
      <c r="BE61" s="258"/>
      <c r="BF61" s="258"/>
      <c r="BG61" s="258">
        <f t="shared" si="24"/>
        <v>45129.349999999948</v>
      </c>
      <c r="BH61" s="108">
        <f t="shared" si="31"/>
        <v>8</v>
      </c>
      <c r="BI61" s="108">
        <f t="shared" si="26"/>
        <v>8</v>
      </c>
      <c r="BJ61" s="22">
        <f t="shared" si="27"/>
        <v>45896</v>
      </c>
      <c r="BK61" s="108">
        <f t="shared" si="7"/>
        <v>12974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6"/>
        <v>5.9000000000000004E-2</v>
      </c>
      <c r="J62" s="242">
        <f t="shared" si="9"/>
        <v>12974</v>
      </c>
      <c r="K62" s="242">
        <f t="shared" si="57"/>
        <v>12974</v>
      </c>
      <c r="L62" s="242">
        <f t="shared" si="34"/>
        <v>584.33000000000004</v>
      </c>
      <c r="M62" s="242">
        <f t="shared" si="12"/>
        <v>12389.67</v>
      </c>
      <c r="N62" s="242">
        <f t="shared" si="46"/>
        <v>0</v>
      </c>
      <c r="O62" s="242">
        <v>0</v>
      </c>
      <c r="P62" s="242">
        <f t="shared" si="25"/>
        <v>584.33000000000004</v>
      </c>
      <c r="Q62" s="242">
        <f t="shared" si="36"/>
        <v>0</v>
      </c>
      <c r="R62" s="242">
        <f t="shared" si="14"/>
        <v>0</v>
      </c>
      <c r="S62" s="242">
        <f t="shared" si="15"/>
        <v>104220.85999999991</v>
      </c>
      <c r="T62" s="467"/>
      <c r="U62" s="198">
        <f t="shared" si="29"/>
        <v>7</v>
      </c>
      <c r="V62" s="36">
        <f t="shared" si="16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2"/>
        <v>14278</v>
      </c>
      <c r="Y62" s="57">
        <f t="shared" si="48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4"/>
        <v>14930</v>
      </c>
      <c r="AN62" s="57">
        <f t="shared" si="53"/>
        <v>49760</v>
      </c>
      <c r="AO62" s="130">
        <f t="shared" si="17"/>
        <v>1</v>
      </c>
      <c r="AP62" s="261">
        <f t="shared" si="30"/>
        <v>54</v>
      </c>
      <c r="AQ62" s="262">
        <f t="shared" si="3"/>
        <v>45927</v>
      </c>
      <c r="AR62" s="263">
        <f t="shared" si="55"/>
        <v>0.155</v>
      </c>
      <c r="AS62" s="258">
        <f t="shared" si="18"/>
        <v>14930</v>
      </c>
      <c r="AT62" s="258">
        <f t="shared" si="19"/>
        <v>14930</v>
      </c>
      <c r="AU62" s="258">
        <f t="shared" si="20"/>
        <v>594.1</v>
      </c>
      <c r="AV62" s="258">
        <f t="shared" si="21"/>
        <v>14335.9</v>
      </c>
      <c r="AW62" s="258">
        <f t="shared" si="47"/>
        <v>0</v>
      </c>
      <c r="AX62" s="258">
        <v>0</v>
      </c>
      <c r="AY62" s="258">
        <f t="shared" si="22"/>
        <v>594.1</v>
      </c>
      <c r="AZ62" s="258">
        <f t="shared" si="38"/>
        <v>0</v>
      </c>
      <c r="BA62" s="258">
        <f t="shared" si="35"/>
        <v>0</v>
      </c>
      <c r="BB62" s="258"/>
      <c r="BC62" s="258"/>
      <c r="BD62" s="258"/>
      <c r="BE62" s="258"/>
      <c r="BF62" s="258"/>
      <c r="BG62" s="258">
        <f t="shared" si="24"/>
        <v>30793.449999999946</v>
      </c>
      <c r="BH62" s="108">
        <f t="shared" si="31"/>
        <v>7</v>
      </c>
      <c r="BI62" s="108">
        <f t="shared" si="26"/>
        <v>7</v>
      </c>
      <c r="BJ62" s="22">
        <f t="shared" si="27"/>
        <v>45927</v>
      </c>
      <c r="BK62" s="108">
        <f t="shared" si="7"/>
        <v>12974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6"/>
        <v>5.9000000000000004E-2</v>
      </c>
      <c r="J63" s="242">
        <f t="shared" si="9"/>
        <v>12974</v>
      </c>
      <c r="K63" s="242">
        <f t="shared" si="57"/>
        <v>12974</v>
      </c>
      <c r="L63" s="242">
        <f t="shared" si="34"/>
        <v>505.4</v>
      </c>
      <c r="M63" s="242">
        <f t="shared" si="12"/>
        <v>12468.6</v>
      </c>
      <c r="N63" s="242">
        <f t="shared" si="46"/>
        <v>0</v>
      </c>
      <c r="O63" s="242">
        <v>0</v>
      </c>
      <c r="P63" s="242">
        <f t="shared" si="25"/>
        <v>505.4</v>
      </c>
      <c r="Q63" s="242">
        <f t="shared" si="36"/>
        <v>0</v>
      </c>
      <c r="R63" s="242">
        <f t="shared" si="14"/>
        <v>0</v>
      </c>
      <c r="S63" s="242">
        <f t="shared" si="15"/>
        <v>91752.259999999907</v>
      </c>
      <c r="T63" s="467"/>
      <c r="U63" s="198">
        <f t="shared" si="29"/>
        <v>6</v>
      </c>
      <c r="V63" s="36">
        <f t="shared" si="16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2"/>
        <v>14278</v>
      </c>
      <c r="Y63" s="57">
        <f t="shared" si="48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4"/>
        <v>14930</v>
      </c>
      <c r="AN63" s="57">
        <f t="shared" si="53"/>
        <v>50125</v>
      </c>
      <c r="AO63" s="130">
        <f t="shared" si="17"/>
        <v>1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0.155</v>
      </c>
      <c r="AS63" s="258">
        <f t="shared" si="18"/>
        <v>14930</v>
      </c>
      <c r="AT63" s="258">
        <f t="shared" si="19"/>
        <v>14930</v>
      </c>
      <c r="AU63" s="258">
        <f t="shared" si="20"/>
        <v>392.3</v>
      </c>
      <c r="AV63" s="258">
        <f t="shared" si="21"/>
        <v>14537.7</v>
      </c>
      <c r="AW63" s="258">
        <f t="shared" si="47"/>
        <v>0</v>
      </c>
      <c r="AX63" s="258">
        <v>0</v>
      </c>
      <c r="AY63" s="258">
        <f t="shared" si="22"/>
        <v>392.3</v>
      </c>
      <c r="AZ63" s="258">
        <f t="shared" si="38"/>
        <v>0</v>
      </c>
      <c r="BA63" s="258">
        <f t="shared" si="35"/>
        <v>0</v>
      </c>
      <c r="BB63" s="258"/>
      <c r="BC63" s="258"/>
      <c r="BD63" s="258"/>
      <c r="BE63" s="258"/>
      <c r="BF63" s="258"/>
      <c r="BG63" s="258">
        <f t="shared" si="24"/>
        <v>16255.749999999945</v>
      </c>
      <c r="BH63" s="108">
        <f t="shared" si="31"/>
        <v>6</v>
      </c>
      <c r="BI63" s="108">
        <f t="shared" si="26"/>
        <v>6</v>
      </c>
      <c r="BJ63" s="22">
        <f t="shared" si="27"/>
        <v>45957</v>
      </c>
      <c r="BK63" s="108">
        <f t="shared" si="7"/>
        <v>12974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6"/>
        <v>5.9000000000000004E-2</v>
      </c>
      <c r="J64" s="242">
        <f t="shared" si="9"/>
        <v>12974</v>
      </c>
      <c r="K64" s="242">
        <f t="shared" si="57"/>
        <v>12974</v>
      </c>
      <c r="L64" s="242">
        <f t="shared" si="34"/>
        <v>459.77</v>
      </c>
      <c r="M64" s="242">
        <f t="shared" si="12"/>
        <v>12514.23</v>
      </c>
      <c r="N64" s="242">
        <f t="shared" si="46"/>
        <v>0</v>
      </c>
      <c r="O64" s="242">
        <v>0</v>
      </c>
      <c r="P64" s="242">
        <f t="shared" si="25"/>
        <v>459.77</v>
      </c>
      <c r="Q64" s="242">
        <f t="shared" si="36"/>
        <v>0</v>
      </c>
      <c r="R64" s="242">
        <f t="shared" si="14"/>
        <v>0</v>
      </c>
      <c r="S64" s="242">
        <f t="shared" si="15"/>
        <v>79238.029999999912</v>
      </c>
      <c r="T64" s="467"/>
      <c r="U64" s="198">
        <f t="shared" si="29"/>
        <v>5</v>
      </c>
      <c r="V64" s="36">
        <f t="shared" si="16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2"/>
        <v>14278</v>
      </c>
      <c r="Y64" s="57">
        <f t="shared" si="48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4"/>
        <v>14930</v>
      </c>
      <c r="AN64" s="57">
        <f t="shared" si="53"/>
        <v>50490</v>
      </c>
      <c r="AO64" s="130">
        <f t="shared" si="17"/>
        <v>1</v>
      </c>
      <c r="AP64" s="261">
        <f t="shared" si="30"/>
        <v>56</v>
      </c>
      <c r="AQ64" s="262">
        <f t="shared" si="3"/>
        <v>45988</v>
      </c>
      <c r="AR64" s="263">
        <f t="shared" si="55"/>
        <v>0.155</v>
      </c>
      <c r="AS64" s="258">
        <f t="shared" si="18"/>
        <v>14930</v>
      </c>
      <c r="AT64" s="258">
        <f t="shared" si="19"/>
        <v>14930</v>
      </c>
      <c r="AU64" s="258">
        <f t="shared" si="20"/>
        <v>214</v>
      </c>
      <c r="AV64" s="258">
        <f t="shared" si="21"/>
        <v>14716</v>
      </c>
      <c r="AW64" s="258">
        <f t="shared" si="47"/>
        <v>0</v>
      </c>
      <c r="AX64" s="258">
        <v>0</v>
      </c>
      <c r="AY64" s="258">
        <f t="shared" si="22"/>
        <v>214</v>
      </c>
      <c r="AZ64" s="258">
        <f t="shared" si="38"/>
        <v>0</v>
      </c>
      <c r="BA64" s="258">
        <f t="shared" si="35"/>
        <v>0</v>
      </c>
      <c r="BB64" s="258"/>
      <c r="BC64" s="258"/>
      <c r="BD64" s="258"/>
      <c r="BE64" s="258"/>
      <c r="BF64" s="258"/>
      <c r="BG64" s="258">
        <f t="shared" si="24"/>
        <v>1539.7499999999454</v>
      </c>
      <c r="BH64" s="108">
        <f t="shared" si="31"/>
        <v>5</v>
      </c>
      <c r="BI64" s="108">
        <f t="shared" si="26"/>
        <v>5</v>
      </c>
      <c r="BJ64" s="22">
        <f t="shared" si="27"/>
        <v>45988</v>
      </c>
      <c r="BK64" s="108">
        <f t="shared" si="7"/>
        <v>12974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6"/>
        <v>5.9000000000000004E-2</v>
      </c>
      <c r="J65" s="242">
        <f t="shared" si="9"/>
        <v>12974</v>
      </c>
      <c r="K65" s="242">
        <f t="shared" si="57"/>
        <v>12974</v>
      </c>
      <c r="L65" s="242">
        <f t="shared" si="34"/>
        <v>384.25</v>
      </c>
      <c r="M65" s="242">
        <f t="shared" si="12"/>
        <v>12589.75</v>
      </c>
      <c r="N65" s="242">
        <f t="shared" si="46"/>
        <v>0</v>
      </c>
      <c r="O65" s="242">
        <v>0</v>
      </c>
      <c r="P65" s="242">
        <f t="shared" si="25"/>
        <v>384.25</v>
      </c>
      <c r="Q65" s="242">
        <f t="shared" si="36"/>
        <v>0</v>
      </c>
      <c r="R65" s="242">
        <f t="shared" si="14"/>
        <v>0</v>
      </c>
      <c r="S65" s="242">
        <f t="shared" si="15"/>
        <v>66648.279999999912</v>
      </c>
      <c r="T65" s="467"/>
      <c r="U65" s="198">
        <f t="shared" si="29"/>
        <v>4</v>
      </c>
      <c r="V65" s="36">
        <f t="shared" si="16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2"/>
        <v>14278</v>
      </c>
      <c r="Y65" s="57">
        <f t="shared" si="48"/>
        <v>52315</v>
      </c>
      <c r="AB65" s="2"/>
      <c r="AC65" s="66">
        <f t="shared" ref="AC65" si="58">IF(AC79&gt;$AA$59,AC64,IF(AC79&gt;$AA$58,AC63,IF(AC79&gt;$AA$57,AC62,AC61)))</f>
        <v>3.0000000000000001E-3</v>
      </c>
      <c r="AD65" s="66">
        <f t="shared" ref="AD65:AI65" si="59">IF(AD79&gt;$AA$59,AD64,IF(AD79&gt;$AA$58,AD63,IF(AD79&gt;$AA$57,AD62,AD61)))</f>
        <v>2.5000000000000001E-3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3.2000000000000002E-3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4"/>
        <v>14930</v>
      </c>
      <c r="AN65" s="57">
        <f t="shared" si="53"/>
        <v>50855</v>
      </c>
      <c r="AO65" s="130">
        <f t="shared" si="17"/>
        <v>1</v>
      </c>
      <c r="AP65" s="261">
        <f t="shared" si="30"/>
        <v>57</v>
      </c>
      <c r="AQ65" s="262">
        <f t="shared" si="3"/>
        <v>46018</v>
      </c>
      <c r="AR65" s="263">
        <f t="shared" si="55"/>
        <v>0.155</v>
      </c>
      <c r="AS65" s="258">
        <f t="shared" si="18"/>
        <v>1559.3699999999453</v>
      </c>
      <c r="AT65" s="258">
        <f t="shared" si="19"/>
        <v>1559.3699999999453</v>
      </c>
      <c r="AU65" s="258">
        <f t="shared" si="20"/>
        <v>19.62</v>
      </c>
      <c r="AV65" s="258">
        <f t="shared" si="21"/>
        <v>1539.7499999999454</v>
      </c>
      <c r="AW65" s="258">
        <f t="shared" si="47"/>
        <v>0</v>
      </c>
      <c r="AX65" s="258">
        <v>0</v>
      </c>
      <c r="AY65" s="258">
        <f t="shared" si="22"/>
        <v>19.62</v>
      </c>
      <c r="AZ65" s="258">
        <f t="shared" si="38"/>
        <v>0</v>
      </c>
      <c r="BA65" s="258">
        <f t="shared" si="35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4</v>
      </c>
      <c r="BI65" s="108">
        <f t="shared" si="26"/>
        <v>4</v>
      </c>
      <c r="BJ65" s="22">
        <f t="shared" si="27"/>
        <v>46018</v>
      </c>
      <c r="BK65" s="108">
        <f t="shared" si="7"/>
        <v>12974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6"/>
        <v>5.9000000000000004E-2</v>
      </c>
      <c r="J66" s="242">
        <f t="shared" si="9"/>
        <v>12974</v>
      </c>
      <c r="K66" s="242">
        <f t="shared" si="57"/>
        <v>12974</v>
      </c>
      <c r="L66" s="242">
        <f t="shared" si="34"/>
        <v>333.97</v>
      </c>
      <c r="M66" s="242">
        <f t="shared" si="12"/>
        <v>12640.03</v>
      </c>
      <c r="N66" s="242">
        <f t="shared" si="46"/>
        <v>0</v>
      </c>
      <c r="O66" s="242">
        <v>0</v>
      </c>
      <c r="P66" s="242">
        <f t="shared" si="25"/>
        <v>333.97</v>
      </c>
      <c r="Q66" s="242">
        <f t="shared" si="36"/>
        <v>0</v>
      </c>
      <c r="R66" s="242">
        <f t="shared" si="14"/>
        <v>0</v>
      </c>
      <c r="S66" s="242">
        <f t="shared" si="15"/>
        <v>54008.249999999913</v>
      </c>
      <c r="T66" s="467"/>
      <c r="U66" s="198">
        <f t="shared" si="29"/>
        <v>3</v>
      </c>
      <c r="V66" s="36">
        <f t="shared" si="16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2"/>
        <v>14278</v>
      </c>
      <c r="Y66" s="57">
        <f t="shared" si="48"/>
        <v>52680</v>
      </c>
      <c r="AA66" s="133" t="s">
        <v>96</v>
      </c>
      <c r="AB66" s="15"/>
      <c r="AC66" s="143">
        <f>AC65*AC79*IF($C$10&gt;60,60,$C$10)</f>
        <v>108000</v>
      </c>
      <c r="AD66" s="143">
        <f>AD65*AD79*IF($C$10&gt;60,60,$C$10)</f>
        <v>93750</v>
      </c>
      <c r="AE66" s="143">
        <f>AE65*AE79*IF($C$10&gt;60,60,$C$10)</f>
        <v>112500</v>
      </c>
      <c r="AF66" s="143">
        <f>AF65*AF79*IF($C$10&gt;60,60,$C$10)</f>
        <v>117000</v>
      </c>
      <c r="AG66" s="143">
        <f t="shared" ref="AG66:AH66" si="60">AG65*AG79*$C$10</f>
        <v>0</v>
      </c>
      <c r="AH66" s="143">
        <f t="shared" si="60"/>
        <v>30000</v>
      </c>
      <c r="AI66" s="143">
        <f>AI65*AI79*$C$10</f>
        <v>192000</v>
      </c>
      <c r="AJ66" s="143">
        <f>AI66+AH66</f>
        <v>222000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4"/>
        <v>14930</v>
      </c>
      <c r="AN66" s="57">
        <f t="shared" si="53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5"/>
        <v>0.155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4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5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3</v>
      </c>
      <c r="BI66" s="108">
        <f t="shared" si="26"/>
        <v>3</v>
      </c>
      <c r="BJ66" s="22">
        <f t="shared" si="27"/>
        <v>46049</v>
      </c>
      <c r="BK66" s="108">
        <f t="shared" si="7"/>
        <v>12974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6"/>
        <v>5.9000000000000004E-2</v>
      </c>
      <c r="J67" s="242">
        <f t="shared" si="9"/>
        <v>12974</v>
      </c>
      <c r="K67" s="242">
        <f t="shared" si="57"/>
        <v>12974</v>
      </c>
      <c r="L67" s="242">
        <f t="shared" si="34"/>
        <v>270.63</v>
      </c>
      <c r="M67" s="242">
        <f t="shared" si="12"/>
        <v>12703.37</v>
      </c>
      <c r="N67" s="242">
        <f t="shared" si="46"/>
        <v>0</v>
      </c>
      <c r="O67" s="242">
        <v>0</v>
      </c>
      <c r="P67" s="242">
        <f t="shared" si="25"/>
        <v>270.63</v>
      </c>
      <c r="Q67" s="242">
        <f t="shared" si="36"/>
        <v>0</v>
      </c>
      <c r="R67" s="242">
        <f t="shared" si="14"/>
        <v>0</v>
      </c>
      <c r="S67" s="242">
        <f t="shared" si="15"/>
        <v>41304.87999999991</v>
      </c>
      <c r="T67" s="467"/>
      <c r="U67" s="198">
        <f t="shared" si="29"/>
        <v>2</v>
      </c>
      <c r="V67" s="36">
        <f t="shared" si="16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2"/>
        <v>14278</v>
      </c>
      <c r="Y67" s="57">
        <f t="shared" si="48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4"/>
        <v>14930</v>
      </c>
      <c r="AN67" s="57">
        <f t="shared" si="53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5"/>
        <v>0.155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4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5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2</v>
      </c>
      <c r="BI67" s="108">
        <f t="shared" si="26"/>
        <v>2</v>
      </c>
      <c r="BJ67" s="22">
        <f t="shared" si="27"/>
        <v>46080</v>
      </c>
      <c r="BK67" s="108">
        <f t="shared" si="7"/>
        <v>12974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6"/>
        <v>5.9000000000000004E-2</v>
      </c>
      <c r="J68" s="242">
        <f t="shared" si="9"/>
        <v>12974</v>
      </c>
      <c r="K68" s="242">
        <f t="shared" si="57"/>
        <v>12974</v>
      </c>
      <c r="L68" s="242">
        <f t="shared" si="34"/>
        <v>186.95</v>
      </c>
      <c r="M68" s="242">
        <f t="shared" si="12"/>
        <v>12787.05</v>
      </c>
      <c r="N68" s="242">
        <f t="shared" si="46"/>
        <v>0</v>
      </c>
      <c r="O68" s="242">
        <v>0</v>
      </c>
      <c r="P68" s="242">
        <f t="shared" si="25"/>
        <v>186.95</v>
      </c>
      <c r="Q68" s="242">
        <f t="shared" si="36"/>
        <v>0</v>
      </c>
      <c r="R68" s="242">
        <f t="shared" si="14"/>
        <v>0</v>
      </c>
      <c r="S68" s="242">
        <f t="shared" si="15"/>
        <v>28517.829999999911</v>
      </c>
      <c r="T68" s="467"/>
      <c r="U68" s="198">
        <f t="shared" si="29"/>
        <v>1</v>
      </c>
      <c r="V68" s="36">
        <f t="shared" si="16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2"/>
        <v>13626</v>
      </c>
      <c r="Y68" s="57">
        <f t="shared" si="48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4"/>
        <v>14930</v>
      </c>
      <c r="AN68" s="57">
        <f t="shared" si="53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5"/>
        <v>0.155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4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5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46108</v>
      </c>
      <c r="BK68" s="108">
        <f t="shared" si="7"/>
        <v>12974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6"/>
        <v>5.9000000000000004E-2</v>
      </c>
      <c r="J69" s="242">
        <f t="shared" si="9"/>
        <v>12974</v>
      </c>
      <c r="K69" s="242">
        <f t="shared" ref="K69:K108" si="61">IF(AND(G69&gt;=$W$9,G69&lt;=$W$9+5),$W$10,IF(AND(S68+N69+L69&gt;K68,K68&lt;&gt;0),IF($C$16="Да",$AF$40,$C$24),IF(S68=0,0,S68+N69+L69+L70)))</f>
        <v>12974</v>
      </c>
      <c r="L69" s="242">
        <f t="shared" si="34"/>
        <v>142.9</v>
      </c>
      <c r="M69" s="242">
        <f t="shared" si="12"/>
        <v>12831.1</v>
      </c>
      <c r="N69" s="242">
        <f t="shared" si="46"/>
        <v>0</v>
      </c>
      <c r="O69" s="242">
        <v>0</v>
      </c>
      <c r="P69" s="242">
        <f t="shared" si="25"/>
        <v>142.9</v>
      </c>
      <c r="Q69" s="242">
        <f t="shared" si="36"/>
        <v>0</v>
      </c>
      <c r="R69" s="242">
        <f t="shared" si="14"/>
        <v>0</v>
      </c>
      <c r="S69" s="242">
        <f t="shared" si="15"/>
        <v>15686.72999999991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2"/>
        <v>13626</v>
      </c>
      <c r="Y69" s="57">
        <f t="shared" si="48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4"/>
        <v>14930</v>
      </c>
      <c r="AN69" s="57">
        <f t="shared" si="53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5"/>
        <v>0.155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4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5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12974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6"/>
        <v>5.9000000000000004E-2</v>
      </c>
      <c r="J70" s="242">
        <f t="shared" si="9"/>
        <v>12974</v>
      </c>
      <c r="K70" s="242">
        <f t="shared" si="61"/>
        <v>12974</v>
      </c>
      <c r="L70" s="242">
        <f t="shared" si="34"/>
        <v>76.069999999999993</v>
      </c>
      <c r="M70" s="242">
        <f t="shared" si="12"/>
        <v>12897.93</v>
      </c>
      <c r="N70" s="242">
        <f t="shared" si="46"/>
        <v>0</v>
      </c>
      <c r="O70" s="242">
        <v>0</v>
      </c>
      <c r="P70" s="242">
        <f t="shared" si="25"/>
        <v>76.069999999999993</v>
      </c>
      <c r="Q70" s="242">
        <f t="shared" si="36"/>
        <v>0</v>
      </c>
      <c r="R70" s="242">
        <f t="shared" si="14"/>
        <v>0</v>
      </c>
      <c r="S70" s="242">
        <f t="shared" si="15"/>
        <v>2788.7999999999101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2"/>
        <v>13626</v>
      </c>
      <c r="Y70" s="57">
        <f t="shared" si="48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4"/>
        <v>14930</v>
      </c>
      <c r="AN70" s="57">
        <f t="shared" si="53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5"/>
        <v>0.155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4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5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12974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6"/>
        <v>5.9000000000000004E-2</v>
      </c>
      <c r="J71" s="242">
        <f t="shared" si="9"/>
        <v>2802.7699999999099</v>
      </c>
      <c r="K71" s="242">
        <f t="shared" si="61"/>
        <v>2802.7699999999099</v>
      </c>
      <c r="L71" s="242">
        <f t="shared" si="34"/>
        <v>13.97</v>
      </c>
      <c r="M71" s="242">
        <f t="shared" si="12"/>
        <v>2788.7999999999101</v>
      </c>
      <c r="N71" s="242">
        <f t="shared" si="46"/>
        <v>0</v>
      </c>
      <c r="O71" s="242">
        <v>0</v>
      </c>
      <c r="P71" s="242">
        <f t="shared" si="25"/>
        <v>13.97</v>
      </c>
      <c r="Q71" s="242">
        <f t="shared" si="36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2"/>
        <v>13626</v>
      </c>
      <c r="Y71" s="57">
        <f t="shared" si="48"/>
        <v>54505</v>
      </c>
      <c r="AA71" s="171">
        <v>1000001</v>
      </c>
      <c r="AB71" s="135">
        <v>800000</v>
      </c>
      <c r="AC71" s="133" t="s">
        <v>98</v>
      </c>
      <c r="AD71" s="134">
        <v>1.25</v>
      </c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4"/>
        <v>14930</v>
      </c>
      <c r="AN71" s="57">
        <f t="shared" si="53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5"/>
        <v>0.155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4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5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2802.7699999999099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6"/>
        <v>5.9000000000000004E-2</v>
      </c>
      <c r="J72" s="242">
        <f t="shared" si="9"/>
        <v>0</v>
      </c>
      <c r="K72" s="242">
        <f t="shared" si="61"/>
        <v>0</v>
      </c>
      <c r="L72" s="242">
        <f t="shared" si="34"/>
        <v>0</v>
      </c>
      <c r="M72" s="242">
        <f t="shared" si="12"/>
        <v>0</v>
      </c>
      <c r="N72" s="242">
        <f t="shared" si="46"/>
        <v>0</v>
      </c>
      <c r="O72" s="242">
        <v>0</v>
      </c>
      <c r="P72" s="242">
        <f t="shared" si="25"/>
        <v>0</v>
      </c>
      <c r="Q72" s="242">
        <f t="shared" si="36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2"/>
        <v>13626</v>
      </c>
      <c r="Y72" s="57">
        <f t="shared" si="48"/>
        <v>54870</v>
      </c>
      <c r="AA72" s="16" t="s">
        <v>101</v>
      </c>
      <c r="AB72" s="135">
        <v>900000</v>
      </c>
      <c r="AC72" s="134">
        <v>1</v>
      </c>
      <c r="AD72" s="134">
        <v>1.35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4"/>
        <v>14930</v>
      </c>
      <c r="AN72" s="57">
        <f t="shared" si="53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5"/>
        <v>0.155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4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5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2">IF((OR(DAY($AD$54)=29,DAY($AD$54)=30,DAY($AD$54)=31)),(EDATE($C$9-3,G73)),(IF((OR(DAY($AD$54)=1,DAY($AD$54)=2,DAY($AD$54)=3)),(EDATE($C$9,G73)+3),EDATE($C$9,G73))))</f>
        <v>46261</v>
      </c>
      <c r="I73" s="246">
        <f t="shared" si="56"/>
        <v>5.9000000000000004E-2</v>
      </c>
      <c r="J73" s="242">
        <f t="shared" si="9"/>
        <v>0</v>
      </c>
      <c r="K73" s="242">
        <f t="shared" si="61"/>
        <v>0</v>
      </c>
      <c r="L73" s="242">
        <f t="shared" ref="L73:L108" si="63">IF(AND(G73&gt;=$W$9,G73&lt;=$W$9+5),0,IF($C$9&gt;$AF$51,ROUND(S72*I73*((H73-DATE(YEAR(H73),MONTH(H73),1)+1)/(DATE(YEAR(H73)+1,1,1)-DATE(YEAR(H73),1,1))+(EOMONTH(H72,0)-H72)/(DATE(YEAR(H72)+1,1,1)-DATE(YEAR(H72),1,1))),2),0))</f>
        <v>0</v>
      </c>
      <c r="M73" s="242">
        <f t="shared" si="12"/>
        <v>0</v>
      </c>
      <c r="N73" s="242">
        <f t="shared" ref="N73:N108" si="64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6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2"/>
        <v>13626</v>
      </c>
      <c r="Y73" s="57">
        <f t="shared" si="48"/>
        <v>55235</v>
      </c>
      <c r="AB73" s="16">
        <v>1500000</v>
      </c>
      <c r="AC73" s="134">
        <v>1.1000000000000001</v>
      </c>
      <c r="AD73" s="134">
        <v>1.5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4"/>
        <v>14930</v>
      </c>
      <c r="AN73" s="57">
        <f t="shared" si="53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5">IF((OR(DAY($AD$54)=29,DAY($AD$54)=30,DAY($AD$54)=31)),(EDATE($C$9-3,AP73)),(IF((OR(DAY($AD$54)=1,DAY($AD$54)=2,DAY($AD$54)=3)),(EDATE($C$9,AP73)+3),EDATE($C$9,AP73))))</f>
        <v>46261</v>
      </c>
      <c r="AR73" s="263">
        <f t="shared" si="55"/>
        <v>0.155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4" si="66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5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7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2"/>
        <v>46292</v>
      </c>
      <c r="I74" s="246">
        <f t="shared" si="56"/>
        <v>5.9000000000000004E-2</v>
      </c>
      <c r="J74" s="242">
        <f t="shared" ref="J74:J108" si="68">K74+Q74</f>
        <v>0</v>
      </c>
      <c r="K74" s="242">
        <f t="shared" si="61"/>
        <v>0</v>
      </c>
      <c r="L74" s="242">
        <f t="shared" si="63"/>
        <v>0</v>
      </c>
      <c r="M74" s="242">
        <f t="shared" ref="M74" si="69">IF(S73=0,0,IF(S73+N74+L74&gt;K73,K74-L74-N74,S73))</f>
        <v>0</v>
      </c>
      <c r="N74" s="242">
        <f t="shared" si="64"/>
        <v>0</v>
      </c>
      <c r="O74" s="242">
        <v>0</v>
      </c>
      <c r="P74" s="242">
        <f t="shared" si="25"/>
        <v>0</v>
      </c>
      <c r="Q74" s="242">
        <f t="shared" si="36"/>
        <v>0</v>
      </c>
      <c r="R74" s="242">
        <f t="shared" ref="R74:R108" si="70">IF(V74=0,0,0)</f>
        <v>0</v>
      </c>
      <c r="S74" s="242">
        <f t="shared" ref="S74" si="71">S73-M74-T74</f>
        <v>0</v>
      </c>
      <c r="T74" s="467"/>
      <c r="U74" s="36">
        <f t="shared" si="29"/>
        <v>0</v>
      </c>
      <c r="V74" s="36">
        <f t="shared" ref="V74:V107" si="72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2"/>
        <v>13626</v>
      </c>
      <c r="Y74" s="57">
        <f t="shared" si="48"/>
        <v>55600</v>
      </c>
      <c r="AC74" s="134">
        <v>1.2</v>
      </c>
      <c r="AD74" s="134">
        <v>1.25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4"/>
        <v>14930</v>
      </c>
      <c r="AN74" s="57">
        <f t="shared" si="53"/>
        <v>54140</v>
      </c>
      <c r="AO74" s="130">
        <f t="shared" ref="AO74:AO108" si="73">IF(OR(AT74="",AT74=0),0,1)</f>
        <v>0</v>
      </c>
      <c r="AP74" s="261">
        <f t="shared" si="30"/>
        <v>66</v>
      </c>
      <c r="AQ74" s="262">
        <f t="shared" si="65"/>
        <v>46292</v>
      </c>
      <c r="AR74" s="263">
        <f t="shared" si="55"/>
        <v>0.155</v>
      </c>
      <c r="AS74" s="258">
        <f t="shared" ref="AS74:AS108" si="74">AT74+AZ74</f>
        <v>0</v>
      </c>
      <c r="AT74" s="258">
        <f t="shared" ref="AT74" si="75">IF(AND(BG73+AW74+AU74&gt;AT73,AT73&lt;&gt;0),IF($D$16="Да",$AL$36,$D$24),IF(BG73=0,0,BG73+AW74+AU74+AU75))</f>
        <v>0</v>
      </c>
      <c r="AU74" s="258">
        <f t="shared" ref="AU74" si="76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7">IF(BI74=0,0,IF(BI74=1,BG73,IF(BG73+AW74+AU74&gt;AT73,AT74-AU74-AW74,BG73)))</f>
        <v>0</v>
      </c>
      <c r="AW74" s="258">
        <f t="shared" si="66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5"/>
        <v>0</v>
      </c>
      <c r="BB74" s="258"/>
      <c r="BC74" s="258"/>
      <c r="BD74" s="258"/>
      <c r="BE74" s="258"/>
      <c r="BF74" s="258"/>
      <c r="BG74" s="258">
        <f t="shared" ref="BG74:BG108" si="78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7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2"/>
        <v>46322</v>
      </c>
      <c r="I75" s="176">
        <f t="shared" ref="I75:I108" si="79">IF($C$16="Да",$AG$40,$C$13)</f>
        <v>5.9000000000000004E-2</v>
      </c>
      <c r="J75" s="24">
        <f t="shared" si="68"/>
        <v>0</v>
      </c>
      <c r="K75" s="24">
        <f t="shared" si="61"/>
        <v>0</v>
      </c>
      <c r="L75" s="24">
        <f t="shared" si="63"/>
        <v>0</v>
      </c>
      <c r="M75" s="24">
        <f t="shared" ref="M75" si="80">IF(V75=0,0,IF(V75=1,S74,IF(S74+N75+L75&gt;K74,K75-L75-N75,S74)))</f>
        <v>0</v>
      </c>
      <c r="N75" s="24">
        <f t="shared" si="64"/>
        <v>0</v>
      </c>
      <c r="O75" s="24">
        <v>0</v>
      </c>
      <c r="P75" s="24">
        <f t="shared" si="25"/>
        <v>0</v>
      </c>
      <c r="Q75" s="24">
        <f t="shared" si="36"/>
        <v>0</v>
      </c>
      <c r="R75" s="24">
        <f t="shared" si="70"/>
        <v>0</v>
      </c>
      <c r="S75" s="24">
        <f t="shared" ref="S75:S108" si="81">IF(OR(V75=1,S74=0),0,S74-M75)</f>
        <v>0</v>
      </c>
      <c r="T75" s="24"/>
      <c r="U75" s="36">
        <f t="shared" si="29"/>
        <v>0</v>
      </c>
      <c r="V75" s="36">
        <f t="shared" si="72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2"/>
        <v>13626</v>
      </c>
      <c r="Y75" s="57">
        <f t="shared" si="48"/>
        <v>55965</v>
      </c>
      <c r="AC75" s="134">
        <v>1.1000000000000001</v>
      </c>
      <c r="AD75" s="134">
        <v>1.1000000000000001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4"/>
        <v>14930</v>
      </c>
      <c r="AN75" s="57">
        <f t="shared" si="53"/>
        <v>54505</v>
      </c>
      <c r="AO75" s="130">
        <f t="shared" si="73"/>
        <v>0</v>
      </c>
      <c r="AP75" s="109">
        <f t="shared" si="30"/>
        <v>67</v>
      </c>
      <c r="AQ75" s="110">
        <f t="shared" si="65"/>
        <v>46322</v>
      </c>
      <c r="AR75" s="177">
        <f t="shared" si="55"/>
        <v>0.155</v>
      </c>
      <c r="AS75" s="105">
        <f t="shared" si="74"/>
        <v>0</v>
      </c>
      <c r="AT75" s="105">
        <f t="shared" ref="AT75:AT108" si="82">IF(AND(G75&gt;=$W$9,G75&lt;=$W$9+5),$W$10,IF(AND(BG74+AW75+AU75&gt;AT74,AT74&lt;&gt;0),IF($D$16="Да",$AL$40,$D$24),IF(BG74=0,0,BG74+AW75+AU75+AU76)))</f>
        <v>0</v>
      </c>
      <c r="AU75" s="105">
        <f t="shared" ref="AU75:AU108" si="83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7"/>
        <v>0</v>
      </c>
      <c r="AW75" s="105">
        <f t="shared" si="66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5"/>
        <v>0</v>
      </c>
      <c r="BB75" s="105"/>
      <c r="BC75" s="105"/>
      <c r="BD75" s="105"/>
      <c r="BE75" s="105"/>
      <c r="BF75" s="105"/>
      <c r="BG75" s="105">
        <f t="shared" si="78"/>
        <v>0</v>
      </c>
      <c r="BH75" s="108">
        <f t="shared" si="31"/>
        <v>0</v>
      </c>
      <c r="BI75" s="108">
        <f t="shared" ref="BI75:BI114" si="84">BH75</f>
        <v>0</v>
      </c>
      <c r="BJ75" s="22">
        <f t="shared" ref="BJ75:BJ114" si="85">H75</f>
        <v>46322</v>
      </c>
      <c r="BK75" s="108">
        <f t="shared" si="67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6">G75+1</f>
        <v>68</v>
      </c>
      <c r="H76" s="111">
        <f t="shared" si="62"/>
        <v>46353</v>
      </c>
      <c r="I76" s="176">
        <f t="shared" si="79"/>
        <v>5.9000000000000004E-2</v>
      </c>
      <c r="J76" s="24">
        <f t="shared" si="68"/>
        <v>0</v>
      </c>
      <c r="K76" s="24">
        <f t="shared" si="61"/>
        <v>0</v>
      </c>
      <c r="L76" s="24">
        <f t="shared" si="63"/>
        <v>0</v>
      </c>
      <c r="M76" s="24">
        <f t="shared" ref="M76:M108" si="87">IF(V76=0,0,IF(V76=1,S75,IF(S75+N76+L76&gt;K75,K76-L76-N76,S75)))</f>
        <v>0</v>
      </c>
      <c r="N76" s="24">
        <f t="shared" si="64"/>
        <v>0</v>
      </c>
      <c r="O76" s="24">
        <v>0</v>
      </c>
      <c r="P76" s="24">
        <f t="shared" si="25"/>
        <v>0</v>
      </c>
      <c r="Q76" s="24">
        <f t="shared" si="36"/>
        <v>0</v>
      </c>
      <c r="R76" s="24">
        <f t="shared" si="70"/>
        <v>0</v>
      </c>
      <c r="S76" s="24">
        <f t="shared" si="81"/>
        <v>0</v>
      </c>
      <c r="T76" s="24"/>
      <c r="U76" s="36">
        <f t="shared" ref="U76:U108" si="88">IF((U75-1)&lt;0,0,U75-1)</f>
        <v>0</v>
      </c>
      <c r="V76" s="36">
        <f t="shared" si="72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2"/>
        <v>13626</v>
      </c>
      <c r="Y76" s="57">
        <f t="shared" si="48"/>
        <v>56330</v>
      </c>
      <c r="AC76" s="134">
        <v>1</v>
      </c>
      <c r="AD76" s="16">
        <v>1.3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4"/>
        <v>14930</v>
      </c>
      <c r="AN76" s="57">
        <f t="shared" si="53"/>
        <v>54870</v>
      </c>
      <c r="AO76" s="130">
        <f t="shared" si="73"/>
        <v>0</v>
      </c>
      <c r="AP76" s="109">
        <f t="shared" ref="AP76:AP108" si="89">AP75+1</f>
        <v>68</v>
      </c>
      <c r="AQ76" s="110">
        <f t="shared" si="65"/>
        <v>46353</v>
      </c>
      <c r="AR76" s="177">
        <f t="shared" si="55"/>
        <v>0.155</v>
      </c>
      <c r="AS76" s="105">
        <f t="shared" si="74"/>
        <v>0</v>
      </c>
      <c r="AT76" s="105">
        <f t="shared" si="82"/>
        <v>0</v>
      </c>
      <c r="AU76" s="105">
        <f t="shared" si="83"/>
        <v>0</v>
      </c>
      <c r="AV76" s="105">
        <f t="shared" si="77"/>
        <v>0</v>
      </c>
      <c r="AW76" s="105">
        <f t="shared" si="66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5"/>
        <v>0</v>
      </c>
      <c r="BB76" s="105"/>
      <c r="BC76" s="105"/>
      <c r="BD76" s="105"/>
      <c r="BE76" s="105"/>
      <c r="BF76" s="105"/>
      <c r="BG76" s="105">
        <f t="shared" si="78"/>
        <v>0</v>
      </c>
      <c r="BH76" s="108">
        <f t="shared" ref="BH76:BH114" si="90">IF((BH75-1)&lt;0,0,BH75-1)</f>
        <v>0</v>
      </c>
      <c r="BI76" s="108">
        <f t="shared" si="84"/>
        <v>0</v>
      </c>
      <c r="BJ76" s="22">
        <f t="shared" si="85"/>
        <v>46353</v>
      </c>
      <c r="BK76" s="108">
        <f t="shared" si="67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6"/>
        <v>69</v>
      </c>
      <c r="H77" s="111">
        <f t="shared" si="62"/>
        <v>46383</v>
      </c>
      <c r="I77" s="176">
        <f t="shared" si="79"/>
        <v>5.9000000000000004E-2</v>
      </c>
      <c r="J77" s="24">
        <f t="shared" si="68"/>
        <v>0</v>
      </c>
      <c r="K77" s="24">
        <f t="shared" si="61"/>
        <v>0</v>
      </c>
      <c r="L77" s="24">
        <f t="shared" si="63"/>
        <v>0</v>
      </c>
      <c r="M77" s="24">
        <f t="shared" si="87"/>
        <v>0</v>
      </c>
      <c r="N77" s="24">
        <f t="shared" si="64"/>
        <v>0</v>
      </c>
      <c r="O77" s="24">
        <v>0</v>
      </c>
      <c r="P77" s="24">
        <f t="shared" si="25"/>
        <v>0</v>
      </c>
      <c r="Q77" s="24">
        <f t="shared" si="36"/>
        <v>0</v>
      </c>
      <c r="R77" s="24">
        <f t="shared" si="70"/>
        <v>0</v>
      </c>
      <c r="S77" s="24">
        <f t="shared" si="81"/>
        <v>0</v>
      </c>
      <c r="T77" s="24"/>
      <c r="U77" s="36">
        <f t="shared" si="88"/>
        <v>0</v>
      </c>
      <c r="V77" s="36">
        <f t="shared" si="72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2"/>
        <v>13626</v>
      </c>
      <c r="Y77" s="57">
        <f t="shared" si="48"/>
        <v>56695</v>
      </c>
      <c r="AC77" s="16">
        <f>IF($C$7&gt;=$AA$71,AC76,IF($C$7&gt;=$AA$70,AC75,IF($C$7&gt;=$AA$69,AC74,IF($C$7&gt;=$AA$68,AC73,AC72))))</f>
        <v>1.1000000000000001</v>
      </c>
      <c r="AD77" s="16">
        <f>IF($C$7&gt;=$AA$71,AD76,IF($C$7&gt;=$AA$70,AD75,IF($C$7&gt;=$AA$69,AD74,IF($C$7&gt;=$AA$68,AD73,AD72))))</f>
        <v>1.5</v>
      </c>
      <c r="AE77" s="16">
        <f t="shared" ref="AE77:AI77" si="91">IF($C$7&gt;=$AA$71,AE76,IF($C$7&gt;=$AA$70,AE75,IF($C$7&gt;=$AA$69,AE74,IF($C$7&gt;=$AA$68,AE73,AE72))))</f>
        <v>1.5</v>
      </c>
      <c r="AF77" s="16">
        <f t="shared" si="91"/>
        <v>1.3</v>
      </c>
      <c r="AG77" s="16">
        <f t="shared" si="91"/>
        <v>0</v>
      </c>
      <c r="AH77" s="16">
        <f t="shared" si="91"/>
        <v>1</v>
      </c>
      <c r="AI77" s="16">
        <f t="shared" si="91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4"/>
        <v>14930</v>
      </c>
      <c r="AN77" s="57">
        <f t="shared" si="53"/>
        <v>55235</v>
      </c>
      <c r="AO77" s="130">
        <f t="shared" si="73"/>
        <v>0</v>
      </c>
      <c r="AP77" s="109">
        <f t="shared" si="89"/>
        <v>69</v>
      </c>
      <c r="AQ77" s="110">
        <f t="shared" si="65"/>
        <v>46383</v>
      </c>
      <c r="AR77" s="177">
        <f t="shared" si="55"/>
        <v>0.155</v>
      </c>
      <c r="AS77" s="105">
        <f t="shared" si="74"/>
        <v>0</v>
      </c>
      <c r="AT77" s="105">
        <f t="shared" si="82"/>
        <v>0</v>
      </c>
      <c r="AU77" s="105">
        <f t="shared" si="83"/>
        <v>0</v>
      </c>
      <c r="AV77" s="105">
        <f t="shared" si="77"/>
        <v>0</v>
      </c>
      <c r="AW77" s="105">
        <f t="shared" si="66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5"/>
        <v>0</v>
      </c>
      <c r="BB77" s="105"/>
      <c r="BC77" s="105"/>
      <c r="BD77" s="105"/>
      <c r="BE77" s="105"/>
      <c r="BF77" s="105"/>
      <c r="BG77" s="105">
        <f t="shared" si="78"/>
        <v>0</v>
      </c>
      <c r="BH77" s="108">
        <f t="shared" si="90"/>
        <v>0</v>
      </c>
      <c r="BI77" s="108">
        <f t="shared" si="84"/>
        <v>0</v>
      </c>
      <c r="BJ77" s="22">
        <f t="shared" si="85"/>
        <v>46383</v>
      </c>
      <c r="BK77" s="108">
        <f t="shared" si="67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6"/>
        <v>70</v>
      </c>
      <c r="H78" s="111">
        <f t="shared" si="62"/>
        <v>46414</v>
      </c>
      <c r="I78" s="176">
        <f t="shared" si="79"/>
        <v>5.9000000000000004E-2</v>
      </c>
      <c r="J78" s="24">
        <f t="shared" si="68"/>
        <v>0</v>
      </c>
      <c r="K78" s="24">
        <f t="shared" si="61"/>
        <v>0</v>
      </c>
      <c r="L78" s="24">
        <f t="shared" si="63"/>
        <v>0</v>
      </c>
      <c r="M78" s="24">
        <f t="shared" si="87"/>
        <v>0</v>
      </c>
      <c r="N78" s="24">
        <f t="shared" si="64"/>
        <v>0</v>
      </c>
      <c r="O78" s="24">
        <v>0</v>
      </c>
      <c r="P78" s="24">
        <f t="shared" si="25"/>
        <v>0</v>
      </c>
      <c r="Q78" s="24">
        <f t="shared" si="36"/>
        <v>0</v>
      </c>
      <c r="R78" s="24">
        <f t="shared" si="70"/>
        <v>0</v>
      </c>
      <c r="S78" s="24">
        <f t="shared" si="81"/>
        <v>0</v>
      </c>
      <c r="T78" s="24"/>
      <c r="U78" s="36">
        <f t="shared" si="88"/>
        <v>0</v>
      </c>
      <c r="V78" s="36">
        <f t="shared" si="72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2"/>
        <v>13626</v>
      </c>
      <c r="Y78" s="57">
        <f t="shared" si="48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4"/>
        <v>14930</v>
      </c>
      <c r="AN78" s="57">
        <f t="shared" si="53"/>
        <v>55600</v>
      </c>
      <c r="AO78" s="130">
        <f t="shared" si="73"/>
        <v>0</v>
      </c>
      <c r="AP78" s="109">
        <f t="shared" si="89"/>
        <v>70</v>
      </c>
      <c r="AQ78" s="110">
        <f t="shared" si="65"/>
        <v>46414</v>
      </c>
      <c r="AR78" s="177">
        <f t="shared" si="55"/>
        <v>0.155</v>
      </c>
      <c r="AS78" s="105">
        <f t="shared" si="74"/>
        <v>0</v>
      </c>
      <c r="AT78" s="105">
        <f t="shared" si="82"/>
        <v>0</v>
      </c>
      <c r="AU78" s="105">
        <f t="shared" si="83"/>
        <v>0</v>
      </c>
      <c r="AV78" s="105">
        <f t="shared" si="77"/>
        <v>0</v>
      </c>
      <c r="AW78" s="105">
        <f t="shared" si="66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5"/>
        <v>0</v>
      </c>
      <c r="BB78" s="105"/>
      <c r="BC78" s="105"/>
      <c r="BD78" s="105"/>
      <c r="BE78" s="105"/>
      <c r="BF78" s="105"/>
      <c r="BG78" s="105">
        <f t="shared" si="78"/>
        <v>0</v>
      </c>
      <c r="BH78" s="108">
        <f t="shared" si="90"/>
        <v>0</v>
      </c>
      <c r="BI78" s="108">
        <f t="shared" si="84"/>
        <v>0</v>
      </c>
      <c r="BJ78" s="22">
        <f t="shared" si="85"/>
        <v>46414</v>
      </c>
      <c r="BK78" s="108">
        <f t="shared" si="67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6"/>
        <v>71</v>
      </c>
      <c r="H79" s="111">
        <f t="shared" si="62"/>
        <v>46445</v>
      </c>
      <c r="I79" s="176">
        <f t="shared" si="79"/>
        <v>5.9000000000000004E-2</v>
      </c>
      <c r="J79" s="24">
        <f t="shared" si="68"/>
        <v>0</v>
      </c>
      <c r="K79" s="24">
        <f t="shared" si="61"/>
        <v>0</v>
      </c>
      <c r="L79" s="24">
        <f t="shared" si="63"/>
        <v>0</v>
      </c>
      <c r="M79" s="24">
        <f t="shared" si="87"/>
        <v>0</v>
      </c>
      <c r="N79" s="24">
        <f t="shared" si="64"/>
        <v>0</v>
      </c>
      <c r="O79" s="24">
        <v>0</v>
      </c>
      <c r="P79" s="24">
        <f t="shared" si="25"/>
        <v>0</v>
      </c>
      <c r="Q79" s="24">
        <f t="shared" si="36"/>
        <v>0</v>
      </c>
      <c r="R79" s="24">
        <f t="shared" si="70"/>
        <v>0</v>
      </c>
      <c r="S79" s="24">
        <f t="shared" si="81"/>
        <v>0</v>
      </c>
      <c r="T79" s="24"/>
      <c r="U79" s="36">
        <f t="shared" si="88"/>
        <v>0</v>
      </c>
      <c r="V79" s="36">
        <f t="shared" si="72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2"/>
        <v>13626</v>
      </c>
      <c r="Y79" s="57">
        <f t="shared" si="48"/>
        <v>57425</v>
      </c>
      <c r="AC79" s="143">
        <f>MIN($C$7*IF($C$7&gt;$AB$71,AC76,IF($C$7&gt;$AB$70,AC75,IF($C$7&gt;$AB$69,AC74,IF($C$7&gt;$AB$68,AC73,AC72)))),5000000)</f>
        <v>600000</v>
      </c>
      <c r="AD79" s="143">
        <f>MIN($C$7*IF($C$7&gt;$AB$72,AD77,IF($C$7&gt;$AB$71,AD76,IF($C$7&gt;$AB$70,AD75,IF($C$7&gt;$AB$69,AD74,IF($C$7&gt;$AB$68,AD73,AD72))))),5000000)</f>
        <v>625000</v>
      </c>
      <c r="AE79" s="143">
        <f>MIN(3000000,$C$7*IF($C$7&gt;=$AA$71,AE76,IF($C$7&gt;=$AA$70,AE75,IF($C$7&gt;=$AA$69,AE74,IF($C$7&gt;=$AA$68,AE73,AE72)))))</f>
        <v>750000</v>
      </c>
      <c r="AF79" s="143">
        <f>MIN(3000000,$C$7*IF($C$7&gt;=$AA$71,AF76,IF($C$7&gt;=$AA$70,AF75,IF($C$7&gt;=$AA$69,AF74,IF($C$7&gt;=$AA$68,AF73,AF72)))))</f>
        <v>650000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500000</v>
      </c>
      <c r="AI79" s="143">
        <f>$C$7*IF($C$7&gt;=$AA$71,AI76,IF($C$7&gt;=$AA$70,AI75,IF($C$7&gt;=$AA$69,AI74,IF($C$7&gt;=$AA$68,AI73,AI72))))</f>
        <v>1000000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4"/>
        <v>14930</v>
      </c>
      <c r="AN79" s="57">
        <f t="shared" si="53"/>
        <v>55965</v>
      </c>
      <c r="AO79" s="130">
        <f t="shared" si="73"/>
        <v>0</v>
      </c>
      <c r="AP79" s="109">
        <f t="shared" si="89"/>
        <v>71</v>
      </c>
      <c r="AQ79" s="110">
        <f t="shared" si="65"/>
        <v>46445</v>
      </c>
      <c r="AR79" s="177">
        <f t="shared" si="55"/>
        <v>0.155</v>
      </c>
      <c r="AS79" s="105">
        <f t="shared" si="74"/>
        <v>0</v>
      </c>
      <c r="AT79" s="105">
        <f t="shared" si="82"/>
        <v>0</v>
      </c>
      <c r="AU79" s="105">
        <f t="shared" si="83"/>
        <v>0</v>
      </c>
      <c r="AV79" s="105">
        <f t="shared" si="77"/>
        <v>0</v>
      </c>
      <c r="AW79" s="105">
        <f t="shared" si="66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5"/>
        <v>0</v>
      </c>
      <c r="BB79" s="105"/>
      <c r="BC79" s="105"/>
      <c r="BD79" s="105"/>
      <c r="BE79" s="105"/>
      <c r="BF79" s="105"/>
      <c r="BG79" s="105">
        <f t="shared" si="78"/>
        <v>0</v>
      </c>
      <c r="BH79" s="108">
        <f t="shared" si="90"/>
        <v>0</v>
      </c>
      <c r="BI79" s="108">
        <f t="shared" si="84"/>
        <v>0</v>
      </c>
      <c r="BJ79" s="22">
        <f t="shared" si="85"/>
        <v>46445</v>
      </c>
      <c r="BK79" s="108">
        <f t="shared" si="67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6"/>
        <v>72</v>
      </c>
      <c r="H80" s="111">
        <f t="shared" si="62"/>
        <v>46473</v>
      </c>
      <c r="I80" s="176">
        <f t="shared" si="79"/>
        <v>5.9000000000000004E-2</v>
      </c>
      <c r="J80" s="24">
        <f t="shared" si="68"/>
        <v>0</v>
      </c>
      <c r="K80" s="24">
        <f t="shared" si="61"/>
        <v>0</v>
      </c>
      <c r="L80" s="24">
        <f t="shared" si="63"/>
        <v>0</v>
      </c>
      <c r="M80" s="24">
        <f t="shared" si="87"/>
        <v>0</v>
      </c>
      <c r="N80" s="24">
        <f t="shared" si="64"/>
        <v>0</v>
      </c>
      <c r="O80" s="24">
        <v>0</v>
      </c>
      <c r="P80" s="24">
        <f t="shared" si="25"/>
        <v>0</v>
      </c>
      <c r="Q80" s="24">
        <f t="shared" si="36"/>
        <v>0</v>
      </c>
      <c r="R80" s="24">
        <f t="shared" si="70"/>
        <v>0</v>
      </c>
      <c r="S80" s="24">
        <f t="shared" si="81"/>
        <v>0</v>
      </c>
      <c r="T80" s="24"/>
      <c r="U80" s="36">
        <f t="shared" si="88"/>
        <v>0</v>
      </c>
      <c r="V80" s="36">
        <f t="shared" si="72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2"/>
        <v>12974</v>
      </c>
      <c r="Y80" s="57">
        <f t="shared" si="48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4"/>
        <v>14930</v>
      </c>
      <c r="AN80" s="57">
        <f t="shared" si="53"/>
        <v>56330</v>
      </c>
      <c r="AO80" s="130">
        <f t="shared" si="73"/>
        <v>0</v>
      </c>
      <c r="AP80" s="109">
        <f t="shared" si="89"/>
        <v>72</v>
      </c>
      <c r="AQ80" s="110">
        <f t="shared" si="65"/>
        <v>46473</v>
      </c>
      <c r="AR80" s="177">
        <f t="shared" si="55"/>
        <v>0.155</v>
      </c>
      <c r="AS80" s="105">
        <f t="shared" si="74"/>
        <v>0</v>
      </c>
      <c r="AT80" s="105">
        <f t="shared" si="82"/>
        <v>0</v>
      </c>
      <c r="AU80" s="105">
        <f t="shared" si="83"/>
        <v>0</v>
      </c>
      <c r="AV80" s="105">
        <f t="shared" si="77"/>
        <v>0</v>
      </c>
      <c r="AW80" s="105">
        <f t="shared" si="66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5"/>
        <v>0</v>
      </c>
      <c r="BB80" s="105"/>
      <c r="BC80" s="105"/>
      <c r="BD80" s="105"/>
      <c r="BE80" s="105"/>
      <c r="BF80" s="105"/>
      <c r="BG80" s="105">
        <f t="shared" si="78"/>
        <v>0</v>
      </c>
      <c r="BH80" s="108">
        <f t="shared" si="90"/>
        <v>0</v>
      </c>
      <c r="BI80" s="108">
        <f t="shared" si="84"/>
        <v>0</v>
      </c>
      <c r="BJ80" s="22">
        <f t="shared" si="85"/>
        <v>46473</v>
      </c>
      <c r="BK80" s="108">
        <f t="shared" si="67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6"/>
        <v>73</v>
      </c>
      <c r="H81" s="111">
        <f t="shared" si="62"/>
        <v>46504</v>
      </c>
      <c r="I81" s="176">
        <f t="shared" si="79"/>
        <v>5.9000000000000004E-2</v>
      </c>
      <c r="J81" s="24">
        <f t="shared" si="68"/>
        <v>0</v>
      </c>
      <c r="K81" s="24">
        <f t="shared" si="61"/>
        <v>0</v>
      </c>
      <c r="L81" s="24">
        <f t="shared" si="63"/>
        <v>0</v>
      </c>
      <c r="M81" s="24">
        <f t="shared" si="87"/>
        <v>0</v>
      </c>
      <c r="N81" s="24">
        <f t="shared" si="64"/>
        <v>0</v>
      </c>
      <c r="O81" s="24">
        <v>0</v>
      </c>
      <c r="P81" s="24">
        <f t="shared" si="25"/>
        <v>0</v>
      </c>
      <c r="Q81" s="24">
        <f t="shared" si="36"/>
        <v>0</v>
      </c>
      <c r="R81" s="24">
        <f t="shared" si="70"/>
        <v>0</v>
      </c>
      <c r="S81" s="24">
        <f t="shared" si="81"/>
        <v>0</v>
      </c>
      <c r="T81" s="24"/>
      <c r="U81" s="36">
        <f t="shared" si="88"/>
        <v>0</v>
      </c>
      <c r="V81" s="36">
        <f t="shared" si="72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2"/>
        <v>12974</v>
      </c>
      <c r="Y81" s="57">
        <f t="shared" si="48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4"/>
        <v>14930</v>
      </c>
      <c r="AN81" s="57">
        <f t="shared" si="53"/>
        <v>56695</v>
      </c>
      <c r="AO81" s="130">
        <f t="shared" si="73"/>
        <v>0</v>
      </c>
      <c r="AP81" s="109">
        <f t="shared" si="89"/>
        <v>73</v>
      </c>
      <c r="AQ81" s="110">
        <f t="shared" si="65"/>
        <v>46504</v>
      </c>
      <c r="AR81" s="177">
        <f t="shared" si="55"/>
        <v>0.155</v>
      </c>
      <c r="AS81" s="105">
        <f t="shared" si="74"/>
        <v>0</v>
      </c>
      <c r="AT81" s="105">
        <f t="shared" si="82"/>
        <v>0</v>
      </c>
      <c r="AU81" s="105">
        <f t="shared" si="83"/>
        <v>0</v>
      </c>
      <c r="AV81" s="105">
        <f t="shared" si="77"/>
        <v>0</v>
      </c>
      <c r="AW81" s="105">
        <f t="shared" si="66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5"/>
        <v>0</v>
      </c>
      <c r="BB81" s="105"/>
      <c r="BC81" s="105"/>
      <c r="BD81" s="105"/>
      <c r="BE81" s="105"/>
      <c r="BF81" s="105"/>
      <c r="BG81" s="105">
        <f t="shared" si="78"/>
        <v>0</v>
      </c>
      <c r="BH81" s="108">
        <f t="shared" si="90"/>
        <v>0</v>
      </c>
      <c r="BI81" s="108">
        <f t="shared" si="84"/>
        <v>0</v>
      </c>
      <c r="BJ81" s="22">
        <f t="shared" si="85"/>
        <v>46504</v>
      </c>
      <c r="BK81" s="108">
        <f t="shared" si="67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6"/>
        <v>74</v>
      </c>
      <c r="H82" s="111">
        <f t="shared" si="62"/>
        <v>46534</v>
      </c>
      <c r="I82" s="176">
        <f t="shared" si="79"/>
        <v>5.9000000000000004E-2</v>
      </c>
      <c r="J82" s="24">
        <f t="shared" si="68"/>
        <v>0</v>
      </c>
      <c r="K82" s="24">
        <f t="shared" si="61"/>
        <v>0</v>
      </c>
      <c r="L82" s="24">
        <f t="shared" si="63"/>
        <v>0</v>
      </c>
      <c r="M82" s="24">
        <f t="shared" si="87"/>
        <v>0</v>
      </c>
      <c r="N82" s="24">
        <f t="shared" si="64"/>
        <v>0</v>
      </c>
      <c r="O82" s="24">
        <v>0</v>
      </c>
      <c r="P82" s="24">
        <f t="shared" si="25"/>
        <v>0</v>
      </c>
      <c r="Q82" s="24">
        <f t="shared" si="36"/>
        <v>0</v>
      </c>
      <c r="R82" s="24">
        <f t="shared" si="70"/>
        <v>0</v>
      </c>
      <c r="S82" s="24">
        <f t="shared" si="81"/>
        <v>0</v>
      </c>
      <c r="T82" s="24"/>
      <c r="U82" s="36">
        <f t="shared" si="88"/>
        <v>0</v>
      </c>
      <c r="V82" s="36">
        <f t="shared" si="72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2"/>
        <v>12974</v>
      </c>
      <c r="Y82" s="57">
        <f t="shared" si="48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4"/>
        <v>14930</v>
      </c>
      <c r="AN82" s="57">
        <f t="shared" si="53"/>
        <v>57060</v>
      </c>
      <c r="AO82" s="130">
        <f t="shared" si="73"/>
        <v>0</v>
      </c>
      <c r="AP82" s="109">
        <f t="shared" si="89"/>
        <v>74</v>
      </c>
      <c r="AQ82" s="110">
        <f t="shared" si="65"/>
        <v>46534</v>
      </c>
      <c r="AR82" s="177">
        <f t="shared" si="55"/>
        <v>0.155</v>
      </c>
      <c r="AS82" s="105">
        <f t="shared" si="74"/>
        <v>0</v>
      </c>
      <c r="AT82" s="105">
        <f t="shared" si="82"/>
        <v>0</v>
      </c>
      <c r="AU82" s="105">
        <f t="shared" si="83"/>
        <v>0</v>
      </c>
      <c r="AV82" s="105">
        <f t="shared" si="77"/>
        <v>0</v>
      </c>
      <c r="AW82" s="105">
        <f t="shared" si="66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5"/>
        <v>0</v>
      </c>
      <c r="BB82" s="105"/>
      <c r="BC82" s="105"/>
      <c r="BD82" s="105"/>
      <c r="BE82" s="105"/>
      <c r="BF82" s="105"/>
      <c r="BG82" s="105">
        <f t="shared" si="78"/>
        <v>0</v>
      </c>
      <c r="BH82" s="108">
        <f t="shared" si="90"/>
        <v>0</v>
      </c>
      <c r="BI82" s="108">
        <f t="shared" si="84"/>
        <v>0</v>
      </c>
      <c r="BJ82" s="22">
        <f t="shared" si="85"/>
        <v>46534</v>
      </c>
      <c r="BK82" s="108">
        <f t="shared" si="67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6"/>
        <v>75</v>
      </c>
      <c r="H83" s="111">
        <f t="shared" si="62"/>
        <v>46565</v>
      </c>
      <c r="I83" s="176">
        <f t="shared" si="79"/>
        <v>5.9000000000000004E-2</v>
      </c>
      <c r="J83" s="24">
        <f t="shared" si="68"/>
        <v>0</v>
      </c>
      <c r="K83" s="24">
        <f t="shared" si="61"/>
        <v>0</v>
      </c>
      <c r="L83" s="24">
        <f t="shared" si="63"/>
        <v>0</v>
      </c>
      <c r="M83" s="24">
        <f t="shared" si="87"/>
        <v>0</v>
      </c>
      <c r="N83" s="24">
        <f t="shared" si="64"/>
        <v>0</v>
      </c>
      <c r="O83" s="24">
        <v>0</v>
      </c>
      <c r="P83" s="24">
        <f t="shared" si="25"/>
        <v>0</v>
      </c>
      <c r="Q83" s="24">
        <f t="shared" si="36"/>
        <v>0</v>
      </c>
      <c r="R83" s="24">
        <f t="shared" si="70"/>
        <v>0</v>
      </c>
      <c r="S83" s="24">
        <f t="shared" si="81"/>
        <v>0</v>
      </c>
      <c r="T83" s="24"/>
      <c r="U83" s="36">
        <f t="shared" si="88"/>
        <v>0</v>
      </c>
      <c r="V83" s="36">
        <f t="shared" si="72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2"/>
        <v>12974</v>
      </c>
      <c r="Y83" s="57">
        <f t="shared" si="48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4"/>
        <v>14930</v>
      </c>
      <c r="AN83" s="57">
        <f t="shared" si="53"/>
        <v>57425</v>
      </c>
      <c r="AO83" s="130">
        <f t="shared" si="73"/>
        <v>0</v>
      </c>
      <c r="AP83" s="109">
        <f t="shared" si="89"/>
        <v>75</v>
      </c>
      <c r="AQ83" s="110">
        <f t="shared" si="65"/>
        <v>46565</v>
      </c>
      <c r="AR83" s="177">
        <f t="shared" si="55"/>
        <v>0.155</v>
      </c>
      <c r="AS83" s="105">
        <f t="shared" si="74"/>
        <v>0</v>
      </c>
      <c r="AT83" s="105">
        <f t="shared" si="82"/>
        <v>0</v>
      </c>
      <c r="AU83" s="105">
        <f t="shared" si="83"/>
        <v>0</v>
      </c>
      <c r="AV83" s="105">
        <f t="shared" si="77"/>
        <v>0</v>
      </c>
      <c r="AW83" s="105">
        <f t="shared" si="66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5"/>
        <v>0</v>
      </c>
      <c r="BB83" s="105"/>
      <c r="BC83" s="105"/>
      <c r="BD83" s="105"/>
      <c r="BE83" s="105"/>
      <c r="BF83" s="105"/>
      <c r="BG83" s="105">
        <f t="shared" si="78"/>
        <v>0</v>
      </c>
      <c r="BH83" s="108">
        <f t="shared" si="90"/>
        <v>0</v>
      </c>
      <c r="BI83" s="108">
        <f t="shared" si="84"/>
        <v>0</v>
      </c>
      <c r="BJ83" s="22">
        <f t="shared" si="85"/>
        <v>46565</v>
      </c>
      <c r="BK83" s="108">
        <f t="shared" si="67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6"/>
        <v>76</v>
      </c>
      <c r="H84" s="111">
        <f t="shared" si="62"/>
        <v>46595</v>
      </c>
      <c r="I84" s="176">
        <f t="shared" si="79"/>
        <v>5.9000000000000004E-2</v>
      </c>
      <c r="J84" s="24">
        <f t="shared" si="68"/>
        <v>0</v>
      </c>
      <c r="K84" s="24">
        <f t="shared" si="61"/>
        <v>0</v>
      </c>
      <c r="L84" s="24">
        <f t="shared" si="63"/>
        <v>0</v>
      </c>
      <c r="M84" s="24">
        <f t="shared" si="87"/>
        <v>0</v>
      </c>
      <c r="N84" s="24">
        <f t="shared" si="64"/>
        <v>0</v>
      </c>
      <c r="O84" s="24">
        <v>0</v>
      </c>
      <c r="P84" s="24">
        <f t="shared" si="25"/>
        <v>0</v>
      </c>
      <c r="Q84" s="24">
        <f t="shared" si="36"/>
        <v>0</v>
      </c>
      <c r="R84" s="24">
        <f t="shared" si="70"/>
        <v>0</v>
      </c>
      <c r="S84" s="24">
        <f t="shared" si="81"/>
        <v>0</v>
      </c>
      <c r="T84" s="24"/>
      <c r="U84" s="36">
        <f t="shared" si="88"/>
        <v>0</v>
      </c>
      <c r="V84" s="36">
        <f t="shared" si="72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2"/>
        <v>12974</v>
      </c>
      <c r="Y84" s="57">
        <f t="shared" si="48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4"/>
        <v>14930</v>
      </c>
      <c r="AN84" s="57">
        <f t="shared" si="53"/>
        <v>57790</v>
      </c>
      <c r="AO84" s="130">
        <f t="shared" si="73"/>
        <v>0</v>
      </c>
      <c r="AP84" s="109">
        <f t="shared" si="89"/>
        <v>76</v>
      </c>
      <c r="AQ84" s="110">
        <f t="shared" si="65"/>
        <v>46595</v>
      </c>
      <c r="AR84" s="177">
        <f t="shared" si="55"/>
        <v>0.155</v>
      </c>
      <c r="AS84" s="105">
        <f t="shared" si="74"/>
        <v>0</v>
      </c>
      <c r="AT84" s="105">
        <f t="shared" si="82"/>
        <v>0</v>
      </c>
      <c r="AU84" s="105">
        <f t="shared" si="83"/>
        <v>0</v>
      </c>
      <c r="AV84" s="105">
        <f t="shared" si="77"/>
        <v>0</v>
      </c>
      <c r="AW84" s="105">
        <f t="shared" si="66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2">IF(BI90=0,0,0)</f>
        <v>0</v>
      </c>
      <c r="BB84" s="105"/>
      <c r="BC84" s="105"/>
      <c r="BD84" s="105"/>
      <c r="BE84" s="105"/>
      <c r="BF84" s="105"/>
      <c r="BG84" s="105">
        <f t="shared" si="78"/>
        <v>0</v>
      </c>
      <c r="BH84" s="108">
        <f t="shared" si="90"/>
        <v>0</v>
      </c>
      <c r="BI84" s="108">
        <f t="shared" si="84"/>
        <v>0</v>
      </c>
      <c r="BJ84" s="22">
        <f t="shared" si="85"/>
        <v>46595</v>
      </c>
      <c r="BK84" s="108">
        <f t="shared" si="67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6"/>
        <v>77</v>
      </c>
      <c r="H85" s="111">
        <f t="shared" si="62"/>
        <v>46626</v>
      </c>
      <c r="I85" s="176">
        <f t="shared" si="79"/>
        <v>5.9000000000000004E-2</v>
      </c>
      <c r="J85" s="24">
        <f t="shared" si="68"/>
        <v>0</v>
      </c>
      <c r="K85" s="24">
        <f t="shared" si="61"/>
        <v>0</v>
      </c>
      <c r="L85" s="24">
        <f t="shared" si="63"/>
        <v>0</v>
      </c>
      <c r="M85" s="24">
        <f t="shared" si="87"/>
        <v>0</v>
      </c>
      <c r="N85" s="24">
        <f t="shared" si="64"/>
        <v>0</v>
      </c>
      <c r="O85" s="24">
        <v>0</v>
      </c>
      <c r="P85" s="24">
        <f t="shared" si="25"/>
        <v>0</v>
      </c>
      <c r="Q85" s="24">
        <f t="shared" ref="Q85:Q108" si="93">IF(V85=0,0,0)</f>
        <v>0</v>
      </c>
      <c r="R85" s="24">
        <f t="shared" si="70"/>
        <v>0</v>
      </c>
      <c r="S85" s="24">
        <f t="shared" si="81"/>
        <v>0</v>
      </c>
      <c r="T85" s="24"/>
      <c r="U85" s="36">
        <f t="shared" si="88"/>
        <v>0</v>
      </c>
      <c r="V85" s="36">
        <f t="shared" si="72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2"/>
        <v>12974</v>
      </c>
      <c r="Y85" s="57">
        <f t="shared" si="48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4"/>
        <v>14930</v>
      </c>
      <c r="AN85" s="57">
        <f t="shared" si="53"/>
        <v>58155</v>
      </c>
      <c r="AO85" s="130">
        <f t="shared" si="73"/>
        <v>0</v>
      </c>
      <c r="AP85" s="109">
        <f t="shared" si="89"/>
        <v>77</v>
      </c>
      <c r="AQ85" s="110">
        <f t="shared" si="65"/>
        <v>46626</v>
      </c>
      <c r="AR85" s="177">
        <f t="shared" si="55"/>
        <v>0.155</v>
      </c>
      <c r="AS85" s="105">
        <f t="shared" si="74"/>
        <v>0</v>
      </c>
      <c r="AT85" s="105">
        <f t="shared" si="82"/>
        <v>0</v>
      </c>
      <c r="AU85" s="105">
        <f t="shared" si="83"/>
        <v>0</v>
      </c>
      <c r="AV85" s="105">
        <f t="shared" si="77"/>
        <v>0</v>
      </c>
      <c r="AW85" s="105">
        <f t="shared" si="66"/>
        <v>0</v>
      </c>
      <c r="AX85" s="105">
        <v>0</v>
      </c>
      <c r="AY85" s="105">
        <f t="shared" si="22"/>
        <v>0</v>
      </c>
      <c r="AZ85" s="105">
        <f t="shared" ref="AZ85:AZ108" si="94">IF(BI91=0,0,0)</f>
        <v>0</v>
      </c>
      <c r="BA85" s="105">
        <f t="shared" si="92"/>
        <v>0</v>
      </c>
      <c r="BB85" s="105"/>
      <c r="BC85" s="105"/>
      <c r="BD85" s="105"/>
      <c r="BE85" s="105"/>
      <c r="BF85" s="105"/>
      <c r="BG85" s="105">
        <f t="shared" si="78"/>
        <v>0</v>
      </c>
      <c r="BH85" s="108">
        <f t="shared" si="90"/>
        <v>0</v>
      </c>
      <c r="BI85" s="108">
        <f t="shared" si="84"/>
        <v>0</v>
      </c>
      <c r="BJ85" s="22">
        <f t="shared" si="85"/>
        <v>46626</v>
      </c>
      <c r="BK85" s="108">
        <f t="shared" si="67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6"/>
        <v>78</v>
      </c>
      <c r="H86" s="111">
        <f t="shared" si="62"/>
        <v>46657</v>
      </c>
      <c r="I86" s="176">
        <f t="shared" si="79"/>
        <v>5.9000000000000004E-2</v>
      </c>
      <c r="J86" s="24">
        <f t="shared" si="68"/>
        <v>0</v>
      </c>
      <c r="K86" s="24">
        <f t="shared" si="61"/>
        <v>0</v>
      </c>
      <c r="L86" s="24">
        <f t="shared" si="63"/>
        <v>0</v>
      </c>
      <c r="M86" s="24">
        <f t="shared" si="87"/>
        <v>0</v>
      </c>
      <c r="N86" s="24">
        <f t="shared" si="64"/>
        <v>0</v>
      </c>
      <c r="O86" s="24">
        <v>0</v>
      </c>
      <c r="P86" s="24">
        <f t="shared" ref="P86:P108" si="95">L86+Q86</f>
        <v>0</v>
      </c>
      <c r="Q86" s="24">
        <f t="shared" si="93"/>
        <v>0</v>
      </c>
      <c r="R86" s="24">
        <f t="shared" si="70"/>
        <v>0</v>
      </c>
      <c r="S86" s="24">
        <f t="shared" si="81"/>
        <v>0</v>
      </c>
      <c r="T86" s="24"/>
      <c r="U86" s="36">
        <f t="shared" si="88"/>
        <v>0</v>
      </c>
      <c r="V86" s="36">
        <f t="shared" si="72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2"/>
        <v>12974</v>
      </c>
      <c r="Y86" s="57">
        <f t="shared" si="48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4"/>
        <v>14930</v>
      </c>
      <c r="AN86" s="57">
        <f t="shared" si="53"/>
        <v>58520</v>
      </c>
      <c r="AO86" s="130">
        <f t="shared" si="73"/>
        <v>0</v>
      </c>
      <c r="AP86" s="109">
        <f t="shared" si="89"/>
        <v>78</v>
      </c>
      <c r="AQ86" s="110">
        <f t="shared" si="65"/>
        <v>46657</v>
      </c>
      <c r="AR86" s="177">
        <f t="shared" si="55"/>
        <v>0.155</v>
      </c>
      <c r="AS86" s="105">
        <f t="shared" si="74"/>
        <v>0</v>
      </c>
      <c r="AT86" s="105">
        <f t="shared" si="82"/>
        <v>0</v>
      </c>
      <c r="AU86" s="105">
        <f t="shared" si="83"/>
        <v>0</v>
      </c>
      <c r="AV86" s="105">
        <f t="shared" si="77"/>
        <v>0</v>
      </c>
      <c r="AW86" s="105">
        <f t="shared" si="66"/>
        <v>0</v>
      </c>
      <c r="AX86" s="105">
        <v>0</v>
      </c>
      <c r="AY86" s="105">
        <f t="shared" ref="AY86:AY108" si="96">AU86+AZ86</f>
        <v>0</v>
      </c>
      <c r="AZ86" s="105">
        <f t="shared" si="94"/>
        <v>0</v>
      </c>
      <c r="BA86" s="105">
        <f t="shared" si="92"/>
        <v>0</v>
      </c>
      <c r="BB86" s="105"/>
      <c r="BC86" s="105"/>
      <c r="BD86" s="105"/>
      <c r="BE86" s="105"/>
      <c r="BF86" s="105"/>
      <c r="BG86" s="105">
        <f t="shared" si="78"/>
        <v>0</v>
      </c>
      <c r="BH86" s="108">
        <f t="shared" si="90"/>
        <v>0</v>
      </c>
      <c r="BI86" s="108">
        <f t="shared" si="84"/>
        <v>0</v>
      </c>
      <c r="BJ86" s="22">
        <f t="shared" si="85"/>
        <v>46657</v>
      </c>
      <c r="BK86" s="108">
        <f t="shared" si="67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6"/>
        <v>79</v>
      </c>
      <c r="H87" s="111">
        <f t="shared" si="62"/>
        <v>46687</v>
      </c>
      <c r="I87" s="176">
        <f t="shared" si="79"/>
        <v>5.9000000000000004E-2</v>
      </c>
      <c r="J87" s="24">
        <f t="shared" si="68"/>
        <v>0</v>
      </c>
      <c r="K87" s="24">
        <f t="shared" si="61"/>
        <v>0</v>
      </c>
      <c r="L87" s="24">
        <f t="shared" si="63"/>
        <v>0</v>
      </c>
      <c r="M87" s="24">
        <f t="shared" si="87"/>
        <v>0</v>
      </c>
      <c r="N87" s="24">
        <f t="shared" si="64"/>
        <v>0</v>
      </c>
      <c r="O87" s="24">
        <v>0</v>
      </c>
      <c r="P87" s="24">
        <f t="shared" si="95"/>
        <v>0</v>
      </c>
      <c r="Q87" s="24">
        <f t="shared" si="93"/>
        <v>0</v>
      </c>
      <c r="R87" s="24">
        <f t="shared" si="70"/>
        <v>0</v>
      </c>
      <c r="S87" s="24">
        <f t="shared" si="81"/>
        <v>0</v>
      </c>
      <c r="T87" s="24"/>
      <c r="U87" s="36">
        <f t="shared" si="88"/>
        <v>0</v>
      </c>
      <c r="V87" s="36">
        <f t="shared" si="72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2"/>
        <v>12974</v>
      </c>
      <c r="Y87" s="57">
        <f t="shared" si="48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4"/>
        <v>14930</v>
      </c>
      <c r="AN87" s="57">
        <f t="shared" si="53"/>
        <v>58885</v>
      </c>
      <c r="AO87" s="130">
        <f t="shared" si="73"/>
        <v>0</v>
      </c>
      <c r="AP87" s="109">
        <f t="shared" si="89"/>
        <v>79</v>
      </c>
      <c r="AQ87" s="110">
        <f t="shared" si="65"/>
        <v>46687</v>
      </c>
      <c r="AR87" s="177">
        <f t="shared" si="55"/>
        <v>0.155</v>
      </c>
      <c r="AS87" s="105">
        <f t="shared" si="74"/>
        <v>0</v>
      </c>
      <c r="AT87" s="105">
        <f t="shared" si="82"/>
        <v>0</v>
      </c>
      <c r="AU87" s="105">
        <f t="shared" si="83"/>
        <v>0</v>
      </c>
      <c r="AV87" s="105">
        <f t="shared" si="77"/>
        <v>0</v>
      </c>
      <c r="AW87" s="105">
        <f t="shared" si="66"/>
        <v>0</v>
      </c>
      <c r="AX87" s="105">
        <v>0</v>
      </c>
      <c r="AY87" s="105">
        <f t="shared" si="96"/>
        <v>0</v>
      </c>
      <c r="AZ87" s="105">
        <f t="shared" si="94"/>
        <v>0</v>
      </c>
      <c r="BA87" s="105">
        <f t="shared" si="92"/>
        <v>0</v>
      </c>
      <c r="BB87" s="105"/>
      <c r="BC87" s="105"/>
      <c r="BD87" s="105"/>
      <c r="BE87" s="105"/>
      <c r="BF87" s="105"/>
      <c r="BG87" s="105">
        <f t="shared" si="78"/>
        <v>0</v>
      </c>
      <c r="BH87" s="108">
        <f t="shared" si="90"/>
        <v>0</v>
      </c>
      <c r="BI87" s="108">
        <f t="shared" si="84"/>
        <v>0</v>
      </c>
      <c r="BJ87" s="22">
        <f t="shared" si="85"/>
        <v>46687</v>
      </c>
      <c r="BK87" s="108">
        <f t="shared" si="67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6"/>
        <v>80</v>
      </c>
      <c r="H88" s="111">
        <f t="shared" si="62"/>
        <v>46718</v>
      </c>
      <c r="I88" s="176">
        <f t="shared" si="79"/>
        <v>5.9000000000000004E-2</v>
      </c>
      <c r="J88" s="24">
        <f t="shared" si="68"/>
        <v>0</v>
      </c>
      <c r="K88" s="24">
        <f t="shared" si="61"/>
        <v>0</v>
      </c>
      <c r="L88" s="24">
        <f t="shared" si="63"/>
        <v>0</v>
      </c>
      <c r="M88" s="24">
        <f t="shared" si="87"/>
        <v>0</v>
      </c>
      <c r="N88" s="24">
        <f t="shared" si="64"/>
        <v>0</v>
      </c>
      <c r="O88" s="24">
        <v>0</v>
      </c>
      <c r="P88" s="24">
        <f t="shared" si="95"/>
        <v>0</v>
      </c>
      <c r="Q88" s="24">
        <f t="shared" si="93"/>
        <v>0</v>
      </c>
      <c r="R88" s="24">
        <f t="shared" si="70"/>
        <v>0</v>
      </c>
      <c r="S88" s="24">
        <f t="shared" si="81"/>
        <v>0</v>
      </c>
      <c r="T88" s="24"/>
      <c r="U88" s="36">
        <f t="shared" si="88"/>
        <v>0</v>
      </c>
      <c r="V88" s="36">
        <f t="shared" si="72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2"/>
        <v>12974</v>
      </c>
      <c r="Y88" s="57">
        <f t="shared" si="48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4"/>
        <v>14930</v>
      </c>
      <c r="AN88" s="57">
        <f t="shared" si="53"/>
        <v>59250</v>
      </c>
      <c r="AO88" s="130">
        <f t="shared" si="73"/>
        <v>0</v>
      </c>
      <c r="AP88" s="109">
        <f t="shared" si="89"/>
        <v>80</v>
      </c>
      <c r="AQ88" s="110">
        <f t="shared" si="65"/>
        <v>46718</v>
      </c>
      <c r="AR88" s="177">
        <f t="shared" si="55"/>
        <v>0.155</v>
      </c>
      <c r="AS88" s="105">
        <f t="shared" si="74"/>
        <v>0</v>
      </c>
      <c r="AT88" s="105">
        <f t="shared" si="82"/>
        <v>0</v>
      </c>
      <c r="AU88" s="105">
        <f t="shared" si="83"/>
        <v>0</v>
      </c>
      <c r="AV88" s="105">
        <f t="shared" si="77"/>
        <v>0</v>
      </c>
      <c r="AW88" s="105">
        <f t="shared" si="66"/>
        <v>0</v>
      </c>
      <c r="AX88" s="105">
        <v>0</v>
      </c>
      <c r="AY88" s="105">
        <f t="shared" si="96"/>
        <v>0</v>
      </c>
      <c r="AZ88" s="105">
        <f t="shared" si="94"/>
        <v>0</v>
      </c>
      <c r="BA88" s="105">
        <f t="shared" si="92"/>
        <v>0</v>
      </c>
      <c r="BB88" s="105"/>
      <c r="BC88" s="105"/>
      <c r="BD88" s="105"/>
      <c r="BE88" s="105"/>
      <c r="BF88" s="105"/>
      <c r="BG88" s="105">
        <f t="shared" si="78"/>
        <v>0</v>
      </c>
      <c r="BH88" s="108">
        <f t="shared" si="90"/>
        <v>0</v>
      </c>
      <c r="BI88" s="108">
        <f t="shared" si="84"/>
        <v>0</v>
      </c>
      <c r="BJ88" s="22">
        <f t="shared" si="85"/>
        <v>46718</v>
      </c>
      <c r="BK88" s="108">
        <f t="shared" si="67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6"/>
        <v>81</v>
      </c>
      <c r="H89" s="111">
        <f t="shared" si="62"/>
        <v>46748</v>
      </c>
      <c r="I89" s="176">
        <f t="shared" si="79"/>
        <v>5.9000000000000004E-2</v>
      </c>
      <c r="J89" s="24">
        <f t="shared" si="68"/>
        <v>0</v>
      </c>
      <c r="K89" s="24">
        <f t="shared" si="61"/>
        <v>0</v>
      </c>
      <c r="L89" s="24">
        <f t="shared" si="63"/>
        <v>0</v>
      </c>
      <c r="M89" s="24">
        <f t="shared" si="87"/>
        <v>0</v>
      </c>
      <c r="N89" s="24">
        <f t="shared" si="64"/>
        <v>0</v>
      </c>
      <c r="O89" s="24">
        <v>0</v>
      </c>
      <c r="P89" s="24">
        <f t="shared" si="95"/>
        <v>0</v>
      </c>
      <c r="Q89" s="24">
        <f t="shared" si="93"/>
        <v>0</v>
      </c>
      <c r="R89" s="24">
        <f t="shared" si="70"/>
        <v>0</v>
      </c>
      <c r="S89" s="24">
        <f t="shared" si="81"/>
        <v>0</v>
      </c>
      <c r="T89" s="24"/>
      <c r="U89" s="36">
        <f t="shared" si="88"/>
        <v>0</v>
      </c>
      <c r="V89" s="36">
        <f t="shared" si="72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2"/>
        <v>12974</v>
      </c>
      <c r="Y89" s="57">
        <f t="shared" si="48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4"/>
        <v>14930</v>
      </c>
      <c r="AN89" s="57">
        <f t="shared" si="53"/>
        <v>59615</v>
      </c>
      <c r="AO89" s="130">
        <f t="shared" si="73"/>
        <v>0</v>
      </c>
      <c r="AP89" s="109">
        <f t="shared" si="89"/>
        <v>81</v>
      </c>
      <c r="AQ89" s="110">
        <f t="shared" si="65"/>
        <v>46748</v>
      </c>
      <c r="AR89" s="177">
        <f t="shared" si="55"/>
        <v>0.155</v>
      </c>
      <c r="AS89" s="105">
        <f t="shared" si="74"/>
        <v>0</v>
      </c>
      <c r="AT89" s="105">
        <f t="shared" si="82"/>
        <v>0</v>
      </c>
      <c r="AU89" s="105">
        <f t="shared" si="83"/>
        <v>0</v>
      </c>
      <c r="AV89" s="105">
        <f t="shared" si="77"/>
        <v>0</v>
      </c>
      <c r="AW89" s="105">
        <f t="shared" si="66"/>
        <v>0</v>
      </c>
      <c r="AX89" s="105">
        <v>0</v>
      </c>
      <c r="AY89" s="105">
        <f t="shared" si="96"/>
        <v>0</v>
      </c>
      <c r="AZ89" s="105">
        <f t="shared" si="94"/>
        <v>0</v>
      </c>
      <c r="BA89" s="105">
        <f t="shared" si="92"/>
        <v>0</v>
      </c>
      <c r="BB89" s="105"/>
      <c r="BC89" s="105"/>
      <c r="BD89" s="105"/>
      <c r="BE89" s="105"/>
      <c r="BF89" s="105"/>
      <c r="BG89" s="105">
        <f t="shared" si="78"/>
        <v>0</v>
      </c>
      <c r="BH89" s="108">
        <f t="shared" si="90"/>
        <v>0</v>
      </c>
      <c r="BI89" s="108">
        <f t="shared" si="84"/>
        <v>0</v>
      </c>
      <c r="BJ89" s="22">
        <f t="shared" si="85"/>
        <v>46748</v>
      </c>
      <c r="BK89" s="108">
        <f t="shared" si="67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6"/>
        <v>82</v>
      </c>
      <c r="H90" s="111">
        <f t="shared" si="62"/>
        <v>46779</v>
      </c>
      <c r="I90" s="176">
        <f t="shared" si="79"/>
        <v>5.9000000000000004E-2</v>
      </c>
      <c r="J90" s="24">
        <f t="shared" si="68"/>
        <v>0</v>
      </c>
      <c r="K90" s="24">
        <f t="shared" si="61"/>
        <v>0</v>
      </c>
      <c r="L90" s="24">
        <f t="shared" si="63"/>
        <v>0</v>
      </c>
      <c r="M90" s="24">
        <f t="shared" si="87"/>
        <v>0</v>
      </c>
      <c r="N90" s="24">
        <f t="shared" si="64"/>
        <v>0</v>
      </c>
      <c r="O90" s="24">
        <v>0</v>
      </c>
      <c r="P90" s="24">
        <f t="shared" si="95"/>
        <v>0</v>
      </c>
      <c r="Q90" s="24">
        <f t="shared" si="93"/>
        <v>0</v>
      </c>
      <c r="R90" s="24">
        <f t="shared" si="70"/>
        <v>0</v>
      </c>
      <c r="S90" s="24">
        <f t="shared" si="81"/>
        <v>0</v>
      </c>
      <c r="T90" s="24"/>
      <c r="U90" s="36">
        <f t="shared" si="88"/>
        <v>0</v>
      </c>
      <c r="V90" s="36">
        <f t="shared" si="72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2"/>
        <v>12974</v>
      </c>
      <c r="Y90" s="57">
        <f t="shared" si="48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4"/>
        <v>14930</v>
      </c>
      <c r="AN90" s="57">
        <f t="shared" si="53"/>
        <v>59980</v>
      </c>
      <c r="AO90" s="130">
        <f t="shared" si="73"/>
        <v>0</v>
      </c>
      <c r="AP90" s="109">
        <f t="shared" si="89"/>
        <v>82</v>
      </c>
      <c r="AQ90" s="110">
        <f t="shared" si="65"/>
        <v>46779</v>
      </c>
      <c r="AR90" s="177">
        <f t="shared" si="55"/>
        <v>0.155</v>
      </c>
      <c r="AS90" s="105">
        <f t="shared" si="74"/>
        <v>0</v>
      </c>
      <c r="AT90" s="105">
        <f t="shared" si="82"/>
        <v>0</v>
      </c>
      <c r="AU90" s="105">
        <f t="shared" si="83"/>
        <v>0</v>
      </c>
      <c r="AV90" s="105">
        <f t="shared" si="77"/>
        <v>0</v>
      </c>
      <c r="AW90" s="105">
        <f t="shared" si="66"/>
        <v>0</v>
      </c>
      <c r="AX90" s="105">
        <v>0</v>
      </c>
      <c r="AY90" s="105">
        <f t="shared" si="96"/>
        <v>0</v>
      </c>
      <c r="AZ90" s="105">
        <f t="shared" si="94"/>
        <v>0</v>
      </c>
      <c r="BA90" s="105">
        <f t="shared" si="92"/>
        <v>0</v>
      </c>
      <c r="BB90" s="105"/>
      <c r="BC90" s="105"/>
      <c r="BD90" s="105"/>
      <c r="BE90" s="105"/>
      <c r="BF90" s="105"/>
      <c r="BG90" s="105">
        <f t="shared" si="78"/>
        <v>0</v>
      </c>
      <c r="BH90" s="108">
        <f t="shared" si="90"/>
        <v>0</v>
      </c>
      <c r="BI90" s="108">
        <f t="shared" si="84"/>
        <v>0</v>
      </c>
      <c r="BJ90" s="22">
        <f t="shared" si="85"/>
        <v>46779</v>
      </c>
      <c r="BK90" s="108">
        <f t="shared" si="67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6"/>
        <v>83</v>
      </c>
      <c r="H91" s="111">
        <f t="shared" si="62"/>
        <v>46810</v>
      </c>
      <c r="I91" s="176">
        <f t="shared" si="79"/>
        <v>5.9000000000000004E-2</v>
      </c>
      <c r="J91" s="24">
        <f t="shared" si="68"/>
        <v>0</v>
      </c>
      <c r="K91" s="24">
        <f t="shared" si="61"/>
        <v>0</v>
      </c>
      <c r="L91" s="24">
        <f t="shared" si="63"/>
        <v>0</v>
      </c>
      <c r="M91" s="24">
        <f t="shared" si="87"/>
        <v>0</v>
      </c>
      <c r="N91" s="24">
        <f t="shared" si="64"/>
        <v>0</v>
      </c>
      <c r="O91" s="24">
        <v>0</v>
      </c>
      <c r="P91" s="24">
        <f t="shared" si="95"/>
        <v>0</v>
      </c>
      <c r="Q91" s="24">
        <f t="shared" si="93"/>
        <v>0</v>
      </c>
      <c r="R91" s="24">
        <f t="shared" si="70"/>
        <v>0</v>
      </c>
      <c r="S91" s="24">
        <f t="shared" si="81"/>
        <v>0</v>
      </c>
      <c r="T91" s="24"/>
      <c r="U91" s="36">
        <f t="shared" si="88"/>
        <v>0</v>
      </c>
      <c r="V91" s="36">
        <f t="shared" si="72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2"/>
        <v>12974</v>
      </c>
      <c r="Y91" s="57">
        <f t="shared" si="48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4"/>
        <v>14930</v>
      </c>
      <c r="AN91" s="57">
        <f t="shared" si="53"/>
        <v>60345</v>
      </c>
      <c r="AO91" s="130">
        <f t="shared" si="73"/>
        <v>0</v>
      </c>
      <c r="AP91" s="109">
        <f t="shared" si="89"/>
        <v>83</v>
      </c>
      <c r="AQ91" s="110">
        <f t="shared" si="65"/>
        <v>46810</v>
      </c>
      <c r="AR91" s="177">
        <f t="shared" si="55"/>
        <v>0.155</v>
      </c>
      <c r="AS91" s="105">
        <f t="shared" si="74"/>
        <v>0</v>
      </c>
      <c r="AT91" s="105">
        <f t="shared" si="82"/>
        <v>0</v>
      </c>
      <c r="AU91" s="105">
        <f t="shared" si="83"/>
        <v>0</v>
      </c>
      <c r="AV91" s="105">
        <f t="shared" si="77"/>
        <v>0</v>
      </c>
      <c r="AW91" s="105">
        <f t="shared" si="66"/>
        <v>0</v>
      </c>
      <c r="AX91" s="105">
        <v>0</v>
      </c>
      <c r="AY91" s="105">
        <f t="shared" si="96"/>
        <v>0</v>
      </c>
      <c r="AZ91" s="105">
        <f t="shared" si="94"/>
        <v>0</v>
      </c>
      <c r="BA91" s="105">
        <f t="shared" si="92"/>
        <v>0</v>
      </c>
      <c r="BB91" s="105"/>
      <c r="BC91" s="105"/>
      <c r="BD91" s="105"/>
      <c r="BE91" s="105"/>
      <c r="BF91" s="105"/>
      <c r="BG91" s="105">
        <f t="shared" si="78"/>
        <v>0</v>
      </c>
      <c r="BH91" s="108">
        <f t="shared" si="90"/>
        <v>0</v>
      </c>
      <c r="BI91" s="108">
        <f t="shared" si="84"/>
        <v>0</v>
      </c>
      <c r="BJ91" s="22">
        <f t="shared" si="85"/>
        <v>46810</v>
      </c>
      <c r="BK91" s="108">
        <f t="shared" si="67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6"/>
        <v>84</v>
      </c>
      <c r="H92" s="111">
        <f t="shared" si="62"/>
        <v>46839</v>
      </c>
      <c r="I92" s="176">
        <f t="shared" si="79"/>
        <v>5.9000000000000004E-2</v>
      </c>
      <c r="J92" s="24">
        <f t="shared" si="68"/>
        <v>0</v>
      </c>
      <c r="K92" s="24">
        <f t="shared" si="61"/>
        <v>0</v>
      </c>
      <c r="L92" s="24">
        <f t="shared" si="63"/>
        <v>0</v>
      </c>
      <c r="M92" s="24">
        <f t="shared" si="87"/>
        <v>0</v>
      </c>
      <c r="N92" s="24">
        <f t="shared" si="64"/>
        <v>0</v>
      </c>
      <c r="O92" s="24">
        <v>0</v>
      </c>
      <c r="P92" s="24">
        <f t="shared" si="95"/>
        <v>0</v>
      </c>
      <c r="Q92" s="24">
        <f t="shared" si="93"/>
        <v>0</v>
      </c>
      <c r="R92" s="24">
        <f t="shared" si="70"/>
        <v>0</v>
      </c>
      <c r="S92" s="24">
        <f t="shared" si="81"/>
        <v>0</v>
      </c>
      <c r="T92" s="24"/>
      <c r="U92" s="36">
        <f t="shared" si="88"/>
        <v>0</v>
      </c>
      <c r="V92" s="36">
        <f t="shared" si="72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2"/>
        <v>12974</v>
      </c>
      <c r="Y92" s="57">
        <f t="shared" si="48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4"/>
        <v>14930</v>
      </c>
      <c r="AN92" s="57">
        <f t="shared" si="53"/>
        <v>60710</v>
      </c>
      <c r="AO92" s="130">
        <f t="shared" si="73"/>
        <v>0</v>
      </c>
      <c r="AP92" s="109">
        <f t="shared" si="89"/>
        <v>84</v>
      </c>
      <c r="AQ92" s="110">
        <f t="shared" si="65"/>
        <v>46839</v>
      </c>
      <c r="AR92" s="177">
        <f t="shared" si="55"/>
        <v>0.155</v>
      </c>
      <c r="AS92" s="105">
        <f t="shared" si="74"/>
        <v>0</v>
      </c>
      <c r="AT92" s="105">
        <f t="shared" si="82"/>
        <v>0</v>
      </c>
      <c r="AU92" s="105">
        <f t="shared" si="83"/>
        <v>0</v>
      </c>
      <c r="AV92" s="105">
        <f t="shared" si="77"/>
        <v>0</v>
      </c>
      <c r="AW92" s="105">
        <f t="shared" si="66"/>
        <v>0</v>
      </c>
      <c r="AX92" s="105">
        <v>0</v>
      </c>
      <c r="AY92" s="105">
        <f t="shared" si="96"/>
        <v>0</v>
      </c>
      <c r="AZ92" s="105">
        <f t="shared" si="94"/>
        <v>0</v>
      </c>
      <c r="BA92" s="105">
        <f t="shared" si="92"/>
        <v>0</v>
      </c>
      <c r="BB92" s="105"/>
      <c r="BC92" s="105"/>
      <c r="BD92" s="105"/>
      <c r="BE92" s="105"/>
      <c r="BF92" s="105"/>
      <c r="BG92" s="105">
        <f t="shared" si="78"/>
        <v>0</v>
      </c>
      <c r="BH92" s="108">
        <f t="shared" si="90"/>
        <v>0</v>
      </c>
      <c r="BI92" s="108">
        <f t="shared" si="84"/>
        <v>0</v>
      </c>
      <c r="BJ92" s="22">
        <f t="shared" si="85"/>
        <v>46839</v>
      </c>
      <c r="BK92" s="108">
        <f t="shared" si="67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6"/>
        <v>85</v>
      </c>
      <c r="H93" s="111">
        <f t="shared" si="62"/>
        <v>46870</v>
      </c>
      <c r="I93" s="176">
        <f t="shared" si="79"/>
        <v>5.9000000000000004E-2</v>
      </c>
      <c r="J93" s="24">
        <f t="shared" si="68"/>
        <v>0</v>
      </c>
      <c r="K93" s="24">
        <f t="shared" si="61"/>
        <v>0</v>
      </c>
      <c r="L93" s="24">
        <f t="shared" si="63"/>
        <v>0</v>
      </c>
      <c r="M93" s="24">
        <f t="shared" si="87"/>
        <v>0</v>
      </c>
      <c r="N93" s="24">
        <f t="shared" si="64"/>
        <v>0</v>
      </c>
      <c r="O93" s="24">
        <v>0</v>
      </c>
      <c r="P93" s="24">
        <f t="shared" si="95"/>
        <v>0</v>
      </c>
      <c r="Q93" s="24">
        <f t="shared" si="93"/>
        <v>0</v>
      </c>
      <c r="R93" s="24">
        <f t="shared" si="70"/>
        <v>0</v>
      </c>
      <c r="S93" s="24">
        <f t="shared" si="81"/>
        <v>0</v>
      </c>
      <c r="T93" s="24"/>
      <c r="U93" s="36">
        <f t="shared" si="88"/>
        <v>0</v>
      </c>
      <c r="V93" s="36">
        <f t="shared" si="72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2"/>
        <v>12974</v>
      </c>
      <c r="Y93" s="57">
        <f t="shared" si="48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4"/>
        <v>14930</v>
      </c>
      <c r="AN93" s="57">
        <f t="shared" si="53"/>
        <v>61075</v>
      </c>
      <c r="AO93" s="130">
        <f t="shared" si="73"/>
        <v>0</v>
      </c>
      <c r="AP93" s="109">
        <f t="shared" si="89"/>
        <v>85</v>
      </c>
      <c r="AQ93" s="110">
        <f t="shared" si="65"/>
        <v>46870</v>
      </c>
      <c r="AR93" s="177">
        <f t="shared" si="55"/>
        <v>0.155</v>
      </c>
      <c r="AS93" s="105">
        <f t="shared" si="74"/>
        <v>0</v>
      </c>
      <c r="AT93" s="105">
        <f t="shared" si="82"/>
        <v>0</v>
      </c>
      <c r="AU93" s="105">
        <f t="shared" si="83"/>
        <v>0</v>
      </c>
      <c r="AV93" s="105">
        <f t="shared" si="77"/>
        <v>0</v>
      </c>
      <c r="AW93" s="105">
        <f t="shared" si="66"/>
        <v>0</v>
      </c>
      <c r="AX93" s="105">
        <v>0</v>
      </c>
      <c r="AY93" s="105">
        <f t="shared" si="96"/>
        <v>0</v>
      </c>
      <c r="AZ93" s="105">
        <f t="shared" si="94"/>
        <v>0</v>
      </c>
      <c r="BA93" s="105">
        <f t="shared" si="92"/>
        <v>0</v>
      </c>
      <c r="BB93" s="105"/>
      <c r="BC93" s="105"/>
      <c r="BD93" s="105"/>
      <c r="BE93" s="105"/>
      <c r="BF93" s="105"/>
      <c r="BG93" s="105">
        <f t="shared" si="78"/>
        <v>0</v>
      </c>
      <c r="BH93" s="108">
        <f t="shared" si="90"/>
        <v>0</v>
      </c>
      <c r="BI93" s="108">
        <f t="shared" si="84"/>
        <v>0</v>
      </c>
      <c r="BJ93" s="22">
        <f t="shared" si="85"/>
        <v>46870</v>
      </c>
      <c r="BK93" s="108">
        <f t="shared" si="67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6"/>
        <v>86</v>
      </c>
      <c r="H94" s="111">
        <f t="shared" si="62"/>
        <v>46900</v>
      </c>
      <c r="I94" s="176">
        <f t="shared" si="79"/>
        <v>5.9000000000000004E-2</v>
      </c>
      <c r="J94" s="24">
        <f t="shared" si="68"/>
        <v>0</v>
      </c>
      <c r="K94" s="24">
        <f t="shared" si="61"/>
        <v>0</v>
      </c>
      <c r="L94" s="24">
        <f t="shared" si="63"/>
        <v>0</v>
      </c>
      <c r="M94" s="24">
        <f t="shared" si="87"/>
        <v>0</v>
      </c>
      <c r="N94" s="24">
        <f t="shared" si="64"/>
        <v>0</v>
      </c>
      <c r="O94" s="24">
        <v>0</v>
      </c>
      <c r="P94" s="24">
        <f t="shared" si="95"/>
        <v>0</v>
      </c>
      <c r="Q94" s="24">
        <f t="shared" si="93"/>
        <v>0</v>
      </c>
      <c r="R94" s="24">
        <f t="shared" si="70"/>
        <v>0</v>
      </c>
      <c r="S94" s="24">
        <f t="shared" si="81"/>
        <v>0</v>
      </c>
      <c r="T94" s="24"/>
      <c r="U94" s="36">
        <f t="shared" si="88"/>
        <v>0</v>
      </c>
      <c r="V94" s="36">
        <f t="shared" si="72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2"/>
        <v>12974</v>
      </c>
      <c r="Y94" s="57">
        <f t="shared" si="48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4"/>
        <v>14930</v>
      </c>
      <c r="AN94" s="57">
        <f t="shared" si="53"/>
        <v>61440</v>
      </c>
      <c r="AO94" s="130">
        <f t="shared" si="73"/>
        <v>0</v>
      </c>
      <c r="AP94" s="109">
        <f t="shared" si="89"/>
        <v>86</v>
      </c>
      <c r="AQ94" s="110">
        <f t="shared" si="65"/>
        <v>46900</v>
      </c>
      <c r="AR94" s="177">
        <f t="shared" si="55"/>
        <v>0.155</v>
      </c>
      <c r="AS94" s="105">
        <f t="shared" si="74"/>
        <v>0</v>
      </c>
      <c r="AT94" s="105">
        <f t="shared" si="82"/>
        <v>0</v>
      </c>
      <c r="AU94" s="105">
        <f t="shared" si="83"/>
        <v>0</v>
      </c>
      <c r="AV94" s="105">
        <f t="shared" si="77"/>
        <v>0</v>
      </c>
      <c r="AW94" s="105">
        <f t="shared" si="66"/>
        <v>0</v>
      </c>
      <c r="AX94" s="105">
        <v>0</v>
      </c>
      <c r="AY94" s="105">
        <f t="shared" si="96"/>
        <v>0</v>
      </c>
      <c r="AZ94" s="105">
        <f t="shared" si="94"/>
        <v>0</v>
      </c>
      <c r="BA94" s="105">
        <f t="shared" si="92"/>
        <v>0</v>
      </c>
      <c r="BB94" s="105"/>
      <c r="BC94" s="105"/>
      <c r="BD94" s="105"/>
      <c r="BE94" s="105"/>
      <c r="BF94" s="105"/>
      <c r="BG94" s="105">
        <f t="shared" si="78"/>
        <v>0</v>
      </c>
      <c r="BH94" s="108">
        <f t="shared" si="90"/>
        <v>0</v>
      </c>
      <c r="BI94" s="108">
        <f t="shared" si="84"/>
        <v>0</v>
      </c>
      <c r="BJ94" s="22">
        <f t="shared" si="85"/>
        <v>46900</v>
      </c>
      <c r="BK94" s="108">
        <f t="shared" si="67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6"/>
        <v>87</v>
      </c>
      <c r="H95" s="111">
        <f t="shared" si="62"/>
        <v>46931</v>
      </c>
      <c r="I95" s="176">
        <f t="shared" si="79"/>
        <v>5.9000000000000004E-2</v>
      </c>
      <c r="J95" s="24">
        <f t="shared" si="68"/>
        <v>0</v>
      </c>
      <c r="K95" s="24">
        <f t="shared" si="61"/>
        <v>0</v>
      </c>
      <c r="L95" s="24">
        <f t="shared" si="63"/>
        <v>0</v>
      </c>
      <c r="M95" s="24">
        <f t="shared" si="87"/>
        <v>0</v>
      </c>
      <c r="N95" s="24">
        <f t="shared" si="64"/>
        <v>0</v>
      </c>
      <c r="O95" s="24">
        <v>0</v>
      </c>
      <c r="P95" s="24">
        <f t="shared" si="95"/>
        <v>0</v>
      </c>
      <c r="Q95" s="24">
        <f t="shared" si="93"/>
        <v>0</v>
      </c>
      <c r="R95" s="24">
        <f t="shared" si="70"/>
        <v>0</v>
      </c>
      <c r="S95" s="24">
        <f t="shared" si="81"/>
        <v>0</v>
      </c>
      <c r="T95" s="24"/>
      <c r="U95" s="36">
        <f t="shared" si="88"/>
        <v>0</v>
      </c>
      <c r="V95" s="36">
        <f t="shared" si="72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2"/>
        <v>12974</v>
      </c>
      <c r="Y95" s="57">
        <f t="shared" si="48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4"/>
        <v>14930</v>
      </c>
      <c r="AN95" s="57">
        <f t="shared" si="53"/>
        <v>61805</v>
      </c>
      <c r="AO95" s="130">
        <f t="shared" si="73"/>
        <v>0</v>
      </c>
      <c r="AP95" s="109">
        <f t="shared" si="89"/>
        <v>87</v>
      </c>
      <c r="AQ95" s="110">
        <f t="shared" si="65"/>
        <v>46931</v>
      </c>
      <c r="AR95" s="177">
        <f t="shared" si="55"/>
        <v>0.155</v>
      </c>
      <c r="AS95" s="105">
        <f t="shared" si="74"/>
        <v>0</v>
      </c>
      <c r="AT95" s="105">
        <f t="shared" si="82"/>
        <v>0</v>
      </c>
      <c r="AU95" s="105">
        <f t="shared" si="83"/>
        <v>0</v>
      </c>
      <c r="AV95" s="105">
        <f t="shared" si="77"/>
        <v>0</v>
      </c>
      <c r="AW95" s="105">
        <f t="shared" si="66"/>
        <v>0</v>
      </c>
      <c r="AX95" s="105">
        <v>0</v>
      </c>
      <c r="AY95" s="105">
        <f t="shared" si="96"/>
        <v>0</v>
      </c>
      <c r="AZ95" s="105">
        <f t="shared" si="94"/>
        <v>0</v>
      </c>
      <c r="BA95" s="105">
        <f t="shared" si="92"/>
        <v>0</v>
      </c>
      <c r="BB95" s="105"/>
      <c r="BC95" s="105"/>
      <c r="BD95" s="105"/>
      <c r="BE95" s="105"/>
      <c r="BF95" s="105"/>
      <c r="BG95" s="105">
        <f t="shared" si="78"/>
        <v>0</v>
      </c>
      <c r="BH95" s="108">
        <f t="shared" si="90"/>
        <v>0</v>
      </c>
      <c r="BI95" s="108">
        <f t="shared" si="84"/>
        <v>0</v>
      </c>
      <c r="BJ95" s="22">
        <f t="shared" si="85"/>
        <v>46931</v>
      </c>
      <c r="BK95" s="108">
        <f t="shared" si="67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6"/>
        <v>88</v>
      </c>
      <c r="H96" s="111">
        <f t="shared" si="62"/>
        <v>46961</v>
      </c>
      <c r="I96" s="176">
        <f t="shared" si="79"/>
        <v>5.9000000000000004E-2</v>
      </c>
      <c r="J96" s="24">
        <f t="shared" si="68"/>
        <v>0</v>
      </c>
      <c r="K96" s="24">
        <f t="shared" si="61"/>
        <v>0</v>
      </c>
      <c r="L96" s="24">
        <f t="shared" si="63"/>
        <v>0</v>
      </c>
      <c r="M96" s="24">
        <f t="shared" si="87"/>
        <v>0</v>
      </c>
      <c r="N96" s="24">
        <f t="shared" si="64"/>
        <v>0</v>
      </c>
      <c r="O96" s="24">
        <v>0</v>
      </c>
      <c r="P96" s="24">
        <f t="shared" si="95"/>
        <v>0</v>
      </c>
      <c r="Q96" s="24">
        <f t="shared" si="93"/>
        <v>0</v>
      </c>
      <c r="R96" s="24">
        <f t="shared" si="70"/>
        <v>0</v>
      </c>
      <c r="S96" s="24">
        <f t="shared" si="81"/>
        <v>0</v>
      </c>
      <c r="T96" s="24"/>
      <c r="U96" s="36">
        <f t="shared" si="88"/>
        <v>0</v>
      </c>
      <c r="V96" s="36">
        <f t="shared" si="72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2"/>
        <v>12974</v>
      </c>
      <c r="Y96" s="57">
        <f t="shared" si="48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4"/>
        <v>14930</v>
      </c>
      <c r="AN96" s="57">
        <f t="shared" si="53"/>
        <v>62170</v>
      </c>
      <c r="AO96" s="130">
        <f t="shared" si="73"/>
        <v>0</v>
      </c>
      <c r="AP96" s="109">
        <f t="shared" si="89"/>
        <v>88</v>
      </c>
      <c r="AQ96" s="110">
        <f t="shared" si="65"/>
        <v>46961</v>
      </c>
      <c r="AR96" s="177">
        <f t="shared" si="55"/>
        <v>0.155</v>
      </c>
      <c r="AS96" s="105">
        <f t="shared" si="74"/>
        <v>0</v>
      </c>
      <c r="AT96" s="105">
        <f t="shared" si="82"/>
        <v>0</v>
      </c>
      <c r="AU96" s="105">
        <f t="shared" si="83"/>
        <v>0</v>
      </c>
      <c r="AV96" s="105">
        <f t="shared" si="77"/>
        <v>0</v>
      </c>
      <c r="AW96" s="105">
        <f t="shared" si="66"/>
        <v>0</v>
      </c>
      <c r="AX96" s="105">
        <v>0</v>
      </c>
      <c r="AY96" s="105">
        <f t="shared" si="96"/>
        <v>0</v>
      </c>
      <c r="AZ96" s="105">
        <f t="shared" si="94"/>
        <v>0</v>
      </c>
      <c r="BA96" s="105">
        <f t="shared" si="92"/>
        <v>0</v>
      </c>
      <c r="BB96" s="105"/>
      <c r="BC96" s="105"/>
      <c r="BD96" s="105"/>
      <c r="BE96" s="105"/>
      <c r="BF96" s="105"/>
      <c r="BG96" s="105">
        <f t="shared" si="78"/>
        <v>0</v>
      </c>
      <c r="BH96" s="108">
        <f t="shared" si="90"/>
        <v>0</v>
      </c>
      <c r="BI96" s="108">
        <f t="shared" si="84"/>
        <v>0</v>
      </c>
      <c r="BJ96" s="22">
        <f t="shared" si="85"/>
        <v>46961</v>
      </c>
      <c r="BK96" s="108">
        <f t="shared" si="67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6"/>
        <v>89</v>
      </c>
      <c r="H97" s="111">
        <f t="shared" si="62"/>
        <v>46992</v>
      </c>
      <c r="I97" s="176">
        <f t="shared" si="79"/>
        <v>5.9000000000000004E-2</v>
      </c>
      <c r="J97" s="24">
        <f t="shared" si="68"/>
        <v>0</v>
      </c>
      <c r="K97" s="24">
        <f t="shared" si="61"/>
        <v>0</v>
      </c>
      <c r="L97" s="24">
        <f t="shared" si="63"/>
        <v>0</v>
      </c>
      <c r="M97" s="24">
        <f t="shared" si="87"/>
        <v>0</v>
      </c>
      <c r="N97" s="24">
        <f t="shared" si="64"/>
        <v>0</v>
      </c>
      <c r="O97" s="24">
        <v>0</v>
      </c>
      <c r="P97" s="24">
        <f t="shared" si="95"/>
        <v>0</v>
      </c>
      <c r="Q97" s="24">
        <f t="shared" si="93"/>
        <v>0</v>
      </c>
      <c r="R97" s="24">
        <f t="shared" si="70"/>
        <v>0</v>
      </c>
      <c r="S97" s="24">
        <f t="shared" si="81"/>
        <v>0</v>
      </c>
      <c r="T97" s="24"/>
      <c r="U97" s="36">
        <f t="shared" si="88"/>
        <v>0</v>
      </c>
      <c r="V97" s="36">
        <f t="shared" si="72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2"/>
        <v>12974</v>
      </c>
      <c r="Y97" s="57">
        <f t="shared" si="48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4"/>
        <v>14930</v>
      </c>
      <c r="AN97" s="57">
        <f t="shared" si="53"/>
        <v>62535</v>
      </c>
      <c r="AO97" s="130">
        <f t="shared" si="73"/>
        <v>0</v>
      </c>
      <c r="AP97" s="109">
        <f t="shared" si="89"/>
        <v>89</v>
      </c>
      <c r="AQ97" s="110">
        <f t="shared" si="65"/>
        <v>46992</v>
      </c>
      <c r="AR97" s="177">
        <f t="shared" si="55"/>
        <v>0.155</v>
      </c>
      <c r="AS97" s="105">
        <f t="shared" si="74"/>
        <v>0</v>
      </c>
      <c r="AT97" s="105">
        <f t="shared" si="82"/>
        <v>0</v>
      </c>
      <c r="AU97" s="105">
        <f t="shared" si="83"/>
        <v>0</v>
      </c>
      <c r="AV97" s="105">
        <f t="shared" si="77"/>
        <v>0</v>
      </c>
      <c r="AW97" s="105">
        <f t="shared" si="66"/>
        <v>0</v>
      </c>
      <c r="AX97" s="105">
        <v>0</v>
      </c>
      <c r="AY97" s="105">
        <f t="shared" si="96"/>
        <v>0</v>
      </c>
      <c r="AZ97" s="105">
        <f t="shared" si="94"/>
        <v>0</v>
      </c>
      <c r="BA97" s="105">
        <f t="shared" si="92"/>
        <v>0</v>
      </c>
      <c r="BB97" s="105"/>
      <c r="BC97" s="105"/>
      <c r="BD97" s="105"/>
      <c r="BE97" s="105"/>
      <c r="BF97" s="105"/>
      <c r="BG97" s="105">
        <f t="shared" si="78"/>
        <v>0</v>
      </c>
      <c r="BH97" s="108">
        <f t="shared" si="90"/>
        <v>0</v>
      </c>
      <c r="BI97" s="108">
        <f t="shared" si="84"/>
        <v>0</v>
      </c>
      <c r="BJ97" s="22">
        <f t="shared" si="85"/>
        <v>46992</v>
      </c>
      <c r="BK97" s="108">
        <f t="shared" si="67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6"/>
        <v>90</v>
      </c>
      <c r="H98" s="111">
        <f t="shared" si="62"/>
        <v>47023</v>
      </c>
      <c r="I98" s="176">
        <f t="shared" si="79"/>
        <v>5.9000000000000004E-2</v>
      </c>
      <c r="J98" s="24">
        <f t="shared" si="68"/>
        <v>0</v>
      </c>
      <c r="K98" s="24">
        <f t="shared" si="61"/>
        <v>0</v>
      </c>
      <c r="L98" s="24">
        <f t="shared" si="63"/>
        <v>0</v>
      </c>
      <c r="M98" s="24">
        <f t="shared" si="87"/>
        <v>0</v>
      </c>
      <c r="N98" s="24">
        <f t="shared" si="64"/>
        <v>0</v>
      </c>
      <c r="O98" s="24">
        <v>0</v>
      </c>
      <c r="P98" s="24">
        <f t="shared" si="95"/>
        <v>0</v>
      </c>
      <c r="Q98" s="24">
        <f t="shared" si="93"/>
        <v>0</v>
      </c>
      <c r="R98" s="24">
        <f t="shared" si="70"/>
        <v>0</v>
      </c>
      <c r="S98" s="24">
        <f t="shared" si="81"/>
        <v>0</v>
      </c>
      <c r="T98" s="24"/>
      <c r="U98" s="36">
        <f t="shared" si="88"/>
        <v>0</v>
      </c>
      <c r="V98" s="36">
        <f t="shared" si="72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2"/>
        <v>12974</v>
      </c>
      <c r="Y98" s="57">
        <f t="shared" si="48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4"/>
        <v>14930</v>
      </c>
      <c r="AN98" s="57">
        <f t="shared" si="53"/>
        <v>62900</v>
      </c>
      <c r="AO98" s="130">
        <f t="shared" si="73"/>
        <v>0</v>
      </c>
      <c r="AP98" s="109">
        <f t="shared" si="89"/>
        <v>90</v>
      </c>
      <c r="AQ98" s="110">
        <f t="shared" si="65"/>
        <v>47023</v>
      </c>
      <c r="AR98" s="177">
        <f t="shared" si="55"/>
        <v>0.155</v>
      </c>
      <c r="AS98" s="105">
        <f t="shared" si="74"/>
        <v>0</v>
      </c>
      <c r="AT98" s="105">
        <f t="shared" si="82"/>
        <v>0</v>
      </c>
      <c r="AU98" s="105">
        <f t="shared" si="83"/>
        <v>0</v>
      </c>
      <c r="AV98" s="105">
        <f t="shared" si="77"/>
        <v>0</v>
      </c>
      <c r="AW98" s="105">
        <f t="shared" si="66"/>
        <v>0</v>
      </c>
      <c r="AX98" s="105">
        <v>0</v>
      </c>
      <c r="AY98" s="105">
        <f t="shared" si="96"/>
        <v>0</v>
      </c>
      <c r="AZ98" s="105">
        <f t="shared" si="94"/>
        <v>0</v>
      </c>
      <c r="BA98" s="105">
        <f t="shared" si="92"/>
        <v>0</v>
      </c>
      <c r="BB98" s="105"/>
      <c r="BC98" s="105"/>
      <c r="BD98" s="105"/>
      <c r="BE98" s="105"/>
      <c r="BF98" s="105"/>
      <c r="BG98" s="105">
        <f t="shared" si="78"/>
        <v>0</v>
      </c>
      <c r="BH98" s="108">
        <f t="shared" si="90"/>
        <v>0</v>
      </c>
      <c r="BI98" s="108">
        <f t="shared" si="84"/>
        <v>0</v>
      </c>
      <c r="BJ98" s="22">
        <f t="shared" si="85"/>
        <v>47023</v>
      </c>
      <c r="BK98" s="108">
        <f t="shared" si="67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6"/>
        <v>91</v>
      </c>
      <c r="H99" s="111">
        <f t="shared" si="62"/>
        <v>47053</v>
      </c>
      <c r="I99" s="176">
        <f t="shared" si="79"/>
        <v>5.9000000000000004E-2</v>
      </c>
      <c r="J99" s="24">
        <f t="shared" si="68"/>
        <v>0</v>
      </c>
      <c r="K99" s="24">
        <f t="shared" si="61"/>
        <v>0</v>
      </c>
      <c r="L99" s="24">
        <f t="shared" si="63"/>
        <v>0</v>
      </c>
      <c r="M99" s="24">
        <f t="shared" si="87"/>
        <v>0</v>
      </c>
      <c r="N99" s="24">
        <f t="shared" si="64"/>
        <v>0</v>
      </c>
      <c r="O99" s="24">
        <v>0</v>
      </c>
      <c r="P99" s="24">
        <f t="shared" si="95"/>
        <v>0</v>
      </c>
      <c r="Q99" s="24">
        <f t="shared" si="93"/>
        <v>0</v>
      </c>
      <c r="R99" s="24">
        <f t="shared" si="70"/>
        <v>0</v>
      </c>
      <c r="S99" s="24">
        <f t="shared" si="81"/>
        <v>0</v>
      </c>
      <c r="T99" s="24"/>
      <c r="U99" s="36">
        <f t="shared" si="88"/>
        <v>0</v>
      </c>
      <c r="V99" s="36">
        <f t="shared" si="72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2"/>
        <v>12974</v>
      </c>
      <c r="Y99" s="57">
        <f t="shared" si="48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4"/>
        <v>14930</v>
      </c>
      <c r="AN99" s="57">
        <f t="shared" si="53"/>
        <v>63265</v>
      </c>
      <c r="AO99" s="130">
        <f t="shared" si="73"/>
        <v>0</v>
      </c>
      <c r="AP99" s="109">
        <f t="shared" si="89"/>
        <v>91</v>
      </c>
      <c r="AQ99" s="110">
        <f t="shared" si="65"/>
        <v>47053</v>
      </c>
      <c r="AR99" s="177">
        <f t="shared" si="55"/>
        <v>0.155</v>
      </c>
      <c r="AS99" s="105">
        <f t="shared" si="74"/>
        <v>0</v>
      </c>
      <c r="AT99" s="105">
        <f t="shared" si="82"/>
        <v>0</v>
      </c>
      <c r="AU99" s="105">
        <f t="shared" si="83"/>
        <v>0</v>
      </c>
      <c r="AV99" s="105">
        <f t="shared" si="77"/>
        <v>0</v>
      </c>
      <c r="AW99" s="105">
        <f t="shared" si="66"/>
        <v>0</v>
      </c>
      <c r="AX99" s="105">
        <v>0</v>
      </c>
      <c r="AY99" s="105">
        <f t="shared" si="96"/>
        <v>0</v>
      </c>
      <c r="AZ99" s="105">
        <f t="shared" si="94"/>
        <v>0</v>
      </c>
      <c r="BA99" s="105">
        <f t="shared" si="92"/>
        <v>0</v>
      </c>
      <c r="BB99" s="105"/>
      <c r="BC99" s="105"/>
      <c r="BD99" s="105"/>
      <c r="BE99" s="105"/>
      <c r="BF99" s="105"/>
      <c r="BG99" s="105">
        <f t="shared" si="78"/>
        <v>0</v>
      </c>
      <c r="BH99" s="108">
        <f t="shared" si="90"/>
        <v>0</v>
      </c>
      <c r="BI99" s="108">
        <f t="shared" si="84"/>
        <v>0</v>
      </c>
      <c r="BJ99" s="22">
        <f t="shared" si="85"/>
        <v>47053</v>
      </c>
      <c r="BK99" s="108">
        <f t="shared" si="67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6"/>
        <v>92</v>
      </c>
      <c r="H100" s="111">
        <f t="shared" si="62"/>
        <v>47084</v>
      </c>
      <c r="I100" s="176">
        <f t="shared" si="79"/>
        <v>5.9000000000000004E-2</v>
      </c>
      <c r="J100" s="24">
        <f t="shared" si="68"/>
        <v>0</v>
      </c>
      <c r="K100" s="24">
        <f t="shared" si="61"/>
        <v>0</v>
      </c>
      <c r="L100" s="24">
        <f t="shared" si="63"/>
        <v>0</v>
      </c>
      <c r="M100" s="24">
        <f t="shared" si="87"/>
        <v>0</v>
      </c>
      <c r="N100" s="24">
        <f t="shared" si="64"/>
        <v>0</v>
      </c>
      <c r="O100" s="24">
        <v>0</v>
      </c>
      <c r="P100" s="24">
        <f t="shared" si="95"/>
        <v>0</v>
      </c>
      <c r="Q100" s="24">
        <f t="shared" si="93"/>
        <v>0</v>
      </c>
      <c r="R100" s="24">
        <f t="shared" si="70"/>
        <v>0</v>
      </c>
      <c r="S100" s="24">
        <f t="shared" si="81"/>
        <v>0</v>
      </c>
      <c r="T100" s="24"/>
      <c r="U100" s="36">
        <f t="shared" si="88"/>
        <v>0</v>
      </c>
      <c r="V100" s="36">
        <f t="shared" si="72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2"/>
        <v>12974</v>
      </c>
      <c r="Y100" s="57">
        <f t="shared" si="48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4"/>
        <v>14930</v>
      </c>
      <c r="AN100" s="57">
        <f t="shared" si="53"/>
        <v>63630</v>
      </c>
      <c r="AO100" s="130">
        <f t="shared" si="73"/>
        <v>0</v>
      </c>
      <c r="AP100" s="109">
        <f t="shared" si="89"/>
        <v>92</v>
      </c>
      <c r="AQ100" s="110">
        <f t="shared" si="65"/>
        <v>47084</v>
      </c>
      <c r="AR100" s="177">
        <f t="shared" si="55"/>
        <v>0.155</v>
      </c>
      <c r="AS100" s="105">
        <f t="shared" si="74"/>
        <v>0</v>
      </c>
      <c r="AT100" s="105">
        <f t="shared" si="82"/>
        <v>0</v>
      </c>
      <c r="AU100" s="105">
        <f t="shared" si="83"/>
        <v>0</v>
      </c>
      <c r="AV100" s="105">
        <f t="shared" si="77"/>
        <v>0</v>
      </c>
      <c r="AW100" s="105">
        <f t="shared" si="66"/>
        <v>0</v>
      </c>
      <c r="AX100" s="105">
        <v>0</v>
      </c>
      <c r="AY100" s="105">
        <f t="shared" si="96"/>
        <v>0</v>
      </c>
      <c r="AZ100" s="105">
        <f t="shared" si="94"/>
        <v>0</v>
      </c>
      <c r="BA100" s="105">
        <f t="shared" si="92"/>
        <v>0</v>
      </c>
      <c r="BB100" s="105"/>
      <c r="BC100" s="105"/>
      <c r="BD100" s="105"/>
      <c r="BE100" s="105"/>
      <c r="BF100" s="105"/>
      <c r="BG100" s="105">
        <f t="shared" si="78"/>
        <v>0</v>
      </c>
      <c r="BH100" s="108">
        <f t="shared" si="90"/>
        <v>0</v>
      </c>
      <c r="BI100" s="108">
        <f t="shared" si="84"/>
        <v>0</v>
      </c>
      <c r="BJ100" s="22">
        <f t="shared" si="85"/>
        <v>47084</v>
      </c>
      <c r="BK100" s="108">
        <f t="shared" si="67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6"/>
        <v>93</v>
      </c>
      <c r="H101" s="111">
        <f t="shared" si="62"/>
        <v>47114</v>
      </c>
      <c r="I101" s="176">
        <f t="shared" si="79"/>
        <v>5.9000000000000004E-2</v>
      </c>
      <c r="J101" s="24">
        <f t="shared" si="68"/>
        <v>0</v>
      </c>
      <c r="K101" s="24">
        <f t="shared" si="61"/>
        <v>0</v>
      </c>
      <c r="L101" s="24">
        <f t="shared" si="63"/>
        <v>0</v>
      </c>
      <c r="M101" s="24">
        <f t="shared" si="87"/>
        <v>0</v>
      </c>
      <c r="N101" s="24">
        <f t="shared" si="64"/>
        <v>0</v>
      </c>
      <c r="O101" s="24">
        <v>0</v>
      </c>
      <c r="P101" s="24">
        <f t="shared" si="95"/>
        <v>0</v>
      </c>
      <c r="Q101" s="24">
        <f t="shared" si="93"/>
        <v>0</v>
      </c>
      <c r="R101" s="24">
        <f t="shared" si="70"/>
        <v>0</v>
      </c>
      <c r="S101" s="24">
        <f t="shared" si="81"/>
        <v>0</v>
      </c>
      <c r="T101" s="24"/>
      <c r="U101" s="36">
        <f t="shared" si="88"/>
        <v>0</v>
      </c>
      <c r="V101" s="36">
        <f t="shared" si="72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2"/>
        <v>12974</v>
      </c>
      <c r="Y101" s="57">
        <f t="shared" si="48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4"/>
        <v>14930</v>
      </c>
      <c r="AN101" s="57">
        <f t="shared" si="53"/>
        <v>63995</v>
      </c>
      <c r="AO101" s="130">
        <f t="shared" si="73"/>
        <v>0</v>
      </c>
      <c r="AP101" s="109">
        <f t="shared" si="89"/>
        <v>93</v>
      </c>
      <c r="AQ101" s="110">
        <f t="shared" si="65"/>
        <v>47114</v>
      </c>
      <c r="AR101" s="177">
        <f t="shared" si="55"/>
        <v>0.155</v>
      </c>
      <c r="AS101" s="105">
        <f t="shared" si="74"/>
        <v>0</v>
      </c>
      <c r="AT101" s="105">
        <f t="shared" si="82"/>
        <v>0</v>
      </c>
      <c r="AU101" s="105">
        <f t="shared" si="83"/>
        <v>0</v>
      </c>
      <c r="AV101" s="105">
        <f t="shared" si="77"/>
        <v>0</v>
      </c>
      <c r="AW101" s="105">
        <f t="shared" si="66"/>
        <v>0</v>
      </c>
      <c r="AX101" s="105">
        <v>0</v>
      </c>
      <c r="AY101" s="105">
        <f t="shared" si="96"/>
        <v>0</v>
      </c>
      <c r="AZ101" s="105">
        <f t="shared" si="94"/>
        <v>0</v>
      </c>
      <c r="BA101" s="105">
        <f t="shared" si="92"/>
        <v>0</v>
      </c>
      <c r="BB101" s="105"/>
      <c r="BC101" s="105"/>
      <c r="BD101" s="105"/>
      <c r="BE101" s="105"/>
      <c r="BF101" s="105"/>
      <c r="BG101" s="105">
        <f t="shared" si="78"/>
        <v>0</v>
      </c>
      <c r="BH101" s="108">
        <f t="shared" si="90"/>
        <v>0</v>
      </c>
      <c r="BI101" s="108">
        <f t="shared" si="84"/>
        <v>0</v>
      </c>
      <c r="BJ101" s="22">
        <f t="shared" si="85"/>
        <v>47114</v>
      </c>
      <c r="BK101" s="108">
        <f t="shared" si="67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6"/>
        <v>94</v>
      </c>
      <c r="H102" s="111">
        <f t="shared" si="62"/>
        <v>47145</v>
      </c>
      <c r="I102" s="176">
        <f t="shared" si="79"/>
        <v>5.9000000000000004E-2</v>
      </c>
      <c r="J102" s="24">
        <f t="shared" si="68"/>
        <v>0</v>
      </c>
      <c r="K102" s="24">
        <f t="shared" si="61"/>
        <v>0</v>
      </c>
      <c r="L102" s="24">
        <f t="shared" si="63"/>
        <v>0</v>
      </c>
      <c r="M102" s="24">
        <f t="shared" si="87"/>
        <v>0</v>
      </c>
      <c r="N102" s="24">
        <f t="shared" si="64"/>
        <v>0</v>
      </c>
      <c r="O102" s="24">
        <v>0</v>
      </c>
      <c r="P102" s="24">
        <f t="shared" si="95"/>
        <v>0</v>
      </c>
      <c r="Q102" s="24">
        <f t="shared" si="93"/>
        <v>0</v>
      </c>
      <c r="R102" s="24">
        <f t="shared" si="70"/>
        <v>0</v>
      </c>
      <c r="S102" s="24">
        <f t="shared" si="81"/>
        <v>0</v>
      </c>
      <c r="T102" s="24"/>
      <c r="U102" s="36">
        <f t="shared" si="88"/>
        <v>0</v>
      </c>
      <c r="V102" s="36">
        <f t="shared" si="72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2"/>
        <v>12974</v>
      </c>
      <c r="Y102" s="57">
        <f t="shared" si="48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4"/>
        <v>14930</v>
      </c>
      <c r="AN102" s="57">
        <f t="shared" si="53"/>
        <v>64360</v>
      </c>
      <c r="AO102" s="130">
        <f t="shared" si="73"/>
        <v>0</v>
      </c>
      <c r="AP102" s="109">
        <f t="shared" si="89"/>
        <v>94</v>
      </c>
      <c r="AQ102" s="110">
        <f t="shared" si="65"/>
        <v>47145</v>
      </c>
      <c r="AR102" s="177">
        <f t="shared" si="55"/>
        <v>0.155</v>
      </c>
      <c r="AS102" s="105">
        <f t="shared" si="74"/>
        <v>0</v>
      </c>
      <c r="AT102" s="105">
        <f t="shared" si="82"/>
        <v>0</v>
      </c>
      <c r="AU102" s="105">
        <f t="shared" si="83"/>
        <v>0</v>
      </c>
      <c r="AV102" s="105">
        <f t="shared" si="77"/>
        <v>0</v>
      </c>
      <c r="AW102" s="105">
        <f t="shared" si="66"/>
        <v>0</v>
      </c>
      <c r="AX102" s="105">
        <v>0</v>
      </c>
      <c r="AY102" s="105">
        <f t="shared" si="96"/>
        <v>0</v>
      </c>
      <c r="AZ102" s="105">
        <f t="shared" si="94"/>
        <v>0</v>
      </c>
      <c r="BA102" s="105">
        <f t="shared" si="92"/>
        <v>0</v>
      </c>
      <c r="BB102" s="105"/>
      <c r="BC102" s="105"/>
      <c r="BD102" s="105"/>
      <c r="BE102" s="105"/>
      <c r="BF102" s="105"/>
      <c r="BG102" s="105">
        <f t="shared" si="78"/>
        <v>0</v>
      </c>
      <c r="BH102" s="108">
        <f t="shared" si="90"/>
        <v>0</v>
      </c>
      <c r="BI102" s="108">
        <f t="shared" si="84"/>
        <v>0</v>
      </c>
      <c r="BJ102" s="22">
        <f t="shared" si="85"/>
        <v>47145</v>
      </c>
      <c r="BK102" s="108">
        <f t="shared" si="67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6"/>
        <v>95</v>
      </c>
      <c r="H103" s="111">
        <f t="shared" si="62"/>
        <v>47176</v>
      </c>
      <c r="I103" s="176">
        <f t="shared" si="79"/>
        <v>5.9000000000000004E-2</v>
      </c>
      <c r="J103" s="24">
        <f t="shared" si="68"/>
        <v>0</v>
      </c>
      <c r="K103" s="24">
        <f t="shared" si="61"/>
        <v>0</v>
      </c>
      <c r="L103" s="24">
        <f t="shared" si="63"/>
        <v>0</v>
      </c>
      <c r="M103" s="24">
        <f t="shared" si="87"/>
        <v>0</v>
      </c>
      <c r="N103" s="24">
        <f t="shared" si="64"/>
        <v>0</v>
      </c>
      <c r="O103" s="24">
        <v>0</v>
      </c>
      <c r="P103" s="24">
        <f t="shared" si="95"/>
        <v>0</v>
      </c>
      <c r="Q103" s="24">
        <f t="shared" si="93"/>
        <v>0</v>
      </c>
      <c r="R103" s="24">
        <f t="shared" si="70"/>
        <v>0</v>
      </c>
      <c r="S103" s="24">
        <f t="shared" si="81"/>
        <v>0</v>
      </c>
      <c r="T103" s="24"/>
      <c r="U103" s="36">
        <f t="shared" si="88"/>
        <v>0</v>
      </c>
      <c r="V103" s="36">
        <f t="shared" si="72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2"/>
        <v>12974</v>
      </c>
      <c r="Y103" s="57">
        <f t="shared" si="48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4"/>
        <v>14930</v>
      </c>
      <c r="AN103" s="57">
        <f t="shared" si="53"/>
        <v>64725</v>
      </c>
      <c r="AO103" s="130">
        <f t="shared" si="73"/>
        <v>0</v>
      </c>
      <c r="AP103" s="109">
        <f t="shared" si="89"/>
        <v>95</v>
      </c>
      <c r="AQ103" s="110">
        <f t="shared" si="65"/>
        <v>47176</v>
      </c>
      <c r="AR103" s="177">
        <f t="shared" si="55"/>
        <v>0.155</v>
      </c>
      <c r="AS103" s="105">
        <f t="shared" si="74"/>
        <v>0</v>
      </c>
      <c r="AT103" s="105">
        <f t="shared" si="82"/>
        <v>0</v>
      </c>
      <c r="AU103" s="105">
        <f t="shared" si="83"/>
        <v>0</v>
      </c>
      <c r="AV103" s="105">
        <f t="shared" si="77"/>
        <v>0</v>
      </c>
      <c r="AW103" s="105">
        <f t="shared" si="66"/>
        <v>0</v>
      </c>
      <c r="AX103" s="105">
        <v>0</v>
      </c>
      <c r="AY103" s="105">
        <f t="shared" si="96"/>
        <v>0</v>
      </c>
      <c r="AZ103" s="105">
        <f t="shared" si="94"/>
        <v>0</v>
      </c>
      <c r="BA103" s="105">
        <f t="shared" si="92"/>
        <v>0</v>
      </c>
      <c r="BB103" s="105"/>
      <c r="BC103" s="105"/>
      <c r="BD103" s="105"/>
      <c r="BE103" s="105"/>
      <c r="BF103" s="105"/>
      <c r="BG103" s="105">
        <f t="shared" si="78"/>
        <v>0</v>
      </c>
      <c r="BH103" s="108">
        <f t="shared" si="90"/>
        <v>0</v>
      </c>
      <c r="BI103" s="108">
        <f t="shared" si="84"/>
        <v>0</v>
      </c>
      <c r="BJ103" s="22">
        <f t="shared" si="85"/>
        <v>47176</v>
      </c>
      <c r="BK103" s="108">
        <f t="shared" si="67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6"/>
        <v>96</v>
      </c>
      <c r="H104" s="111">
        <f t="shared" si="62"/>
        <v>47204</v>
      </c>
      <c r="I104" s="176">
        <f t="shared" si="79"/>
        <v>5.9000000000000004E-2</v>
      </c>
      <c r="J104" s="24">
        <f t="shared" si="68"/>
        <v>0</v>
      </c>
      <c r="K104" s="24">
        <f t="shared" si="61"/>
        <v>0</v>
      </c>
      <c r="L104" s="24">
        <f t="shared" si="63"/>
        <v>0</v>
      </c>
      <c r="M104" s="24">
        <f t="shared" si="87"/>
        <v>0</v>
      </c>
      <c r="N104" s="24">
        <f t="shared" si="64"/>
        <v>0</v>
      </c>
      <c r="O104" s="24">
        <v>0</v>
      </c>
      <c r="P104" s="24">
        <f t="shared" si="95"/>
        <v>0</v>
      </c>
      <c r="Q104" s="24">
        <f t="shared" si="93"/>
        <v>0</v>
      </c>
      <c r="R104" s="24">
        <f t="shared" si="70"/>
        <v>0</v>
      </c>
      <c r="S104" s="24">
        <f t="shared" si="81"/>
        <v>0</v>
      </c>
      <c r="T104" s="24"/>
      <c r="U104" s="36">
        <f t="shared" si="88"/>
        <v>0</v>
      </c>
      <c r="V104" s="36">
        <f t="shared" si="72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2"/>
        <v>12974</v>
      </c>
      <c r="Y104" s="57">
        <f t="shared" si="48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4"/>
        <v>1559.3699999999453</v>
      </c>
      <c r="AN104" s="57">
        <f t="shared" si="53"/>
        <v>65090</v>
      </c>
      <c r="AO104" s="130">
        <f t="shared" si="73"/>
        <v>0</v>
      </c>
      <c r="AP104" s="109">
        <f t="shared" si="89"/>
        <v>96</v>
      </c>
      <c r="AQ104" s="110">
        <f t="shared" si="65"/>
        <v>47204</v>
      </c>
      <c r="AR104" s="177">
        <f t="shared" si="55"/>
        <v>0.155</v>
      </c>
      <c r="AS104" s="105">
        <f t="shared" si="74"/>
        <v>0</v>
      </c>
      <c r="AT104" s="105">
        <f t="shared" si="82"/>
        <v>0</v>
      </c>
      <c r="AU104" s="105">
        <f t="shared" si="83"/>
        <v>0</v>
      </c>
      <c r="AV104" s="105">
        <f t="shared" si="77"/>
        <v>0</v>
      </c>
      <c r="AW104" s="105">
        <f t="shared" si="66"/>
        <v>0</v>
      </c>
      <c r="AX104" s="105">
        <v>0</v>
      </c>
      <c r="AY104" s="105">
        <f t="shared" si="96"/>
        <v>0</v>
      </c>
      <c r="AZ104" s="105">
        <f t="shared" si="94"/>
        <v>0</v>
      </c>
      <c r="BA104" s="105">
        <f t="shared" si="92"/>
        <v>0</v>
      </c>
      <c r="BB104" s="105"/>
      <c r="BC104" s="105"/>
      <c r="BD104" s="105"/>
      <c r="BE104" s="105"/>
      <c r="BF104" s="105"/>
      <c r="BG104" s="105">
        <f t="shared" si="78"/>
        <v>0</v>
      </c>
      <c r="BH104" s="108">
        <f t="shared" si="90"/>
        <v>0</v>
      </c>
      <c r="BI104" s="108">
        <f t="shared" si="84"/>
        <v>0</v>
      </c>
      <c r="BJ104" s="22">
        <f t="shared" si="85"/>
        <v>47204</v>
      </c>
      <c r="BK104" s="108">
        <f t="shared" si="67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6"/>
        <v>97</v>
      </c>
      <c r="H105" s="111">
        <f t="shared" si="62"/>
        <v>47235</v>
      </c>
      <c r="I105" s="176">
        <f t="shared" si="79"/>
        <v>5.9000000000000004E-2</v>
      </c>
      <c r="J105" s="24">
        <f t="shared" si="68"/>
        <v>0</v>
      </c>
      <c r="K105" s="24">
        <f t="shared" si="61"/>
        <v>0</v>
      </c>
      <c r="L105" s="24">
        <f t="shared" si="63"/>
        <v>0</v>
      </c>
      <c r="M105" s="24">
        <f t="shared" si="87"/>
        <v>0</v>
      </c>
      <c r="N105" s="24">
        <f t="shared" si="64"/>
        <v>0</v>
      </c>
      <c r="O105" s="24">
        <v>0</v>
      </c>
      <c r="P105" s="24">
        <f t="shared" si="95"/>
        <v>0</v>
      </c>
      <c r="Q105" s="24">
        <f t="shared" si="93"/>
        <v>0</v>
      </c>
      <c r="R105" s="24">
        <f t="shared" si="70"/>
        <v>0</v>
      </c>
      <c r="S105" s="24">
        <f t="shared" si="81"/>
        <v>0</v>
      </c>
      <c r="T105" s="24"/>
      <c r="U105" s="36">
        <f t="shared" si="88"/>
        <v>0</v>
      </c>
      <c r="V105" s="36">
        <f t="shared" si="72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2"/>
        <v>12974</v>
      </c>
      <c r="Y105" s="57">
        <f t="shared" si="48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4"/>
        <v>0</v>
      </c>
      <c r="AN105" s="57">
        <f t="shared" si="53"/>
        <v>65455</v>
      </c>
      <c r="AO105" s="130">
        <f t="shared" si="73"/>
        <v>0</v>
      </c>
      <c r="AP105" s="109">
        <f t="shared" si="89"/>
        <v>97</v>
      </c>
      <c r="AQ105" s="110">
        <f t="shared" si="65"/>
        <v>47235</v>
      </c>
      <c r="AR105" s="177">
        <f t="shared" si="55"/>
        <v>0.155</v>
      </c>
      <c r="AS105" s="105">
        <f t="shared" si="74"/>
        <v>0</v>
      </c>
      <c r="AT105" s="105">
        <f t="shared" si="82"/>
        <v>0</v>
      </c>
      <c r="AU105" s="105">
        <f t="shared" si="83"/>
        <v>0</v>
      </c>
      <c r="AV105" s="105">
        <f t="shared" si="77"/>
        <v>0</v>
      </c>
      <c r="AW105" s="105">
        <f t="shared" ref="AW105:AW108" si="97">IF(AY105-AZ105&gt;$D$24,$D$24-AU105,IF(BI105=0,0,BA105)+BX153)</f>
        <v>0</v>
      </c>
      <c r="AX105" s="105">
        <v>0</v>
      </c>
      <c r="AY105" s="105">
        <f t="shared" si="96"/>
        <v>0</v>
      </c>
      <c r="AZ105" s="105">
        <f t="shared" si="94"/>
        <v>0</v>
      </c>
      <c r="BA105" s="105">
        <f t="shared" si="92"/>
        <v>0</v>
      </c>
      <c r="BB105" s="105"/>
      <c r="BC105" s="105"/>
      <c r="BD105" s="105"/>
      <c r="BE105" s="105"/>
      <c r="BF105" s="105"/>
      <c r="BG105" s="105">
        <f t="shared" si="78"/>
        <v>0</v>
      </c>
      <c r="BH105" s="108">
        <f t="shared" si="90"/>
        <v>0</v>
      </c>
      <c r="BI105" s="108">
        <f t="shared" si="84"/>
        <v>0</v>
      </c>
      <c r="BJ105" s="22">
        <f t="shared" si="85"/>
        <v>47235</v>
      </c>
      <c r="BK105" s="108">
        <f t="shared" si="67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6"/>
        <v>98</v>
      </c>
      <c r="H106" s="111">
        <f t="shared" si="62"/>
        <v>47265</v>
      </c>
      <c r="I106" s="176">
        <f t="shared" si="79"/>
        <v>5.9000000000000004E-2</v>
      </c>
      <c r="J106" s="24">
        <f t="shared" si="68"/>
        <v>0</v>
      </c>
      <c r="K106" s="24">
        <f t="shared" si="61"/>
        <v>0</v>
      </c>
      <c r="L106" s="24">
        <f t="shared" si="63"/>
        <v>0</v>
      </c>
      <c r="M106" s="24">
        <f t="shared" si="87"/>
        <v>0</v>
      </c>
      <c r="N106" s="24">
        <f t="shared" si="64"/>
        <v>0</v>
      </c>
      <c r="O106" s="24">
        <v>0</v>
      </c>
      <c r="P106" s="24">
        <f t="shared" si="95"/>
        <v>0</v>
      </c>
      <c r="Q106" s="24">
        <f t="shared" si="93"/>
        <v>0</v>
      </c>
      <c r="R106" s="24">
        <f t="shared" si="70"/>
        <v>0</v>
      </c>
      <c r="S106" s="24">
        <f t="shared" si="81"/>
        <v>0</v>
      </c>
      <c r="T106" s="24"/>
      <c r="U106" s="36">
        <f t="shared" si="88"/>
        <v>0</v>
      </c>
      <c r="V106" s="36">
        <f t="shared" si="72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2"/>
        <v>2802.7699999999099</v>
      </c>
      <c r="Y106" s="57">
        <f t="shared" si="48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4"/>
        <v>0</v>
      </c>
      <c r="AN106" s="57">
        <f t="shared" si="53"/>
        <v>65820</v>
      </c>
      <c r="AO106" s="130">
        <f t="shared" si="73"/>
        <v>0</v>
      </c>
      <c r="AP106" s="109">
        <f t="shared" si="89"/>
        <v>98</v>
      </c>
      <c r="AQ106" s="110">
        <f t="shared" si="65"/>
        <v>47265</v>
      </c>
      <c r="AR106" s="177">
        <f t="shared" si="55"/>
        <v>0.155</v>
      </c>
      <c r="AS106" s="105">
        <f t="shared" si="74"/>
        <v>0</v>
      </c>
      <c r="AT106" s="105">
        <f t="shared" si="82"/>
        <v>0</v>
      </c>
      <c r="AU106" s="105">
        <f t="shared" si="83"/>
        <v>0</v>
      </c>
      <c r="AV106" s="105">
        <f t="shared" si="77"/>
        <v>0</v>
      </c>
      <c r="AW106" s="105">
        <f t="shared" si="97"/>
        <v>0</v>
      </c>
      <c r="AX106" s="105">
        <v>0</v>
      </c>
      <c r="AY106" s="105">
        <f t="shared" si="96"/>
        <v>0</v>
      </c>
      <c r="AZ106" s="105">
        <f t="shared" si="94"/>
        <v>0</v>
      </c>
      <c r="BA106" s="105">
        <f t="shared" si="92"/>
        <v>0</v>
      </c>
      <c r="BB106" s="105"/>
      <c r="BC106" s="105"/>
      <c r="BD106" s="105"/>
      <c r="BE106" s="105"/>
      <c r="BF106" s="105"/>
      <c r="BG106" s="105">
        <f t="shared" si="78"/>
        <v>0</v>
      </c>
      <c r="BH106" s="108">
        <f t="shared" si="90"/>
        <v>0</v>
      </c>
      <c r="BI106" s="108">
        <f t="shared" si="84"/>
        <v>0</v>
      </c>
      <c r="BJ106" s="22">
        <f t="shared" si="85"/>
        <v>47265</v>
      </c>
      <c r="BK106" s="108">
        <f t="shared" si="67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6"/>
        <v>99</v>
      </c>
      <c r="H107" s="111">
        <f t="shared" si="62"/>
        <v>47296</v>
      </c>
      <c r="I107" s="176">
        <f t="shared" si="79"/>
        <v>5.9000000000000004E-2</v>
      </c>
      <c r="J107" s="24">
        <f t="shared" si="68"/>
        <v>0</v>
      </c>
      <c r="K107" s="24">
        <f t="shared" si="61"/>
        <v>0</v>
      </c>
      <c r="L107" s="24">
        <f t="shared" si="63"/>
        <v>0</v>
      </c>
      <c r="M107" s="24">
        <f t="shared" si="87"/>
        <v>0</v>
      </c>
      <c r="N107" s="24">
        <f t="shared" si="64"/>
        <v>0</v>
      </c>
      <c r="O107" s="24">
        <v>0</v>
      </c>
      <c r="P107" s="24">
        <f t="shared" si="95"/>
        <v>0</v>
      </c>
      <c r="Q107" s="24">
        <f t="shared" si="93"/>
        <v>0</v>
      </c>
      <c r="R107" s="24">
        <f t="shared" si="70"/>
        <v>0</v>
      </c>
      <c r="S107" s="24">
        <f t="shared" si="81"/>
        <v>0</v>
      </c>
      <c r="T107" s="24"/>
      <c r="U107" s="36">
        <f t="shared" si="88"/>
        <v>0</v>
      </c>
      <c r="V107" s="36">
        <f t="shared" si="72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2"/>
        <v>0</v>
      </c>
      <c r="Y107" s="57">
        <f t="shared" si="48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4"/>
        <v>0</v>
      </c>
      <c r="AN107" s="57">
        <f t="shared" si="53"/>
        <v>66185</v>
      </c>
      <c r="AO107" s="130">
        <f t="shared" si="73"/>
        <v>0</v>
      </c>
      <c r="AP107" s="109">
        <f t="shared" si="89"/>
        <v>99</v>
      </c>
      <c r="AQ107" s="110">
        <f t="shared" si="65"/>
        <v>47296</v>
      </c>
      <c r="AR107" s="177">
        <f t="shared" si="55"/>
        <v>0.155</v>
      </c>
      <c r="AS107" s="105">
        <f t="shared" si="74"/>
        <v>0</v>
      </c>
      <c r="AT107" s="105">
        <f t="shared" si="82"/>
        <v>0</v>
      </c>
      <c r="AU107" s="105">
        <f t="shared" si="83"/>
        <v>0</v>
      </c>
      <c r="AV107" s="105">
        <f t="shared" si="77"/>
        <v>0</v>
      </c>
      <c r="AW107" s="105">
        <f t="shared" si="97"/>
        <v>0</v>
      </c>
      <c r="AX107" s="105">
        <v>0</v>
      </c>
      <c r="AY107" s="105">
        <f t="shared" si="96"/>
        <v>0</v>
      </c>
      <c r="AZ107" s="105">
        <f t="shared" si="94"/>
        <v>0</v>
      </c>
      <c r="BA107" s="105">
        <f t="shared" si="92"/>
        <v>0</v>
      </c>
      <c r="BB107" s="105"/>
      <c r="BC107" s="105"/>
      <c r="BD107" s="105"/>
      <c r="BE107" s="105"/>
      <c r="BF107" s="105"/>
      <c r="BG107" s="105">
        <f t="shared" si="78"/>
        <v>0</v>
      </c>
      <c r="BH107" s="108">
        <f t="shared" si="90"/>
        <v>0</v>
      </c>
      <c r="BI107" s="108">
        <f t="shared" si="84"/>
        <v>0</v>
      </c>
      <c r="BJ107" s="22">
        <f t="shared" si="85"/>
        <v>47296</v>
      </c>
      <c r="BK107" s="108">
        <f t="shared" si="67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6"/>
        <v>100</v>
      </c>
      <c r="H108" s="111">
        <f t="shared" si="62"/>
        <v>47326</v>
      </c>
      <c r="I108" s="176">
        <f t="shared" si="79"/>
        <v>5.9000000000000004E-2</v>
      </c>
      <c r="J108" s="24">
        <f t="shared" si="68"/>
        <v>0</v>
      </c>
      <c r="K108" s="24">
        <f t="shared" si="61"/>
        <v>0</v>
      </c>
      <c r="L108" s="24">
        <f t="shared" si="63"/>
        <v>0</v>
      </c>
      <c r="M108" s="24">
        <f t="shared" si="87"/>
        <v>0</v>
      </c>
      <c r="N108" s="24">
        <f t="shared" si="64"/>
        <v>0</v>
      </c>
      <c r="O108" s="24">
        <v>0</v>
      </c>
      <c r="P108" s="24">
        <f t="shared" si="95"/>
        <v>0</v>
      </c>
      <c r="Q108" s="24">
        <f t="shared" si="93"/>
        <v>0</v>
      </c>
      <c r="R108" s="24">
        <f t="shared" si="70"/>
        <v>0</v>
      </c>
      <c r="S108" s="24">
        <f t="shared" si="81"/>
        <v>0</v>
      </c>
      <c r="T108" s="24"/>
      <c r="U108" s="36">
        <f t="shared" si="88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2"/>
        <v>0</v>
      </c>
      <c r="Y108" s="57">
        <f t="shared" si="48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4"/>
        <v>0</v>
      </c>
      <c r="AN108" s="57">
        <f t="shared" si="53"/>
        <v>66550</v>
      </c>
      <c r="AO108" s="130">
        <f t="shared" si="73"/>
        <v>0</v>
      </c>
      <c r="AP108" s="109">
        <f t="shared" si="89"/>
        <v>100</v>
      </c>
      <c r="AQ108" s="110">
        <f t="shared" si="65"/>
        <v>47326</v>
      </c>
      <c r="AR108" s="177">
        <f t="shared" si="55"/>
        <v>0.155</v>
      </c>
      <c r="AS108" s="105">
        <f t="shared" si="74"/>
        <v>0</v>
      </c>
      <c r="AT108" s="105">
        <f t="shared" si="82"/>
        <v>0</v>
      </c>
      <c r="AU108" s="105">
        <f t="shared" si="83"/>
        <v>0</v>
      </c>
      <c r="AV108" s="105">
        <f t="shared" si="77"/>
        <v>0</v>
      </c>
      <c r="AW108" s="105">
        <f t="shared" si="97"/>
        <v>0</v>
      </c>
      <c r="AX108" s="105">
        <v>0</v>
      </c>
      <c r="AY108" s="105">
        <f t="shared" si="96"/>
        <v>0</v>
      </c>
      <c r="AZ108" s="105">
        <f t="shared" si="94"/>
        <v>0</v>
      </c>
      <c r="BA108" s="105">
        <f t="shared" si="92"/>
        <v>0</v>
      </c>
      <c r="BB108" s="105"/>
      <c r="BC108" s="105"/>
      <c r="BD108" s="105"/>
      <c r="BE108" s="105"/>
      <c r="BF108" s="105"/>
      <c r="BG108" s="105">
        <f t="shared" si="78"/>
        <v>0</v>
      </c>
      <c r="BH108" s="108">
        <f t="shared" si="90"/>
        <v>0</v>
      </c>
      <c r="BI108" s="108">
        <f t="shared" si="84"/>
        <v>0</v>
      </c>
      <c r="BJ108" s="22">
        <f t="shared" si="85"/>
        <v>47326</v>
      </c>
      <c r="BK108" s="108">
        <f t="shared" si="67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806554.7699999999</v>
      </c>
      <c r="K109" s="30">
        <f>(SUM(K9:K108)-IF(CODE(C12)=209,AI51,0))</f>
        <v>764554.7699999999</v>
      </c>
      <c r="L109" s="30">
        <f t="shared" ref="L109:R109" si="98">SUM(L9:L108)</f>
        <v>170804.76999999996</v>
      </c>
      <c r="M109" s="30">
        <f t="shared" si="98"/>
        <v>593750</v>
      </c>
      <c r="N109" s="31">
        <f t="shared" si="98"/>
        <v>0</v>
      </c>
      <c r="O109" s="31">
        <f t="shared" si="98"/>
        <v>0</v>
      </c>
      <c r="P109" s="31">
        <f t="shared" si="98"/>
        <v>212804.77</v>
      </c>
      <c r="Q109" s="31">
        <f t="shared" si="98"/>
        <v>42000</v>
      </c>
      <c r="R109" s="31">
        <f t="shared" si="9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2"/>
        <v>0</v>
      </c>
      <c r="Y109" s="57">
        <f t="shared" ref="Y109:Y143" si="99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4"/>
        <v>0</v>
      </c>
      <c r="AN109" s="57">
        <f t="shared" si="53"/>
        <v>66915</v>
      </c>
      <c r="AO109" s="130"/>
      <c r="AP109" s="28"/>
      <c r="AQ109" s="29" t="s">
        <v>7</v>
      </c>
      <c r="AR109" s="29"/>
      <c r="AS109" s="30">
        <f>SUM(AS9:AS108)</f>
        <v>837639.37</v>
      </c>
      <c r="AT109" s="30">
        <f>(SUM(AT9:AT108)-IF(CODE(C12)=209,BX57,0))</f>
        <v>837639.37</v>
      </c>
      <c r="AU109" s="30">
        <f>SUM(AU9:AU108)</f>
        <v>243889.36999999991</v>
      </c>
      <c r="AV109" s="30">
        <f>SUM(AV9:AV108)</f>
        <v>593750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90"/>
        <v>0</v>
      </c>
      <c r="BI109" s="108">
        <f t="shared" si="84"/>
        <v>0</v>
      </c>
      <c r="BJ109" s="22" t="str">
        <f t="shared" si="85"/>
        <v>Итого</v>
      </c>
      <c r="BK109" s="108">
        <f t="shared" si="67"/>
        <v>764554.7699999999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100">IF(K75 &gt; 0, K75, 0)</f>
        <v>0</v>
      </c>
      <c r="Y110" s="57">
        <f t="shared" si="99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4"/>
        <v>0</v>
      </c>
      <c r="AN110" s="57">
        <f t="shared" si="53"/>
        <v>67280</v>
      </c>
      <c r="AO110" s="130"/>
      <c r="BH110" s="108">
        <f t="shared" si="90"/>
        <v>0</v>
      </c>
      <c r="BI110" s="108">
        <f t="shared" si="84"/>
        <v>0</v>
      </c>
      <c r="BJ110" s="22">
        <f t="shared" si="85"/>
        <v>0</v>
      </c>
      <c r="BK110" s="108">
        <f t="shared" si="67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100"/>
        <v>0</v>
      </c>
      <c r="Y111" s="57">
        <f t="shared" si="99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4"/>
        <v>0</v>
      </c>
      <c r="AN111" s="57">
        <f t="shared" si="53"/>
        <v>67645</v>
      </c>
      <c r="AO111" s="130"/>
      <c r="BH111" s="108">
        <f t="shared" si="90"/>
        <v>0</v>
      </c>
      <c r="BI111" s="108">
        <f t="shared" si="84"/>
        <v>0</v>
      </c>
      <c r="BJ111" s="22">
        <f t="shared" si="85"/>
        <v>0</v>
      </c>
      <c r="BK111" s="108">
        <f t="shared" si="67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100"/>
        <v>0</v>
      </c>
      <c r="Y112" s="57">
        <f t="shared" si="99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4"/>
        <v>0</v>
      </c>
      <c r="AN112" s="57">
        <f t="shared" si="53"/>
        <v>68010</v>
      </c>
      <c r="AO112" s="130"/>
      <c r="BH112" s="108">
        <f t="shared" si="90"/>
        <v>0</v>
      </c>
      <c r="BI112" s="108">
        <f t="shared" si="84"/>
        <v>0</v>
      </c>
      <c r="BJ112" s="22">
        <f t="shared" si="85"/>
        <v>0</v>
      </c>
      <c r="BK112" s="108">
        <f t="shared" si="67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100"/>
        <v>0</v>
      </c>
      <c r="Y113" s="57">
        <f t="shared" si="99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4"/>
        <v>0</v>
      </c>
      <c r="AN113" s="57">
        <f t="shared" ref="AN113:AN147" si="101">AN112+365</f>
        <v>68375</v>
      </c>
      <c r="AO113" s="130"/>
      <c r="BH113" s="108">
        <f t="shared" si="90"/>
        <v>0</v>
      </c>
      <c r="BI113" s="108">
        <f t="shared" si="84"/>
        <v>0</v>
      </c>
      <c r="BJ113" s="22">
        <f t="shared" si="85"/>
        <v>0</v>
      </c>
      <c r="BK113" s="108">
        <f t="shared" si="67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100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102">AT75</f>
        <v>0</v>
      </c>
      <c r="AN114" s="57">
        <f t="shared" si="101"/>
        <v>68740</v>
      </c>
      <c r="AO114" s="130"/>
      <c r="BH114" s="108">
        <f t="shared" si="90"/>
        <v>0</v>
      </c>
      <c r="BI114" s="108">
        <f t="shared" si="84"/>
        <v>0</v>
      </c>
      <c r="BJ114" s="22">
        <f t="shared" si="85"/>
        <v>0</v>
      </c>
      <c r="BK114" s="108">
        <f t="shared" si="67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100"/>
        <v>0</v>
      </c>
      <c r="Y115" s="57">
        <f t="shared" si="99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102"/>
        <v>0</v>
      </c>
      <c r="AN115" s="57">
        <f t="shared" si="101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100"/>
        <v>0</v>
      </c>
      <c r="Y116" s="57">
        <f t="shared" si="99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102"/>
        <v>0</v>
      </c>
      <c r="AN116" s="57">
        <f t="shared" si="101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100"/>
        <v>0</v>
      </c>
      <c r="Y117" s="57">
        <f t="shared" si="99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102"/>
        <v>0</v>
      </c>
      <c r="AN117" s="57">
        <f t="shared" si="101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100"/>
        <v>0</v>
      </c>
      <c r="Y118" s="57">
        <f t="shared" si="99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102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100"/>
        <v>0</v>
      </c>
      <c r="Y119" s="57">
        <f t="shared" si="99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102"/>
        <v>0</v>
      </c>
      <c r="AN119" s="57">
        <f t="shared" si="101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100"/>
        <v>0</v>
      </c>
      <c r="Y120" s="57">
        <f t="shared" si="99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102"/>
        <v>0</v>
      </c>
      <c r="AN120" s="57">
        <f t="shared" si="101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100"/>
        <v>0</v>
      </c>
      <c r="Y121" s="57">
        <f t="shared" si="99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102"/>
        <v>0</v>
      </c>
      <c r="AN121" s="57">
        <f t="shared" si="101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100"/>
        <v>0</v>
      </c>
      <c r="Y122" s="57">
        <f t="shared" si="99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102"/>
        <v>0</v>
      </c>
      <c r="AN122" s="57">
        <f t="shared" si="101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100"/>
        <v>0</v>
      </c>
      <c r="Y123" s="57">
        <f t="shared" si="99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102"/>
        <v>0</v>
      </c>
      <c r="AN123" s="57">
        <f t="shared" si="101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100"/>
        <v>0</v>
      </c>
      <c r="Y124" s="57">
        <f t="shared" si="99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102"/>
        <v>0</v>
      </c>
      <c r="AN124" s="57">
        <f t="shared" si="101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100"/>
        <v>0</v>
      </c>
      <c r="Y125" s="57">
        <f t="shared" si="99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102"/>
        <v>0</v>
      </c>
      <c r="AN125" s="57">
        <f t="shared" si="101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100"/>
        <v>0</v>
      </c>
      <c r="Y126" s="57">
        <f t="shared" si="99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102"/>
        <v>0</v>
      </c>
      <c r="AN126" s="57">
        <f t="shared" si="101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100"/>
        <v>0</v>
      </c>
      <c r="Y127" s="57">
        <f t="shared" si="99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102"/>
        <v>0</v>
      </c>
      <c r="AN127" s="57">
        <f t="shared" si="101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100"/>
        <v>0</v>
      </c>
      <c r="Y128" s="57">
        <f t="shared" si="99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102"/>
        <v>0</v>
      </c>
      <c r="AN128" s="57">
        <f t="shared" si="101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100"/>
        <v>0</v>
      </c>
      <c r="Y129" s="57">
        <f t="shared" si="99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102"/>
        <v>0</v>
      </c>
      <c r="AN129" s="57">
        <f t="shared" si="101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100"/>
        <v>0</v>
      </c>
      <c r="Y130" s="57">
        <f t="shared" si="99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102"/>
        <v>0</v>
      </c>
      <c r="AN130" s="57">
        <f t="shared" si="101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100"/>
        <v>0</v>
      </c>
      <c r="Y131" s="57">
        <f t="shared" si="99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102"/>
        <v>0</v>
      </c>
      <c r="AN131" s="57">
        <f t="shared" si="101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100"/>
        <v>0</v>
      </c>
      <c r="Y132" s="57">
        <f t="shared" si="99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102"/>
        <v>0</v>
      </c>
      <c r="AN132" s="57">
        <f t="shared" si="101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100"/>
        <v>0</v>
      </c>
      <c r="Y133" s="57">
        <f t="shared" si="99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102"/>
        <v>0</v>
      </c>
      <c r="AN133" s="57">
        <f t="shared" si="101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100"/>
        <v>0</v>
      </c>
      <c r="Y134" s="57">
        <f t="shared" si="99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102"/>
        <v>0</v>
      </c>
      <c r="AN134" s="57">
        <f t="shared" si="101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100"/>
        <v>0</v>
      </c>
      <c r="Y135" s="57">
        <f t="shared" si="99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102"/>
        <v>0</v>
      </c>
      <c r="AN135" s="57">
        <f t="shared" si="101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100"/>
        <v>0</v>
      </c>
      <c r="Y136" s="57">
        <f t="shared" si="99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102"/>
        <v>0</v>
      </c>
      <c r="AN136" s="57">
        <f t="shared" si="101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100"/>
        <v>0</v>
      </c>
      <c r="Y137" s="57">
        <f t="shared" si="99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102"/>
        <v>0</v>
      </c>
      <c r="AN137" s="57">
        <f t="shared" si="101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100"/>
        <v>0</v>
      </c>
      <c r="Y138" s="57">
        <f t="shared" si="99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102"/>
        <v>0</v>
      </c>
      <c r="AN138" s="57">
        <f t="shared" si="101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100"/>
        <v>0</v>
      </c>
      <c r="Y139" s="57">
        <f t="shared" si="99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102"/>
        <v>0</v>
      </c>
      <c r="AN139" s="57">
        <f t="shared" si="101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100"/>
        <v>0</v>
      </c>
      <c r="Y140" s="57">
        <f t="shared" si="99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102"/>
        <v>0</v>
      </c>
      <c r="AN140" s="57">
        <f t="shared" si="101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100"/>
        <v>0</v>
      </c>
      <c r="Y141" s="57">
        <f t="shared" si="99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102"/>
        <v>0</v>
      </c>
      <c r="AN141" s="57">
        <f t="shared" si="101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100"/>
        <v>0</v>
      </c>
      <c r="Y142" s="57">
        <f t="shared" si="99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102"/>
        <v>0</v>
      </c>
      <c r="AN142" s="57">
        <f t="shared" si="101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9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102"/>
        <v>0</v>
      </c>
      <c r="AN143" s="57">
        <f t="shared" si="101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764554.7699999999</v>
      </c>
      <c r="Y144" s="154">
        <f>XIRR(X42:X143,Y42:Y143)*12</f>
        <v>9.2768990993499778E-2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102"/>
        <v>0</v>
      </c>
      <c r="AN144" s="57">
        <f t="shared" si="101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102"/>
        <v>0</v>
      </c>
      <c r="AN145" s="57">
        <f t="shared" si="101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102"/>
        <v>0</v>
      </c>
      <c r="AN146" s="57">
        <f t="shared" si="101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102"/>
        <v>0</v>
      </c>
      <c r="AN147" s="57">
        <f t="shared" si="101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837639.37</v>
      </c>
      <c r="AN148" s="154">
        <f>XIRR(AM46:AM147,AN46:AN147)*12</f>
        <v>0.1546082139015198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2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BG6:BG7"/>
    <mergeCell ref="K6:K7"/>
    <mergeCell ref="L6:L7"/>
    <mergeCell ref="M6:M7"/>
    <mergeCell ref="BO10:BO11"/>
    <mergeCell ref="A11:B11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Q6:AQ7"/>
    <mergeCell ref="AR6:AR7"/>
    <mergeCell ref="AT6:AT7"/>
    <mergeCell ref="AU6:AU7"/>
    <mergeCell ref="AV6:AV7"/>
    <mergeCell ref="A9:B9"/>
    <mergeCell ref="C9:D9"/>
    <mergeCell ref="Q6:Q7"/>
    <mergeCell ref="S6:S7"/>
    <mergeCell ref="AP6:AP7"/>
    <mergeCell ref="T6:T7"/>
    <mergeCell ref="A10:B10"/>
    <mergeCell ref="C10:D10"/>
    <mergeCell ref="BN10:BN11"/>
    <mergeCell ref="A28:B28"/>
    <mergeCell ref="A12:B12"/>
    <mergeCell ref="A13:B13"/>
    <mergeCell ref="BN13:BN14"/>
    <mergeCell ref="A24:B24"/>
    <mergeCell ref="A25:B25"/>
    <mergeCell ref="A26:B26"/>
    <mergeCell ref="A27:B27"/>
    <mergeCell ref="BO13:BO14"/>
    <mergeCell ref="A14:A15"/>
    <mergeCell ref="A16:A18"/>
    <mergeCell ref="A22:E22"/>
    <mergeCell ref="A23:B23"/>
    <mergeCell ref="A19:E19"/>
    <mergeCell ref="A20:E20"/>
    <mergeCell ref="A21:B21"/>
    <mergeCell ref="A54:B54"/>
    <mergeCell ref="A34:B34"/>
    <mergeCell ref="A29:B29"/>
    <mergeCell ref="A30:B30"/>
    <mergeCell ref="A31:B31"/>
    <mergeCell ref="A32:B32"/>
    <mergeCell ref="A33:B33"/>
    <mergeCell ref="A38:A41"/>
    <mergeCell ref="A42:B42"/>
    <mergeCell ref="A35:E35"/>
    <mergeCell ref="C34:E34"/>
    <mergeCell ref="A50:E50"/>
    <mergeCell ref="A51:A52"/>
    <mergeCell ref="BN33:BN35"/>
    <mergeCell ref="A53:B53"/>
    <mergeCell ref="A36:B36"/>
    <mergeCell ref="A37:B37"/>
    <mergeCell ref="A43:A46"/>
    <mergeCell ref="A47:B47"/>
    <mergeCell ref="C47:E47"/>
    <mergeCell ref="A48:E48"/>
    <mergeCell ref="A49:B49"/>
    <mergeCell ref="C49:E49"/>
    <mergeCell ref="D36:E36"/>
    <mergeCell ref="C42:E42"/>
  </mergeCells>
  <conditionalFormatting sqref="D17">
    <cfRule type="cellIs" dxfId="8" priority="1" operator="notEqual">
      <formula>""</formula>
    </cfRule>
  </conditionalFormatting>
  <dataValidations count="5"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1">
      <formula1>$W$39:$AE$39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37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Прайм'!$B$1:$D$1</xm:f>
          </x14:formula1>
          <xm:sqref>C10:D10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66" t="s">
        <v>332</v>
      </c>
      <c r="B1" s="867"/>
      <c r="C1" s="867"/>
      <c r="D1" s="867"/>
      <c r="E1" s="868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69"/>
      <c r="B2" s="870"/>
      <c r="C2" s="870"/>
      <c r="D2" s="870"/>
      <c r="E2" s="87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70" t="s">
        <v>196</v>
      </c>
      <c r="B3" s="771"/>
      <c r="C3" s="771"/>
      <c r="D3" s="771"/>
      <c r="E3" s="772"/>
      <c r="F3" s="310"/>
      <c r="G3" s="865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2" ht="13.5" hidden="1" customHeight="1" x14ac:dyDescent="0.2">
      <c r="A4" s="187"/>
      <c r="B4" s="185"/>
      <c r="C4" s="521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2" ht="13.5" hidden="1" customHeight="1" thickBot="1" x14ac:dyDescent="0.25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776" t="s">
        <v>189</v>
      </c>
      <c r="K6" s="776" t="s">
        <v>190</v>
      </c>
      <c r="L6" s="776" t="s">
        <v>191</v>
      </c>
      <c r="M6" s="776" t="s">
        <v>192</v>
      </c>
      <c r="N6" s="238"/>
      <c r="O6" s="238"/>
      <c r="P6" s="238"/>
      <c r="Q6" s="776" t="s">
        <v>195</v>
      </c>
      <c r="R6" s="238"/>
      <c r="S6" s="776" t="s">
        <v>193</v>
      </c>
      <c r="T6" s="776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22" t="s">
        <v>148</v>
      </c>
      <c r="AQ6" s="822" t="s">
        <v>187</v>
      </c>
      <c r="AR6" s="822" t="s">
        <v>188</v>
      </c>
      <c r="AS6" s="543"/>
      <c r="AT6" s="822" t="s">
        <v>194</v>
      </c>
      <c r="AU6" s="822" t="s">
        <v>191</v>
      </c>
      <c r="AV6" s="822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22" t="s">
        <v>193</v>
      </c>
      <c r="BH6" s="103"/>
      <c r="BI6" s="102"/>
      <c r="BJ6" s="117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2" ht="28.9" customHeight="1" x14ac:dyDescent="0.5">
      <c r="A7" s="766" t="s">
        <v>200</v>
      </c>
      <c r="B7" s="766"/>
      <c r="C7" s="522">
        <v>300000</v>
      </c>
      <c r="D7" s="509"/>
      <c r="E7" s="510"/>
      <c r="F7" s="231"/>
      <c r="G7" s="776"/>
      <c r="H7" s="776"/>
      <c r="I7" s="776"/>
      <c r="J7" s="776"/>
      <c r="K7" s="776"/>
      <c r="L7" s="776"/>
      <c r="M7" s="776"/>
      <c r="N7" s="237" t="s">
        <v>36</v>
      </c>
      <c r="O7" s="237" t="s">
        <v>39</v>
      </c>
      <c r="P7" s="237" t="s">
        <v>38</v>
      </c>
      <c r="Q7" s="776"/>
      <c r="R7" s="326" t="s">
        <v>40</v>
      </c>
      <c r="S7" s="776"/>
      <c r="T7" s="776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22"/>
      <c r="AQ7" s="822"/>
      <c r="AR7" s="822"/>
      <c r="AS7" s="544" t="s">
        <v>156</v>
      </c>
      <c r="AT7" s="822"/>
      <c r="AU7" s="822"/>
      <c r="AV7" s="822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22"/>
      <c r="BH7" s="163" t="s">
        <v>32</v>
      </c>
      <c r="BI7" s="104" t="s">
        <v>31</v>
      </c>
      <c r="BJ7" s="153">
        <f>BJ8</f>
        <v>44441</v>
      </c>
      <c r="BK7" s="108">
        <f>K8</f>
        <v>-359400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2" ht="18" customHeight="1" thickBot="1" x14ac:dyDescent="0.55000000000000004">
      <c r="A8" s="766" t="s">
        <v>276</v>
      </c>
      <c r="B8" s="766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-359400</v>
      </c>
      <c r="L8" s="242"/>
      <c r="M8" s="243"/>
      <c r="N8" s="243"/>
      <c r="O8" s="243"/>
      <c r="P8" s="243"/>
      <c r="Q8" s="243"/>
      <c r="R8" s="243"/>
      <c r="S8" s="239">
        <f>C22</f>
        <v>359400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-359400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359400</v>
      </c>
      <c r="BH8" s="106"/>
      <c r="BI8" s="108"/>
      <c r="BJ8" s="22">
        <f>H8</f>
        <v>44441</v>
      </c>
      <c r="BK8" s="104">
        <f>$C$24</f>
        <v>59400</v>
      </c>
      <c r="BN8" s="785"/>
      <c r="BO8" s="778"/>
      <c r="BP8" s="125" t="s">
        <v>87</v>
      </c>
      <c r="BQ8" s="126" t="s">
        <v>88</v>
      </c>
      <c r="BR8" s="799"/>
      <c r="BS8" s="801"/>
      <c r="BT8" s="797"/>
    </row>
    <row r="9" spans="1:72" ht="16.899999999999999" customHeight="1" thickBot="1" x14ac:dyDescent="0.25">
      <c r="A9" s="766" t="s">
        <v>199</v>
      </c>
      <c r="B9" s="766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359400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0.13900000000000001</v>
      </c>
      <c r="AS9" s="258">
        <f>AT9+AZ9</f>
        <v>8360</v>
      </c>
      <c r="AT9" s="258">
        <f t="shared" ref="AT9:AT40" si="6">IF(AND(BG8+AW9+AU9&gt;AT8,AT8&lt;&gt;0),IF($D$16="Да",$AL$36,$D$23),IF(BG8=0,0,BG8+AW9+AU9+AU10))</f>
        <v>8360</v>
      </c>
      <c r="AU9" s="258">
        <f>IF($C$9&gt;$AF$51,ROUND(BG8*AR9*((AQ9-DATE(YEAR(AQ9),MONTH(AQ9),1)+1)/(DATE(YEAR(AQ9)+1,1,1)-DATE(YEAR(AQ9),1,1))+(EOMONTH(AQ8,0)-AQ8)/(DATE(YEAR(AQ8)+1,1,1)-DATE(YEAR(AQ8),1,1))),2),0)</f>
        <v>4516.62</v>
      </c>
      <c r="AV9" s="258">
        <f>IF(BI9=0,0,IF(BI9=1,BG8,IF(BG8+AW9+AU9&gt;AT8,AT9-AU9-AW9,BG8)))</f>
        <v>3843.38</v>
      </c>
      <c r="AW9" s="258">
        <f t="shared" ref="AW9:AW40" si="7">IF(AY9-AZ9&gt;$D$23,$D$23-AU9,IF(BI9=0,0,BA9)+BX57)</f>
        <v>0</v>
      </c>
      <c r="AX9" s="258"/>
      <c r="AY9" s="258">
        <f>AU9+AZ9</f>
        <v>4516.62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355556.62</v>
      </c>
      <c r="BH9" s="108">
        <f>C10</f>
        <v>60</v>
      </c>
      <c r="BI9" s="108">
        <f>BH9</f>
        <v>60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763" t="s">
        <v>198</v>
      </c>
      <c r="B10" s="763"/>
      <c r="C10" s="359">
        <v>60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359400</v>
      </c>
      <c r="T10" s="467"/>
      <c r="U10" s="198">
        <f>IF((U9-1)&lt;0,0,U9-1)</f>
        <v>59</v>
      </c>
      <c r="V10" s="36">
        <f t="shared" ref="V10:V73" si="17">U10</f>
        <v>59</v>
      </c>
      <c r="W10" s="54">
        <f>ROUND(S8*0%,-2)</f>
        <v>0</v>
      </c>
      <c r="X10" s="54">
        <f>ROUND(S8*0.5%,0)</f>
        <v>1797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0.13900000000000001</v>
      </c>
      <c r="AS10" s="258">
        <f t="shared" ref="AS10:AS73" si="19">AT10+AZ10</f>
        <v>8360</v>
      </c>
      <c r="AT10" s="258">
        <f t="shared" si="6"/>
        <v>8360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4197.5200000000004</v>
      </c>
      <c r="AV10" s="258">
        <f t="shared" ref="AV10:AV73" si="21">IF(BI10=0,0,IF(BI10=1,BG9,IF(BG9+AW10+AU10&gt;AT9,AT10-AU10-AW10,BG9)))</f>
        <v>4162.4799999999996</v>
      </c>
      <c r="AW10" s="258">
        <f t="shared" si="7"/>
        <v>0</v>
      </c>
      <c r="AX10" s="258">
        <v>0</v>
      </c>
      <c r="AY10" s="258">
        <f t="shared" ref="AY10:AY85" si="22">AU10+AZ10</f>
        <v>4197.5200000000004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351394.14</v>
      </c>
      <c r="BH10" s="108">
        <f>IF((BH9-1)&lt;0,0,BH9-1)</f>
        <v>59</v>
      </c>
      <c r="BI10" s="108">
        <f>BH10</f>
        <v>59</v>
      </c>
      <c r="BJ10" s="22">
        <f>H10</f>
        <v>44505</v>
      </c>
      <c r="BK10" s="108">
        <f t="shared" si="9"/>
        <v>0</v>
      </c>
      <c r="BN10" s="784" t="s">
        <v>90</v>
      </c>
      <c r="BO10" s="777" t="s">
        <v>85</v>
      </c>
      <c r="BP10" s="129" t="s">
        <v>84</v>
      </c>
    </row>
    <row r="11" spans="1:72" ht="18" customHeight="1" thickBot="1" x14ac:dyDescent="0.25">
      <c r="A11" s="805" t="s">
        <v>172</v>
      </c>
      <c r="B11" s="805"/>
      <c r="C11" s="503">
        <v>0.13900000000000001</v>
      </c>
      <c r="D11" s="271">
        <f>C11</f>
        <v>0.13900000000000001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359400</v>
      </c>
      <c r="T11" s="467"/>
      <c r="U11" s="198">
        <f>IF((U10-1)&lt;0,0,U10-1)</f>
        <v>58</v>
      </c>
      <c r="V11" s="36">
        <f t="shared" si="17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0.13900000000000001</v>
      </c>
      <c r="AS11" s="258">
        <f t="shared" si="19"/>
        <v>8360</v>
      </c>
      <c r="AT11" s="258">
        <f t="shared" si="6"/>
        <v>8360</v>
      </c>
      <c r="AU11" s="258">
        <f t="shared" si="20"/>
        <v>4014.56</v>
      </c>
      <c r="AV11" s="258">
        <f>IF(BI11=0,0,IF(BI11=1,BG10,IF(BG10+AW11+AU11&gt;AT10,AT11-AU11-AW11,BG10)))</f>
        <v>4345.4400000000005</v>
      </c>
      <c r="AW11" s="258">
        <f t="shared" si="7"/>
        <v>0</v>
      </c>
      <c r="AX11" s="258">
        <v>0</v>
      </c>
      <c r="AY11" s="258">
        <f t="shared" si="22"/>
        <v>4014.56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347048.7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44535</v>
      </c>
      <c r="BK11" s="108">
        <f t="shared" si="9"/>
        <v>0</v>
      </c>
      <c r="BN11" s="785"/>
      <c r="BO11" s="778"/>
      <c r="BP11" s="128" t="s">
        <v>91</v>
      </c>
    </row>
    <row r="12" spans="1:72" ht="18" customHeight="1" thickBot="1" x14ac:dyDescent="0.25">
      <c r="A12" s="805" t="s">
        <v>173</v>
      </c>
      <c r="B12" s="805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359400</v>
      </c>
      <c r="T12" s="467"/>
      <c r="U12" s="198">
        <f t="shared" ref="U12:U75" si="29">IF((U11-1)&lt;0,0,U11-1)</f>
        <v>57</v>
      </c>
      <c r="V12" s="36">
        <f t="shared" si="17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0.13900000000000001</v>
      </c>
      <c r="AS12" s="258">
        <f t="shared" si="19"/>
        <v>8360</v>
      </c>
      <c r="AT12" s="258">
        <f t="shared" si="6"/>
        <v>8360</v>
      </c>
      <c r="AU12" s="258">
        <f t="shared" si="20"/>
        <v>4097.08</v>
      </c>
      <c r="AV12" s="258">
        <f t="shared" si="21"/>
        <v>4262.92</v>
      </c>
      <c r="AW12" s="258">
        <f t="shared" si="7"/>
        <v>0</v>
      </c>
      <c r="AX12" s="258">
        <v>0</v>
      </c>
      <c r="AY12" s="258">
        <f t="shared" si="22"/>
        <v>4097.08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342785.78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805" t="s">
        <v>171</v>
      </c>
      <c r="B13" s="805"/>
      <c r="C13" s="360">
        <f>IF(OR(C8="Гарантия стандарт",C8="Гарантия пакет",C12="Базовый"),C11,C11-2%)</f>
        <v>0.13900000000000001</v>
      </c>
      <c r="D13" s="271">
        <f>IF(OR(D8="Гарантия стандарт",D8="Гарантия пакет",D12="Базовый"),D11,D11-2%)</f>
        <v>0.13900000000000001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359400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0.13900000000000001</v>
      </c>
      <c r="AS13" s="258">
        <f t="shared" si="19"/>
        <v>8360</v>
      </c>
      <c r="AT13" s="258">
        <f t="shared" si="6"/>
        <v>8360</v>
      </c>
      <c r="AU13" s="258">
        <f t="shared" si="20"/>
        <v>4046.75</v>
      </c>
      <c r="AV13" s="258">
        <f t="shared" si="21"/>
        <v>4313.25</v>
      </c>
      <c r="AW13" s="258">
        <f t="shared" si="7"/>
        <v>0</v>
      </c>
      <c r="AX13" s="258">
        <v>0</v>
      </c>
      <c r="AY13" s="258">
        <f t="shared" si="22"/>
        <v>4046.75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338472.53</v>
      </c>
      <c r="BH13" s="108">
        <f t="shared" si="31"/>
        <v>56</v>
      </c>
      <c r="BI13" s="108">
        <f t="shared" si="26"/>
        <v>56</v>
      </c>
      <c r="BJ13" s="22">
        <f t="shared" si="27"/>
        <v>44597</v>
      </c>
      <c r="BK13" s="108">
        <f t="shared" si="9"/>
        <v>0</v>
      </c>
      <c r="BN13" s="784" t="s">
        <v>92</v>
      </c>
      <c r="BO13" s="777" t="s">
        <v>85</v>
      </c>
      <c r="BP13" s="129" t="s">
        <v>90</v>
      </c>
    </row>
    <row r="14" spans="1:72" ht="19.5" customHeight="1" thickBot="1" x14ac:dyDescent="0.25">
      <c r="A14" s="819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359400</v>
      </c>
      <c r="T14" s="468"/>
      <c r="U14" s="198">
        <f>IF((U13-1)&lt;0,0,U13-1)</f>
        <v>55</v>
      </c>
      <c r="V14" s="36">
        <f t="shared" si="17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0.13900000000000001</v>
      </c>
      <c r="AS14" s="258">
        <f t="shared" si="19"/>
        <v>8360</v>
      </c>
      <c r="AT14" s="258">
        <f t="shared" si="6"/>
        <v>8360</v>
      </c>
      <c r="AU14" s="258">
        <f t="shared" si="20"/>
        <v>3609.14</v>
      </c>
      <c r="AV14" s="258">
        <f t="shared" si="21"/>
        <v>4750.8600000000006</v>
      </c>
      <c r="AW14" s="258">
        <f t="shared" si="7"/>
        <v>0</v>
      </c>
      <c r="AX14" s="258">
        <v>0</v>
      </c>
      <c r="AY14" s="258">
        <f t="shared" si="22"/>
        <v>3609.14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333721.67000000004</v>
      </c>
      <c r="BH14" s="108">
        <f t="shared" si="31"/>
        <v>55</v>
      </c>
      <c r="BI14" s="108">
        <f t="shared" si="26"/>
        <v>55</v>
      </c>
      <c r="BJ14" s="22">
        <f t="shared" si="27"/>
        <v>44625</v>
      </c>
      <c r="BK14" s="108">
        <f t="shared" si="9"/>
        <v>0</v>
      </c>
      <c r="BN14" s="785"/>
      <c r="BO14" s="778"/>
      <c r="BP14" s="128" t="s">
        <v>93</v>
      </c>
    </row>
    <row r="15" spans="1:72" ht="20.25" customHeight="1" x14ac:dyDescent="0.2">
      <c r="A15" s="820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9.9000000000000005E-2</v>
      </c>
      <c r="J15" s="242">
        <f t="shared" si="11"/>
        <v>7860</v>
      </c>
      <c r="K15" s="242">
        <f>IF(AND(G15&gt;=$W$9,G15&lt;=$W$9+5),$W$10,IF(S14+N15+L15&gt;K14,IF(AND($C$16="Да",$C$8&lt;&gt;"Нет"),$AF$37,$C$23),IF(S14=0,0,S14+N15+L15+L16)))</f>
        <v>7860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3021.91</v>
      </c>
      <c r="M15" s="242">
        <f t="shared" si="13"/>
        <v>4838.09</v>
      </c>
      <c r="N15" s="242">
        <f t="shared" si="3"/>
        <v>0</v>
      </c>
      <c r="O15" s="242">
        <v>0</v>
      </c>
      <c r="P15" s="242">
        <f t="shared" si="25"/>
        <v>3021.91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354561.91</v>
      </c>
      <c r="T15" s="467"/>
      <c r="U15" s="198">
        <f t="shared" si="29"/>
        <v>54</v>
      </c>
      <c r="V15" s="36">
        <f t="shared" si="17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0.13900000000000001</v>
      </c>
      <c r="AS15" s="258">
        <f t="shared" si="19"/>
        <v>8360</v>
      </c>
      <c r="AT15" s="258">
        <f t="shared" si="6"/>
        <v>8360</v>
      </c>
      <c r="AU15" s="258">
        <f t="shared" si="20"/>
        <v>3939.74</v>
      </c>
      <c r="AV15" s="258">
        <f t="shared" si="21"/>
        <v>4420.26</v>
      </c>
      <c r="AW15" s="258">
        <f t="shared" si="7"/>
        <v>0</v>
      </c>
      <c r="AX15" s="258">
        <v>0</v>
      </c>
      <c r="AY15" s="258">
        <f t="shared" si="22"/>
        <v>3939.74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329301.41000000003</v>
      </c>
      <c r="BH15" s="108">
        <f t="shared" si="31"/>
        <v>54</v>
      </c>
      <c r="BI15" s="108">
        <f t="shared" si="26"/>
        <v>54</v>
      </c>
      <c r="BJ15" s="22">
        <f t="shared" si="27"/>
        <v>44656</v>
      </c>
      <c r="BK15" s="108">
        <f t="shared" si="9"/>
        <v>7860</v>
      </c>
    </row>
    <row r="16" spans="1:72" ht="19.149999999999999" customHeight="1" x14ac:dyDescent="0.2">
      <c r="A16" s="821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9.9000000000000005E-2</v>
      </c>
      <c r="J16" s="242">
        <f t="shared" si="11"/>
        <v>7860</v>
      </c>
      <c r="K16" s="242">
        <f t="shared" ref="K16:K21" si="35">IF(AND(G16&gt;=$W$9,G16&lt;=$W$9+5),$W$10,IF(AND(S15+N16+L16&gt;K15,K15&lt;&gt;0),IF(AND($C$16="Да",$C$8&lt;&gt;"Нет"),$AF$37,$C$23),IF(S15=0,0,S15+N16+L16+L17)))</f>
        <v>7860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2885.07</v>
      </c>
      <c r="M16" s="242">
        <f>IF(S15=0,0,IF(S15+N16+L16&gt;K15,K16-L16-N16,S15))</f>
        <v>4974.93</v>
      </c>
      <c r="N16" s="242">
        <f t="shared" si="3"/>
        <v>0</v>
      </c>
      <c r="O16" s="242">
        <v>0</v>
      </c>
      <c r="P16" s="242">
        <f t="shared" si="25"/>
        <v>2885.07</v>
      </c>
      <c r="Q16" s="242">
        <f t="shared" si="33"/>
        <v>0</v>
      </c>
      <c r="R16" s="242">
        <f t="shared" si="15"/>
        <v>0</v>
      </c>
      <c r="S16" s="242">
        <f t="shared" si="16"/>
        <v>349586.98</v>
      </c>
      <c r="T16" s="467"/>
      <c r="U16" s="198">
        <f t="shared" si="29"/>
        <v>53</v>
      </c>
      <c r="V16" s="36">
        <f t="shared" si="17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0.13900000000000001</v>
      </c>
      <c r="AS16" s="258">
        <f t="shared" si="19"/>
        <v>8360</v>
      </c>
      <c r="AT16" s="258">
        <f t="shared" si="6"/>
        <v>8360</v>
      </c>
      <c r="AU16" s="258">
        <f t="shared" si="20"/>
        <v>3762.16</v>
      </c>
      <c r="AV16" s="258">
        <f t="shared" si="21"/>
        <v>4597.84</v>
      </c>
      <c r="AW16" s="258">
        <f t="shared" si="7"/>
        <v>0</v>
      </c>
      <c r="AX16" s="258">
        <v>0</v>
      </c>
      <c r="AY16" s="258">
        <f t="shared" si="22"/>
        <v>3762.16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324703.57</v>
      </c>
      <c r="BH16" s="108">
        <f t="shared" si="31"/>
        <v>53</v>
      </c>
      <c r="BI16" s="108">
        <f t="shared" si="26"/>
        <v>53</v>
      </c>
      <c r="BJ16" s="22">
        <f t="shared" si="27"/>
        <v>44686</v>
      </c>
      <c r="BK16" s="108">
        <f t="shared" si="9"/>
        <v>7860</v>
      </c>
    </row>
    <row r="17" spans="1:393" ht="19.899999999999999" customHeight="1" x14ac:dyDescent="0.2">
      <c r="A17" s="821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9.9000000000000005E-2</v>
      </c>
      <c r="J17" s="242">
        <f t="shared" si="11"/>
        <v>7860</v>
      </c>
      <c r="K17" s="242">
        <f t="shared" si="35"/>
        <v>7860</v>
      </c>
      <c r="L17" s="242">
        <f t="shared" si="36"/>
        <v>2939.4</v>
      </c>
      <c r="M17" s="242">
        <f t="shared" si="13"/>
        <v>4920.6000000000004</v>
      </c>
      <c r="N17" s="242">
        <f t="shared" si="3"/>
        <v>0</v>
      </c>
      <c r="O17" s="242">
        <v>0</v>
      </c>
      <c r="P17" s="242">
        <f t="shared" si="25"/>
        <v>2939.4</v>
      </c>
      <c r="Q17" s="242">
        <f t="shared" si="33"/>
        <v>0</v>
      </c>
      <c r="R17" s="242">
        <f t="shared" si="15"/>
        <v>0</v>
      </c>
      <c r="S17" s="242">
        <f t="shared" si="16"/>
        <v>344666.38</v>
      </c>
      <c r="T17" s="467"/>
      <c r="U17" s="198">
        <f t="shared" si="29"/>
        <v>52</v>
      </c>
      <c r="V17" s="36">
        <f t="shared" si="17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0.13900000000000001</v>
      </c>
      <c r="AS17" s="258">
        <f t="shared" si="19"/>
        <v>8360</v>
      </c>
      <c r="AT17" s="258">
        <f t="shared" si="6"/>
        <v>8360</v>
      </c>
      <c r="AU17" s="258">
        <f t="shared" si="20"/>
        <v>3833.28</v>
      </c>
      <c r="AV17" s="258">
        <f t="shared" si="21"/>
        <v>4526.7199999999993</v>
      </c>
      <c r="AW17" s="258">
        <f t="shared" si="7"/>
        <v>0</v>
      </c>
      <c r="AX17" s="258">
        <v>0</v>
      </c>
      <c r="AY17" s="258">
        <f t="shared" si="22"/>
        <v>3833.28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320176.85000000003</v>
      </c>
      <c r="BH17" s="108">
        <f t="shared" si="31"/>
        <v>52</v>
      </c>
      <c r="BI17" s="108">
        <f t="shared" si="26"/>
        <v>52</v>
      </c>
      <c r="BJ17" s="22">
        <f t="shared" si="27"/>
        <v>44717</v>
      </c>
      <c r="BK17" s="108">
        <f t="shared" si="9"/>
        <v>7860</v>
      </c>
    </row>
    <row r="18" spans="1:393" ht="19.899999999999999" customHeight="1" x14ac:dyDescent="0.2">
      <c r="A18" s="821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9.9000000000000005E-2</v>
      </c>
      <c r="J18" s="242">
        <f t="shared" si="11"/>
        <v>7860</v>
      </c>
      <c r="K18" s="242">
        <f t="shared" si="35"/>
        <v>7860</v>
      </c>
      <c r="L18" s="242">
        <f t="shared" si="36"/>
        <v>2804.55</v>
      </c>
      <c r="M18" s="242">
        <f t="shared" si="13"/>
        <v>5055.45</v>
      </c>
      <c r="N18" s="242">
        <f t="shared" si="3"/>
        <v>0</v>
      </c>
      <c r="O18" s="242">
        <v>0</v>
      </c>
      <c r="P18" s="242">
        <f t="shared" si="25"/>
        <v>2804.55</v>
      </c>
      <c r="Q18" s="242">
        <f t="shared" si="33"/>
        <v>0</v>
      </c>
      <c r="R18" s="242">
        <f t="shared" si="15"/>
        <v>0</v>
      </c>
      <c r="S18" s="242">
        <f t="shared" si="16"/>
        <v>339610.93</v>
      </c>
      <c r="T18" s="467"/>
      <c r="U18" s="198">
        <f t="shared" si="29"/>
        <v>51</v>
      </c>
      <c r="V18" s="36">
        <f t="shared" si="17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0.13900000000000001</v>
      </c>
      <c r="AS18" s="258">
        <f t="shared" si="19"/>
        <v>8360</v>
      </c>
      <c r="AT18" s="258">
        <f t="shared" si="6"/>
        <v>8360</v>
      </c>
      <c r="AU18" s="258">
        <f t="shared" si="20"/>
        <v>3657.91</v>
      </c>
      <c r="AV18" s="258">
        <f t="shared" si="21"/>
        <v>4702.09</v>
      </c>
      <c r="AW18" s="258">
        <f t="shared" si="7"/>
        <v>0</v>
      </c>
      <c r="AX18" s="258">
        <v>0</v>
      </c>
      <c r="AY18" s="258">
        <f t="shared" si="22"/>
        <v>3657.91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315474.76</v>
      </c>
      <c r="BH18" s="108">
        <f t="shared" si="31"/>
        <v>51</v>
      </c>
      <c r="BI18" s="108">
        <f t="shared" si="26"/>
        <v>51</v>
      </c>
      <c r="BJ18" s="22">
        <f t="shared" si="27"/>
        <v>44747</v>
      </c>
      <c r="BK18" s="108">
        <f t="shared" si="9"/>
        <v>7860</v>
      </c>
    </row>
    <row r="19" spans="1:393" ht="28.15" customHeight="1" x14ac:dyDescent="0.2">
      <c r="A19" s="807" t="s">
        <v>303</v>
      </c>
      <c r="B19" s="807"/>
      <c r="C19" s="807"/>
      <c r="D19" s="807"/>
      <c r="E19" s="807"/>
      <c r="F19" s="233"/>
      <c r="G19" s="244">
        <f t="shared" si="28"/>
        <v>11</v>
      </c>
      <c r="H19" s="245">
        <f t="shared" si="1"/>
        <v>44778</v>
      </c>
      <c r="I19" s="246">
        <f t="shared" si="32"/>
        <v>9.9000000000000005E-2</v>
      </c>
      <c r="J19" s="242">
        <f t="shared" si="11"/>
        <v>7860</v>
      </c>
      <c r="K19" s="242">
        <f t="shared" si="35"/>
        <v>7860</v>
      </c>
      <c r="L19" s="242">
        <f t="shared" si="36"/>
        <v>2855.52</v>
      </c>
      <c r="M19" s="242">
        <f t="shared" si="13"/>
        <v>5004.4799999999996</v>
      </c>
      <c r="N19" s="242">
        <f t="shared" si="3"/>
        <v>0</v>
      </c>
      <c r="O19" s="242">
        <v>0</v>
      </c>
      <c r="P19" s="242">
        <f t="shared" si="25"/>
        <v>2855.52</v>
      </c>
      <c r="Q19" s="242">
        <f t="shared" si="33"/>
        <v>0</v>
      </c>
      <c r="R19" s="242">
        <f t="shared" si="15"/>
        <v>0</v>
      </c>
      <c r="S19" s="242">
        <f t="shared" si="16"/>
        <v>334606.45</v>
      </c>
      <c r="T19" s="467"/>
      <c r="U19" s="198">
        <f>IF((U18-1)&lt;0,0,U18-1)</f>
        <v>50</v>
      </c>
      <c r="V19" s="36">
        <f t="shared" si="17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0.13900000000000001</v>
      </c>
      <c r="AS19" s="258">
        <f t="shared" si="19"/>
        <v>8360</v>
      </c>
      <c r="AT19" s="258">
        <f t="shared" si="6"/>
        <v>8360</v>
      </c>
      <c r="AU19" s="258">
        <f t="shared" si="20"/>
        <v>3724.33</v>
      </c>
      <c r="AV19" s="258">
        <f t="shared" si="21"/>
        <v>4635.67</v>
      </c>
      <c r="AW19" s="258">
        <f t="shared" si="7"/>
        <v>0</v>
      </c>
      <c r="AX19" s="258">
        <v>0</v>
      </c>
      <c r="AY19" s="258">
        <f t="shared" si="22"/>
        <v>3724.33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310839.09000000003</v>
      </c>
      <c r="BH19" s="108">
        <f t="shared" si="31"/>
        <v>50</v>
      </c>
      <c r="BI19" s="108">
        <f t="shared" si="26"/>
        <v>50</v>
      </c>
      <c r="BJ19" s="22">
        <f t="shared" si="27"/>
        <v>44778</v>
      </c>
      <c r="BK19" s="108">
        <f t="shared" si="9"/>
        <v>7860</v>
      </c>
    </row>
    <row r="20" spans="1:393" ht="16.899999999999999" customHeight="1" thickBot="1" x14ac:dyDescent="0.25">
      <c r="A20" s="817" t="s">
        <v>309</v>
      </c>
      <c r="B20" s="817"/>
      <c r="C20" s="817"/>
      <c r="D20" s="817"/>
      <c r="E20" s="817"/>
      <c r="F20" s="224"/>
      <c r="G20" s="248">
        <f t="shared" si="28"/>
        <v>12</v>
      </c>
      <c r="H20" s="249">
        <f t="shared" si="1"/>
        <v>44809</v>
      </c>
      <c r="I20" s="246">
        <f t="shared" si="32"/>
        <v>9.9000000000000005E-2</v>
      </c>
      <c r="J20" s="252">
        <f t="shared" si="11"/>
        <v>7860</v>
      </c>
      <c r="K20" s="252">
        <f t="shared" si="35"/>
        <v>7860</v>
      </c>
      <c r="L20" s="252">
        <f t="shared" si="36"/>
        <v>2813.44</v>
      </c>
      <c r="M20" s="252">
        <f t="shared" si="13"/>
        <v>5046.5599999999995</v>
      </c>
      <c r="N20" s="252">
        <f t="shared" si="3"/>
        <v>0</v>
      </c>
      <c r="O20" s="252">
        <v>0</v>
      </c>
      <c r="P20" s="252">
        <f t="shared" si="25"/>
        <v>2813.44</v>
      </c>
      <c r="Q20" s="252">
        <f t="shared" si="33"/>
        <v>0</v>
      </c>
      <c r="R20" s="252">
        <f t="shared" si="15"/>
        <v>0</v>
      </c>
      <c r="S20" s="252">
        <f t="shared" si="16"/>
        <v>329559.89</v>
      </c>
      <c r="T20" s="468"/>
      <c r="U20" s="198">
        <f>IF((U19-1)&lt;0,0,U19-1)</f>
        <v>49</v>
      </c>
      <c r="V20" s="36">
        <f t="shared" si="17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0.13900000000000001</v>
      </c>
      <c r="AS20" s="258">
        <f t="shared" si="19"/>
        <v>8360</v>
      </c>
      <c r="AT20" s="258">
        <f t="shared" si="6"/>
        <v>8360</v>
      </c>
      <c r="AU20" s="258">
        <f t="shared" si="20"/>
        <v>3669.6</v>
      </c>
      <c r="AV20" s="258">
        <f t="shared" si="21"/>
        <v>4690.3999999999996</v>
      </c>
      <c r="AW20" s="258">
        <f t="shared" si="7"/>
        <v>0</v>
      </c>
      <c r="AX20" s="258">
        <v>0</v>
      </c>
      <c r="AY20" s="258">
        <f t="shared" si="22"/>
        <v>3669.6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306148.69</v>
      </c>
      <c r="BH20" s="108">
        <f t="shared" si="31"/>
        <v>49</v>
      </c>
      <c r="BI20" s="108">
        <f t="shared" si="26"/>
        <v>49</v>
      </c>
      <c r="BJ20" s="22">
        <f t="shared" si="27"/>
        <v>44809</v>
      </c>
      <c r="BK20" s="108">
        <f t="shared" si="9"/>
        <v>7860</v>
      </c>
    </row>
    <row r="21" spans="1:393" ht="38.25" customHeight="1" x14ac:dyDescent="0.2">
      <c r="A21" s="872" t="s">
        <v>174</v>
      </c>
      <c r="B21" s="872"/>
      <c r="C21" s="873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9.9000000000000005E-2</v>
      </c>
      <c r="J21" s="242">
        <f>K21+Q21</f>
        <v>7860</v>
      </c>
      <c r="K21" s="242">
        <f t="shared" si="35"/>
        <v>7860</v>
      </c>
      <c r="L21" s="242">
        <f t="shared" si="36"/>
        <v>2681.62</v>
      </c>
      <c r="M21" s="242">
        <f t="shared" si="13"/>
        <v>5178.38</v>
      </c>
      <c r="N21" s="242">
        <f t="shared" si="3"/>
        <v>0</v>
      </c>
      <c r="O21" s="242">
        <v>0</v>
      </c>
      <c r="P21" s="242">
        <f t="shared" si="25"/>
        <v>2681.62</v>
      </c>
      <c r="Q21" s="242">
        <f t="shared" si="33"/>
        <v>0</v>
      </c>
      <c r="R21" s="242">
        <f t="shared" si="15"/>
        <v>0</v>
      </c>
      <c r="S21" s="242">
        <f t="shared" si="16"/>
        <v>324381.51</v>
      </c>
      <c r="T21" s="467"/>
      <c r="U21" s="198">
        <f>IF((U20-1)&lt;0,0,U20-1)</f>
        <v>48</v>
      </c>
      <c r="V21" s="36">
        <f t="shared" si="17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0.13900000000000001</v>
      </c>
      <c r="AS21" s="258">
        <f t="shared" si="19"/>
        <v>8360</v>
      </c>
      <c r="AT21" s="258">
        <f t="shared" si="6"/>
        <v>8360</v>
      </c>
      <c r="AU21" s="258">
        <f t="shared" si="20"/>
        <v>3497.64</v>
      </c>
      <c r="AV21" s="258">
        <f t="shared" si="21"/>
        <v>4862.3600000000006</v>
      </c>
      <c r="AW21" s="258">
        <f t="shared" si="7"/>
        <v>0</v>
      </c>
      <c r="AX21" s="258">
        <v>0</v>
      </c>
      <c r="AY21" s="258">
        <f t="shared" si="22"/>
        <v>3497.64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301286.33</v>
      </c>
      <c r="BH21" s="108">
        <f t="shared" si="31"/>
        <v>48</v>
      </c>
      <c r="BI21" s="108">
        <f t="shared" si="26"/>
        <v>48</v>
      </c>
      <c r="BJ21" s="22">
        <f t="shared" si="27"/>
        <v>44839</v>
      </c>
      <c r="BK21" s="108">
        <f t="shared" si="9"/>
        <v>7860</v>
      </c>
    </row>
    <row r="22" spans="1:393" ht="34.15" customHeight="1" x14ac:dyDescent="0.2">
      <c r="A22" s="810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810"/>
      <c r="C22" s="516">
        <f>$C$7+(IF($C$8="Нет",0,IF($C$24&lt;&gt;"",$C$24,0))+IF(C14="Нет",0,IF(C14="Да",C15,0)))</f>
        <v>359400</v>
      </c>
      <c r="D22" s="473">
        <f>$C$7+(IF($D$8="Нет",0,IF($D$24&lt;&gt;"",$D$24,0))+IF(D14="Нет",0,IF(D14="Да",D15,0)))</f>
        <v>359400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9.9000000000000005E-2</v>
      </c>
      <c r="J22" s="242">
        <f t="shared" si="11"/>
        <v>7860</v>
      </c>
      <c r="K22" s="242">
        <f t="shared" ref="K22:K32" si="40">IF(AND(G22&gt;=$W$9,G22&lt;=$W$9+5),$W$10,IF(AND(S21+N22+L22&gt;K21,K21&lt;&gt;0),IF(AND($C$16="Да",$C$8&lt;&gt;"Нет"),$AF$37,$C$23),IF(S21=0,0,S21+N22+L22+L23)))</f>
        <v>7860</v>
      </c>
      <c r="L22" s="242">
        <f t="shared" si="36"/>
        <v>2727.47</v>
      </c>
      <c r="M22" s="242">
        <f t="shared" si="13"/>
        <v>5132.5300000000007</v>
      </c>
      <c r="N22" s="242">
        <f t="shared" si="3"/>
        <v>0</v>
      </c>
      <c r="O22" s="242">
        <v>0</v>
      </c>
      <c r="P22" s="242">
        <f t="shared" si="25"/>
        <v>2727.47</v>
      </c>
      <c r="Q22" s="242">
        <f t="shared" si="33"/>
        <v>0</v>
      </c>
      <c r="R22" s="242">
        <f t="shared" si="15"/>
        <v>0</v>
      </c>
      <c r="S22" s="242">
        <f t="shared" si="16"/>
        <v>319248.98</v>
      </c>
      <c r="T22" s="467"/>
      <c r="U22" s="198">
        <f t="shared" si="29"/>
        <v>47</v>
      </c>
      <c r="V22" s="36">
        <f t="shared" si="17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0.13900000000000001</v>
      </c>
      <c r="AS22" s="258">
        <f t="shared" si="19"/>
        <v>8360</v>
      </c>
      <c r="AT22" s="258">
        <f t="shared" si="6"/>
        <v>8360</v>
      </c>
      <c r="AU22" s="258">
        <f t="shared" si="20"/>
        <v>3556.83</v>
      </c>
      <c r="AV22" s="258">
        <f t="shared" si="21"/>
        <v>4803.17</v>
      </c>
      <c r="AW22" s="258">
        <f t="shared" si="7"/>
        <v>0</v>
      </c>
      <c r="AX22" s="258">
        <v>0</v>
      </c>
      <c r="AY22" s="258">
        <f t="shared" si="22"/>
        <v>3556.83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296483.16000000003</v>
      </c>
      <c r="BH22" s="108">
        <f t="shared" si="31"/>
        <v>47</v>
      </c>
      <c r="BI22" s="108">
        <f t="shared" si="26"/>
        <v>47</v>
      </c>
      <c r="BJ22" s="22">
        <f t="shared" si="27"/>
        <v>44870</v>
      </c>
      <c r="BK22" s="108">
        <f t="shared" si="9"/>
        <v>7860</v>
      </c>
    </row>
    <row r="23" spans="1:393" ht="19.149999999999999" customHeight="1" x14ac:dyDescent="0.2">
      <c r="A23" s="769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769"/>
      <c r="C23" s="516">
        <f>ROUNDUP(AH36/AH33*C22/AG47,0)*AG47</f>
        <v>8360</v>
      </c>
      <c r="D23" s="473">
        <f>ROUNDUP(AI36/AH33*D22/AG47,0)*AG47</f>
        <v>8360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9.9000000000000005E-2</v>
      </c>
      <c r="J23" s="242">
        <f t="shared" si="11"/>
        <v>7860</v>
      </c>
      <c r="K23" s="242">
        <f t="shared" si="40"/>
        <v>7860</v>
      </c>
      <c r="L23" s="242">
        <f t="shared" si="36"/>
        <v>2597.7199999999998</v>
      </c>
      <c r="M23" s="242">
        <f t="shared" si="13"/>
        <v>5262.2800000000007</v>
      </c>
      <c r="N23" s="242">
        <f t="shared" si="3"/>
        <v>0</v>
      </c>
      <c r="O23" s="242">
        <v>0</v>
      </c>
      <c r="P23" s="242">
        <f t="shared" si="25"/>
        <v>2597.7199999999998</v>
      </c>
      <c r="Q23" s="242">
        <f t="shared" si="33"/>
        <v>0</v>
      </c>
      <c r="R23" s="242">
        <f t="shared" si="15"/>
        <v>0</v>
      </c>
      <c r="S23" s="242">
        <f t="shared" si="16"/>
        <v>313986.69999999995</v>
      </c>
      <c r="T23" s="467"/>
      <c r="U23" s="198">
        <f t="shared" si="29"/>
        <v>46</v>
      </c>
      <c r="V23" s="36">
        <f t="shared" si="17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0.13900000000000001</v>
      </c>
      <c r="AS23" s="258">
        <f t="shared" si="19"/>
        <v>8360</v>
      </c>
      <c r="AT23" s="258">
        <f t="shared" si="6"/>
        <v>8360</v>
      </c>
      <c r="AU23" s="258">
        <f t="shared" si="20"/>
        <v>3387.22</v>
      </c>
      <c r="AV23" s="258">
        <f t="shared" si="21"/>
        <v>4972.7800000000007</v>
      </c>
      <c r="AW23" s="258">
        <f t="shared" si="7"/>
        <v>0</v>
      </c>
      <c r="AX23" s="258">
        <v>0</v>
      </c>
      <c r="AY23" s="258">
        <f t="shared" si="22"/>
        <v>3387.22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291510.38</v>
      </c>
      <c r="BH23" s="108">
        <f t="shared" si="31"/>
        <v>46</v>
      </c>
      <c r="BI23" s="108">
        <f t="shared" si="26"/>
        <v>46</v>
      </c>
      <c r="BJ23" s="22">
        <f t="shared" si="27"/>
        <v>44900</v>
      </c>
      <c r="BK23" s="108">
        <f t="shared" si="9"/>
        <v>7860</v>
      </c>
    </row>
    <row r="24" spans="1:393" ht="18" customHeight="1" x14ac:dyDescent="0.2">
      <c r="A24" s="763" t="s">
        <v>285</v>
      </c>
      <c r="B24" s="763"/>
      <c r="C24" s="508">
        <f>IF(C8="Гарантия пакет",(AH65*AH79+AI65*AI79),INDEX($AC$79:$AI$79,MATCH(C$8,$AC$59:$AJ$59,0))*C25)*(MIN($C$10,60))</f>
        <v>59400</v>
      </c>
      <c r="D24" s="473">
        <f>IF(D8="Гарантия пакет",(AH65*AH79+AI65*AI79),INDEX($AC$79:$AI$79,MATCH(D$8,$AC$59:$AJ$59,0))*D25)*$C$10</f>
        <v>59400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9.9000000000000005E-2</v>
      </c>
      <c r="J24" s="242">
        <f t="shared" si="11"/>
        <v>7860</v>
      </c>
      <c r="K24" s="242">
        <f t="shared" si="40"/>
        <v>7860</v>
      </c>
      <c r="L24" s="242">
        <f t="shared" si="36"/>
        <v>2640.07</v>
      </c>
      <c r="M24" s="242">
        <f t="shared" si="13"/>
        <v>5219.93</v>
      </c>
      <c r="N24" s="242">
        <f t="shared" si="3"/>
        <v>0</v>
      </c>
      <c r="O24" s="242">
        <v>0</v>
      </c>
      <c r="P24" s="242">
        <f t="shared" si="25"/>
        <v>2640.07</v>
      </c>
      <c r="Q24" s="242">
        <f t="shared" si="33"/>
        <v>0</v>
      </c>
      <c r="R24" s="242">
        <f t="shared" si="15"/>
        <v>0</v>
      </c>
      <c r="S24" s="242">
        <f t="shared" si="16"/>
        <v>308766.76999999996</v>
      </c>
      <c r="T24" s="467"/>
      <c r="U24" s="198">
        <f t="shared" si="29"/>
        <v>45</v>
      </c>
      <c r="V24" s="36">
        <f t="shared" si="17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0.13900000000000001</v>
      </c>
      <c r="AS24" s="258">
        <f t="shared" si="19"/>
        <v>8360</v>
      </c>
      <c r="AT24" s="258">
        <f t="shared" si="6"/>
        <v>8360</v>
      </c>
      <c r="AU24" s="258">
        <f t="shared" si="20"/>
        <v>3441.42</v>
      </c>
      <c r="AV24" s="258">
        <f t="shared" si="21"/>
        <v>4918.58</v>
      </c>
      <c r="AW24" s="258">
        <f t="shared" si="7"/>
        <v>0</v>
      </c>
      <c r="AX24" s="258">
        <v>0</v>
      </c>
      <c r="AY24" s="258">
        <f t="shared" si="22"/>
        <v>3441.42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286591.8</v>
      </c>
      <c r="BH24" s="108">
        <f t="shared" si="31"/>
        <v>45</v>
      </c>
      <c r="BI24" s="108">
        <f t="shared" si="26"/>
        <v>45</v>
      </c>
      <c r="BJ24" s="22">
        <f t="shared" si="27"/>
        <v>44931</v>
      </c>
      <c r="BK24" s="108">
        <f t="shared" si="9"/>
        <v>7860</v>
      </c>
    </row>
    <row r="25" spans="1:393" ht="18" customHeight="1" x14ac:dyDescent="0.2">
      <c r="A25" s="763" t="s">
        <v>100</v>
      </c>
      <c r="B25" s="804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9.9000000000000005E-2</v>
      </c>
      <c r="J25" s="242">
        <f t="shared" si="11"/>
        <v>7860</v>
      </c>
      <c r="K25" s="242">
        <f t="shared" si="40"/>
        <v>7860</v>
      </c>
      <c r="L25" s="242">
        <f t="shared" si="36"/>
        <v>2596.1799999999998</v>
      </c>
      <c r="M25" s="242">
        <f t="shared" si="13"/>
        <v>5263.82</v>
      </c>
      <c r="N25" s="242">
        <f t="shared" si="3"/>
        <v>0</v>
      </c>
      <c r="O25" s="242">
        <v>0</v>
      </c>
      <c r="P25" s="242">
        <f t="shared" si="25"/>
        <v>2596.1799999999998</v>
      </c>
      <c r="Q25" s="242">
        <f t="shared" si="33"/>
        <v>0</v>
      </c>
      <c r="R25" s="242">
        <f t="shared" si="15"/>
        <v>0</v>
      </c>
      <c r="S25" s="242">
        <f t="shared" si="16"/>
        <v>303502.94999999995</v>
      </c>
      <c r="T25" s="467"/>
      <c r="U25" s="198">
        <f t="shared" si="29"/>
        <v>44</v>
      </c>
      <c r="V25" s="36">
        <f t="shared" si="17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0.13900000000000001</v>
      </c>
      <c r="AS25" s="258">
        <f t="shared" si="19"/>
        <v>8360</v>
      </c>
      <c r="AT25" s="258">
        <f t="shared" si="6"/>
        <v>8360</v>
      </c>
      <c r="AU25" s="258">
        <f t="shared" si="20"/>
        <v>3383.35</v>
      </c>
      <c r="AV25" s="258">
        <f t="shared" si="21"/>
        <v>4976.6499999999996</v>
      </c>
      <c r="AW25" s="258">
        <f t="shared" si="7"/>
        <v>0</v>
      </c>
      <c r="AX25" s="258">
        <v>0</v>
      </c>
      <c r="AY25" s="258">
        <f t="shared" si="22"/>
        <v>3383.35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281615.14999999997</v>
      </c>
      <c r="BH25" s="108">
        <f t="shared" si="31"/>
        <v>44</v>
      </c>
      <c r="BI25" s="108">
        <f t="shared" si="26"/>
        <v>44</v>
      </c>
      <c r="BJ25" s="22">
        <f t="shared" si="27"/>
        <v>44962</v>
      </c>
      <c r="BK25" s="108">
        <f t="shared" si="9"/>
        <v>7860</v>
      </c>
    </row>
    <row r="26" spans="1:393" ht="18" customHeight="1" x14ac:dyDescent="0.2">
      <c r="A26" s="763" t="s">
        <v>325</v>
      </c>
      <c r="B26" s="763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1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9.9000000000000005E-2</v>
      </c>
      <c r="J26" s="242">
        <f t="shared" si="11"/>
        <v>7860</v>
      </c>
      <c r="K26" s="242">
        <f t="shared" si="40"/>
        <v>7860</v>
      </c>
      <c r="L26" s="242">
        <f t="shared" si="36"/>
        <v>2304.96</v>
      </c>
      <c r="M26" s="242">
        <f t="shared" si="13"/>
        <v>5555.04</v>
      </c>
      <c r="N26" s="242">
        <f t="shared" si="3"/>
        <v>0</v>
      </c>
      <c r="O26" s="242">
        <v>0</v>
      </c>
      <c r="P26" s="242">
        <f t="shared" si="25"/>
        <v>2304.96</v>
      </c>
      <c r="Q26" s="242">
        <f t="shared" si="33"/>
        <v>0</v>
      </c>
      <c r="R26" s="242">
        <f t="shared" si="15"/>
        <v>0</v>
      </c>
      <c r="S26" s="242">
        <f t="shared" si="16"/>
        <v>297947.90999999997</v>
      </c>
      <c r="T26" s="467"/>
      <c r="U26" s="198">
        <f t="shared" si="29"/>
        <v>43</v>
      </c>
      <c r="V26" s="36">
        <f t="shared" si="17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0.13900000000000001</v>
      </c>
      <c r="AS26" s="258">
        <f t="shared" si="19"/>
        <v>8360</v>
      </c>
      <c r="AT26" s="258">
        <f t="shared" si="6"/>
        <v>8360</v>
      </c>
      <c r="AU26" s="258">
        <f t="shared" si="20"/>
        <v>3002.87</v>
      </c>
      <c r="AV26" s="258">
        <f t="shared" si="21"/>
        <v>5357.13</v>
      </c>
      <c r="AW26" s="258">
        <f t="shared" si="7"/>
        <v>0</v>
      </c>
      <c r="AX26" s="258">
        <v>0</v>
      </c>
      <c r="AY26" s="258">
        <f t="shared" si="22"/>
        <v>3002.87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276258.01999999996</v>
      </c>
      <c r="BH26" s="108">
        <f t="shared" si="31"/>
        <v>43</v>
      </c>
      <c r="BI26" s="108">
        <f t="shared" si="26"/>
        <v>43</v>
      </c>
      <c r="BJ26" s="22">
        <f t="shared" si="27"/>
        <v>44990</v>
      </c>
      <c r="BK26" s="108">
        <f t="shared" si="9"/>
        <v>7860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63" t="s">
        <v>310</v>
      </c>
      <c r="B27" s="763"/>
      <c r="C27" s="508">
        <f>C24/$C$10</f>
        <v>990</v>
      </c>
      <c r="D27" s="473">
        <f>D24/$C$10</f>
        <v>990</v>
      </c>
      <c r="E27" s="226">
        <f t="shared" si="41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9.9000000000000005E-2</v>
      </c>
      <c r="J27" s="242">
        <f t="shared" si="11"/>
        <v>7860</v>
      </c>
      <c r="K27" s="242">
        <f t="shared" si="40"/>
        <v>7860</v>
      </c>
      <c r="L27" s="242">
        <f t="shared" si="36"/>
        <v>2505.21</v>
      </c>
      <c r="M27" s="242">
        <f t="shared" si="13"/>
        <v>5354.79</v>
      </c>
      <c r="N27" s="242">
        <f t="shared" si="3"/>
        <v>0</v>
      </c>
      <c r="O27" s="242">
        <v>0</v>
      </c>
      <c r="P27" s="242">
        <f t="shared" si="25"/>
        <v>2505.21</v>
      </c>
      <c r="Q27" s="242">
        <f t="shared" si="33"/>
        <v>0</v>
      </c>
      <c r="R27" s="242">
        <f t="shared" si="15"/>
        <v>0</v>
      </c>
      <c r="S27" s="242">
        <f t="shared" si="16"/>
        <v>292593.12</v>
      </c>
      <c r="T27" s="467"/>
      <c r="U27" s="198">
        <f t="shared" si="29"/>
        <v>42</v>
      </c>
      <c r="V27" s="36">
        <f t="shared" si="17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0.13900000000000001</v>
      </c>
      <c r="AS27" s="258">
        <f t="shared" si="19"/>
        <v>8360</v>
      </c>
      <c r="AT27" s="258">
        <f t="shared" si="6"/>
        <v>8360</v>
      </c>
      <c r="AU27" s="258">
        <f t="shared" si="20"/>
        <v>3261.36</v>
      </c>
      <c r="AV27" s="258">
        <f t="shared" si="21"/>
        <v>5098.6399999999994</v>
      </c>
      <c r="AW27" s="258">
        <f t="shared" si="7"/>
        <v>0</v>
      </c>
      <c r="AX27" s="258">
        <v>0</v>
      </c>
      <c r="AY27" s="258">
        <f t="shared" si="22"/>
        <v>3261.36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271159.37999999995</v>
      </c>
      <c r="BH27" s="108">
        <f t="shared" si="31"/>
        <v>42</v>
      </c>
      <c r="BI27" s="108">
        <f t="shared" si="26"/>
        <v>42</v>
      </c>
      <c r="BJ27" s="22">
        <f t="shared" si="27"/>
        <v>45021</v>
      </c>
      <c r="BK27" s="108">
        <f t="shared" si="9"/>
        <v>7860</v>
      </c>
    </row>
    <row r="28" spans="1:393" ht="22.5" customHeight="1" x14ac:dyDescent="0.2">
      <c r="A28" s="763" t="s">
        <v>311</v>
      </c>
      <c r="B28" s="763"/>
      <c r="C28" s="354">
        <f>ROUND($C$27/30.4,2)</f>
        <v>32.57</v>
      </c>
      <c r="D28" s="473">
        <f>ROUND($D$27/30.4,2)</f>
        <v>32.57</v>
      </c>
      <c r="E28" s="226">
        <f t="shared" si="41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9.9000000000000005E-2</v>
      </c>
      <c r="J28" s="242">
        <f t="shared" si="11"/>
        <v>7860</v>
      </c>
      <c r="K28" s="242">
        <f t="shared" si="40"/>
        <v>7860</v>
      </c>
      <c r="L28" s="242">
        <f t="shared" si="36"/>
        <v>2380.83</v>
      </c>
      <c r="M28" s="242">
        <f t="shared" si="13"/>
        <v>5479.17</v>
      </c>
      <c r="N28" s="242">
        <f t="shared" si="3"/>
        <v>0</v>
      </c>
      <c r="O28" s="242">
        <v>0</v>
      </c>
      <c r="P28" s="242">
        <f t="shared" si="25"/>
        <v>2380.83</v>
      </c>
      <c r="Q28" s="242">
        <f t="shared" si="33"/>
        <v>0</v>
      </c>
      <c r="R28" s="242">
        <f t="shared" si="15"/>
        <v>0</v>
      </c>
      <c r="S28" s="242">
        <f t="shared" si="16"/>
        <v>287113.95</v>
      </c>
      <c r="T28" s="467"/>
      <c r="U28" s="198">
        <f t="shared" si="29"/>
        <v>41</v>
      </c>
      <c r="V28" s="36">
        <f t="shared" si="17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0.13900000000000001</v>
      </c>
      <c r="AS28" s="258">
        <f t="shared" si="19"/>
        <v>8360</v>
      </c>
      <c r="AT28" s="258">
        <f t="shared" si="6"/>
        <v>8360</v>
      </c>
      <c r="AU28" s="258">
        <f t="shared" si="20"/>
        <v>3097.9</v>
      </c>
      <c r="AV28" s="258">
        <f t="shared" si="21"/>
        <v>5262.1</v>
      </c>
      <c r="AW28" s="258">
        <f t="shared" si="7"/>
        <v>0</v>
      </c>
      <c r="AX28" s="258">
        <v>0</v>
      </c>
      <c r="AY28" s="258">
        <f t="shared" si="22"/>
        <v>3097.9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265897.27999999997</v>
      </c>
      <c r="BH28" s="108">
        <f t="shared" si="31"/>
        <v>41</v>
      </c>
      <c r="BI28" s="108">
        <f t="shared" si="26"/>
        <v>41</v>
      </c>
      <c r="BJ28" s="22">
        <f t="shared" si="27"/>
        <v>45051</v>
      </c>
      <c r="BK28" s="108">
        <f t="shared" si="9"/>
        <v>7860</v>
      </c>
    </row>
    <row r="29" spans="1:393" ht="19.5" customHeight="1" x14ac:dyDescent="0.25">
      <c r="A29" s="763" t="s">
        <v>75</v>
      </c>
      <c r="B29" s="763"/>
      <c r="C29" s="194">
        <f>L109</f>
        <v>93831.97</v>
      </c>
      <c r="D29" s="473">
        <f>AU109</f>
        <v>141530.14999999997</v>
      </c>
      <c r="E29" s="274">
        <f t="shared" si="41"/>
        <v>-47698.179999999964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9.9000000000000005E-2</v>
      </c>
      <c r="J29" s="242">
        <f t="shared" si="11"/>
        <v>7860</v>
      </c>
      <c r="K29" s="242">
        <f t="shared" si="40"/>
        <v>7860</v>
      </c>
      <c r="L29" s="242">
        <f t="shared" si="36"/>
        <v>2414.12</v>
      </c>
      <c r="M29" s="242">
        <f t="shared" si="13"/>
        <v>5445.88</v>
      </c>
      <c r="N29" s="242">
        <f t="shared" si="3"/>
        <v>0</v>
      </c>
      <c r="O29" s="242">
        <v>0</v>
      </c>
      <c r="P29" s="242">
        <f t="shared" si="25"/>
        <v>2414.12</v>
      </c>
      <c r="Q29" s="242">
        <f t="shared" si="33"/>
        <v>0</v>
      </c>
      <c r="R29" s="242">
        <f t="shared" si="15"/>
        <v>0</v>
      </c>
      <c r="S29" s="242">
        <f t="shared" si="16"/>
        <v>281668.07</v>
      </c>
      <c r="T29" s="467"/>
      <c r="U29" s="198">
        <f t="shared" si="29"/>
        <v>40</v>
      </c>
      <c r="V29" s="36">
        <f t="shared" si="17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0.13900000000000001</v>
      </c>
      <c r="AS29" s="258">
        <f t="shared" si="19"/>
        <v>8360</v>
      </c>
      <c r="AT29" s="258">
        <f t="shared" si="6"/>
        <v>8360</v>
      </c>
      <c r="AU29" s="258">
        <f t="shared" si="20"/>
        <v>3139.04</v>
      </c>
      <c r="AV29" s="258">
        <f t="shared" si="21"/>
        <v>5220.96</v>
      </c>
      <c r="AW29" s="258">
        <f t="shared" si="7"/>
        <v>0</v>
      </c>
      <c r="AX29" s="258">
        <v>0</v>
      </c>
      <c r="AY29" s="258">
        <f t="shared" si="22"/>
        <v>3139.04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260676.31999999998</v>
      </c>
      <c r="BH29" s="108">
        <f t="shared" si="31"/>
        <v>40</v>
      </c>
      <c r="BI29" s="108">
        <f t="shared" si="26"/>
        <v>40</v>
      </c>
      <c r="BJ29" s="22">
        <f t="shared" si="27"/>
        <v>45082</v>
      </c>
      <c r="BK29" s="108">
        <f t="shared" si="9"/>
        <v>7860</v>
      </c>
    </row>
    <row r="30" spans="1:393" ht="17.25" customHeight="1" x14ac:dyDescent="0.25">
      <c r="A30" s="763" t="s">
        <v>290</v>
      </c>
      <c r="B30" s="763"/>
      <c r="C30" s="194">
        <f>IF(C18="",0,C18*6)</f>
        <v>42000</v>
      </c>
      <c r="D30" s="473">
        <f>IF(D18="",0,D18*12)</f>
        <v>0</v>
      </c>
      <c r="E30" s="274">
        <f t="shared" si="41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9.9000000000000005E-2</v>
      </c>
      <c r="J30" s="242">
        <f t="shared" si="11"/>
        <v>7860</v>
      </c>
      <c r="K30" s="242">
        <f t="shared" si="40"/>
        <v>7860</v>
      </c>
      <c r="L30" s="242">
        <f t="shared" si="36"/>
        <v>2291.9299999999998</v>
      </c>
      <c r="M30" s="242">
        <f t="shared" si="13"/>
        <v>5568.07</v>
      </c>
      <c r="N30" s="242">
        <f t="shared" si="3"/>
        <v>0</v>
      </c>
      <c r="O30" s="242">
        <v>0</v>
      </c>
      <c r="P30" s="242">
        <f t="shared" si="25"/>
        <v>2291.9299999999998</v>
      </c>
      <c r="Q30" s="242">
        <f t="shared" si="33"/>
        <v>0</v>
      </c>
      <c r="R30" s="242">
        <f t="shared" si="15"/>
        <v>0</v>
      </c>
      <c r="S30" s="242">
        <f t="shared" si="16"/>
        <v>276100</v>
      </c>
      <c r="T30" s="467"/>
      <c r="U30" s="198">
        <f>IF((U29-1)&lt;0,0,U29-1)</f>
        <v>39</v>
      </c>
      <c r="V30" s="36">
        <f t="shared" si="17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0.13900000000000001</v>
      </c>
      <c r="AS30" s="258">
        <f t="shared" si="19"/>
        <v>8360</v>
      </c>
      <c r="AT30" s="258">
        <f t="shared" si="6"/>
        <v>8360</v>
      </c>
      <c r="AU30" s="258">
        <f t="shared" si="20"/>
        <v>2978.14</v>
      </c>
      <c r="AV30" s="258">
        <f>IF(BI30=0,0,IF(BI30=1,BG29,IF(BG29+AW30+AU30&gt;AT29,AT30-AU30-AW30,BG29)))</f>
        <v>5381.8600000000006</v>
      </c>
      <c r="AW30" s="258">
        <f t="shared" si="7"/>
        <v>0</v>
      </c>
      <c r="AX30" s="258">
        <v>0</v>
      </c>
      <c r="AY30" s="258">
        <f t="shared" si="22"/>
        <v>2978.14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255294.45999999996</v>
      </c>
      <c r="BH30" s="108">
        <f>IF((BH29-1)&lt;0,0,BH29-1)</f>
        <v>39</v>
      </c>
      <c r="BI30" s="108">
        <f t="shared" si="26"/>
        <v>39</v>
      </c>
      <c r="BJ30" s="22">
        <f t="shared" si="27"/>
        <v>45112</v>
      </c>
      <c r="BK30" s="108">
        <f t="shared" si="9"/>
        <v>7860</v>
      </c>
    </row>
    <row r="31" spans="1:393" ht="16.5" customHeight="1" x14ac:dyDescent="0.2">
      <c r="A31" s="763" t="s">
        <v>157</v>
      </c>
      <c r="B31" s="763"/>
      <c r="C31" s="199">
        <f>J109</f>
        <v>495231.97</v>
      </c>
      <c r="D31" s="473">
        <f>AT109</f>
        <v>500930.14999999991</v>
      </c>
      <c r="E31" s="473">
        <f t="shared" si="41"/>
        <v>-5698.1799999999348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9.9000000000000005E-2</v>
      </c>
      <c r="J31" s="242">
        <f t="shared" si="11"/>
        <v>7860</v>
      </c>
      <c r="K31" s="242">
        <f t="shared" si="40"/>
        <v>7860</v>
      </c>
      <c r="L31" s="242">
        <f t="shared" si="36"/>
        <v>2321.5100000000002</v>
      </c>
      <c r="M31" s="242">
        <f t="shared" si="13"/>
        <v>5538.49</v>
      </c>
      <c r="N31" s="242">
        <f t="shared" si="3"/>
        <v>0</v>
      </c>
      <c r="O31" s="242">
        <v>0</v>
      </c>
      <c r="P31" s="242">
        <f t="shared" si="25"/>
        <v>2321.5100000000002</v>
      </c>
      <c r="Q31" s="242">
        <f t="shared" si="33"/>
        <v>0</v>
      </c>
      <c r="R31" s="242">
        <f t="shared" si="15"/>
        <v>0</v>
      </c>
      <c r="S31" s="242">
        <f t="shared" si="16"/>
        <v>270561.51</v>
      </c>
      <c r="T31" s="467"/>
      <c r="U31" s="198">
        <f t="shared" si="29"/>
        <v>38</v>
      </c>
      <c r="V31" s="36">
        <f t="shared" si="17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0.13900000000000001</v>
      </c>
      <c r="AS31" s="258">
        <f t="shared" si="19"/>
        <v>8360</v>
      </c>
      <c r="AT31" s="258">
        <f t="shared" si="6"/>
        <v>8360</v>
      </c>
      <c r="AU31" s="258">
        <f t="shared" si="20"/>
        <v>3013.87</v>
      </c>
      <c r="AV31" s="258">
        <f t="shared" si="21"/>
        <v>5346.13</v>
      </c>
      <c r="AW31" s="258">
        <f t="shared" si="7"/>
        <v>0</v>
      </c>
      <c r="AX31" s="258">
        <v>0</v>
      </c>
      <c r="AY31" s="258">
        <f t="shared" si="22"/>
        <v>3013.87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249948.32999999996</v>
      </c>
      <c r="BH31" s="108">
        <f t="shared" si="31"/>
        <v>38</v>
      </c>
      <c r="BI31" s="108">
        <f t="shared" si="26"/>
        <v>38</v>
      </c>
      <c r="BJ31" s="22">
        <f t="shared" si="27"/>
        <v>45143</v>
      </c>
      <c r="BK31" s="108">
        <f t="shared" si="9"/>
        <v>7860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815" t="s">
        <v>302</v>
      </c>
      <c r="B32" s="815"/>
      <c r="C32" s="518">
        <f>C29+C30</f>
        <v>135831.97</v>
      </c>
      <c r="D32" s="519">
        <f>D29+D30</f>
        <v>141530.14999999997</v>
      </c>
      <c r="E32" s="520">
        <f t="shared" si="41"/>
        <v>-5698.1799999999639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9.9000000000000005E-2</v>
      </c>
      <c r="J32" s="252">
        <f t="shared" si="11"/>
        <v>7860</v>
      </c>
      <c r="K32" s="252">
        <f t="shared" si="40"/>
        <v>7860</v>
      </c>
      <c r="L32" s="252">
        <f t="shared" si="36"/>
        <v>2274.94</v>
      </c>
      <c r="M32" s="252">
        <f t="shared" si="13"/>
        <v>5585.0599999999995</v>
      </c>
      <c r="N32" s="252">
        <f t="shared" si="3"/>
        <v>0</v>
      </c>
      <c r="O32" s="252">
        <v>0</v>
      </c>
      <c r="P32" s="252">
        <f t="shared" si="25"/>
        <v>2274.94</v>
      </c>
      <c r="Q32" s="252">
        <f t="shared" si="33"/>
        <v>0</v>
      </c>
      <c r="R32" s="252">
        <f t="shared" si="15"/>
        <v>0</v>
      </c>
      <c r="S32" s="252">
        <f t="shared" si="16"/>
        <v>264976.45</v>
      </c>
      <c r="T32" s="468"/>
      <c r="U32" s="198">
        <f t="shared" si="29"/>
        <v>37</v>
      </c>
      <c r="V32" s="36">
        <f t="shared" si="17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0.13900000000000001</v>
      </c>
      <c r="AS32" s="258">
        <f t="shared" si="19"/>
        <v>8360</v>
      </c>
      <c r="AT32" s="258">
        <f t="shared" si="6"/>
        <v>8360</v>
      </c>
      <c r="AU32" s="258">
        <f t="shared" si="20"/>
        <v>2950.76</v>
      </c>
      <c r="AV32" s="258">
        <f t="shared" si="21"/>
        <v>5409.24</v>
      </c>
      <c r="AW32" s="258">
        <f t="shared" si="7"/>
        <v>0</v>
      </c>
      <c r="AX32" s="258">
        <v>0</v>
      </c>
      <c r="AY32" s="258">
        <f t="shared" si="22"/>
        <v>2950.76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244539.08999999997</v>
      </c>
      <c r="BH32" s="108">
        <f t="shared" si="31"/>
        <v>37</v>
      </c>
      <c r="BI32" s="108">
        <f t="shared" si="26"/>
        <v>37</v>
      </c>
      <c r="BJ32" s="22">
        <f t="shared" si="27"/>
        <v>45174</v>
      </c>
      <c r="BK32" s="108">
        <f t="shared" si="9"/>
        <v>7860</v>
      </c>
    </row>
    <row r="33" spans="1:1217" ht="51.75" customHeight="1" x14ac:dyDescent="0.2">
      <c r="A33" s="909" t="s">
        <v>293</v>
      </c>
      <c r="B33" s="909"/>
      <c r="C33" s="918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5698 рублей</v>
      </c>
      <c r="D33" s="918"/>
      <c r="E33" s="918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9.9000000000000005E-2</v>
      </c>
      <c r="J33" s="242">
        <f t="shared" si="11"/>
        <v>7860</v>
      </c>
      <c r="K33" s="242">
        <f t="shared" ref="K33:K44" si="42">IF(AND(G33&gt;=$W$9,G33&lt;=$W$9+5),$W$10,IF(AND(S32+N33+L33&gt;K32,K32&lt;&gt;0),IF(AND($C$16="Да",$C$8&lt;&gt;"Нет"),$AF$38,$C$23),IF(S32=0,0,S32+N33+L33+L34)))</f>
        <v>7860</v>
      </c>
      <c r="L33" s="242">
        <f t="shared" si="36"/>
        <v>2156.11</v>
      </c>
      <c r="M33" s="242">
        <f t="shared" si="13"/>
        <v>5703.8899999999994</v>
      </c>
      <c r="N33" s="242">
        <f t="shared" si="3"/>
        <v>0</v>
      </c>
      <c r="O33" s="242">
        <v>0</v>
      </c>
      <c r="P33" s="242">
        <f t="shared" si="25"/>
        <v>2156.11</v>
      </c>
      <c r="Q33" s="242">
        <f t="shared" si="33"/>
        <v>0</v>
      </c>
      <c r="R33" s="242">
        <f t="shared" si="15"/>
        <v>0</v>
      </c>
      <c r="S33" s="242">
        <f t="shared" si="16"/>
        <v>259272.56</v>
      </c>
      <c r="T33" s="467"/>
      <c r="U33" s="198">
        <f t="shared" si="29"/>
        <v>36</v>
      </c>
      <c r="V33" s="36">
        <f t="shared" si="17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10</v>
      </c>
      <c r="AG33" s="2">
        <f>ROUNDUP(((S20)*AG37/12*(1+AG37/12)^(U21)/((1+AG37/12)^(U21)-1)+S20/10000*IF(U21&lt;11,20,IF(U21&lt;34,0.7,IF(U21&lt;58,0.3,0.1)))*IF(AG37&lt;0.3,AG37/0.2,AG37/0.1))/AG47,0)*AG47</f>
        <v>8350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3">IF($D$16="Да",$AM$38,$D$13)</f>
        <v>0.13900000000000001</v>
      </c>
      <c r="AS33" s="258">
        <f t="shared" si="19"/>
        <v>8360</v>
      </c>
      <c r="AT33" s="258">
        <f t="shared" si="6"/>
        <v>8360</v>
      </c>
      <c r="AU33" s="258">
        <f t="shared" si="20"/>
        <v>2793.78</v>
      </c>
      <c r="AV33" s="258">
        <f t="shared" si="21"/>
        <v>5566.2199999999993</v>
      </c>
      <c r="AW33" s="258">
        <f t="shared" si="7"/>
        <v>0</v>
      </c>
      <c r="AX33" s="258">
        <v>0</v>
      </c>
      <c r="AY33" s="258">
        <f t="shared" si="22"/>
        <v>2793.78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238972.86999999997</v>
      </c>
      <c r="BH33" s="108">
        <f t="shared" si="31"/>
        <v>36</v>
      </c>
      <c r="BI33" s="108">
        <f t="shared" si="26"/>
        <v>36</v>
      </c>
      <c r="BJ33" s="22">
        <f t="shared" si="27"/>
        <v>45204</v>
      </c>
      <c r="BK33" s="108">
        <f t="shared" si="9"/>
        <v>7860</v>
      </c>
      <c r="BN33" s="782"/>
      <c r="BP33" s="131"/>
    </row>
    <row r="34" spans="1:1217" ht="13.5" customHeight="1" thickBot="1" x14ac:dyDescent="0.25">
      <c r="A34" s="911" t="s">
        <v>312</v>
      </c>
      <c r="B34" s="911"/>
      <c r="C34" s="911"/>
      <c r="D34" s="911"/>
      <c r="E34" s="911"/>
      <c r="F34" s="191"/>
      <c r="G34" s="244">
        <f t="shared" si="28"/>
        <v>26</v>
      </c>
      <c r="H34" s="245">
        <f t="shared" si="1"/>
        <v>45235</v>
      </c>
      <c r="I34" s="246">
        <f t="shared" ref="I34:I44" si="44">IF(AND($C$16="Да",$C$8&lt;&gt;"Нет"),$AG$38,$C$13)</f>
        <v>9.9000000000000005E-2</v>
      </c>
      <c r="J34" s="242">
        <f t="shared" si="11"/>
        <v>7860</v>
      </c>
      <c r="K34" s="242">
        <f t="shared" si="42"/>
        <v>7860</v>
      </c>
      <c r="L34" s="242">
        <f t="shared" si="36"/>
        <v>2180.02</v>
      </c>
      <c r="M34" s="242">
        <f t="shared" si="13"/>
        <v>5679.98</v>
      </c>
      <c r="N34" s="242">
        <f t="shared" si="3"/>
        <v>0</v>
      </c>
      <c r="O34" s="242">
        <v>0</v>
      </c>
      <c r="P34" s="242">
        <f t="shared" si="25"/>
        <v>2180.02</v>
      </c>
      <c r="Q34" s="242">
        <f t="shared" si="33"/>
        <v>0</v>
      </c>
      <c r="R34" s="242">
        <f t="shared" si="15"/>
        <v>0</v>
      </c>
      <c r="S34" s="242">
        <f t="shared" si="16"/>
        <v>253592.58</v>
      </c>
      <c r="T34" s="467"/>
      <c r="U34" s="198">
        <f t="shared" si="29"/>
        <v>35</v>
      </c>
      <c r="V34" s="36">
        <f t="shared" si="17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3"/>
        <v>0.13900000000000001</v>
      </c>
      <c r="AS34" s="258">
        <f t="shared" si="19"/>
        <v>8360</v>
      </c>
      <c r="AT34" s="258">
        <f t="shared" si="6"/>
        <v>8360</v>
      </c>
      <c r="AU34" s="258">
        <f t="shared" si="20"/>
        <v>2821.19</v>
      </c>
      <c r="AV34" s="258">
        <f t="shared" si="21"/>
        <v>5538.8099999999995</v>
      </c>
      <c r="AW34" s="258">
        <f t="shared" si="7"/>
        <v>0</v>
      </c>
      <c r="AX34" s="258">
        <v>0</v>
      </c>
      <c r="AY34" s="258">
        <f t="shared" si="22"/>
        <v>2821.19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233434.05999999997</v>
      </c>
      <c r="BH34" s="108">
        <f t="shared" si="31"/>
        <v>35</v>
      </c>
      <c r="BI34" s="108">
        <f t="shared" si="26"/>
        <v>35</v>
      </c>
      <c r="BJ34" s="22">
        <f t="shared" si="27"/>
        <v>45235</v>
      </c>
      <c r="BK34" s="108">
        <f t="shared" si="9"/>
        <v>7860</v>
      </c>
      <c r="BN34" s="782"/>
    </row>
    <row r="35" spans="1:1217" ht="18.75" customHeight="1" x14ac:dyDescent="0.2">
      <c r="A35" s="894" t="s">
        <v>294</v>
      </c>
      <c r="B35" s="878"/>
      <c r="C35" s="487" t="s">
        <v>179</v>
      </c>
      <c r="D35" s="907" t="s">
        <v>304</v>
      </c>
      <c r="E35" s="908"/>
      <c r="F35" s="191"/>
      <c r="G35" s="244">
        <f t="shared" si="28"/>
        <v>27</v>
      </c>
      <c r="H35" s="245">
        <f t="shared" si="1"/>
        <v>45265</v>
      </c>
      <c r="I35" s="246">
        <f t="shared" si="44"/>
        <v>9.9000000000000005E-2</v>
      </c>
      <c r="J35" s="242">
        <f t="shared" si="11"/>
        <v>7860</v>
      </c>
      <c r="K35" s="242">
        <f t="shared" si="42"/>
        <v>7860</v>
      </c>
      <c r="L35" s="242">
        <f t="shared" si="36"/>
        <v>2063.48</v>
      </c>
      <c r="M35" s="242">
        <f t="shared" si="13"/>
        <v>5796.52</v>
      </c>
      <c r="N35" s="242">
        <f t="shared" si="3"/>
        <v>0</v>
      </c>
      <c r="O35" s="242">
        <v>0</v>
      </c>
      <c r="P35" s="242">
        <f t="shared" si="25"/>
        <v>2063.48</v>
      </c>
      <c r="Q35" s="242">
        <f t="shared" si="33"/>
        <v>0</v>
      </c>
      <c r="R35" s="242">
        <f t="shared" si="15"/>
        <v>0</v>
      </c>
      <c r="S35" s="242">
        <f t="shared" si="16"/>
        <v>247796.06</v>
      </c>
      <c r="T35" s="467"/>
      <c r="U35" s="198">
        <f t="shared" si="29"/>
        <v>34</v>
      </c>
      <c r="V35" s="36">
        <f t="shared" si="17"/>
        <v>34</v>
      </c>
      <c r="AE35" s="15"/>
      <c r="AF35" s="47">
        <f>ROUNDUP(AH35/AH33*C7/1,0)*1</f>
        <v>500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500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3"/>
        <v>0.13900000000000001</v>
      </c>
      <c r="AS35" s="258">
        <f t="shared" si="19"/>
        <v>8360</v>
      </c>
      <c r="AT35" s="258">
        <f t="shared" si="6"/>
        <v>8360</v>
      </c>
      <c r="AU35" s="258">
        <f t="shared" si="20"/>
        <v>2666.9</v>
      </c>
      <c r="AV35" s="258">
        <f t="shared" si="21"/>
        <v>5693.1</v>
      </c>
      <c r="AW35" s="258">
        <f t="shared" si="7"/>
        <v>0</v>
      </c>
      <c r="AX35" s="258">
        <v>0</v>
      </c>
      <c r="AY35" s="258">
        <f t="shared" si="22"/>
        <v>2666.9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227740.95999999996</v>
      </c>
      <c r="BH35" s="108">
        <f t="shared" si="31"/>
        <v>34</v>
      </c>
      <c r="BI35" s="108">
        <f t="shared" si="26"/>
        <v>34</v>
      </c>
      <c r="BJ35" s="22">
        <f t="shared" si="27"/>
        <v>45265</v>
      </c>
      <c r="BK35" s="108">
        <f t="shared" si="9"/>
        <v>7860</v>
      </c>
      <c r="BN35" s="782"/>
    </row>
    <row r="36" spans="1:1217" ht="16.5" customHeight="1" x14ac:dyDescent="0.3">
      <c r="A36" s="894" t="s">
        <v>295</v>
      </c>
      <c r="B36" s="878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4"/>
        <v>9.9000000000000005E-2</v>
      </c>
      <c r="J36" s="242">
        <f t="shared" si="11"/>
        <v>7860</v>
      </c>
      <c r="K36" s="242">
        <f t="shared" si="42"/>
        <v>7860</v>
      </c>
      <c r="L36" s="242">
        <f t="shared" si="36"/>
        <v>2082.61</v>
      </c>
      <c r="M36" s="242">
        <f t="shared" si="13"/>
        <v>5777.3899999999994</v>
      </c>
      <c r="N36" s="242">
        <f t="shared" si="3"/>
        <v>0</v>
      </c>
      <c r="O36" s="242">
        <v>0</v>
      </c>
      <c r="P36" s="242">
        <f t="shared" si="25"/>
        <v>2082.61</v>
      </c>
      <c r="Q36" s="242">
        <f t="shared" si="33"/>
        <v>0</v>
      </c>
      <c r="R36" s="242">
        <f t="shared" si="15"/>
        <v>0</v>
      </c>
      <c r="S36" s="242">
        <f t="shared" si="16"/>
        <v>242018.66999999998</v>
      </c>
      <c r="T36" s="467"/>
      <c r="U36" s="198">
        <f t="shared" si="29"/>
        <v>33</v>
      </c>
      <c r="V36" s="36">
        <f t="shared" si="17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8360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D23</f>
        <v>8360</v>
      </c>
      <c r="AM36" s="15">
        <f>IF(OR(D$8="Гарантия стандарт",D$8="Гарантия пакет"),AD13,D11)</f>
        <v>0.13900000000000001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3"/>
        <v>0.13900000000000001</v>
      </c>
      <c r="AS36" s="258">
        <f t="shared" si="19"/>
        <v>8360</v>
      </c>
      <c r="AT36" s="258">
        <f t="shared" si="6"/>
        <v>8360</v>
      </c>
      <c r="AU36" s="258">
        <f t="shared" si="20"/>
        <v>2687.41</v>
      </c>
      <c r="AV36" s="258">
        <f t="shared" si="21"/>
        <v>5672.59</v>
      </c>
      <c r="AW36" s="258">
        <f t="shared" si="7"/>
        <v>0</v>
      </c>
      <c r="AX36" s="258">
        <v>0</v>
      </c>
      <c r="AY36" s="258">
        <f t="shared" si="22"/>
        <v>2687.41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222068.36999999997</v>
      </c>
      <c r="BH36" s="108">
        <f t="shared" si="31"/>
        <v>33</v>
      </c>
      <c r="BI36" s="108">
        <f t="shared" si="26"/>
        <v>33</v>
      </c>
      <c r="BJ36" s="22">
        <f t="shared" si="27"/>
        <v>45296</v>
      </c>
      <c r="BK36" s="108">
        <f t="shared" si="9"/>
        <v>7860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10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4"/>
        <v>9.9000000000000005E-2</v>
      </c>
      <c r="J37" s="242">
        <f t="shared" si="11"/>
        <v>7860</v>
      </c>
      <c r="K37" s="242">
        <f t="shared" si="42"/>
        <v>7860</v>
      </c>
      <c r="L37" s="242">
        <f t="shared" si="36"/>
        <v>2029.39</v>
      </c>
      <c r="M37" s="242">
        <f t="shared" si="13"/>
        <v>5830.61</v>
      </c>
      <c r="N37" s="242">
        <f t="shared" si="3"/>
        <v>0</v>
      </c>
      <c r="O37" s="242">
        <v>0</v>
      </c>
      <c r="P37" s="242">
        <f t="shared" si="25"/>
        <v>2029.39</v>
      </c>
      <c r="Q37" s="242">
        <f t="shared" si="33"/>
        <v>0</v>
      </c>
      <c r="R37" s="242">
        <f t="shared" si="15"/>
        <v>0</v>
      </c>
      <c r="S37" s="242">
        <f t="shared" si="16"/>
        <v>236188.06</v>
      </c>
      <c r="T37" s="467"/>
      <c r="U37" s="198">
        <f t="shared" si="29"/>
        <v>32</v>
      </c>
      <c r="V37" s="36">
        <f t="shared" si="17"/>
        <v>32</v>
      </c>
      <c r="W37" s="16">
        <f>INDEX('Для Перспективы'!$B$6:$D$6,MATCH($C$10,'Для Перспективы'!$B$1:$D$1,0))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>
        <f>IF(AG37=AG36,AF36,AF36-$AF$35)</f>
        <v>7860</v>
      </c>
      <c r="AG37" s="169">
        <f>AG36-$AG$35</f>
        <v>9.9000000000000005E-2</v>
      </c>
      <c r="AI37" s="2"/>
      <c r="AJ37" s="2"/>
      <c r="AK37" s="57"/>
      <c r="AL37" s="47">
        <f>AL36-$AL$35</f>
        <v>7860</v>
      </c>
      <c r="AM37" s="169">
        <f>AM36-$AM$35</f>
        <v>9.9000000000000005E-2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3"/>
        <v>0.13900000000000001</v>
      </c>
      <c r="AS37" s="258">
        <f t="shared" si="19"/>
        <v>8360</v>
      </c>
      <c r="AT37" s="258">
        <f t="shared" si="6"/>
        <v>8360</v>
      </c>
      <c r="AU37" s="258">
        <f t="shared" si="20"/>
        <v>2614.46</v>
      </c>
      <c r="AV37" s="258">
        <f t="shared" si="21"/>
        <v>5745.54</v>
      </c>
      <c r="AW37" s="258">
        <f t="shared" si="7"/>
        <v>0</v>
      </c>
      <c r="AX37" s="258">
        <v>0</v>
      </c>
      <c r="AY37" s="258">
        <f t="shared" si="22"/>
        <v>2614.46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216322.82999999996</v>
      </c>
      <c r="BH37" s="108">
        <f t="shared" si="31"/>
        <v>32</v>
      </c>
      <c r="BI37" s="108">
        <f t="shared" si="26"/>
        <v>32</v>
      </c>
      <c r="BJ37" s="22">
        <f t="shared" si="27"/>
        <v>45327</v>
      </c>
      <c r="BK37" s="108">
        <f t="shared" si="9"/>
        <v>7860</v>
      </c>
    </row>
    <row r="38" spans="1:1217" s="16" customFormat="1" ht="16.5" customHeight="1" x14ac:dyDescent="0.3">
      <c r="A38" s="910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4"/>
        <v>9.9000000000000005E-2</v>
      </c>
      <c r="J38" s="242">
        <f t="shared" si="11"/>
        <v>7860</v>
      </c>
      <c r="K38" s="242">
        <f t="shared" si="42"/>
        <v>7860</v>
      </c>
      <c r="L38" s="242">
        <f t="shared" si="36"/>
        <v>1852.72</v>
      </c>
      <c r="M38" s="242">
        <f t="shared" si="13"/>
        <v>6007.28</v>
      </c>
      <c r="N38" s="242">
        <f t="shared" si="3"/>
        <v>0</v>
      </c>
      <c r="O38" s="242">
        <v>0</v>
      </c>
      <c r="P38" s="242">
        <f t="shared" si="25"/>
        <v>1852.72</v>
      </c>
      <c r="Q38" s="242">
        <f t="shared" si="33"/>
        <v>0</v>
      </c>
      <c r="R38" s="242">
        <f t="shared" si="15"/>
        <v>0</v>
      </c>
      <c r="S38" s="242">
        <f t="shared" si="16"/>
        <v>230180.78</v>
      </c>
      <c r="T38" s="467"/>
      <c r="U38" s="198">
        <f t="shared" si="29"/>
        <v>31</v>
      </c>
      <c r="V38" s="36">
        <f t="shared" si="17"/>
        <v>31</v>
      </c>
      <c r="W38" s="16">
        <f>INDEX('Для Перспективы'!B7:D7,MATCH($C$10,'Для Перспективы'!$B$1:$D$1,0))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>
        <f t="shared" ref="AF38:AF40" si="45">IF(AG38=AG37,AF37,AF37-$AF$35)</f>
        <v>7860</v>
      </c>
      <c r="AG38" s="169">
        <f>AG36-$AG$35</f>
        <v>9.9000000000000005E-2</v>
      </c>
      <c r="AI38" s="2"/>
      <c r="AJ38" s="2"/>
      <c r="AK38" s="57"/>
      <c r="AL38" s="47">
        <f>AL36-$AL$35</f>
        <v>7860</v>
      </c>
      <c r="AM38" s="169">
        <f>AM36-$AM$35</f>
        <v>9.9000000000000005E-2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3"/>
        <v>0.13900000000000001</v>
      </c>
      <c r="AS38" s="258">
        <f t="shared" si="19"/>
        <v>8360</v>
      </c>
      <c r="AT38" s="258">
        <f t="shared" si="6"/>
        <v>8360</v>
      </c>
      <c r="AU38" s="258">
        <f t="shared" si="20"/>
        <v>2382.5100000000002</v>
      </c>
      <c r="AV38" s="258">
        <f t="shared" si="21"/>
        <v>5977.49</v>
      </c>
      <c r="AW38" s="258">
        <f t="shared" si="7"/>
        <v>0</v>
      </c>
      <c r="AX38" s="258">
        <v>0</v>
      </c>
      <c r="AY38" s="258">
        <f t="shared" si="22"/>
        <v>2382.5100000000002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210345.33999999997</v>
      </c>
      <c r="BH38" s="108">
        <f t="shared" si="31"/>
        <v>31</v>
      </c>
      <c r="BI38" s="108">
        <f t="shared" si="26"/>
        <v>31</v>
      </c>
      <c r="BJ38" s="22">
        <f t="shared" si="27"/>
        <v>45356</v>
      </c>
      <c r="BK38" s="108">
        <f t="shared" si="9"/>
        <v>7860</v>
      </c>
    </row>
    <row r="39" spans="1:1217" s="16" customFormat="1" ht="12" customHeight="1" x14ac:dyDescent="0.3">
      <c r="A39" s="910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4"/>
        <v>9.9000000000000005E-2</v>
      </c>
      <c r="J39" s="242">
        <f t="shared" si="11"/>
        <v>7860</v>
      </c>
      <c r="K39" s="242">
        <f t="shared" si="42"/>
        <v>7860</v>
      </c>
      <c r="L39" s="242">
        <f t="shared" si="36"/>
        <v>1930.12</v>
      </c>
      <c r="M39" s="242">
        <f t="shared" si="13"/>
        <v>5929.88</v>
      </c>
      <c r="N39" s="242">
        <f t="shared" si="3"/>
        <v>0</v>
      </c>
      <c r="O39" s="242">
        <v>0</v>
      </c>
      <c r="P39" s="242">
        <f t="shared" si="25"/>
        <v>1930.12</v>
      </c>
      <c r="Q39" s="242">
        <f t="shared" si="33"/>
        <v>0</v>
      </c>
      <c r="R39" s="242">
        <f t="shared" si="15"/>
        <v>0</v>
      </c>
      <c r="S39" s="242">
        <f t="shared" si="16"/>
        <v>224250.9</v>
      </c>
      <c r="T39" s="467"/>
      <c r="U39" s="198">
        <f t="shared" si="29"/>
        <v>30</v>
      </c>
      <c r="V39" s="36">
        <f t="shared" si="17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7860</v>
      </c>
      <c r="AG39" s="169">
        <f>AG36-$AG$35</f>
        <v>9.9000000000000005E-2</v>
      </c>
      <c r="AI39" s="2"/>
      <c r="AJ39" s="2"/>
      <c r="AK39" s="57"/>
      <c r="AL39" s="47">
        <f>AL36-$AL$35</f>
        <v>7860</v>
      </c>
      <c r="AM39" s="169">
        <f>AM36-$AM$35</f>
        <v>9.9000000000000005E-2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3"/>
        <v>0.13900000000000001</v>
      </c>
      <c r="AS39" s="258">
        <f t="shared" si="19"/>
        <v>8360</v>
      </c>
      <c r="AT39" s="258">
        <f t="shared" si="6"/>
        <v>8360</v>
      </c>
      <c r="AU39" s="258">
        <f t="shared" si="20"/>
        <v>2476.44</v>
      </c>
      <c r="AV39" s="258">
        <f t="shared" si="21"/>
        <v>5883.5599999999995</v>
      </c>
      <c r="AW39" s="258">
        <f t="shared" si="7"/>
        <v>0</v>
      </c>
      <c r="AX39" s="258">
        <v>0</v>
      </c>
      <c r="AY39" s="258">
        <f t="shared" si="22"/>
        <v>2476.44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204461.77999999997</v>
      </c>
      <c r="BH39" s="108">
        <f t="shared" si="31"/>
        <v>30</v>
      </c>
      <c r="BI39" s="108">
        <f t="shared" si="26"/>
        <v>30</v>
      </c>
      <c r="BJ39" s="22">
        <f t="shared" si="27"/>
        <v>45387</v>
      </c>
      <c r="BK39" s="108">
        <f t="shared" si="9"/>
        <v>7860</v>
      </c>
    </row>
    <row r="40" spans="1:1217" s="16" customFormat="1" ht="13.9" customHeight="1" x14ac:dyDescent="0.3">
      <c r="A40" s="910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4"/>
        <v>9.9000000000000005E-2</v>
      </c>
      <c r="J40" s="242">
        <f t="shared" si="11"/>
        <v>7860</v>
      </c>
      <c r="K40" s="242">
        <f t="shared" si="42"/>
        <v>7860</v>
      </c>
      <c r="L40" s="242">
        <f t="shared" si="36"/>
        <v>1819.74</v>
      </c>
      <c r="M40" s="242">
        <f t="shared" si="13"/>
        <v>6040.26</v>
      </c>
      <c r="N40" s="242">
        <f t="shared" si="3"/>
        <v>0</v>
      </c>
      <c r="O40" s="242">
        <v>0</v>
      </c>
      <c r="P40" s="242">
        <f t="shared" si="25"/>
        <v>1819.74</v>
      </c>
      <c r="Q40" s="242">
        <f t="shared" si="33"/>
        <v>0</v>
      </c>
      <c r="R40" s="242">
        <f t="shared" si="15"/>
        <v>0</v>
      </c>
      <c r="S40" s="242">
        <f t="shared" si="16"/>
        <v>218210.63999999998</v>
      </c>
      <c r="T40" s="467"/>
      <c r="U40" s="198">
        <f t="shared" si="29"/>
        <v>29</v>
      </c>
      <c r="V40" s="36">
        <f t="shared" si="17"/>
        <v>29</v>
      </c>
      <c r="W40" s="16">
        <f>INDEX('Для Перспективы'!B2:D2,MATCH($C$10,'Для Перспективы'!$B$1:$D$1,0))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>
        <f t="shared" si="45"/>
        <v>7860</v>
      </c>
      <c r="AG40" s="169">
        <f>AG36-$AG$35</f>
        <v>9.9000000000000005E-2</v>
      </c>
      <c r="AI40" s="2"/>
      <c r="AJ40" s="2"/>
      <c r="AK40" s="57"/>
      <c r="AL40" s="47">
        <f>AL36-$AL$35</f>
        <v>7860</v>
      </c>
      <c r="AM40" s="169">
        <f>AM36-$AM$35</f>
        <v>9.9000000000000005E-2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3"/>
        <v>0.13900000000000001</v>
      </c>
      <c r="AS40" s="258">
        <f t="shared" si="19"/>
        <v>8360</v>
      </c>
      <c r="AT40" s="258">
        <f t="shared" si="6"/>
        <v>8360</v>
      </c>
      <c r="AU40" s="258">
        <f t="shared" si="20"/>
        <v>2329.52</v>
      </c>
      <c r="AV40" s="258">
        <f t="shared" si="21"/>
        <v>6030.48</v>
      </c>
      <c r="AW40" s="258">
        <f t="shared" si="7"/>
        <v>0</v>
      </c>
      <c r="AX40" s="258">
        <v>0</v>
      </c>
      <c r="AY40" s="258">
        <f t="shared" si="22"/>
        <v>2329.52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198431.29999999996</v>
      </c>
      <c r="BH40" s="108">
        <f t="shared" si="31"/>
        <v>29</v>
      </c>
      <c r="BI40" s="108">
        <f t="shared" si="26"/>
        <v>29</v>
      </c>
      <c r="BJ40" s="22">
        <f t="shared" si="27"/>
        <v>45417</v>
      </c>
      <c r="BK40" s="108">
        <f t="shared" si="9"/>
        <v>7860</v>
      </c>
    </row>
    <row r="41" spans="1:1217" s="16" customFormat="1" ht="39" customHeight="1" x14ac:dyDescent="0.3">
      <c r="A41" s="897" t="s">
        <v>313</v>
      </c>
      <c r="B41" s="793"/>
      <c r="C41" s="898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898"/>
      <c r="E41" s="917"/>
      <c r="F41" s="178"/>
      <c r="G41" s="244">
        <f t="shared" si="28"/>
        <v>33</v>
      </c>
      <c r="H41" s="245">
        <f t="shared" si="1"/>
        <v>45448</v>
      </c>
      <c r="I41" s="246">
        <f t="shared" si="44"/>
        <v>9.9000000000000005E-2</v>
      </c>
      <c r="J41" s="242">
        <f t="shared" si="11"/>
        <v>7860</v>
      </c>
      <c r="K41" s="242">
        <f t="shared" si="42"/>
        <v>7860</v>
      </c>
      <c r="L41" s="242">
        <f t="shared" si="36"/>
        <v>1829.75</v>
      </c>
      <c r="M41" s="242">
        <f t="shared" si="13"/>
        <v>6030.25</v>
      </c>
      <c r="N41" s="242">
        <f t="shared" ref="N41:N72" si="46">IF(P41-Q41&gt;$C$23,$C$23-L41,IF(V41=0,0,R41)+$AI$51)</f>
        <v>0</v>
      </c>
      <c r="O41" s="242">
        <v>0</v>
      </c>
      <c r="P41" s="242">
        <f t="shared" si="25"/>
        <v>1829.75</v>
      </c>
      <c r="Q41" s="242">
        <f t="shared" si="33"/>
        <v>0</v>
      </c>
      <c r="R41" s="242">
        <f t="shared" si="15"/>
        <v>0</v>
      </c>
      <c r="S41" s="242">
        <f t="shared" si="16"/>
        <v>212180.38999999998</v>
      </c>
      <c r="T41" s="467"/>
      <c r="U41" s="198">
        <f t="shared" si="29"/>
        <v>28</v>
      </c>
      <c r="V41" s="36">
        <f t="shared" si="17"/>
        <v>28</v>
      </c>
      <c r="W41" s="16">
        <f>INDEX('Для Перспективы'!B3:D3,MATCH($C$10,'Для Перспективы'!$B$1:$D$1,0))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3"/>
        <v>0.13900000000000001</v>
      </c>
      <c r="AS41" s="258">
        <f t="shared" si="19"/>
        <v>8360</v>
      </c>
      <c r="AT41" s="258">
        <f t="shared" ref="AT41:AT72" si="47">IF(AND(BG40+AW41+AU41&gt;AT40,AT40&lt;&gt;0),IF($D$16="Да",$AL$36,$D$23),IF(BG40=0,0,BG40+AW41+AU41+AU42))</f>
        <v>8360</v>
      </c>
      <c r="AU41" s="258">
        <f t="shared" si="20"/>
        <v>2336.1799999999998</v>
      </c>
      <c r="AV41" s="258">
        <f t="shared" si="21"/>
        <v>6023.82</v>
      </c>
      <c r="AW41" s="258">
        <f t="shared" ref="AW41:AW72" si="48">IF(AY41-AZ41&gt;$D$23,$D$23-AU41,IF(BI41=0,0,BA41)+BX89)</f>
        <v>0</v>
      </c>
      <c r="AX41" s="258">
        <v>0</v>
      </c>
      <c r="AY41" s="258">
        <f t="shared" si="22"/>
        <v>2336.1799999999998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192407.47999999995</v>
      </c>
      <c r="BH41" s="108">
        <f t="shared" si="31"/>
        <v>28</v>
      </c>
      <c r="BI41" s="108">
        <f t="shared" si="26"/>
        <v>28</v>
      </c>
      <c r="BJ41" s="22">
        <f t="shared" si="27"/>
        <v>45448</v>
      </c>
      <c r="BK41" s="108">
        <f t="shared" si="9"/>
        <v>7860</v>
      </c>
    </row>
    <row r="42" spans="1:1217" s="16" customFormat="1" ht="18.75" customHeight="1" x14ac:dyDescent="0.3">
      <c r="A42" s="895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4"/>
        <v>9.9000000000000005E-2</v>
      </c>
      <c r="J42" s="242">
        <f t="shared" si="11"/>
        <v>7860</v>
      </c>
      <c r="K42" s="242">
        <f t="shared" si="42"/>
        <v>7860</v>
      </c>
      <c r="L42" s="242">
        <f t="shared" si="36"/>
        <v>1721.79</v>
      </c>
      <c r="M42" s="242">
        <f t="shared" si="13"/>
        <v>6138.21</v>
      </c>
      <c r="N42" s="242">
        <f t="shared" si="46"/>
        <v>0</v>
      </c>
      <c r="O42" s="242">
        <v>0</v>
      </c>
      <c r="P42" s="242">
        <f t="shared" si="25"/>
        <v>1721.79</v>
      </c>
      <c r="Q42" s="242">
        <f t="shared" si="33"/>
        <v>0</v>
      </c>
      <c r="R42" s="242">
        <f t="shared" si="15"/>
        <v>0</v>
      </c>
      <c r="S42" s="242">
        <f t="shared" si="16"/>
        <v>206042.18</v>
      </c>
      <c r="T42" s="467"/>
      <c r="U42" s="198">
        <f t="shared" si="29"/>
        <v>27</v>
      </c>
      <c r="V42" s="36">
        <f t="shared" si="17"/>
        <v>27</v>
      </c>
      <c r="W42" s="2"/>
      <c r="X42" s="18">
        <f>K8</f>
        <v>-359400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3"/>
        <v>0.13900000000000001</v>
      </c>
      <c r="AS42" s="258">
        <f t="shared" si="19"/>
        <v>8360</v>
      </c>
      <c r="AT42" s="258">
        <f t="shared" si="47"/>
        <v>8360</v>
      </c>
      <c r="AU42" s="258">
        <f t="shared" si="20"/>
        <v>2192.1799999999998</v>
      </c>
      <c r="AV42" s="258">
        <f t="shared" si="21"/>
        <v>6167.82</v>
      </c>
      <c r="AW42" s="258">
        <f t="shared" si="48"/>
        <v>0</v>
      </c>
      <c r="AX42" s="258">
        <v>0</v>
      </c>
      <c r="AY42" s="258">
        <f t="shared" si="22"/>
        <v>2192.1799999999998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186239.65999999995</v>
      </c>
      <c r="BH42" s="108">
        <f t="shared" si="31"/>
        <v>27</v>
      </c>
      <c r="BI42" s="108">
        <f t="shared" si="26"/>
        <v>27</v>
      </c>
      <c r="BJ42" s="22">
        <f t="shared" si="27"/>
        <v>45478</v>
      </c>
      <c r="BK42" s="108">
        <f t="shared" si="9"/>
        <v>7860</v>
      </c>
    </row>
    <row r="43" spans="1:1217" s="16" customFormat="1" ht="14.25" x14ac:dyDescent="0.3">
      <c r="A43" s="896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4"/>
        <v>9.9000000000000005E-2</v>
      </c>
      <c r="J43" s="242">
        <f t="shared" si="11"/>
        <v>7860</v>
      </c>
      <c r="K43" s="242">
        <f t="shared" si="42"/>
        <v>7860</v>
      </c>
      <c r="L43" s="242">
        <f t="shared" si="36"/>
        <v>1727.71</v>
      </c>
      <c r="M43" s="242">
        <f t="shared" si="13"/>
        <v>6132.29</v>
      </c>
      <c r="N43" s="242">
        <f t="shared" si="46"/>
        <v>0</v>
      </c>
      <c r="O43" s="242">
        <v>0</v>
      </c>
      <c r="P43" s="242">
        <f t="shared" si="25"/>
        <v>1727.71</v>
      </c>
      <c r="Q43" s="242">
        <f t="shared" si="33"/>
        <v>0</v>
      </c>
      <c r="R43" s="242">
        <f t="shared" si="15"/>
        <v>0</v>
      </c>
      <c r="S43" s="242">
        <f t="shared" si="16"/>
        <v>199909.88999999998</v>
      </c>
      <c r="T43" s="467"/>
      <c r="U43" s="198">
        <f t="shared" si="29"/>
        <v>26</v>
      </c>
      <c r="V43" s="36">
        <f t="shared" si="17"/>
        <v>26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3"/>
        <v>0.13900000000000001</v>
      </c>
      <c r="AS43" s="258">
        <f t="shared" si="19"/>
        <v>8360</v>
      </c>
      <c r="AT43" s="258">
        <f t="shared" si="47"/>
        <v>8360</v>
      </c>
      <c r="AU43" s="258">
        <f t="shared" si="20"/>
        <v>2192.64</v>
      </c>
      <c r="AV43" s="258">
        <f t="shared" si="21"/>
        <v>6167.3600000000006</v>
      </c>
      <c r="AW43" s="258">
        <f t="shared" si="48"/>
        <v>0</v>
      </c>
      <c r="AX43" s="258">
        <v>0</v>
      </c>
      <c r="AY43" s="258">
        <f t="shared" si="22"/>
        <v>2192.64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180072.29999999993</v>
      </c>
      <c r="BH43" s="108">
        <f t="shared" si="31"/>
        <v>26</v>
      </c>
      <c r="BI43" s="108">
        <f t="shared" si="26"/>
        <v>26</v>
      </c>
      <c r="BJ43" s="22">
        <f t="shared" si="27"/>
        <v>45509</v>
      </c>
      <c r="BK43" s="108">
        <f t="shared" si="9"/>
        <v>7860</v>
      </c>
    </row>
    <row r="44" spans="1:1217" s="16" customFormat="1" ht="15.75" customHeight="1" thickBot="1" x14ac:dyDescent="0.35">
      <c r="A44" s="896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4"/>
        <v>9.9000000000000005E-2</v>
      </c>
      <c r="J44" s="252">
        <f t="shared" si="11"/>
        <v>7860</v>
      </c>
      <c r="K44" s="252">
        <f t="shared" si="42"/>
        <v>7860</v>
      </c>
      <c r="L44" s="252">
        <f t="shared" si="36"/>
        <v>1676.29</v>
      </c>
      <c r="M44" s="252">
        <f t="shared" si="13"/>
        <v>6183.71</v>
      </c>
      <c r="N44" s="252">
        <f t="shared" si="46"/>
        <v>0</v>
      </c>
      <c r="O44" s="252">
        <v>0</v>
      </c>
      <c r="P44" s="252">
        <f t="shared" si="25"/>
        <v>1676.29</v>
      </c>
      <c r="Q44" s="252">
        <f t="shared" si="33"/>
        <v>0</v>
      </c>
      <c r="R44" s="252">
        <f t="shared" si="15"/>
        <v>0</v>
      </c>
      <c r="S44" s="252">
        <f t="shared" si="16"/>
        <v>193726.18</v>
      </c>
      <c r="T44" s="468"/>
      <c r="U44" s="198">
        <f t="shared" si="29"/>
        <v>25</v>
      </c>
      <c r="V44" s="36">
        <f t="shared" si="17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3"/>
        <v>0.13900000000000001</v>
      </c>
      <c r="AS44" s="258">
        <f t="shared" si="19"/>
        <v>8360</v>
      </c>
      <c r="AT44" s="258">
        <f t="shared" si="47"/>
        <v>8360</v>
      </c>
      <c r="AU44" s="258">
        <f t="shared" si="20"/>
        <v>2120.0300000000002</v>
      </c>
      <c r="AV44" s="258">
        <f t="shared" si="21"/>
        <v>6239.9699999999993</v>
      </c>
      <c r="AW44" s="258">
        <f t="shared" si="48"/>
        <v>0</v>
      </c>
      <c r="AX44" s="258">
        <v>0</v>
      </c>
      <c r="AY44" s="258">
        <f t="shared" si="22"/>
        <v>2120.0300000000002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173832.32999999993</v>
      </c>
      <c r="BH44" s="108">
        <f t="shared" si="31"/>
        <v>25</v>
      </c>
      <c r="BI44" s="108">
        <f t="shared" si="26"/>
        <v>25</v>
      </c>
      <c r="BJ44" s="22">
        <f t="shared" si="27"/>
        <v>45540</v>
      </c>
      <c r="BK44" s="108">
        <f t="shared" si="9"/>
        <v>7860</v>
      </c>
    </row>
    <row r="45" spans="1:1217" s="16" customFormat="1" ht="16.899999999999999" customHeight="1" x14ac:dyDescent="0.3">
      <c r="A45" s="896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9.9000000000000005E-2</v>
      </c>
      <c r="J45" s="242">
        <f t="shared" si="11"/>
        <v>7860</v>
      </c>
      <c r="K45" s="242">
        <f t="shared" ref="K45:K56" si="49">IF(AND(G45&gt;=$W$9,G45&lt;=$W$9+5),$W$10,IF(AND(S44+N45+L45&gt;K44,K44&lt;&gt;0),IF(AND($C$16="Да",$C$8&lt;&gt;"Нет"),$AF$39,$C$23),IF(S44=0,0,S44+N45+L45+L46)))</f>
        <v>7860</v>
      </c>
      <c r="L45" s="242">
        <f t="shared" si="36"/>
        <v>1572.04</v>
      </c>
      <c r="M45" s="242">
        <f t="shared" si="13"/>
        <v>6287.96</v>
      </c>
      <c r="N45" s="242">
        <f t="shared" si="46"/>
        <v>0</v>
      </c>
      <c r="O45" s="242">
        <v>0</v>
      </c>
      <c r="P45" s="242">
        <f t="shared" si="25"/>
        <v>1572.04</v>
      </c>
      <c r="Q45" s="242">
        <f t="shared" si="33"/>
        <v>0</v>
      </c>
      <c r="R45" s="242">
        <f t="shared" si="15"/>
        <v>0</v>
      </c>
      <c r="S45" s="242">
        <f t="shared" si="16"/>
        <v>187438.22</v>
      </c>
      <c r="T45" s="467"/>
      <c r="U45" s="198">
        <f t="shared" si="29"/>
        <v>24</v>
      </c>
      <c r="V45" s="36">
        <f t="shared" si="17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50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1</v>
      </c>
      <c r="AP45" s="261">
        <f t="shared" si="30"/>
        <v>37</v>
      </c>
      <c r="AQ45" s="262">
        <f t="shared" si="4"/>
        <v>45570</v>
      </c>
      <c r="AR45" s="263">
        <f t="shared" ref="AR45:AR56" si="51">IF($D$16="Да",$AM$39,$D$13)</f>
        <v>0.13900000000000001</v>
      </c>
      <c r="AS45" s="258">
        <f t="shared" si="19"/>
        <v>8360</v>
      </c>
      <c r="AT45" s="258">
        <f t="shared" si="47"/>
        <v>8360</v>
      </c>
      <c r="AU45" s="258">
        <f t="shared" si="20"/>
        <v>1980.55</v>
      </c>
      <c r="AV45" s="258">
        <f t="shared" si="21"/>
        <v>6379.45</v>
      </c>
      <c r="AW45" s="258">
        <f t="shared" si="48"/>
        <v>0</v>
      </c>
      <c r="AX45" s="258">
        <v>0</v>
      </c>
      <c r="AY45" s="258">
        <f t="shared" si="22"/>
        <v>1980.55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167452.87999999992</v>
      </c>
      <c r="BH45" s="108">
        <f t="shared" si="31"/>
        <v>24</v>
      </c>
      <c r="BI45" s="108">
        <f t="shared" si="26"/>
        <v>24</v>
      </c>
      <c r="BJ45" s="22">
        <f t="shared" si="27"/>
        <v>45570</v>
      </c>
      <c r="BK45" s="108">
        <f t="shared" si="9"/>
        <v>7860</v>
      </c>
    </row>
    <row r="46" spans="1:1217" s="16" customFormat="1" ht="41.25" customHeight="1" x14ac:dyDescent="0.3">
      <c r="A46" s="897" t="s">
        <v>314</v>
      </c>
      <c r="B46" s="793"/>
      <c r="C46" s="898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898"/>
      <c r="E46" s="917"/>
      <c r="F46" s="178"/>
      <c r="G46" s="244">
        <f t="shared" si="28"/>
        <v>38</v>
      </c>
      <c r="H46" s="245">
        <f t="shared" si="1"/>
        <v>45601</v>
      </c>
      <c r="I46" s="246">
        <f t="shared" ref="I46:I56" si="52">IF(AND($C$16="Да",$C$8&lt;&gt;"Нет"),$AG$39,$C$13)</f>
        <v>9.9000000000000005E-2</v>
      </c>
      <c r="J46" s="242">
        <f t="shared" si="11"/>
        <v>7860</v>
      </c>
      <c r="K46" s="242">
        <f t="shared" si="49"/>
        <v>7860</v>
      </c>
      <c r="L46" s="242">
        <f t="shared" si="36"/>
        <v>1571.72</v>
      </c>
      <c r="M46" s="242">
        <f t="shared" si="13"/>
        <v>6288.28</v>
      </c>
      <c r="N46" s="242">
        <f t="shared" si="46"/>
        <v>0</v>
      </c>
      <c r="O46" s="242">
        <v>0</v>
      </c>
      <c r="P46" s="242">
        <f t="shared" si="25"/>
        <v>1571.72</v>
      </c>
      <c r="Q46" s="242">
        <f t="shared" si="33"/>
        <v>0</v>
      </c>
      <c r="R46" s="242">
        <f t="shared" si="15"/>
        <v>0</v>
      </c>
      <c r="S46" s="242">
        <f t="shared" si="16"/>
        <v>181149.94</v>
      </c>
      <c r="T46" s="467"/>
      <c r="U46" s="198">
        <f t="shared" si="29"/>
        <v>23</v>
      </c>
      <c r="V46" s="36">
        <f t="shared" si="17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3">IF(K11 &gt; 0, K11, 0)</f>
        <v>0</v>
      </c>
      <c r="Y46" s="57">
        <f t="shared" si="50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-359400</v>
      </c>
      <c r="AN46" s="57">
        <f>AQ8</f>
        <v>44441</v>
      </c>
      <c r="AO46" s="130">
        <f t="shared" si="18"/>
        <v>1</v>
      </c>
      <c r="AP46" s="261">
        <f t="shared" si="30"/>
        <v>38</v>
      </c>
      <c r="AQ46" s="262">
        <f t="shared" si="4"/>
        <v>45601</v>
      </c>
      <c r="AR46" s="263">
        <f t="shared" si="51"/>
        <v>0.13900000000000001</v>
      </c>
      <c r="AS46" s="258">
        <f t="shared" si="19"/>
        <v>8360</v>
      </c>
      <c r="AT46" s="258">
        <f t="shared" si="47"/>
        <v>8360</v>
      </c>
      <c r="AU46" s="258">
        <f t="shared" si="20"/>
        <v>1971.46</v>
      </c>
      <c r="AV46" s="258">
        <f t="shared" si="21"/>
        <v>6388.54</v>
      </c>
      <c r="AW46" s="258">
        <f t="shared" si="48"/>
        <v>0</v>
      </c>
      <c r="AX46" s="258">
        <v>0</v>
      </c>
      <c r="AY46" s="258">
        <f t="shared" si="22"/>
        <v>1971.46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161064.33999999991</v>
      </c>
      <c r="BH46" s="108">
        <f t="shared" si="31"/>
        <v>23</v>
      </c>
      <c r="BI46" s="108">
        <f t="shared" si="26"/>
        <v>23</v>
      </c>
      <c r="BJ46" s="22">
        <f t="shared" si="27"/>
        <v>45601</v>
      </c>
      <c r="BK46" s="108">
        <f t="shared" si="9"/>
        <v>7860</v>
      </c>
    </row>
    <row r="47" spans="1:1217" s="16" customFormat="1" ht="30.75" customHeight="1" x14ac:dyDescent="0.3">
      <c r="A47" s="915" t="s">
        <v>301</v>
      </c>
      <c r="B47" s="915"/>
      <c r="C47" s="915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52"/>
        <v>9.9000000000000005E-2</v>
      </c>
      <c r="J47" s="242">
        <f t="shared" si="11"/>
        <v>7860</v>
      </c>
      <c r="K47" s="242">
        <f t="shared" si="49"/>
        <v>7860</v>
      </c>
      <c r="L47" s="242">
        <f t="shared" si="36"/>
        <v>1469.99</v>
      </c>
      <c r="M47" s="242">
        <f t="shared" si="13"/>
        <v>6390.01</v>
      </c>
      <c r="N47" s="242">
        <f t="shared" si="46"/>
        <v>0</v>
      </c>
      <c r="O47" s="242">
        <v>0</v>
      </c>
      <c r="P47" s="242">
        <f t="shared" si="25"/>
        <v>1469.99</v>
      </c>
      <c r="Q47" s="242">
        <f t="shared" si="33"/>
        <v>0</v>
      </c>
      <c r="R47" s="242">
        <f t="shared" si="15"/>
        <v>0</v>
      </c>
      <c r="S47" s="242">
        <f t="shared" si="16"/>
        <v>174759.93</v>
      </c>
      <c r="T47" s="467"/>
      <c r="U47" s="198">
        <f t="shared" si="29"/>
        <v>22</v>
      </c>
      <c r="V47" s="36">
        <f t="shared" si="17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3"/>
        <v>0</v>
      </c>
      <c r="Y47" s="57">
        <f t="shared" si="50"/>
        <v>45901</v>
      </c>
      <c r="Z47" s="5" t="s">
        <v>42</v>
      </c>
      <c r="AA47" s="8"/>
      <c r="AB47" s="17">
        <f>AC51/C7</f>
        <v>0.66976716666666636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1</v>
      </c>
      <c r="AP47" s="261">
        <f t="shared" si="30"/>
        <v>39</v>
      </c>
      <c r="AQ47" s="262">
        <f t="shared" si="4"/>
        <v>45631</v>
      </c>
      <c r="AR47" s="263">
        <f t="shared" si="51"/>
        <v>0.13900000000000001</v>
      </c>
      <c r="AS47" s="258">
        <f t="shared" si="19"/>
        <v>8360</v>
      </c>
      <c r="AT47" s="258">
        <f t="shared" si="47"/>
        <v>8360</v>
      </c>
      <c r="AU47" s="258">
        <f t="shared" si="20"/>
        <v>1835.08</v>
      </c>
      <c r="AV47" s="258">
        <f t="shared" si="21"/>
        <v>6524.92</v>
      </c>
      <c r="AW47" s="258">
        <f t="shared" si="48"/>
        <v>0</v>
      </c>
      <c r="AX47" s="258">
        <v>0</v>
      </c>
      <c r="AY47" s="258">
        <f t="shared" si="22"/>
        <v>1835.08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154539.4199999999</v>
      </c>
      <c r="BH47" s="108">
        <f t="shared" si="31"/>
        <v>22</v>
      </c>
      <c r="BI47" s="108">
        <f t="shared" si="26"/>
        <v>22</v>
      </c>
      <c r="BJ47" s="22">
        <f t="shared" si="27"/>
        <v>45631</v>
      </c>
      <c r="BK47" s="108">
        <f t="shared" si="9"/>
        <v>7860</v>
      </c>
    </row>
    <row r="48" spans="1:1217" s="16" customFormat="1" ht="44.25" customHeight="1" x14ac:dyDescent="0.3">
      <c r="A48" s="902" t="s">
        <v>308</v>
      </c>
      <c r="B48" s="903"/>
      <c r="C48" s="904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28098 рублей</v>
      </c>
      <c r="D48" s="904"/>
      <c r="E48" s="916"/>
      <c r="F48" s="178"/>
      <c r="G48" s="244">
        <f t="shared" si="28"/>
        <v>40</v>
      </c>
      <c r="H48" s="245">
        <f t="shared" si="1"/>
        <v>45662</v>
      </c>
      <c r="I48" s="246">
        <f t="shared" si="52"/>
        <v>9.9000000000000005E-2</v>
      </c>
      <c r="J48" s="242">
        <f t="shared" si="11"/>
        <v>7860</v>
      </c>
      <c r="K48" s="242">
        <f t="shared" si="49"/>
        <v>7860</v>
      </c>
      <c r="L48" s="242">
        <f t="shared" si="36"/>
        <v>1466.05</v>
      </c>
      <c r="M48" s="242">
        <f t="shared" si="13"/>
        <v>6393.95</v>
      </c>
      <c r="N48" s="242">
        <f t="shared" si="46"/>
        <v>0</v>
      </c>
      <c r="O48" s="242">
        <v>0</v>
      </c>
      <c r="P48" s="242">
        <f t="shared" si="25"/>
        <v>1466.05</v>
      </c>
      <c r="Q48" s="242">
        <f t="shared" si="33"/>
        <v>0</v>
      </c>
      <c r="R48" s="242">
        <f t="shared" si="15"/>
        <v>0</v>
      </c>
      <c r="S48" s="242">
        <f t="shared" si="16"/>
        <v>168365.97999999998</v>
      </c>
      <c r="T48" s="467"/>
      <c r="U48" s="198">
        <f t="shared" si="29"/>
        <v>21</v>
      </c>
      <c r="V48" s="36">
        <f t="shared" si="17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3"/>
        <v>0</v>
      </c>
      <c r="Y48" s="57">
        <f t="shared" si="50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8360</v>
      </c>
      <c r="AN48" s="57">
        <f>AN47+365</f>
        <v>44806</v>
      </c>
      <c r="AO48" s="130">
        <f t="shared" si="18"/>
        <v>1</v>
      </c>
      <c r="AP48" s="261">
        <f t="shared" si="30"/>
        <v>40</v>
      </c>
      <c r="AQ48" s="262">
        <f t="shared" si="4"/>
        <v>45662</v>
      </c>
      <c r="AR48" s="263">
        <f t="shared" si="51"/>
        <v>0.13900000000000001</v>
      </c>
      <c r="AS48" s="258">
        <f t="shared" si="19"/>
        <v>8360</v>
      </c>
      <c r="AT48" s="258">
        <f t="shared" si="47"/>
        <v>8360</v>
      </c>
      <c r="AU48" s="258">
        <f t="shared" si="20"/>
        <v>1820.23</v>
      </c>
      <c r="AV48" s="258">
        <f t="shared" si="21"/>
        <v>6539.77</v>
      </c>
      <c r="AW48" s="258">
        <f t="shared" si="48"/>
        <v>0</v>
      </c>
      <c r="AX48" s="258">
        <v>0</v>
      </c>
      <c r="AY48" s="258">
        <f t="shared" si="22"/>
        <v>1820.23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147999.64999999991</v>
      </c>
      <c r="BH48" s="108">
        <f t="shared" si="31"/>
        <v>21</v>
      </c>
      <c r="BI48" s="108">
        <f t="shared" si="26"/>
        <v>21</v>
      </c>
      <c r="BJ48" s="22">
        <f t="shared" si="27"/>
        <v>45662</v>
      </c>
      <c r="BK48" s="108">
        <f t="shared" si="9"/>
        <v>7860</v>
      </c>
    </row>
    <row r="49" spans="1:64" s="16" customFormat="1" ht="55.15" customHeight="1" x14ac:dyDescent="0.25">
      <c r="A49" s="812" t="s">
        <v>175</v>
      </c>
      <c r="B49" s="813"/>
      <c r="C49" s="813"/>
      <c r="D49" s="813"/>
      <c r="E49" s="814"/>
      <c r="F49" s="180"/>
      <c r="G49" s="244">
        <f t="shared" si="28"/>
        <v>41</v>
      </c>
      <c r="H49" s="245">
        <f t="shared" si="1"/>
        <v>45693</v>
      </c>
      <c r="I49" s="246">
        <f t="shared" si="52"/>
        <v>9.9000000000000005E-2</v>
      </c>
      <c r="J49" s="242">
        <f t="shared" si="11"/>
        <v>7860</v>
      </c>
      <c r="K49" s="242">
        <f t="shared" si="49"/>
        <v>7860</v>
      </c>
      <c r="L49" s="242">
        <f t="shared" si="36"/>
        <v>1415.66</v>
      </c>
      <c r="M49" s="242">
        <f t="shared" si="13"/>
        <v>6444.34</v>
      </c>
      <c r="N49" s="242">
        <f t="shared" si="46"/>
        <v>0</v>
      </c>
      <c r="O49" s="242">
        <v>0</v>
      </c>
      <c r="P49" s="242">
        <f t="shared" si="25"/>
        <v>1415.66</v>
      </c>
      <c r="Q49" s="242">
        <f t="shared" si="33"/>
        <v>0</v>
      </c>
      <c r="R49" s="242">
        <f t="shared" si="15"/>
        <v>0</v>
      </c>
      <c r="S49" s="242">
        <f t="shared" si="16"/>
        <v>161921.63999999998</v>
      </c>
      <c r="T49" s="467"/>
      <c r="U49" s="198">
        <f t="shared" si="29"/>
        <v>20</v>
      </c>
      <c r="V49" s="36">
        <f t="shared" si="17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3"/>
        <v>0</v>
      </c>
      <c r="Y49" s="57">
        <f t="shared" si="50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8360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8360</v>
      </c>
      <c r="AN49" s="57">
        <f t="shared" ref="AN49:AN112" si="54">AN48+365</f>
        <v>45171</v>
      </c>
      <c r="AO49" s="130">
        <f t="shared" si="18"/>
        <v>1</v>
      </c>
      <c r="AP49" s="261">
        <f t="shared" si="30"/>
        <v>41</v>
      </c>
      <c r="AQ49" s="262">
        <f t="shared" si="4"/>
        <v>45693</v>
      </c>
      <c r="AR49" s="263">
        <f t="shared" si="51"/>
        <v>0.13900000000000001</v>
      </c>
      <c r="AS49" s="258">
        <f t="shared" si="19"/>
        <v>8360</v>
      </c>
      <c r="AT49" s="258">
        <f t="shared" si="47"/>
        <v>8360</v>
      </c>
      <c r="AU49" s="258">
        <f t="shared" si="20"/>
        <v>1747.21</v>
      </c>
      <c r="AV49" s="258">
        <f t="shared" si="21"/>
        <v>6612.79</v>
      </c>
      <c r="AW49" s="258">
        <f t="shared" si="48"/>
        <v>0</v>
      </c>
      <c r="AX49" s="258">
        <v>0</v>
      </c>
      <c r="AY49" s="258">
        <f t="shared" si="22"/>
        <v>1747.21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141386.8599999999</v>
      </c>
      <c r="BH49" s="108">
        <f t="shared" si="31"/>
        <v>20</v>
      </c>
      <c r="BI49" s="108">
        <f t="shared" si="26"/>
        <v>20</v>
      </c>
      <c r="BJ49" s="22">
        <f t="shared" si="27"/>
        <v>45693</v>
      </c>
      <c r="BK49" s="108">
        <f t="shared" si="9"/>
        <v>7860</v>
      </c>
    </row>
    <row r="50" spans="1:64" s="16" customFormat="1" ht="55.5" customHeight="1" thickBot="1" x14ac:dyDescent="0.3">
      <c r="A50" s="792" t="s">
        <v>186</v>
      </c>
      <c r="B50" s="213" t="s">
        <v>180</v>
      </c>
      <c r="C50" s="191">
        <f>C32/($C$10/12)</f>
        <v>27166.394</v>
      </c>
      <c r="D50" s="191">
        <f>D32/($C$10/12)</f>
        <v>28306.029999999992</v>
      </c>
      <c r="E50" s="191">
        <f>C50-D50</f>
        <v>-1139.6359999999913</v>
      </c>
      <c r="F50" s="180"/>
      <c r="G50" s="244">
        <f t="shared" si="28"/>
        <v>42</v>
      </c>
      <c r="H50" s="245">
        <f t="shared" si="1"/>
        <v>45721</v>
      </c>
      <c r="I50" s="246">
        <f t="shared" si="52"/>
        <v>9.9000000000000005E-2</v>
      </c>
      <c r="J50" s="242">
        <f t="shared" si="11"/>
        <v>7860</v>
      </c>
      <c r="K50" s="242">
        <f t="shared" si="49"/>
        <v>7860</v>
      </c>
      <c r="L50" s="242">
        <f t="shared" si="36"/>
        <v>1229.72</v>
      </c>
      <c r="M50" s="242">
        <f t="shared" si="13"/>
        <v>6630.28</v>
      </c>
      <c r="N50" s="242">
        <f t="shared" si="46"/>
        <v>0</v>
      </c>
      <c r="O50" s="242">
        <v>0</v>
      </c>
      <c r="P50" s="242">
        <f t="shared" si="25"/>
        <v>1229.72</v>
      </c>
      <c r="Q50" s="242">
        <f t="shared" si="33"/>
        <v>0</v>
      </c>
      <c r="R50" s="242">
        <f t="shared" si="15"/>
        <v>0</v>
      </c>
      <c r="S50" s="242">
        <f t="shared" si="16"/>
        <v>155291.35999999999</v>
      </c>
      <c r="T50" s="467"/>
      <c r="U50" s="198">
        <f t="shared" si="29"/>
        <v>19</v>
      </c>
      <c r="V50" s="36">
        <f t="shared" si="17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3"/>
        <v>7860</v>
      </c>
      <c r="Y50" s="57">
        <f t="shared" si="50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5">AT11</f>
        <v>8360</v>
      </c>
      <c r="AN50" s="57">
        <f t="shared" si="54"/>
        <v>45536</v>
      </c>
      <c r="AO50" s="130">
        <f t="shared" si="18"/>
        <v>1</v>
      </c>
      <c r="AP50" s="261">
        <f t="shared" si="30"/>
        <v>42</v>
      </c>
      <c r="AQ50" s="262">
        <f t="shared" si="4"/>
        <v>45721</v>
      </c>
      <c r="AR50" s="263">
        <f t="shared" si="51"/>
        <v>0.13900000000000001</v>
      </c>
      <c r="AS50" s="258">
        <f t="shared" si="19"/>
        <v>8360</v>
      </c>
      <c r="AT50" s="258">
        <f t="shared" si="47"/>
        <v>8360</v>
      </c>
      <c r="AU50" s="258">
        <f t="shared" si="20"/>
        <v>1507.61</v>
      </c>
      <c r="AV50" s="258">
        <f t="shared" si="21"/>
        <v>6852.39</v>
      </c>
      <c r="AW50" s="258">
        <f t="shared" si="48"/>
        <v>0</v>
      </c>
      <c r="AX50" s="258">
        <v>0</v>
      </c>
      <c r="AY50" s="258">
        <f t="shared" si="22"/>
        <v>1507.61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134534.46999999988</v>
      </c>
      <c r="BH50" s="108">
        <f t="shared" si="31"/>
        <v>19</v>
      </c>
      <c r="BI50" s="108">
        <f t="shared" si="26"/>
        <v>19</v>
      </c>
      <c r="BJ50" s="22">
        <f t="shared" si="27"/>
        <v>45721</v>
      </c>
      <c r="BK50" s="108">
        <f t="shared" si="9"/>
        <v>7860</v>
      </c>
    </row>
    <row r="51" spans="1:64" s="16" customFormat="1" ht="19.5" customHeight="1" x14ac:dyDescent="0.3">
      <c r="A51" s="792"/>
      <c r="B51" s="213" t="s">
        <v>181</v>
      </c>
      <c r="C51" s="201">
        <f>C50/C22</f>
        <v>7.5588185865331114E-2</v>
      </c>
      <c r="D51" s="201">
        <f>D50/D22</f>
        <v>7.8759126321647166E-2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52"/>
        <v>9.9000000000000005E-2</v>
      </c>
      <c r="J51" s="242">
        <f t="shared" si="11"/>
        <v>7860</v>
      </c>
      <c r="K51" s="242">
        <f t="shared" si="49"/>
        <v>7860</v>
      </c>
      <c r="L51" s="242">
        <f t="shared" si="36"/>
        <v>1305.72</v>
      </c>
      <c r="M51" s="242">
        <f t="shared" si="13"/>
        <v>6554.28</v>
      </c>
      <c r="N51" s="242">
        <f t="shared" si="46"/>
        <v>0</v>
      </c>
      <c r="O51" s="242">
        <v>0</v>
      </c>
      <c r="P51" s="242">
        <f t="shared" si="25"/>
        <v>1305.72</v>
      </c>
      <c r="Q51" s="242">
        <f t="shared" si="33"/>
        <v>0</v>
      </c>
      <c r="R51" s="242">
        <f t="shared" si="15"/>
        <v>0</v>
      </c>
      <c r="S51" s="242">
        <f t="shared" si="16"/>
        <v>148737.07999999999</v>
      </c>
      <c r="T51" s="467"/>
      <c r="U51" s="198">
        <f t="shared" si="29"/>
        <v>18</v>
      </c>
      <c r="V51" s="36">
        <f t="shared" si="17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3"/>
        <v>7860</v>
      </c>
      <c r="Y51" s="57">
        <f t="shared" si="50"/>
        <v>47361</v>
      </c>
      <c r="Z51" s="11" t="s">
        <v>18</v>
      </c>
      <c r="AA51" s="11"/>
      <c r="AB51" s="11"/>
      <c r="AC51" s="42">
        <f>(D31-C7)</f>
        <v>200930.14999999991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5"/>
        <v>8360</v>
      </c>
      <c r="AN51" s="57">
        <f t="shared" si="54"/>
        <v>45901</v>
      </c>
      <c r="AO51" s="130">
        <f t="shared" si="18"/>
        <v>1</v>
      </c>
      <c r="AP51" s="261">
        <f t="shared" si="30"/>
        <v>43</v>
      </c>
      <c r="AQ51" s="262">
        <f t="shared" si="4"/>
        <v>45752</v>
      </c>
      <c r="AR51" s="263">
        <f t="shared" si="51"/>
        <v>0.13900000000000001</v>
      </c>
      <c r="AS51" s="258">
        <f t="shared" si="19"/>
        <v>8360</v>
      </c>
      <c r="AT51" s="258">
        <f t="shared" si="47"/>
        <v>8360</v>
      </c>
      <c r="AU51" s="258">
        <f t="shared" si="20"/>
        <v>1588.24</v>
      </c>
      <c r="AV51" s="258">
        <f t="shared" si="21"/>
        <v>6771.76</v>
      </c>
      <c r="AW51" s="258">
        <f t="shared" si="48"/>
        <v>0</v>
      </c>
      <c r="AX51" s="258">
        <v>0</v>
      </c>
      <c r="AY51" s="258">
        <f t="shared" si="22"/>
        <v>1588.24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127762.70999999989</v>
      </c>
      <c r="BH51" s="108">
        <f t="shared" si="31"/>
        <v>18</v>
      </c>
      <c r="BI51" s="108">
        <f t="shared" si="26"/>
        <v>18</v>
      </c>
      <c r="BJ51" s="22">
        <f t="shared" si="27"/>
        <v>45752</v>
      </c>
      <c r="BK51" s="108">
        <f t="shared" si="9"/>
        <v>7860</v>
      </c>
    </row>
    <row r="52" spans="1:64" s="16" customFormat="1" ht="24" customHeight="1" x14ac:dyDescent="0.3">
      <c r="A52" s="763" t="s">
        <v>177</v>
      </c>
      <c r="B52" s="763"/>
      <c r="C52" s="190">
        <f>C50/12</f>
        <v>2263.8661666666667</v>
      </c>
      <c r="D52" s="191">
        <f>D50/12</f>
        <v>2358.8358333333326</v>
      </c>
      <c r="E52" s="191">
        <f>C52-D52</f>
        <v>-94.969666666665944</v>
      </c>
      <c r="F52" s="178"/>
      <c r="G52" s="244">
        <f t="shared" si="28"/>
        <v>44</v>
      </c>
      <c r="H52" s="245">
        <f t="shared" si="1"/>
        <v>45782</v>
      </c>
      <c r="I52" s="246">
        <f t="shared" si="52"/>
        <v>9.9000000000000005E-2</v>
      </c>
      <c r="J52" s="242">
        <f t="shared" si="11"/>
        <v>7860</v>
      </c>
      <c r="K52" s="242">
        <f t="shared" si="49"/>
        <v>7860</v>
      </c>
      <c r="L52" s="242">
        <f t="shared" si="36"/>
        <v>1210.27</v>
      </c>
      <c r="M52" s="242">
        <f t="shared" si="13"/>
        <v>6649.73</v>
      </c>
      <c r="N52" s="242">
        <f t="shared" si="46"/>
        <v>0</v>
      </c>
      <c r="O52" s="242">
        <v>0</v>
      </c>
      <c r="P52" s="242">
        <f t="shared" si="25"/>
        <v>1210.27</v>
      </c>
      <c r="Q52" s="242">
        <f t="shared" si="33"/>
        <v>0</v>
      </c>
      <c r="R52" s="242">
        <f t="shared" si="15"/>
        <v>0</v>
      </c>
      <c r="S52" s="242">
        <f t="shared" si="16"/>
        <v>142087.34999999998</v>
      </c>
      <c r="T52" s="467"/>
      <c r="U52" s="198">
        <f t="shared" si="29"/>
        <v>17</v>
      </c>
      <c r="V52" s="36">
        <f t="shared" si="17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3"/>
        <v>7860</v>
      </c>
      <c r="Y52" s="57">
        <f t="shared" si="50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5"/>
        <v>8360</v>
      </c>
      <c r="AN52" s="57">
        <f t="shared" si="54"/>
        <v>46266</v>
      </c>
      <c r="AO52" s="130">
        <f t="shared" si="18"/>
        <v>1</v>
      </c>
      <c r="AP52" s="261">
        <f t="shared" si="30"/>
        <v>44</v>
      </c>
      <c r="AQ52" s="262">
        <f t="shared" si="4"/>
        <v>45782</v>
      </c>
      <c r="AR52" s="263">
        <f t="shared" si="51"/>
        <v>0.13900000000000001</v>
      </c>
      <c r="AS52" s="258">
        <f t="shared" si="19"/>
        <v>8360</v>
      </c>
      <c r="AT52" s="258">
        <f t="shared" si="47"/>
        <v>8360</v>
      </c>
      <c r="AU52" s="258">
        <f t="shared" si="20"/>
        <v>1459.65</v>
      </c>
      <c r="AV52" s="258">
        <f t="shared" si="21"/>
        <v>6900.35</v>
      </c>
      <c r="AW52" s="258">
        <f t="shared" si="48"/>
        <v>0</v>
      </c>
      <c r="AX52" s="258">
        <v>0</v>
      </c>
      <c r="AY52" s="258">
        <f t="shared" si="22"/>
        <v>1459.65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120862.35999999988</v>
      </c>
      <c r="BH52" s="108">
        <f t="shared" si="31"/>
        <v>17</v>
      </c>
      <c r="BI52" s="108">
        <f t="shared" si="26"/>
        <v>17</v>
      </c>
      <c r="BJ52" s="22">
        <f t="shared" si="27"/>
        <v>45782</v>
      </c>
      <c r="BK52" s="108">
        <f t="shared" si="9"/>
        <v>7860</v>
      </c>
    </row>
    <row r="53" spans="1:64" s="16" customFormat="1" ht="24" customHeight="1" thickBot="1" x14ac:dyDescent="0.35">
      <c r="A53" s="789" t="s">
        <v>176</v>
      </c>
      <c r="B53" s="789"/>
      <c r="C53" s="203">
        <f>C52/30</f>
        <v>75.462205555555556</v>
      </c>
      <c r="D53" s="202">
        <f>D52/30</f>
        <v>78.627861111111088</v>
      </c>
      <c r="E53" s="202">
        <f>C53-D53</f>
        <v>-3.1656555555555315</v>
      </c>
      <c r="F53" s="178"/>
      <c r="G53" s="244">
        <f t="shared" si="28"/>
        <v>45</v>
      </c>
      <c r="H53" s="245">
        <f t="shared" si="1"/>
        <v>45813</v>
      </c>
      <c r="I53" s="246">
        <f t="shared" si="52"/>
        <v>9.9000000000000005E-2</v>
      </c>
      <c r="J53" s="242">
        <f t="shared" si="11"/>
        <v>7860</v>
      </c>
      <c r="K53" s="242">
        <f t="shared" si="49"/>
        <v>7860</v>
      </c>
      <c r="L53" s="242">
        <f t="shared" si="36"/>
        <v>1194.7</v>
      </c>
      <c r="M53" s="242">
        <f t="shared" si="13"/>
        <v>6665.3</v>
      </c>
      <c r="N53" s="242">
        <f t="shared" si="46"/>
        <v>0</v>
      </c>
      <c r="O53" s="242">
        <v>0</v>
      </c>
      <c r="P53" s="242">
        <f t="shared" si="25"/>
        <v>1194.7</v>
      </c>
      <c r="Q53" s="242">
        <f t="shared" si="33"/>
        <v>0</v>
      </c>
      <c r="R53" s="242">
        <f t="shared" si="15"/>
        <v>0</v>
      </c>
      <c r="S53" s="242">
        <f t="shared" si="16"/>
        <v>135422.04999999999</v>
      </c>
      <c r="T53" s="467"/>
      <c r="U53" s="198">
        <f t="shared" si="29"/>
        <v>16</v>
      </c>
      <c r="V53" s="36">
        <f t="shared" si="17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3"/>
        <v>7860</v>
      </c>
      <c r="Y53" s="57">
        <f t="shared" si="50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5"/>
        <v>8360</v>
      </c>
      <c r="AN53" s="57">
        <f t="shared" si="54"/>
        <v>46631</v>
      </c>
      <c r="AO53" s="130">
        <f t="shared" si="18"/>
        <v>1</v>
      </c>
      <c r="AP53" s="261">
        <f t="shared" si="30"/>
        <v>45</v>
      </c>
      <c r="AQ53" s="262">
        <f t="shared" si="4"/>
        <v>45813</v>
      </c>
      <c r="AR53" s="263">
        <f t="shared" si="51"/>
        <v>0.13900000000000001</v>
      </c>
      <c r="AS53" s="258">
        <f t="shared" si="19"/>
        <v>8360</v>
      </c>
      <c r="AT53" s="258">
        <f t="shared" si="47"/>
        <v>8360</v>
      </c>
      <c r="AU53" s="258">
        <f t="shared" si="20"/>
        <v>1426.84</v>
      </c>
      <c r="AV53" s="258">
        <f t="shared" si="21"/>
        <v>6933.16</v>
      </c>
      <c r="AW53" s="258">
        <f t="shared" si="48"/>
        <v>0</v>
      </c>
      <c r="AX53" s="258">
        <v>0</v>
      </c>
      <c r="AY53" s="258">
        <f t="shared" si="22"/>
        <v>1426.84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113929.19999999988</v>
      </c>
      <c r="BH53" s="108">
        <f t="shared" si="31"/>
        <v>16</v>
      </c>
      <c r="BI53" s="108">
        <f t="shared" si="26"/>
        <v>16</v>
      </c>
      <c r="BJ53" s="22">
        <f t="shared" si="27"/>
        <v>45813</v>
      </c>
      <c r="BK53" s="108">
        <f t="shared" si="9"/>
        <v>7860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52"/>
        <v>9.9000000000000005E-2</v>
      </c>
      <c r="J54" s="242">
        <f t="shared" si="11"/>
        <v>7860</v>
      </c>
      <c r="K54" s="242">
        <f t="shared" si="49"/>
        <v>7860</v>
      </c>
      <c r="L54" s="242">
        <f t="shared" si="36"/>
        <v>1101.93</v>
      </c>
      <c r="M54" s="242">
        <f t="shared" si="13"/>
        <v>6758.07</v>
      </c>
      <c r="N54" s="242">
        <f t="shared" si="46"/>
        <v>0</v>
      </c>
      <c r="O54" s="242">
        <v>0</v>
      </c>
      <c r="P54" s="242">
        <f t="shared" si="25"/>
        <v>1101.93</v>
      </c>
      <c r="Q54" s="242">
        <f t="shared" si="33"/>
        <v>0</v>
      </c>
      <c r="R54" s="242">
        <f t="shared" si="15"/>
        <v>0</v>
      </c>
      <c r="S54" s="242">
        <f t="shared" si="16"/>
        <v>128663.97999999998</v>
      </c>
      <c r="T54" s="467"/>
      <c r="U54" s="198">
        <f t="shared" si="29"/>
        <v>15</v>
      </c>
      <c r="V54" s="36">
        <f t="shared" si="17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3"/>
        <v>7860</v>
      </c>
      <c r="Y54" s="57">
        <f t="shared" si="50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8356.4775572779818</v>
      </c>
      <c r="AF54" s="2"/>
      <c r="AG54" s="47">
        <f>(D22+AI51)*AE14/12*(1+AE14/12)^(C10)/((1+AE14/12)^(C10)-1)+D22/10000*IF(C10&lt;11,20,IF(C10&lt;20,2.5,IF(C10&lt;37,1.5,IF(C10&lt;60,0.7,0.5))))*IF(AE14&lt;0.3,AE14/0.2,AE14/0.1)</f>
        <v>8356.4775572779818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5"/>
        <v>8360</v>
      </c>
      <c r="AN54" s="57">
        <f t="shared" si="54"/>
        <v>46996</v>
      </c>
      <c r="AO54" s="130">
        <f t="shared" si="18"/>
        <v>1</v>
      </c>
      <c r="AP54" s="261">
        <f t="shared" si="30"/>
        <v>46</v>
      </c>
      <c r="AQ54" s="262">
        <f t="shared" si="4"/>
        <v>45843</v>
      </c>
      <c r="AR54" s="263">
        <f t="shared" si="51"/>
        <v>0.13900000000000001</v>
      </c>
      <c r="AS54" s="258">
        <f t="shared" si="19"/>
        <v>8360</v>
      </c>
      <c r="AT54" s="258">
        <f t="shared" si="47"/>
        <v>8360</v>
      </c>
      <c r="AU54" s="258">
        <f t="shared" si="20"/>
        <v>1301.5999999999999</v>
      </c>
      <c r="AV54" s="258">
        <f t="shared" si="21"/>
        <v>7058.4</v>
      </c>
      <c r="AW54" s="258">
        <f t="shared" si="48"/>
        <v>0</v>
      </c>
      <c r="AX54" s="258">
        <v>0</v>
      </c>
      <c r="AY54" s="258">
        <f t="shared" si="22"/>
        <v>1301.5999999999999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106870.79999999989</v>
      </c>
      <c r="BH54" s="108">
        <f t="shared" si="31"/>
        <v>15</v>
      </c>
      <c r="BI54" s="108">
        <f t="shared" si="26"/>
        <v>15</v>
      </c>
      <c r="BJ54" s="22">
        <f t="shared" si="27"/>
        <v>45843</v>
      </c>
      <c r="BK54" s="108">
        <f t="shared" si="9"/>
        <v>7860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52"/>
        <v>9.9000000000000005E-2</v>
      </c>
      <c r="J55" s="242">
        <f t="shared" si="11"/>
        <v>7860</v>
      </c>
      <c r="K55" s="242">
        <f t="shared" si="49"/>
        <v>7860</v>
      </c>
      <c r="L55" s="242">
        <f t="shared" si="36"/>
        <v>1081.83</v>
      </c>
      <c r="M55" s="242">
        <f t="shared" si="13"/>
        <v>6778.17</v>
      </c>
      <c r="N55" s="242">
        <f t="shared" si="46"/>
        <v>0</v>
      </c>
      <c r="O55" s="242">
        <v>0</v>
      </c>
      <c r="P55" s="242">
        <f t="shared" si="25"/>
        <v>1081.83</v>
      </c>
      <c r="Q55" s="242">
        <f t="shared" si="33"/>
        <v>0</v>
      </c>
      <c r="R55" s="242">
        <f t="shared" si="15"/>
        <v>0</v>
      </c>
      <c r="S55" s="242">
        <f t="shared" si="16"/>
        <v>121885.80999999998</v>
      </c>
      <c r="T55" s="467"/>
      <c r="U55" s="198">
        <f t="shared" si="29"/>
        <v>14</v>
      </c>
      <c r="V55" s="36">
        <f t="shared" si="17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3"/>
        <v>7860</v>
      </c>
      <c r="Y55" s="57">
        <f t="shared" si="50"/>
        <v>48821</v>
      </c>
      <c r="AA55" s="170" t="s">
        <v>134</v>
      </c>
      <c r="AD55" s="47">
        <f>IF(DAY(C9)&lt;4,AE54,IF(DAY(C9)&gt;28,AE56,AE55))</f>
        <v>8356.4775572779818</v>
      </c>
      <c r="AE55" s="47">
        <f>(C22+AI51)*AG36/12*(1+AG36/12)^(C10)/((1+AG36/12)^(C10)-1)+C22/10000*IF(C10&lt;11,20,IF(C10&lt;34,0.7,IF(C10&lt;58,0.3,0.1)))*IF(AG36&lt;0.3,AG36/0.2,AG36/0.1)</f>
        <v>8346.4862372779826</v>
      </c>
      <c r="AF55" s="13">
        <f>IF(DAY(C9)&lt;4,AG54,IF(DAY(C9)&gt;28,AG56,AG55))</f>
        <v>8356.4775572779818</v>
      </c>
      <c r="AG55" s="156">
        <f>(D22+AI51)*AE14/12*(1+AE14/12)^(C10)/((1+AE14/12)^(C10)-1)+D22/10000*IF(C10&lt;11,20,IF(C10&lt;34,0.7,IF(C10&lt;58,0.3,0.1)))*IF(AE14&lt;0.3,AE14/0.2,AE14/0.1)</f>
        <v>8346.4862372779826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5"/>
        <v>8360</v>
      </c>
      <c r="AN55" s="57">
        <f t="shared" si="54"/>
        <v>47361</v>
      </c>
      <c r="AO55" s="130">
        <f t="shared" si="18"/>
        <v>1</v>
      </c>
      <c r="AP55" s="261">
        <f t="shared" si="30"/>
        <v>47</v>
      </c>
      <c r="AQ55" s="262">
        <f t="shared" si="4"/>
        <v>45874</v>
      </c>
      <c r="AR55" s="263">
        <f t="shared" si="51"/>
        <v>0.13900000000000001</v>
      </c>
      <c r="AS55" s="258">
        <f t="shared" si="19"/>
        <v>8360</v>
      </c>
      <c r="AT55" s="258">
        <f t="shared" si="47"/>
        <v>8360</v>
      </c>
      <c r="AU55" s="258">
        <f t="shared" si="20"/>
        <v>1261.6600000000001</v>
      </c>
      <c r="AV55" s="258">
        <f t="shared" si="21"/>
        <v>7098.34</v>
      </c>
      <c r="AW55" s="258">
        <f t="shared" si="48"/>
        <v>0</v>
      </c>
      <c r="AX55" s="258">
        <v>0</v>
      </c>
      <c r="AY55" s="258">
        <f t="shared" si="22"/>
        <v>1261.6600000000001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99772.45999999989</v>
      </c>
      <c r="BH55" s="108">
        <f t="shared" si="31"/>
        <v>14</v>
      </c>
      <c r="BI55" s="108">
        <f t="shared" si="26"/>
        <v>14</v>
      </c>
      <c r="BJ55" s="22">
        <f t="shared" si="27"/>
        <v>45874</v>
      </c>
      <c r="BK55" s="108">
        <f t="shared" si="9"/>
        <v>7860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52"/>
        <v>9.9000000000000005E-2</v>
      </c>
      <c r="J56" s="252">
        <f t="shared" si="11"/>
        <v>7860</v>
      </c>
      <c r="K56" s="252">
        <f t="shared" si="49"/>
        <v>7860</v>
      </c>
      <c r="L56" s="252">
        <f t="shared" si="36"/>
        <v>1024.8399999999999</v>
      </c>
      <c r="M56" s="252">
        <f t="shared" si="13"/>
        <v>6835.16</v>
      </c>
      <c r="N56" s="252">
        <f t="shared" si="46"/>
        <v>0</v>
      </c>
      <c r="O56" s="252">
        <v>0</v>
      </c>
      <c r="P56" s="252">
        <f t="shared" si="25"/>
        <v>1024.8399999999999</v>
      </c>
      <c r="Q56" s="252">
        <f t="shared" si="33"/>
        <v>0</v>
      </c>
      <c r="R56" s="252">
        <f t="shared" si="15"/>
        <v>0</v>
      </c>
      <c r="S56" s="252">
        <f t="shared" si="16"/>
        <v>115050.64999999998</v>
      </c>
      <c r="T56" s="468"/>
      <c r="U56" s="198">
        <f t="shared" si="29"/>
        <v>13</v>
      </c>
      <c r="V56" s="36">
        <f t="shared" si="17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3"/>
        <v>7860</v>
      </c>
      <c r="Y56" s="57">
        <f t="shared" si="50"/>
        <v>49186</v>
      </c>
      <c r="AA56" s="171">
        <v>20000</v>
      </c>
      <c r="AB56" s="133" t="s">
        <v>135</v>
      </c>
      <c r="AC56" s="118">
        <f>ROUNDUP(AD56/AG47,0)*AG47</f>
        <v>6250</v>
      </c>
      <c r="AD56" s="13">
        <f>(C22+AI51)*AC57/12*(1+AC57/12)^(C10+AD57)/((1+AC57/12)^(C10+AD57)-1)+10*C22/100000*IF(C10+AD57&lt;24,4,IF(C10+AD57&lt;36,3,IF(C10+AD57&lt;48,2,IF(C10+AD57&lt;60,1.5,1))))*AC57/0.2</f>
        <v>6247.8595153382739</v>
      </c>
      <c r="AE56" s="47">
        <f>(C22+AI51)*AG36/12*(1+AG36/12)^(C10)/((1+AG36/12)^(C10)-1)+C22/10000*IF(C10&lt;11,20,IF(C10&lt;34,0.7,IF(C10&lt;48,0.3,0)))*IF(AG36&lt;0.3,AG36/0.2,AG36/0.1)</f>
        <v>8343.9884072779823</v>
      </c>
      <c r="AF56" s="13">
        <f>(D22+AI51)*AF57/12*(1+AF57/12)^(C10+AD57)/((1+AF57/12)^(C10+AD57)-1)+10*D22/100000*IF(C10+AD57&lt;24,4,IF(C10+AD57&lt;36,3,IF(C10+AD57&lt;48,2,IF(C10+AD57&lt;60,1.5,1))))*AF57/0.2</f>
        <v>6247.8595153382739</v>
      </c>
      <c r="AG56" s="157">
        <f>(D22+AI51)*AE14/12*(1+AE14/12)^(C10)/((1+AE14/12)^(C10)-1)+D22/10000*IF(C10&lt;11,20,IF(C10&lt;34,0.7,IF(C10&lt;48,0.3,0)))*IF(AE14&lt;0.3,AE14/0.2,AE14/0.1)</f>
        <v>8343.9884072779823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5"/>
        <v>8360</v>
      </c>
      <c r="AN56" s="57">
        <f t="shared" si="54"/>
        <v>47726</v>
      </c>
      <c r="AO56" s="130">
        <f t="shared" si="18"/>
        <v>1</v>
      </c>
      <c r="AP56" s="261">
        <f t="shared" si="30"/>
        <v>48</v>
      </c>
      <c r="AQ56" s="262">
        <f t="shared" si="4"/>
        <v>45905</v>
      </c>
      <c r="AR56" s="263">
        <f t="shared" si="51"/>
        <v>0.13900000000000001</v>
      </c>
      <c r="AS56" s="258">
        <f t="shared" si="19"/>
        <v>8360</v>
      </c>
      <c r="AT56" s="258">
        <f t="shared" si="47"/>
        <v>8360</v>
      </c>
      <c r="AU56" s="258">
        <f t="shared" si="20"/>
        <v>1177.8599999999999</v>
      </c>
      <c r="AV56" s="258">
        <f t="shared" si="21"/>
        <v>7182.14</v>
      </c>
      <c r="AW56" s="258">
        <f t="shared" si="48"/>
        <v>0</v>
      </c>
      <c r="AX56" s="258">
        <v>0</v>
      </c>
      <c r="AY56" s="258">
        <f t="shared" si="22"/>
        <v>1177.8599999999999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92590.319999999891</v>
      </c>
      <c r="BH56" s="108">
        <f t="shared" si="31"/>
        <v>13</v>
      </c>
      <c r="BI56" s="108">
        <f t="shared" si="26"/>
        <v>13</v>
      </c>
      <c r="BJ56" s="22">
        <f t="shared" si="27"/>
        <v>45905</v>
      </c>
      <c r="BK56" s="108">
        <f t="shared" si="9"/>
        <v>7860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9.9000000000000005E-2</v>
      </c>
      <c r="J57" s="242">
        <f t="shared" si="11"/>
        <v>7860</v>
      </c>
      <c r="K57" s="242">
        <f t="shared" ref="K57:K108" si="56">IF(AND(G57&gt;=$W$9,G57&lt;=$W$9+5),$W$10,IF(AND(S56+N57+L57&gt;K56,K56&lt;&gt;0),IF(AND($C$16="Да",$C$8&lt;&gt;"Нет"),$AF$40,$C$23),IF(S56=0,0,S56+N57+L57+L58)))</f>
        <v>7860</v>
      </c>
      <c r="L57" s="242">
        <f t="shared" si="36"/>
        <v>936.17</v>
      </c>
      <c r="M57" s="242">
        <f t="shared" si="13"/>
        <v>6923.83</v>
      </c>
      <c r="N57" s="242">
        <f t="shared" si="46"/>
        <v>0</v>
      </c>
      <c r="O57" s="242">
        <v>0</v>
      </c>
      <c r="P57" s="242">
        <f t="shared" si="25"/>
        <v>936.17</v>
      </c>
      <c r="Q57" s="242">
        <f t="shared" si="33"/>
        <v>0</v>
      </c>
      <c r="R57" s="242">
        <f t="shared" si="15"/>
        <v>0</v>
      </c>
      <c r="S57" s="242">
        <f t="shared" si="16"/>
        <v>108126.81999999998</v>
      </c>
      <c r="T57" s="467"/>
      <c r="U57" s="198">
        <f t="shared" si="29"/>
        <v>12</v>
      </c>
      <c r="V57" s="36">
        <f t="shared" si="17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3"/>
        <v>7860</v>
      </c>
      <c r="Y57" s="57">
        <f t="shared" si="50"/>
        <v>49551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(C22+AI51)*AG36/12*(1+AG36/12)^(C10)/((1+AG36/12)^(C10)-1)</f>
        <v>8343.9884072779823</v>
      </c>
      <c r="AF57" s="15">
        <f>IF(C9&gt;AH48,D13,D13+0.05)</f>
        <v>0.13900000000000001</v>
      </c>
      <c r="AG57" s="118">
        <f>(D22+AI51)*AE14/12*(1+AE14/12)^(C10)/((1+AE14/12)^(C10)-1)</f>
        <v>8343.9884072779823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5"/>
        <v>8360</v>
      </c>
      <c r="AN57" s="57">
        <f t="shared" si="54"/>
        <v>48091</v>
      </c>
      <c r="AO57" s="130">
        <f t="shared" si="18"/>
        <v>1</v>
      </c>
      <c r="AP57" s="261">
        <f t="shared" si="30"/>
        <v>49</v>
      </c>
      <c r="AQ57" s="262">
        <f t="shared" si="4"/>
        <v>45935</v>
      </c>
      <c r="AR57" s="263">
        <f t="shared" ref="AR57:AR108" si="57">IF($D$16="Да",$AM$40,$D$13)</f>
        <v>0.13900000000000001</v>
      </c>
      <c r="AS57" s="258">
        <f t="shared" si="19"/>
        <v>8360</v>
      </c>
      <c r="AT57" s="258">
        <f t="shared" si="47"/>
        <v>8360</v>
      </c>
      <c r="AU57" s="258">
        <f t="shared" si="20"/>
        <v>1057.81</v>
      </c>
      <c r="AV57" s="258">
        <f t="shared" si="21"/>
        <v>7302.1900000000005</v>
      </c>
      <c r="AW57" s="258">
        <f t="shared" si="48"/>
        <v>0</v>
      </c>
      <c r="AX57" s="258">
        <v>0</v>
      </c>
      <c r="AY57" s="258">
        <f t="shared" si="22"/>
        <v>1057.81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85288.129999999888</v>
      </c>
      <c r="BH57" s="108">
        <f t="shared" si="31"/>
        <v>12</v>
      </c>
      <c r="BI57" s="108">
        <f t="shared" si="26"/>
        <v>12</v>
      </c>
      <c r="BJ57" s="22">
        <f t="shared" si="27"/>
        <v>45935</v>
      </c>
      <c r="BK57" s="108">
        <f t="shared" si="9"/>
        <v>7860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8">IF(AND($C$16="Да",$C$8&lt;&gt;"Нет"),$AG$40,$C$13)</f>
        <v>9.9000000000000005E-2</v>
      </c>
      <c r="J58" s="242">
        <f t="shared" si="11"/>
        <v>7860</v>
      </c>
      <c r="K58" s="242">
        <f t="shared" si="56"/>
        <v>7860</v>
      </c>
      <c r="L58" s="242">
        <f t="shared" si="36"/>
        <v>909.15</v>
      </c>
      <c r="M58" s="242">
        <f t="shared" si="13"/>
        <v>6950.85</v>
      </c>
      <c r="N58" s="242">
        <f t="shared" si="46"/>
        <v>0</v>
      </c>
      <c r="O58" s="242">
        <v>0</v>
      </c>
      <c r="P58" s="242">
        <f t="shared" si="25"/>
        <v>909.15</v>
      </c>
      <c r="Q58" s="242">
        <f t="shared" si="33"/>
        <v>0</v>
      </c>
      <c r="R58" s="242">
        <f t="shared" si="15"/>
        <v>0</v>
      </c>
      <c r="S58" s="242">
        <f t="shared" si="16"/>
        <v>101175.96999999997</v>
      </c>
      <c r="T58" s="467"/>
      <c r="U58" s="198">
        <f t="shared" si="29"/>
        <v>11</v>
      </c>
      <c r="V58" s="36">
        <f t="shared" si="17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3"/>
        <v>7860</v>
      </c>
      <c r="Y58" s="57">
        <f t="shared" si="50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5"/>
        <v>8360</v>
      </c>
      <c r="AN58" s="57">
        <f t="shared" si="54"/>
        <v>48456</v>
      </c>
      <c r="AO58" s="130">
        <f t="shared" si="18"/>
        <v>1</v>
      </c>
      <c r="AP58" s="261">
        <f t="shared" si="30"/>
        <v>50</v>
      </c>
      <c r="AQ58" s="262">
        <f t="shared" si="4"/>
        <v>45966</v>
      </c>
      <c r="AR58" s="263">
        <f t="shared" si="57"/>
        <v>0.13900000000000001</v>
      </c>
      <c r="AS58" s="258">
        <f t="shared" si="19"/>
        <v>8360</v>
      </c>
      <c r="AT58" s="258">
        <f t="shared" si="47"/>
        <v>8360</v>
      </c>
      <c r="AU58" s="258">
        <f t="shared" si="20"/>
        <v>1006.87</v>
      </c>
      <c r="AV58" s="258">
        <f t="shared" si="21"/>
        <v>7353.13</v>
      </c>
      <c r="AW58" s="258">
        <f t="shared" si="48"/>
        <v>0</v>
      </c>
      <c r="AX58" s="258">
        <v>0</v>
      </c>
      <c r="AY58" s="258">
        <f t="shared" si="22"/>
        <v>1006.87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77934.999999999884</v>
      </c>
      <c r="BH58" s="108">
        <f t="shared" si="31"/>
        <v>11</v>
      </c>
      <c r="BI58" s="108">
        <f t="shared" si="26"/>
        <v>11</v>
      </c>
      <c r="BJ58" s="22">
        <f t="shared" si="27"/>
        <v>45966</v>
      </c>
      <c r="BK58" s="108">
        <f t="shared" si="9"/>
        <v>7860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8"/>
        <v>9.9000000000000005E-2</v>
      </c>
      <c r="J59" s="242">
        <f t="shared" si="11"/>
        <v>7860</v>
      </c>
      <c r="K59" s="242">
        <f t="shared" si="56"/>
        <v>7860</v>
      </c>
      <c r="L59" s="242">
        <f t="shared" si="36"/>
        <v>823.27</v>
      </c>
      <c r="M59" s="242">
        <f t="shared" si="13"/>
        <v>7036.73</v>
      </c>
      <c r="N59" s="242">
        <f t="shared" si="46"/>
        <v>0</v>
      </c>
      <c r="O59" s="242">
        <v>0</v>
      </c>
      <c r="P59" s="242">
        <f t="shared" si="25"/>
        <v>823.27</v>
      </c>
      <c r="Q59" s="242">
        <f t="shared" si="33"/>
        <v>0</v>
      </c>
      <c r="R59" s="242">
        <f t="shared" si="15"/>
        <v>0</v>
      </c>
      <c r="S59" s="242">
        <f t="shared" si="16"/>
        <v>94139.239999999976</v>
      </c>
      <c r="T59" s="467"/>
      <c r="U59" s="198">
        <f t="shared" si="29"/>
        <v>10</v>
      </c>
      <c r="V59" s="36">
        <f t="shared" si="17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3"/>
        <v>7860</v>
      </c>
      <c r="Y59" s="57">
        <f t="shared" si="50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5"/>
        <v>8360</v>
      </c>
      <c r="AN59" s="57">
        <f t="shared" si="54"/>
        <v>48821</v>
      </c>
      <c r="AO59" s="130">
        <f t="shared" si="18"/>
        <v>1</v>
      </c>
      <c r="AP59" s="261">
        <f t="shared" si="30"/>
        <v>51</v>
      </c>
      <c r="AQ59" s="262">
        <f t="shared" si="4"/>
        <v>45996</v>
      </c>
      <c r="AR59" s="263">
        <f t="shared" si="57"/>
        <v>0.13900000000000001</v>
      </c>
      <c r="AS59" s="258">
        <f t="shared" si="19"/>
        <v>8360</v>
      </c>
      <c r="AT59" s="258">
        <f t="shared" si="47"/>
        <v>8360</v>
      </c>
      <c r="AU59" s="258">
        <f t="shared" si="20"/>
        <v>890.38</v>
      </c>
      <c r="AV59" s="258">
        <f t="shared" si="21"/>
        <v>7469.62</v>
      </c>
      <c r="AW59" s="258">
        <f t="shared" si="48"/>
        <v>0</v>
      </c>
      <c r="AX59" s="258">
        <v>0</v>
      </c>
      <c r="AY59" s="258">
        <f t="shared" si="22"/>
        <v>890.38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70465.379999999888</v>
      </c>
      <c r="BH59" s="108">
        <f t="shared" si="31"/>
        <v>10</v>
      </c>
      <c r="BI59" s="108">
        <f t="shared" si="26"/>
        <v>10</v>
      </c>
      <c r="BJ59" s="22">
        <f t="shared" si="27"/>
        <v>45996</v>
      </c>
      <c r="BK59" s="108">
        <f t="shared" si="9"/>
        <v>7860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8"/>
        <v>9.9000000000000005E-2</v>
      </c>
      <c r="J60" s="242">
        <f t="shared" si="11"/>
        <v>7860</v>
      </c>
      <c r="K60" s="242">
        <f t="shared" si="56"/>
        <v>7860</v>
      </c>
      <c r="L60" s="242">
        <f t="shared" si="36"/>
        <v>791.54</v>
      </c>
      <c r="M60" s="242">
        <f t="shared" si="13"/>
        <v>7068.46</v>
      </c>
      <c r="N60" s="242">
        <f t="shared" si="46"/>
        <v>0</v>
      </c>
      <c r="O60" s="242">
        <v>0</v>
      </c>
      <c r="P60" s="242">
        <f t="shared" si="25"/>
        <v>791.54</v>
      </c>
      <c r="Q60" s="242">
        <f t="shared" si="33"/>
        <v>0</v>
      </c>
      <c r="R60" s="242">
        <f t="shared" si="15"/>
        <v>0</v>
      </c>
      <c r="S60" s="242">
        <f t="shared" si="16"/>
        <v>87070.77999999997</v>
      </c>
      <c r="T60" s="467"/>
      <c r="U60" s="198">
        <f t="shared" si="29"/>
        <v>9</v>
      </c>
      <c r="V60" s="36">
        <f t="shared" si="17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3"/>
        <v>7860</v>
      </c>
      <c r="Y60" s="57">
        <f t="shared" si="50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5"/>
        <v>8360</v>
      </c>
      <c r="AN60" s="57">
        <f t="shared" si="54"/>
        <v>49186</v>
      </c>
      <c r="AO60" s="130">
        <f t="shared" si="18"/>
        <v>1</v>
      </c>
      <c r="AP60" s="261">
        <f t="shared" si="30"/>
        <v>52</v>
      </c>
      <c r="AQ60" s="262">
        <f t="shared" si="4"/>
        <v>46027</v>
      </c>
      <c r="AR60" s="263">
        <f t="shared" si="57"/>
        <v>0.13900000000000001</v>
      </c>
      <c r="AS60" s="258">
        <f t="shared" si="19"/>
        <v>8360</v>
      </c>
      <c r="AT60" s="258">
        <f t="shared" si="47"/>
        <v>8360</v>
      </c>
      <c r="AU60" s="258">
        <f t="shared" si="20"/>
        <v>831.88</v>
      </c>
      <c r="AV60" s="258">
        <f t="shared" si="21"/>
        <v>7528.12</v>
      </c>
      <c r="AW60" s="258">
        <f t="shared" si="48"/>
        <v>0</v>
      </c>
      <c r="AX60" s="258">
        <v>0</v>
      </c>
      <c r="AY60" s="258">
        <f t="shared" si="22"/>
        <v>831.88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62937.259999999886</v>
      </c>
      <c r="BH60" s="108">
        <f t="shared" si="31"/>
        <v>9</v>
      </c>
      <c r="BI60" s="108">
        <f t="shared" si="26"/>
        <v>9</v>
      </c>
      <c r="BJ60" s="22">
        <f t="shared" si="27"/>
        <v>46027</v>
      </c>
      <c r="BK60" s="108">
        <f t="shared" si="9"/>
        <v>7860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8"/>
        <v>9.9000000000000005E-2</v>
      </c>
      <c r="J61" s="242">
        <f t="shared" si="11"/>
        <v>7860</v>
      </c>
      <c r="K61" s="242">
        <f t="shared" si="56"/>
        <v>7860</v>
      </c>
      <c r="L61" s="242">
        <f t="shared" si="36"/>
        <v>732.11</v>
      </c>
      <c r="M61" s="242">
        <f t="shared" si="13"/>
        <v>7127.89</v>
      </c>
      <c r="N61" s="242">
        <f t="shared" si="46"/>
        <v>0</v>
      </c>
      <c r="O61" s="242">
        <v>0</v>
      </c>
      <c r="P61" s="242">
        <f t="shared" si="25"/>
        <v>732.11</v>
      </c>
      <c r="Q61" s="242">
        <f t="shared" si="33"/>
        <v>0</v>
      </c>
      <c r="R61" s="242">
        <f t="shared" si="15"/>
        <v>0</v>
      </c>
      <c r="S61" s="242">
        <f t="shared" si="16"/>
        <v>79942.88999999997</v>
      </c>
      <c r="T61" s="467"/>
      <c r="U61" s="198">
        <f t="shared" si="29"/>
        <v>8</v>
      </c>
      <c r="V61" s="36">
        <f t="shared" si="17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3"/>
        <v>7860</v>
      </c>
      <c r="Y61" s="57">
        <f t="shared" si="50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5"/>
        <v>8360</v>
      </c>
      <c r="AN61" s="57">
        <f t="shared" si="54"/>
        <v>49551</v>
      </c>
      <c r="AO61" s="130">
        <f t="shared" si="18"/>
        <v>1</v>
      </c>
      <c r="AP61" s="261">
        <f t="shared" si="30"/>
        <v>53</v>
      </c>
      <c r="AQ61" s="262">
        <f t="shared" si="4"/>
        <v>46058</v>
      </c>
      <c r="AR61" s="263">
        <f t="shared" si="57"/>
        <v>0.13900000000000001</v>
      </c>
      <c r="AS61" s="258">
        <f t="shared" si="19"/>
        <v>8360</v>
      </c>
      <c r="AT61" s="258">
        <f t="shared" si="47"/>
        <v>8360</v>
      </c>
      <c r="AU61" s="258">
        <f t="shared" si="20"/>
        <v>743</v>
      </c>
      <c r="AV61" s="258">
        <f t="shared" si="21"/>
        <v>7617</v>
      </c>
      <c r="AW61" s="258">
        <f t="shared" si="48"/>
        <v>0</v>
      </c>
      <c r="AX61" s="258">
        <v>0</v>
      </c>
      <c r="AY61" s="258">
        <f t="shared" si="22"/>
        <v>743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55320.259999999886</v>
      </c>
      <c r="BH61" s="108">
        <f t="shared" si="31"/>
        <v>8</v>
      </c>
      <c r="BI61" s="108">
        <f t="shared" si="26"/>
        <v>8</v>
      </c>
      <c r="BJ61" s="22">
        <f t="shared" si="27"/>
        <v>46058</v>
      </c>
      <c r="BK61" s="108">
        <f t="shared" si="9"/>
        <v>7860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8"/>
        <v>9.9000000000000005E-2</v>
      </c>
      <c r="J62" s="242">
        <f t="shared" si="11"/>
        <v>7860</v>
      </c>
      <c r="K62" s="242">
        <f t="shared" si="56"/>
        <v>7860</v>
      </c>
      <c r="L62" s="242">
        <f t="shared" si="36"/>
        <v>607.13</v>
      </c>
      <c r="M62" s="242">
        <f t="shared" si="13"/>
        <v>7252.87</v>
      </c>
      <c r="N62" s="242">
        <f t="shared" si="46"/>
        <v>0</v>
      </c>
      <c r="O62" s="242">
        <v>0</v>
      </c>
      <c r="P62" s="242">
        <f t="shared" si="25"/>
        <v>607.13</v>
      </c>
      <c r="Q62" s="242">
        <f t="shared" si="33"/>
        <v>0</v>
      </c>
      <c r="R62" s="242">
        <f t="shared" si="15"/>
        <v>0</v>
      </c>
      <c r="S62" s="242">
        <f t="shared" si="16"/>
        <v>72690.019999999975</v>
      </c>
      <c r="T62" s="467"/>
      <c r="U62" s="198">
        <f t="shared" si="29"/>
        <v>7</v>
      </c>
      <c r="V62" s="36">
        <f t="shared" si="17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3"/>
        <v>7860</v>
      </c>
      <c r="Y62" s="57">
        <f t="shared" si="50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5"/>
        <v>8360</v>
      </c>
      <c r="AN62" s="57">
        <f t="shared" si="54"/>
        <v>49916</v>
      </c>
      <c r="AO62" s="130">
        <f t="shared" si="18"/>
        <v>1</v>
      </c>
      <c r="AP62" s="261">
        <f t="shared" si="30"/>
        <v>54</v>
      </c>
      <c r="AQ62" s="262">
        <f t="shared" si="4"/>
        <v>46086</v>
      </c>
      <c r="AR62" s="263">
        <f t="shared" si="57"/>
        <v>0.13900000000000001</v>
      </c>
      <c r="AS62" s="258">
        <f t="shared" si="19"/>
        <v>8360</v>
      </c>
      <c r="AT62" s="258">
        <f t="shared" si="47"/>
        <v>8360</v>
      </c>
      <c r="AU62" s="258">
        <f t="shared" si="20"/>
        <v>589.88</v>
      </c>
      <c r="AV62" s="258">
        <f t="shared" si="21"/>
        <v>7770.12</v>
      </c>
      <c r="AW62" s="258">
        <f t="shared" si="48"/>
        <v>0</v>
      </c>
      <c r="AX62" s="258">
        <v>0</v>
      </c>
      <c r="AY62" s="258">
        <f t="shared" si="22"/>
        <v>589.88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47550.139999999883</v>
      </c>
      <c r="BH62" s="108">
        <f t="shared" si="31"/>
        <v>7</v>
      </c>
      <c r="BI62" s="108">
        <f t="shared" si="26"/>
        <v>7</v>
      </c>
      <c r="BJ62" s="22">
        <f t="shared" si="27"/>
        <v>46086</v>
      </c>
      <c r="BK62" s="108">
        <f t="shared" si="9"/>
        <v>7860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8"/>
        <v>9.9000000000000005E-2</v>
      </c>
      <c r="J63" s="242">
        <f t="shared" si="11"/>
        <v>7860</v>
      </c>
      <c r="K63" s="242">
        <f t="shared" si="56"/>
        <v>7860</v>
      </c>
      <c r="L63" s="242">
        <f t="shared" si="36"/>
        <v>611.19000000000005</v>
      </c>
      <c r="M63" s="242">
        <f t="shared" si="13"/>
        <v>7248.8099999999995</v>
      </c>
      <c r="N63" s="242">
        <f t="shared" si="46"/>
        <v>0</v>
      </c>
      <c r="O63" s="242">
        <v>0</v>
      </c>
      <c r="P63" s="242">
        <f t="shared" si="25"/>
        <v>611.19000000000005</v>
      </c>
      <c r="Q63" s="242">
        <f t="shared" si="33"/>
        <v>0</v>
      </c>
      <c r="R63" s="242">
        <f t="shared" si="15"/>
        <v>0</v>
      </c>
      <c r="S63" s="242">
        <f t="shared" si="16"/>
        <v>65441.209999999977</v>
      </c>
      <c r="T63" s="467"/>
      <c r="U63" s="198">
        <f t="shared" si="29"/>
        <v>6</v>
      </c>
      <c r="V63" s="36">
        <f t="shared" si="17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3"/>
        <v>7860</v>
      </c>
      <c r="Y63" s="57">
        <f t="shared" si="50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5"/>
        <v>8360</v>
      </c>
      <c r="AN63" s="57">
        <f t="shared" si="54"/>
        <v>50281</v>
      </c>
      <c r="AO63" s="130">
        <f t="shared" si="18"/>
        <v>1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0.13900000000000001</v>
      </c>
      <c r="AS63" s="258">
        <f t="shared" si="19"/>
        <v>8360</v>
      </c>
      <c r="AT63" s="258">
        <f t="shared" si="47"/>
        <v>8360</v>
      </c>
      <c r="AU63" s="258">
        <f t="shared" si="20"/>
        <v>561.35</v>
      </c>
      <c r="AV63" s="258">
        <f t="shared" si="21"/>
        <v>7798.65</v>
      </c>
      <c r="AW63" s="258">
        <f t="shared" si="48"/>
        <v>0</v>
      </c>
      <c r="AX63" s="258">
        <v>0</v>
      </c>
      <c r="AY63" s="258">
        <f t="shared" si="22"/>
        <v>561.35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39751.489999999882</v>
      </c>
      <c r="BH63" s="108">
        <f t="shared" si="31"/>
        <v>6</v>
      </c>
      <c r="BI63" s="108">
        <f t="shared" si="26"/>
        <v>6</v>
      </c>
      <c r="BJ63" s="22">
        <f t="shared" si="27"/>
        <v>46117</v>
      </c>
      <c r="BK63" s="108">
        <f t="shared" si="9"/>
        <v>7860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8"/>
        <v>9.9000000000000005E-2</v>
      </c>
      <c r="J64" s="242">
        <f t="shared" si="11"/>
        <v>7860</v>
      </c>
      <c r="K64" s="242">
        <f t="shared" si="56"/>
        <v>7860</v>
      </c>
      <c r="L64" s="242">
        <f t="shared" si="36"/>
        <v>532.49</v>
      </c>
      <c r="M64" s="242">
        <f t="shared" si="13"/>
        <v>7327.51</v>
      </c>
      <c r="N64" s="242">
        <f t="shared" si="46"/>
        <v>0</v>
      </c>
      <c r="O64" s="242">
        <v>0</v>
      </c>
      <c r="P64" s="242">
        <f t="shared" si="25"/>
        <v>532.49</v>
      </c>
      <c r="Q64" s="242">
        <f t="shared" si="33"/>
        <v>0</v>
      </c>
      <c r="R64" s="242">
        <f t="shared" si="15"/>
        <v>0</v>
      </c>
      <c r="S64" s="242">
        <f t="shared" si="16"/>
        <v>58113.699999999975</v>
      </c>
      <c r="T64" s="467"/>
      <c r="U64" s="198">
        <f t="shared" si="29"/>
        <v>5</v>
      </c>
      <c r="V64" s="36">
        <f t="shared" si="17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3"/>
        <v>7860</v>
      </c>
      <c r="Y64" s="57">
        <f t="shared" si="50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5"/>
        <v>8360</v>
      </c>
      <c r="AN64" s="57">
        <f t="shared" si="54"/>
        <v>50646</v>
      </c>
      <c r="AO64" s="130">
        <f t="shared" si="18"/>
        <v>1</v>
      </c>
      <c r="AP64" s="261">
        <f t="shared" si="30"/>
        <v>56</v>
      </c>
      <c r="AQ64" s="262">
        <f t="shared" si="4"/>
        <v>46147</v>
      </c>
      <c r="AR64" s="263">
        <f t="shared" si="57"/>
        <v>0.13900000000000001</v>
      </c>
      <c r="AS64" s="258">
        <f t="shared" si="19"/>
        <v>8360</v>
      </c>
      <c r="AT64" s="258">
        <f t="shared" si="47"/>
        <v>8360</v>
      </c>
      <c r="AU64" s="258">
        <f t="shared" si="20"/>
        <v>454.15</v>
      </c>
      <c r="AV64" s="258">
        <f t="shared" si="21"/>
        <v>7905.85</v>
      </c>
      <c r="AW64" s="258">
        <f t="shared" si="48"/>
        <v>0</v>
      </c>
      <c r="AX64" s="258">
        <v>0</v>
      </c>
      <c r="AY64" s="258">
        <f t="shared" si="22"/>
        <v>454.15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31845.639999999883</v>
      </c>
      <c r="BH64" s="108">
        <f t="shared" si="31"/>
        <v>5</v>
      </c>
      <c r="BI64" s="108">
        <f t="shared" si="26"/>
        <v>5</v>
      </c>
      <c r="BJ64" s="22">
        <f t="shared" si="27"/>
        <v>46147</v>
      </c>
      <c r="BK64" s="108">
        <f t="shared" si="9"/>
        <v>7860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8"/>
        <v>9.9000000000000005E-2</v>
      </c>
      <c r="J65" s="242">
        <f t="shared" si="11"/>
        <v>7860</v>
      </c>
      <c r="K65" s="242">
        <f t="shared" si="56"/>
        <v>7860</v>
      </c>
      <c r="L65" s="242">
        <f t="shared" si="36"/>
        <v>488.63</v>
      </c>
      <c r="M65" s="242">
        <f t="shared" si="13"/>
        <v>7371.37</v>
      </c>
      <c r="N65" s="242">
        <f t="shared" si="46"/>
        <v>0</v>
      </c>
      <c r="O65" s="242">
        <v>0</v>
      </c>
      <c r="P65" s="242">
        <f t="shared" si="25"/>
        <v>488.63</v>
      </c>
      <c r="Q65" s="242">
        <f t="shared" si="33"/>
        <v>0</v>
      </c>
      <c r="R65" s="242">
        <f t="shared" si="15"/>
        <v>0</v>
      </c>
      <c r="S65" s="242">
        <f t="shared" si="16"/>
        <v>50742.329999999973</v>
      </c>
      <c r="T65" s="467"/>
      <c r="U65" s="198">
        <f t="shared" si="29"/>
        <v>4</v>
      </c>
      <c r="V65" s="36">
        <f t="shared" si="17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3"/>
        <v>7860</v>
      </c>
      <c r="Y65" s="57">
        <f t="shared" si="50"/>
        <v>52471</v>
      </c>
      <c r="AB65" s="2"/>
      <c r="AC65" s="66">
        <f t="shared" ref="AC65:AI65" si="59">IF(AC79&gt;$AA$59,AC64,IF(AC79&gt;$AA$58,AC63,IF(AC79&gt;$AA$57,AC62,AC61)))</f>
        <v>3.0000000000000001E-3</v>
      </c>
      <c r="AD65" s="66">
        <f t="shared" si="59"/>
        <v>3.0000000000000001E-3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5"/>
        <v>8360</v>
      </c>
      <c r="AN65" s="57">
        <f t="shared" si="54"/>
        <v>51011</v>
      </c>
      <c r="AO65" s="130">
        <f t="shared" si="18"/>
        <v>1</v>
      </c>
      <c r="AP65" s="261">
        <f t="shared" si="30"/>
        <v>57</v>
      </c>
      <c r="AQ65" s="262">
        <f t="shared" si="4"/>
        <v>46178</v>
      </c>
      <c r="AR65" s="263">
        <f t="shared" si="57"/>
        <v>0.13900000000000001</v>
      </c>
      <c r="AS65" s="258">
        <f t="shared" si="19"/>
        <v>8360</v>
      </c>
      <c r="AT65" s="258">
        <f t="shared" si="47"/>
        <v>8360</v>
      </c>
      <c r="AU65" s="258">
        <f t="shared" si="20"/>
        <v>375.95</v>
      </c>
      <c r="AV65" s="258">
        <f t="shared" si="21"/>
        <v>7984.05</v>
      </c>
      <c r="AW65" s="258">
        <f t="shared" si="48"/>
        <v>0</v>
      </c>
      <c r="AX65" s="258">
        <v>0</v>
      </c>
      <c r="AY65" s="258">
        <f t="shared" si="22"/>
        <v>375.95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23861.589999999884</v>
      </c>
      <c r="BH65" s="108">
        <f t="shared" si="31"/>
        <v>4</v>
      </c>
      <c r="BI65" s="108">
        <f t="shared" si="26"/>
        <v>4</v>
      </c>
      <c r="BJ65" s="22">
        <f t="shared" si="27"/>
        <v>46178</v>
      </c>
      <c r="BK65" s="108">
        <f t="shared" si="9"/>
        <v>7860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8"/>
        <v>9.9000000000000005E-2</v>
      </c>
      <c r="J66" s="242">
        <f t="shared" si="11"/>
        <v>7860</v>
      </c>
      <c r="K66" s="242">
        <f t="shared" si="56"/>
        <v>7860</v>
      </c>
      <c r="L66" s="242">
        <f t="shared" si="36"/>
        <v>412.89</v>
      </c>
      <c r="M66" s="242">
        <f t="shared" si="13"/>
        <v>7447.11</v>
      </c>
      <c r="N66" s="242">
        <f t="shared" si="46"/>
        <v>0</v>
      </c>
      <c r="O66" s="242">
        <v>0</v>
      </c>
      <c r="P66" s="242">
        <f t="shared" si="25"/>
        <v>412.89</v>
      </c>
      <c r="Q66" s="242">
        <f t="shared" si="33"/>
        <v>0</v>
      </c>
      <c r="R66" s="242">
        <f t="shared" si="15"/>
        <v>0</v>
      </c>
      <c r="S66" s="242">
        <f t="shared" si="16"/>
        <v>43295.219999999972</v>
      </c>
      <c r="T66" s="467"/>
      <c r="U66" s="198">
        <f t="shared" si="29"/>
        <v>3</v>
      </c>
      <c r="V66" s="36">
        <f t="shared" si="17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3"/>
        <v>7860</v>
      </c>
      <c r="Y66" s="57">
        <f t="shared" si="50"/>
        <v>52836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70200</v>
      </c>
      <c r="AG66" s="143">
        <f t="shared" ref="AG66:AH66" si="60">AG65*AG79*$C$10</f>
        <v>0</v>
      </c>
      <c r="AH66" s="143">
        <f t="shared" si="60"/>
        <v>18000</v>
      </c>
      <c r="AI66" s="143">
        <f>AI65*AI79*$C$10</f>
        <v>144000</v>
      </c>
      <c r="AJ66" s="143">
        <f>AI66+AH66</f>
        <v>162000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5"/>
        <v>8360</v>
      </c>
      <c r="AN66" s="57">
        <f t="shared" si="54"/>
        <v>51376</v>
      </c>
      <c r="AO66" s="130">
        <f t="shared" si="18"/>
        <v>1</v>
      </c>
      <c r="AP66" s="261">
        <f t="shared" si="30"/>
        <v>58</v>
      </c>
      <c r="AQ66" s="262">
        <f t="shared" si="4"/>
        <v>46208</v>
      </c>
      <c r="AR66" s="263">
        <f t="shared" si="57"/>
        <v>0.13900000000000001</v>
      </c>
      <c r="AS66" s="258">
        <f t="shared" si="19"/>
        <v>8360</v>
      </c>
      <c r="AT66" s="258">
        <f t="shared" si="47"/>
        <v>8360</v>
      </c>
      <c r="AU66" s="258">
        <f t="shared" si="20"/>
        <v>272.61</v>
      </c>
      <c r="AV66" s="258">
        <f t="shared" si="21"/>
        <v>8087.39</v>
      </c>
      <c r="AW66" s="258">
        <f t="shared" si="48"/>
        <v>0</v>
      </c>
      <c r="AX66" s="258">
        <v>0</v>
      </c>
      <c r="AY66" s="258">
        <f t="shared" si="22"/>
        <v>272.61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15774.199999999884</v>
      </c>
      <c r="BH66" s="108">
        <f t="shared" si="31"/>
        <v>3</v>
      </c>
      <c r="BI66" s="108">
        <f t="shared" si="26"/>
        <v>3</v>
      </c>
      <c r="BJ66" s="22">
        <f t="shared" si="27"/>
        <v>46208</v>
      </c>
      <c r="BK66" s="108">
        <f t="shared" si="9"/>
        <v>7860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8"/>
        <v>9.9000000000000005E-2</v>
      </c>
      <c r="J67" s="242">
        <f t="shared" si="11"/>
        <v>7860</v>
      </c>
      <c r="K67" s="242">
        <f t="shared" si="56"/>
        <v>7860</v>
      </c>
      <c r="L67" s="242">
        <f t="shared" si="36"/>
        <v>364.04</v>
      </c>
      <c r="M67" s="242">
        <f t="shared" si="13"/>
        <v>7495.96</v>
      </c>
      <c r="N67" s="242">
        <f t="shared" si="46"/>
        <v>0</v>
      </c>
      <c r="O67" s="242">
        <v>0</v>
      </c>
      <c r="P67" s="242">
        <f t="shared" si="25"/>
        <v>364.04</v>
      </c>
      <c r="Q67" s="242">
        <f t="shared" si="33"/>
        <v>0</v>
      </c>
      <c r="R67" s="242">
        <f t="shared" si="15"/>
        <v>0</v>
      </c>
      <c r="S67" s="242">
        <f t="shared" si="16"/>
        <v>35799.259999999973</v>
      </c>
      <c r="T67" s="467"/>
      <c r="U67" s="198">
        <f t="shared" si="29"/>
        <v>2</v>
      </c>
      <c r="V67" s="36">
        <f t="shared" si="17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3"/>
        <v>7860</v>
      </c>
      <c r="Y67" s="57">
        <f t="shared" si="50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5"/>
        <v>8360</v>
      </c>
      <c r="AN67" s="57">
        <f t="shared" si="54"/>
        <v>51741</v>
      </c>
      <c r="AO67" s="130">
        <f t="shared" si="18"/>
        <v>1</v>
      </c>
      <c r="AP67" s="261">
        <f t="shared" si="30"/>
        <v>59</v>
      </c>
      <c r="AQ67" s="262">
        <f t="shared" si="4"/>
        <v>46239</v>
      </c>
      <c r="AR67" s="263">
        <f t="shared" si="57"/>
        <v>0.13900000000000001</v>
      </c>
      <c r="AS67" s="258">
        <f t="shared" si="19"/>
        <v>8360</v>
      </c>
      <c r="AT67" s="258">
        <f t="shared" si="47"/>
        <v>8360</v>
      </c>
      <c r="AU67" s="258">
        <f t="shared" si="20"/>
        <v>186.22</v>
      </c>
      <c r="AV67" s="258">
        <f t="shared" si="21"/>
        <v>8173.78</v>
      </c>
      <c r="AW67" s="258">
        <f t="shared" si="48"/>
        <v>0</v>
      </c>
      <c r="AX67" s="258">
        <v>0</v>
      </c>
      <c r="AY67" s="258">
        <f t="shared" si="22"/>
        <v>186.22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7600.4199999998846</v>
      </c>
      <c r="BH67" s="108">
        <f t="shared" si="31"/>
        <v>2</v>
      </c>
      <c r="BI67" s="108">
        <f t="shared" si="26"/>
        <v>2</v>
      </c>
      <c r="BJ67" s="22">
        <f t="shared" si="27"/>
        <v>46239</v>
      </c>
      <c r="BK67" s="108">
        <f t="shared" si="9"/>
        <v>7860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8"/>
        <v>9.9000000000000005E-2</v>
      </c>
      <c r="J68" s="242">
        <f t="shared" si="11"/>
        <v>7860</v>
      </c>
      <c r="K68" s="242">
        <f t="shared" si="56"/>
        <v>7860</v>
      </c>
      <c r="L68" s="242">
        <f t="shared" si="36"/>
        <v>301.01</v>
      </c>
      <c r="M68" s="242">
        <f t="shared" si="13"/>
        <v>7558.99</v>
      </c>
      <c r="N68" s="242">
        <f t="shared" si="46"/>
        <v>0</v>
      </c>
      <c r="O68" s="242">
        <v>0</v>
      </c>
      <c r="P68" s="242">
        <f t="shared" si="25"/>
        <v>301.01</v>
      </c>
      <c r="Q68" s="242">
        <f t="shared" si="33"/>
        <v>0</v>
      </c>
      <c r="R68" s="242">
        <f t="shared" si="15"/>
        <v>0</v>
      </c>
      <c r="S68" s="242">
        <f t="shared" si="16"/>
        <v>28240.269999999975</v>
      </c>
      <c r="T68" s="467"/>
      <c r="U68" s="198">
        <f t="shared" si="29"/>
        <v>1</v>
      </c>
      <c r="V68" s="36">
        <f t="shared" si="17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3"/>
        <v>7860</v>
      </c>
      <c r="Y68" s="57">
        <f t="shared" si="50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5"/>
        <v>8360</v>
      </c>
      <c r="AN68" s="57">
        <f t="shared" si="54"/>
        <v>52106</v>
      </c>
      <c r="AO68" s="130">
        <f t="shared" si="18"/>
        <v>1</v>
      </c>
      <c r="AP68" s="261">
        <f t="shared" si="30"/>
        <v>60</v>
      </c>
      <c r="AQ68" s="262">
        <f t="shared" si="4"/>
        <v>46270</v>
      </c>
      <c r="AR68" s="263">
        <f t="shared" si="57"/>
        <v>0.13900000000000001</v>
      </c>
      <c r="AS68" s="258">
        <f t="shared" si="19"/>
        <v>7690.1499999998841</v>
      </c>
      <c r="AT68" s="258">
        <f t="shared" si="47"/>
        <v>7690.1499999998841</v>
      </c>
      <c r="AU68" s="258">
        <f t="shared" si="20"/>
        <v>89.73</v>
      </c>
      <c r="AV68" s="258">
        <f t="shared" si="21"/>
        <v>7600.4199999998846</v>
      </c>
      <c r="AW68" s="258">
        <f t="shared" si="48"/>
        <v>0</v>
      </c>
      <c r="AX68" s="258">
        <v>0</v>
      </c>
      <c r="AY68" s="258">
        <f t="shared" si="22"/>
        <v>89.73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46270</v>
      </c>
      <c r="BK68" s="108">
        <f t="shared" si="9"/>
        <v>7860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8"/>
        <v>9.9000000000000005E-2</v>
      </c>
      <c r="J69" s="242">
        <f t="shared" si="11"/>
        <v>7860</v>
      </c>
      <c r="K69" s="242">
        <f t="shared" si="56"/>
        <v>7860</v>
      </c>
      <c r="L69" s="242">
        <f t="shared" si="36"/>
        <v>229.79</v>
      </c>
      <c r="M69" s="242">
        <f t="shared" si="13"/>
        <v>7630.21</v>
      </c>
      <c r="N69" s="242">
        <f t="shared" si="46"/>
        <v>0</v>
      </c>
      <c r="O69" s="242">
        <v>0</v>
      </c>
      <c r="P69" s="242">
        <f t="shared" si="25"/>
        <v>229.79</v>
      </c>
      <c r="Q69" s="242">
        <f t="shared" si="33"/>
        <v>0</v>
      </c>
      <c r="R69" s="242">
        <f t="shared" si="15"/>
        <v>0</v>
      </c>
      <c r="S69" s="242">
        <f t="shared" si="16"/>
        <v>20610.059999999976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3"/>
        <v>7860</v>
      </c>
      <c r="Y69" s="57">
        <f t="shared" si="50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5"/>
        <v>8360</v>
      </c>
      <c r="AN69" s="57">
        <f t="shared" si="54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7"/>
        <v>0.13900000000000001</v>
      </c>
      <c r="AS69" s="258">
        <f t="shared" si="19"/>
        <v>0</v>
      </c>
      <c r="AT69" s="258">
        <f t="shared" si="47"/>
        <v>0</v>
      </c>
      <c r="AU69" s="258">
        <f t="shared" si="20"/>
        <v>0</v>
      </c>
      <c r="AV69" s="258">
        <f t="shared" si="21"/>
        <v>0</v>
      </c>
      <c r="AW69" s="258">
        <f t="shared" si="48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7860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8"/>
        <v>9.9000000000000005E-2</v>
      </c>
      <c r="J70" s="242">
        <f t="shared" si="11"/>
        <v>7860</v>
      </c>
      <c r="K70" s="242">
        <f t="shared" si="56"/>
        <v>7860</v>
      </c>
      <c r="L70" s="242">
        <f t="shared" si="36"/>
        <v>173.29</v>
      </c>
      <c r="M70" s="242">
        <f t="shared" si="13"/>
        <v>7686.71</v>
      </c>
      <c r="N70" s="242">
        <f t="shared" si="46"/>
        <v>0</v>
      </c>
      <c r="O70" s="242">
        <v>0</v>
      </c>
      <c r="P70" s="242">
        <f t="shared" si="25"/>
        <v>173.29</v>
      </c>
      <c r="Q70" s="242">
        <f t="shared" si="33"/>
        <v>0</v>
      </c>
      <c r="R70" s="242">
        <f t="shared" si="15"/>
        <v>0</v>
      </c>
      <c r="S70" s="242">
        <f t="shared" si="16"/>
        <v>12923.349999999977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3"/>
        <v>7860</v>
      </c>
      <c r="Y70" s="57">
        <f t="shared" si="50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5"/>
        <v>8360</v>
      </c>
      <c r="AN70" s="57">
        <f t="shared" si="54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7"/>
        <v>0.13900000000000001</v>
      </c>
      <c r="AS70" s="258">
        <f t="shared" si="19"/>
        <v>0</v>
      </c>
      <c r="AT70" s="258">
        <f t="shared" si="47"/>
        <v>0</v>
      </c>
      <c r="AU70" s="258">
        <f t="shared" si="20"/>
        <v>0</v>
      </c>
      <c r="AV70" s="258">
        <f t="shared" si="21"/>
        <v>0</v>
      </c>
      <c r="AW70" s="258">
        <f t="shared" si="48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7860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8"/>
        <v>9.9000000000000005E-2</v>
      </c>
      <c r="J71" s="242">
        <f t="shared" si="11"/>
        <v>7860</v>
      </c>
      <c r="K71" s="242">
        <f t="shared" si="56"/>
        <v>7860</v>
      </c>
      <c r="L71" s="242">
        <f t="shared" si="36"/>
        <v>105.16</v>
      </c>
      <c r="M71" s="242">
        <f t="shared" si="13"/>
        <v>7754.84</v>
      </c>
      <c r="N71" s="242">
        <f t="shared" si="46"/>
        <v>0</v>
      </c>
      <c r="O71" s="242">
        <v>0</v>
      </c>
      <c r="P71" s="242">
        <f t="shared" si="25"/>
        <v>105.16</v>
      </c>
      <c r="Q71" s="242">
        <f t="shared" si="33"/>
        <v>0</v>
      </c>
      <c r="R71" s="242">
        <f t="shared" si="15"/>
        <v>0</v>
      </c>
      <c r="S71" s="242">
        <f t="shared" si="16"/>
        <v>5168.5099999999766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3"/>
        <v>7860</v>
      </c>
      <c r="Y71" s="57">
        <f t="shared" si="50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5"/>
        <v>8360</v>
      </c>
      <c r="AN71" s="57">
        <f t="shared" si="54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7"/>
        <v>0.13900000000000001</v>
      </c>
      <c r="AS71" s="258">
        <f t="shared" si="19"/>
        <v>0</v>
      </c>
      <c r="AT71" s="258">
        <f t="shared" si="47"/>
        <v>0</v>
      </c>
      <c r="AU71" s="258">
        <f t="shared" si="20"/>
        <v>0</v>
      </c>
      <c r="AV71" s="258">
        <f t="shared" si="21"/>
        <v>0</v>
      </c>
      <c r="AW71" s="258">
        <f t="shared" si="48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7860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8"/>
        <v>9.9000000000000005E-2</v>
      </c>
      <c r="J72" s="242">
        <f t="shared" si="11"/>
        <v>5211.9699999999766</v>
      </c>
      <c r="K72" s="242">
        <f t="shared" si="56"/>
        <v>5211.9699999999766</v>
      </c>
      <c r="L72" s="242">
        <f t="shared" si="36"/>
        <v>43.46</v>
      </c>
      <c r="M72" s="242">
        <f t="shared" si="13"/>
        <v>5168.5099999999766</v>
      </c>
      <c r="N72" s="242">
        <f t="shared" si="46"/>
        <v>0</v>
      </c>
      <c r="O72" s="242">
        <v>0</v>
      </c>
      <c r="P72" s="242">
        <f t="shared" si="25"/>
        <v>43.46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3"/>
        <v>7860</v>
      </c>
      <c r="Y72" s="57">
        <f t="shared" si="50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5"/>
        <v>8360</v>
      </c>
      <c r="AN72" s="57">
        <f t="shared" si="54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7"/>
        <v>0.13900000000000001</v>
      </c>
      <c r="AS72" s="258">
        <f t="shared" si="19"/>
        <v>0</v>
      </c>
      <c r="AT72" s="258">
        <f t="shared" si="47"/>
        <v>0</v>
      </c>
      <c r="AU72" s="258">
        <f t="shared" si="20"/>
        <v>0</v>
      </c>
      <c r="AV72" s="258">
        <f t="shared" si="21"/>
        <v>0</v>
      </c>
      <c r="AW72" s="258">
        <f t="shared" si="48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5211.9699999999766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61">IF((OR(DAY($AD$54)=29,DAY($AD$54)=30,DAY($AD$54)=31)),(EDATE($C$9-3,G73)),(IF((OR(DAY($AD$54)=1,DAY($AD$54)=2,DAY($AD$54)=3)),(EDATE($C$9,G73)+3),EDATE($C$9,G73))))</f>
        <v>46423</v>
      </c>
      <c r="I73" s="246">
        <f t="shared" si="58"/>
        <v>9.9000000000000005E-2</v>
      </c>
      <c r="J73" s="242">
        <f t="shared" si="11"/>
        <v>0</v>
      </c>
      <c r="K73" s="242">
        <f t="shared" si="56"/>
        <v>0</v>
      </c>
      <c r="L73" s="242">
        <f t="shared" si="36"/>
        <v>0</v>
      </c>
      <c r="M73" s="242">
        <f t="shared" si="13"/>
        <v>0</v>
      </c>
      <c r="N73" s="242">
        <f t="shared" ref="N73:N108" si="62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3"/>
        <v>7860</v>
      </c>
      <c r="Y73" s="57">
        <f t="shared" si="50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5"/>
        <v>8360</v>
      </c>
      <c r="AN73" s="57">
        <f t="shared" si="54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63">IF((OR(DAY($AD$54)=29,DAY($AD$54)=30,DAY($AD$54)=31)),(EDATE($C$9-3,AP73)),(IF((OR(DAY($AD$54)=1,DAY($AD$54)=2,DAY($AD$54)=3)),(EDATE($C$9,AP73)+3),EDATE($C$9,AP73))))</f>
        <v>46423</v>
      </c>
      <c r="AR73" s="263">
        <f t="shared" si="57"/>
        <v>0.13900000000000001</v>
      </c>
      <c r="AS73" s="258">
        <f t="shared" si="19"/>
        <v>0</v>
      </c>
      <c r="AT73" s="258">
        <f t="shared" ref="AT73:AT74" si="64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4" si="65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6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61"/>
        <v>46451</v>
      </c>
      <c r="I74" s="246">
        <f t="shared" si="58"/>
        <v>9.9000000000000005E-2</v>
      </c>
      <c r="J74" s="242">
        <f t="shared" ref="J74:J108" si="67">K74+Q74</f>
        <v>0</v>
      </c>
      <c r="K74" s="242">
        <f t="shared" si="56"/>
        <v>0</v>
      </c>
      <c r="L74" s="242">
        <f t="shared" si="36"/>
        <v>0</v>
      </c>
      <c r="M74" s="242">
        <f t="shared" ref="M74" si="68">IF(S73=0,0,IF(S73+N74+L74&gt;K73,K74-L74-N74,S73))</f>
        <v>0</v>
      </c>
      <c r="N74" s="242">
        <f t="shared" si="62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9">IF(V74=0,0,0)</f>
        <v>0</v>
      </c>
      <c r="S74" s="242">
        <f t="shared" ref="S74" si="70">S73-M74-T74</f>
        <v>0</v>
      </c>
      <c r="T74" s="467"/>
      <c r="U74" s="36">
        <f t="shared" si="29"/>
        <v>0</v>
      </c>
      <c r="V74" s="36">
        <f t="shared" ref="V74:V107" si="71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3"/>
        <v>7860</v>
      </c>
      <c r="Y74" s="57">
        <f t="shared" si="50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5"/>
        <v>8360</v>
      </c>
      <c r="AN74" s="57">
        <f t="shared" si="54"/>
        <v>54296</v>
      </c>
      <c r="AO74" s="130">
        <f t="shared" ref="AO74:AO108" si="72">IF(OR(AT74="",AT74=0),0,1)</f>
        <v>0</v>
      </c>
      <c r="AP74" s="261">
        <f t="shared" si="30"/>
        <v>66</v>
      </c>
      <c r="AQ74" s="262">
        <f t="shared" si="63"/>
        <v>46451</v>
      </c>
      <c r="AR74" s="263">
        <f t="shared" si="57"/>
        <v>0.13900000000000001</v>
      </c>
      <c r="AS74" s="258">
        <f t="shared" ref="AS74:AS108" si="73">AT74+AZ74</f>
        <v>0</v>
      </c>
      <c r="AT74" s="258">
        <f t="shared" si="64"/>
        <v>0</v>
      </c>
      <c r="AU74" s="258">
        <f t="shared" ref="AU74" si="74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5">IF(BI74=0,0,IF(BI74=1,BG73,IF(BG73+AW74+AU74&gt;AT73,AT74-AU74-AW74,BG73)))</f>
        <v>0</v>
      </c>
      <c r="AW74" s="258">
        <f t="shared" si="65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6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6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61"/>
        <v>46482</v>
      </c>
      <c r="I75" s="176">
        <f t="shared" si="58"/>
        <v>9.9000000000000005E-2</v>
      </c>
      <c r="J75" s="24">
        <f t="shared" si="67"/>
        <v>0</v>
      </c>
      <c r="K75" s="242">
        <f t="shared" si="56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2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9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71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3"/>
        <v>7860</v>
      </c>
      <c r="Y75" s="57">
        <f t="shared" si="50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5"/>
        <v>8360</v>
      </c>
      <c r="AN75" s="57">
        <f t="shared" si="54"/>
        <v>54661</v>
      </c>
      <c r="AO75" s="130">
        <f t="shared" si="72"/>
        <v>0</v>
      </c>
      <c r="AP75" s="109">
        <f t="shared" si="30"/>
        <v>67</v>
      </c>
      <c r="AQ75" s="110">
        <f t="shared" si="63"/>
        <v>46482</v>
      </c>
      <c r="AR75" s="177">
        <f t="shared" si="57"/>
        <v>0.13900000000000001</v>
      </c>
      <c r="AS75" s="105">
        <f t="shared" si="73"/>
        <v>0</v>
      </c>
      <c r="AT75" s="105">
        <f t="shared" ref="AT75:AT108" si="79">IF(AND(G75&gt;=$W$9,G75&lt;=$W$9+5),$W$10,IF(AND(BG74+AW75+AU75&gt;AT74,AT74&lt;&gt;0),IF($D$16="Да",$AL$40,$D$23),IF(BG74=0,0,BG74+AW75+AU75+AU76)))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5"/>
        <v>0</v>
      </c>
      <c r="AW75" s="105">
        <f t="shared" si="65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6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46482</v>
      </c>
      <c r="BK75" s="108">
        <f t="shared" si="66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83">G75+1</f>
        <v>68</v>
      </c>
      <c r="H76" s="111">
        <f t="shared" si="61"/>
        <v>46512</v>
      </c>
      <c r="I76" s="176">
        <f t="shared" si="58"/>
        <v>9.9000000000000005E-2</v>
      </c>
      <c r="J76" s="24">
        <f t="shared" si="67"/>
        <v>0</v>
      </c>
      <c r="K76" s="242">
        <f t="shared" si="56"/>
        <v>0</v>
      </c>
      <c r="L76" s="24">
        <f t="shared" si="36"/>
        <v>0</v>
      </c>
      <c r="M76" s="24">
        <f t="shared" si="77"/>
        <v>0</v>
      </c>
      <c r="N76" s="24">
        <f t="shared" si="62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9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71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3"/>
        <v>7860</v>
      </c>
      <c r="Y76" s="57">
        <f t="shared" si="50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5"/>
        <v>8360</v>
      </c>
      <c r="AN76" s="57">
        <f t="shared" si="54"/>
        <v>55026</v>
      </c>
      <c r="AO76" s="130">
        <f t="shared" si="72"/>
        <v>0</v>
      </c>
      <c r="AP76" s="109">
        <f t="shared" ref="AP76:AP108" si="85">AP75+1</f>
        <v>68</v>
      </c>
      <c r="AQ76" s="110">
        <f t="shared" si="63"/>
        <v>46512</v>
      </c>
      <c r="AR76" s="177">
        <f t="shared" si="57"/>
        <v>0.13900000000000001</v>
      </c>
      <c r="AS76" s="105">
        <f t="shared" si="73"/>
        <v>0</v>
      </c>
      <c r="AT76" s="105">
        <f t="shared" si="79"/>
        <v>0</v>
      </c>
      <c r="AU76" s="105">
        <f t="shared" si="80"/>
        <v>0</v>
      </c>
      <c r="AV76" s="105">
        <f t="shared" si="75"/>
        <v>0</v>
      </c>
      <c r="AW76" s="105">
        <f t="shared" si="65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6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46512</v>
      </c>
      <c r="BK76" s="108">
        <f t="shared" si="66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83"/>
        <v>69</v>
      </c>
      <c r="H77" s="111">
        <f t="shared" si="61"/>
        <v>46543</v>
      </c>
      <c r="I77" s="176">
        <f t="shared" si="58"/>
        <v>9.9000000000000005E-2</v>
      </c>
      <c r="J77" s="24">
        <f t="shared" si="67"/>
        <v>0</v>
      </c>
      <c r="K77" s="242">
        <f t="shared" si="56"/>
        <v>0</v>
      </c>
      <c r="L77" s="24">
        <f t="shared" si="36"/>
        <v>0</v>
      </c>
      <c r="M77" s="24">
        <f t="shared" si="77"/>
        <v>0</v>
      </c>
      <c r="N77" s="24">
        <f t="shared" si="62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9"/>
        <v>0</v>
      </c>
      <c r="S77" s="24">
        <f t="shared" si="78"/>
        <v>0</v>
      </c>
      <c r="T77" s="24"/>
      <c r="U77" s="36">
        <f t="shared" si="84"/>
        <v>0</v>
      </c>
      <c r="V77" s="36">
        <f t="shared" si="71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3"/>
        <v>7860</v>
      </c>
      <c r="Y77" s="57">
        <f t="shared" si="50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5"/>
        <v>8360</v>
      </c>
      <c r="AN77" s="57">
        <f t="shared" si="54"/>
        <v>55391</v>
      </c>
      <c r="AO77" s="130">
        <f t="shared" si="72"/>
        <v>0</v>
      </c>
      <c r="AP77" s="109">
        <f t="shared" si="85"/>
        <v>69</v>
      </c>
      <c r="AQ77" s="110">
        <f t="shared" si="63"/>
        <v>46543</v>
      </c>
      <c r="AR77" s="177">
        <f t="shared" si="57"/>
        <v>0.13900000000000001</v>
      </c>
      <c r="AS77" s="105">
        <f t="shared" si="73"/>
        <v>0</v>
      </c>
      <c r="AT77" s="105">
        <f t="shared" si="79"/>
        <v>0</v>
      </c>
      <c r="AU77" s="105">
        <f t="shared" si="80"/>
        <v>0</v>
      </c>
      <c r="AV77" s="105">
        <f t="shared" si="75"/>
        <v>0</v>
      </c>
      <c r="AW77" s="105">
        <f t="shared" si="65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6"/>
        <v>0</v>
      </c>
      <c r="BH77" s="108">
        <f t="shared" si="86"/>
        <v>0</v>
      </c>
      <c r="BI77" s="108">
        <f t="shared" si="81"/>
        <v>0</v>
      </c>
      <c r="BJ77" s="22">
        <f t="shared" si="82"/>
        <v>46543</v>
      </c>
      <c r="BK77" s="108">
        <f t="shared" si="66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83"/>
        <v>70</v>
      </c>
      <c r="H78" s="111">
        <f t="shared" si="61"/>
        <v>46573</v>
      </c>
      <c r="I78" s="176">
        <f t="shared" si="58"/>
        <v>9.9000000000000005E-2</v>
      </c>
      <c r="J78" s="24">
        <f t="shared" si="67"/>
        <v>0</v>
      </c>
      <c r="K78" s="242">
        <f t="shared" si="56"/>
        <v>0</v>
      </c>
      <c r="L78" s="24">
        <f t="shared" si="36"/>
        <v>0</v>
      </c>
      <c r="M78" s="24">
        <f t="shared" si="77"/>
        <v>0</v>
      </c>
      <c r="N78" s="24">
        <f t="shared" si="62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9"/>
        <v>0</v>
      </c>
      <c r="S78" s="24">
        <f t="shared" si="78"/>
        <v>0</v>
      </c>
      <c r="T78" s="24"/>
      <c r="U78" s="36">
        <f t="shared" si="84"/>
        <v>0</v>
      </c>
      <c r="V78" s="36">
        <f t="shared" si="71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3"/>
        <v>7860</v>
      </c>
      <c r="Y78" s="57">
        <f t="shared" si="50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5"/>
        <v>8360</v>
      </c>
      <c r="AN78" s="57">
        <f t="shared" si="54"/>
        <v>55756</v>
      </c>
      <c r="AO78" s="130">
        <f t="shared" si="72"/>
        <v>0</v>
      </c>
      <c r="AP78" s="109">
        <f t="shared" si="85"/>
        <v>70</v>
      </c>
      <c r="AQ78" s="110">
        <f t="shared" si="63"/>
        <v>46573</v>
      </c>
      <c r="AR78" s="177">
        <f t="shared" si="57"/>
        <v>0.13900000000000001</v>
      </c>
      <c r="AS78" s="105">
        <f t="shared" si="73"/>
        <v>0</v>
      </c>
      <c r="AT78" s="105">
        <f t="shared" si="79"/>
        <v>0</v>
      </c>
      <c r="AU78" s="105">
        <f t="shared" si="80"/>
        <v>0</v>
      </c>
      <c r="AV78" s="105">
        <f t="shared" si="75"/>
        <v>0</v>
      </c>
      <c r="AW78" s="105">
        <f t="shared" si="65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6"/>
        <v>0</v>
      </c>
      <c r="BH78" s="108">
        <f t="shared" si="86"/>
        <v>0</v>
      </c>
      <c r="BI78" s="108">
        <f t="shared" si="81"/>
        <v>0</v>
      </c>
      <c r="BJ78" s="22">
        <f t="shared" si="82"/>
        <v>46573</v>
      </c>
      <c r="BK78" s="108">
        <f t="shared" si="66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83"/>
        <v>71</v>
      </c>
      <c r="H79" s="111">
        <f t="shared" si="61"/>
        <v>46604</v>
      </c>
      <c r="I79" s="176">
        <f t="shared" si="58"/>
        <v>9.9000000000000005E-2</v>
      </c>
      <c r="J79" s="24">
        <f t="shared" si="67"/>
        <v>0</v>
      </c>
      <c r="K79" s="242">
        <f t="shared" si="56"/>
        <v>0</v>
      </c>
      <c r="L79" s="24">
        <f t="shared" si="36"/>
        <v>0</v>
      </c>
      <c r="M79" s="24">
        <f t="shared" si="77"/>
        <v>0</v>
      </c>
      <c r="N79" s="24">
        <f t="shared" si="62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9"/>
        <v>0</v>
      </c>
      <c r="S79" s="24">
        <f t="shared" si="78"/>
        <v>0</v>
      </c>
      <c r="T79" s="24"/>
      <c r="U79" s="36">
        <f t="shared" si="84"/>
        <v>0</v>
      </c>
      <c r="V79" s="36">
        <f t="shared" si="71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3"/>
        <v>7860</v>
      </c>
      <c r="Y79" s="57">
        <f t="shared" si="50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5"/>
        <v>8360</v>
      </c>
      <c r="AN79" s="57">
        <f t="shared" si="54"/>
        <v>56121</v>
      </c>
      <c r="AO79" s="130">
        <f t="shared" si="72"/>
        <v>0</v>
      </c>
      <c r="AP79" s="109">
        <f t="shared" si="85"/>
        <v>71</v>
      </c>
      <c r="AQ79" s="110">
        <f t="shared" si="63"/>
        <v>46604</v>
      </c>
      <c r="AR79" s="177">
        <f t="shared" si="57"/>
        <v>0.13900000000000001</v>
      </c>
      <c r="AS79" s="105">
        <f t="shared" si="73"/>
        <v>0</v>
      </c>
      <c r="AT79" s="105">
        <f t="shared" si="79"/>
        <v>0</v>
      </c>
      <c r="AU79" s="105">
        <f t="shared" si="80"/>
        <v>0</v>
      </c>
      <c r="AV79" s="105">
        <f t="shared" si="75"/>
        <v>0</v>
      </c>
      <c r="AW79" s="105">
        <f t="shared" si="65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6"/>
        <v>0</v>
      </c>
      <c r="BH79" s="108">
        <f t="shared" si="86"/>
        <v>0</v>
      </c>
      <c r="BI79" s="108">
        <f t="shared" si="81"/>
        <v>0</v>
      </c>
      <c r="BJ79" s="22">
        <f t="shared" si="82"/>
        <v>46604</v>
      </c>
      <c r="BK79" s="108">
        <f t="shared" si="66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83"/>
        <v>72</v>
      </c>
      <c r="H80" s="111">
        <f t="shared" si="61"/>
        <v>46635</v>
      </c>
      <c r="I80" s="176">
        <f t="shared" si="58"/>
        <v>9.9000000000000005E-2</v>
      </c>
      <c r="J80" s="24">
        <f t="shared" si="67"/>
        <v>0</v>
      </c>
      <c r="K80" s="242">
        <f t="shared" si="56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2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9"/>
        <v>0</v>
      </c>
      <c r="S80" s="24">
        <f t="shared" si="78"/>
        <v>0</v>
      </c>
      <c r="T80" s="24"/>
      <c r="U80" s="36">
        <f t="shared" si="84"/>
        <v>0</v>
      </c>
      <c r="V80" s="36">
        <f t="shared" si="71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3"/>
        <v>7860</v>
      </c>
      <c r="Y80" s="57">
        <f t="shared" si="50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5"/>
        <v>8360</v>
      </c>
      <c r="AN80" s="57">
        <f t="shared" si="54"/>
        <v>56486</v>
      </c>
      <c r="AO80" s="130">
        <f t="shared" si="72"/>
        <v>0</v>
      </c>
      <c r="AP80" s="109">
        <f t="shared" si="85"/>
        <v>72</v>
      </c>
      <c r="AQ80" s="110">
        <f t="shared" si="63"/>
        <v>46635</v>
      </c>
      <c r="AR80" s="177">
        <f t="shared" si="57"/>
        <v>0.13900000000000001</v>
      </c>
      <c r="AS80" s="105">
        <f t="shared" si="73"/>
        <v>0</v>
      </c>
      <c r="AT80" s="105">
        <f t="shared" si="79"/>
        <v>0</v>
      </c>
      <c r="AU80" s="105">
        <f t="shared" si="80"/>
        <v>0</v>
      </c>
      <c r="AV80" s="105">
        <f t="shared" si="75"/>
        <v>0</v>
      </c>
      <c r="AW80" s="105">
        <f t="shared" si="65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6"/>
        <v>0</v>
      </c>
      <c r="BH80" s="108">
        <f t="shared" si="86"/>
        <v>0</v>
      </c>
      <c r="BI80" s="108">
        <f t="shared" si="81"/>
        <v>0</v>
      </c>
      <c r="BJ80" s="22">
        <f t="shared" si="82"/>
        <v>46635</v>
      </c>
      <c r="BK80" s="108">
        <f t="shared" si="66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83"/>
        <v>73</v>
      </c>
      <c r="H81" s="111">
        <f t="shared" si="61"/>
        <v>46665</v>
      </c>
      <c r="I81" s="176">
        <f t="shared" si="58"/>
        <v>9.9000000000000005E-2</v>
      </c>
      <c r="J81" s="24">
        <f t="shared" si="67"/>
        <v>0</v>
      </c>
      <c r="K81" s="242">
        <f t="shared" si="56"/>
        <v>0</v>
      </c>
      <c r="L81" s="24">
        <f t="shared" si="89"/>
        <v>0</v>
      </c>
      <c r="M81" s="24">
        <f t="shared" si="77"/>
        <v>0</v>
      </c>
      <c r="N81" s="24">
        <f t="shared" si="62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9"/>
        <v>0</v>
      </c>
      <c r="S81" s="24">
        <f t="shared" si="78"/>
        <v>0</v>
      </c>
      <c r="T81" s="24"/>
      <c r="U81" s="36">
        <f t="shared" si="84"/>
        <v>0</v>
      </c>
      <c r="V81" s="36">
        <f t="shared" si="71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3"/>
        <v>7860</v>
      </c>
      <c r="Y81" s="57">
        <f t="shared" si="50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5"/>
        <v>8360</v>
      </c>
      <c r="AN81" s="57">
        <f t="shared" si="54"/>
        <v>56851</v>
      </c>
      <c r="AO81" s="130">
        <f t="shared" si="72"/>
        <v>0</v>
      </c>
      <c r="AP81" s="109">
        <f t="shared" si="85"/>
        <v>73</v>
      </c>
      <c r="AQ81" s="110">
        <f t="shared" si="63"/>
        <v>46665</v>
      </c>
      <c r="AR81" s="177">
        <f t="shared" si="57"/>
        <v>0.13900000000000001</v>
      </c>
      <c r="AS81" s="105">
        <f t="shared" si="73"/>
        <v>0</v>
      </c>
      <c r="AT81" s="105">
        <f t="shared" si="79"/>
        <v>0</v>
      </c>
      <c r="AU81" s="105">
        <f t="shared" si="80"/>
        <v>0</v>
      </c>
      <c r="AV81" s="105">
        <f t="shared" si="75"/>
        <v>0</v>
      </c>
      <c r="AW81" s="105">
        <f t="shared" si="65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6"/>
        <v>0</v>
      </c>
      <c r="BH81" s="108">
        <f t="shared" si="86"/>
        <v>0</v>
      </c>
      <c r="BI81" s="108">
        <f t="shared" si="81"/>
        <v>0</v>
      </c>
      <c r="BJ81" s="22">
        <f t="shared" si="82"/>
        <v>46665</v>
      </c>
      <c r="BK81" s="108">
        <f t="shared" si="66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83"/>
        <v>74</v>
      </c>
      <c r="H82" s="111">
        <f t="shared" si="61"/>
        <v>46696</v>
      </c>
      <c r="I82" s="176">
        <f t="shared" si="58"/>
        <v>9.9000000000000005E-2</v>
      </c>
      <c r="J82" s="24">
        <f t="shared" si="67"/>
        <v>0</v>
      </c>
      <c r="K82" s="242">
        <f t="shared" si="56"/>
        <v>0</v>
      </c>
      <c r="L82" s="24">
        <f t="shared" si="89"/>
        <v>0</v>
      </c>
      <c r="M82" s="24">
        <f t="shared" si="77"/>
        <v>0</v>
      </c>
      <c r="N82" s="24">
        <f t="shared" si="62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9"/>
        <v>0</v>
      </c>
      <c r="S82" s="24">
        <f t="shared" si="78"/>
        <v>0</v>
      </c>
      <c r="T82" s="24"/>
      <c r="U82" s="36">
        <f t="shared" si="84"/>
        <v>0</v>
      </c>
      <c r="V82" s="36">
        <f t="shared" si="71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3"/>
        <v>7860</v>
      </c>
      <c r="Y82" s="57">
        <f t="shared" si="50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5"/>
        <v>8360</v>
      </c>
      <c r="AN82" s="57">
        <f t="shared" si="54"/>
        <v>57216</v>
      </c>
      <c r="AO82" s="130">
        <f t="shared" si="72"/>
        <v>0</v>
      </c>
      <c r="AP82" s="109">
        <f t="shared" si="85"/>
        <v>74</v>
      </c>
      <c r="AQ82" s="110">
        <f t="shared" si="63"/>
        <v>46696</v>
      </c>
      <c r="AR82" s="177">
        <f t="shared" si="57"/>
        <v>0.13900000000000001</v>
      </c>
      <c r="AS82" s="105">
        <f t="shared" si="73"/>
        <v>0</v>
      </c>
      <c r="AT82" s="105">
        <f t="shared" si="79"/>
        <v>0</v>
      </c>
      <c r="AU82" s="105">
        <f t="shared" si="80"/>
        <v>0</v>
      </c>
      <c r="AV82" s="105">
        <f t="shared" si="75"/>
        <v>0</v>
      </c>
      <c r="AW82" s="105">
        <f t="shared" si="65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6"/>
        <v>0</v>
      </c>
      <c r="BH82" s="108">
        <f t="shared" si="86"/>
        <v>0</v>
      </c>
      <c r="BI82" s="108">
        <f t="shared" si="81"/>
        <v>0</v>
      </c>
      <c r="BJ82" s="22">
        <f t="shared" si="82"/>
        <v>46696</v>
      </c>
      <c r="BK82" s="108">
        <f t="shared" si="66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83"/>
        <v>75</v>
      </c>
      <c r="H83" s="111">
        <f t="shared" si="61"/>
        <v>46726</v>
      </c>
      <c r="I83" s="176">
        <f t="shared" si="58"/>
        <v>9.9000000000000005E-2</v>
      </c>
      <c r="J83" s="24">
        <f t="shared" si="67"/>
        <v>0</v>
      </c>
      <c r="K83" s="242">
        <f t="shared" si="56"/>
        <v>0</v>
      </c>
      <c r="L83" s="24">
        <f t="shared" si="89"/>
        <v>0</v>
      </c>
      <c r="M83" s="24">
        <f t="shared" si="77"/>
        <v>0</v>
      </c>
      <c r="N83" s="24">
        <f t="shared" si="62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9"/>
        <v>0</v>
      </c>
      <c r="S83" s="24">
        <f t="shared" si="78"/>
        <v>0</v>
      </c>
      <c r="T83" s="24"/>
      <c r="U83" s="36">
        <f t="shared" si="84"/>
        <v>0</v>
      </c>
      <c r="V83" s="36">
        <f t="shared" si="71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3"/>
        <v>7860</v>
      </c>
      <c r="Y83" s="57">
        <f t="shared" si="50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5"/>
        <v>8360</v>
      </c>
      <c r="AN83" s="57">
        <f t="shared" si="54"/>
        <v>57581</v>
      </c>
      <c r="AO83" s="130">
        <f t="shared" si="72"/>
        <v>0</v>
      </c>
      <c r="AP83" s="109">
        <f t="shared" si="85"/>
        <v>75</v>
      </c>
      <c r="AQ83" s="110">
        <f t="shared" si="63"/>
        <v>46726</v>
      </c>
      <c r="AR83" s="177">
        <f t="shared" si="57"/>
        <v>0.13900000000000001</v>
      </c>
      <c r="AS83" s="105">
        <f t="shared" si="73"/>
        <v>0</v>
      </c>
      <c r="AT83" s="105">
        <f t="shared" si="79"/>
        <v>0</v>
      </c>
      <c r="AU83" s="105">
        <f t="shared" si="80"/>
        <v>0</v>
      </c>
      <c r="AV83" s="105">
        <f t="shared" si="75"/>
        <v>0</v>
      </c>
      <c r="AW83" s="105">
        <f t="shared" si="65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6"/>
        <v>0</v>
      </c>
      <c r="BH83" s="108">
        <f t="shared" si="86"/>
        <v>0</v>
      </c>
      <c r="BI83" s="108">
        <f t="shared" si="81"/>
        <v>0</v>
      </c>
      <c r="BJ83" s="22">
        <f t="shared" si="82"/>
        <v>46726</v>
      </c>
      <c r="BK83" s="108">
        <f t="shared" si="66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83"/>
        <v>76</v>
      </c>
      <c r="H84" s="111">
        <f t="shared" si="61"/>
        <v>46757</v>
      </c>
      <c r="I84" s="176">
        <f t="shared" si="58"/>
        <v>9.9000000000000005E-2</v>
      </c>
      <c r="J84" s="24">
        <f t="shared" si="67"/>
        <v>0</v>
      </c>
      <c r="K84" s="242">
        <f t="shared" si="56"/>
        <v>0</v>
      </c>
      <c r="L84" s="24">
        <f t="shared" si="89"/>
        <v>0</v>
      </c>
      <c r="M84" s="24">
        <f t="shared" si="77"/>
        <v>0</v>
      </c>
      <c r="N84" s="24">
        <f t="shared" si="62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9"/>
        <v>0</v>
      </c>
      <c r="S84" s="24">
        <f t="shared" si="78"/>
        <v>0</v>
      </c>
      <c r="T84" s="24"/>
      <c r="U84" s="36">
        <f t="shared" si="84"/>
        <v>0</v>
      </c>
      <c r="V84" s="36">
        <f t="shared" si="71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3"/>
        <v>7860</v>
      </c>
      <c r="Y84" s="57">
        <f t="shared" si="50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5"/>
        <v>8360</v>
      </c>
      <c r="AN84" s="57">
        <f t="shared" si="54"/>
        <v>57946</v>
      </c>
      <c r="AO84" s="130">
        <f t="shared" si="72"/>
        <v>0</v>
      </c>
      <c r="AP84" s="109">
        <f t="shared" si="85"/>
        <v>76</v>
      </c>
      <c r="AQ84" s="110">
        <f t="shared" si="63"/>
        <v>46757</v>
      </c>
      <c r="AR84" s="177">
        <f t="shared" si="57"/>
        <v>0.13900000000000001</v>
      </c>
      <c r="AS84" s="105">
        <f t="shared" si="73"/>
        <v>0</v>
      </c>
      <c r="AT84" s="105">
        <f t="shared" si="79"/>
        <v>0</v>
      </c>
      <c r="AU84" s="105">
        <f t="shared" si="80"/>
        <v>0</v>
      </c>
      <c r="AV84" s="105">
        <f t="shared" si="75"/>
        <v>0</v>
      </c>
      <c r="AW84" s="105">
        <f t="shared" si="65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6"/>
        <v>0</v>
      </c>
      <c r="BH84" s="108">
        <f t="shared" si="86"/>
        <v>0</v>
      </c>
      <c r="BI84" s="108">
        <f t="shared" si="81"/>
        <v>0</v>
      </c>
      <c r="BJ84" s="22">
        <f t="shared" si="82"/>
        <v>46757</v>
      </c>
      <c r="BK84" s="108">
        <f t="shared" si="66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83"/>
        <v>77</v>
      </c>
      <c r="H85" s="111">
        <f t="shared" si="61"/>
        <v>46788</v>
      </c>
      <c r="I85" s="176">
        <f t="shared" si="58"/>
        <v>9.9000000000000005E-2</v>
      </c>
      <c r="J85" s="24">
        <f t="shared" si="67"/>
        <v>0</v>
      </c>
      <c r="K85" s="242">
        <f t="shared" si="56"/>
        <v>0</v>
      </c>
      <c r="L85" s="24">
        <f t="shared" si="89"/>
        <v>0</v>
      </c>
      <c r="M85" s="24">
        <f t="shared" si="77"/>
        <v>0</v>
      </c>
      <c r="N85" s="24">
        <f t="shared" si="62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9"/>
        <v>0</v>
      </c>
      <c r="S85" s="24">
        <f t="shared" si="78"/>
        <v>0</v>
      </c>
      <c r="T85" s="24"/>
      <c r="U85" s="36">
        <f t="shared" si="84"/>
        <v>0</v>
      </c>
      <c r="V85" s="36">
        <f t="shared" si="71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3"/>
        <v>7860</v>
      </c>
      <c r="Y85" s="57">
        <f t="shared" si="50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5"/>
        <v>8360</v>
      </c>
      <c r="AN85" s="57">
        <f t="shared" si="54"/>
        <v>58311</v>
      </c>
      <c r="AO85" s="130">
        <f t="shared" si="72"/>
        <v>0</v>
      </c>
      <c r="AP85" s="109">
        <f t="shared" si="85"/>
        <v>77</v>
      </c>
      <c r="AQ85" s="110">
        <f t="shared" si="63"/>
        <v>46788</v>
      </c>
      <c r="AR85" s="177">
        <f t="shared" si="57"/>
        <v>0.13900000000000001</v>
      </c>
      <c r="AS85" s="105">
        <f t="shared" si="73"/>
        <v>0</v>
      </c>
      <c r="AT85" s="105">
        <f t="shared" si="79"/>
        <v>0</v>
      </c>
      <c r="AU85" s="105">
        <f t="shared" si="80"/>
        <v>0</v>
      </c>
      <c r="AV85" s="105">
        <f t="shared" si="75"/>
        <v>0</v>
      </c>
      <c r="AW85" s="105">
        <f t="shared" si="65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6"/>
        <v>0</v>
      </c>
      <c r="BH85" s="108">
        <f t="shared" si="86"/>
        <v>0</v>
      </c>
      <c r="BI85" s="108">
        <f t="shared" si="81"/>
        <v>0</v>
      </c>
      <c r="BJ85" s="22">
        <f t="shared" si="82"/>
        <v>46788</v>
      </c>
      <c r="BK85" s="108">
        <f t="shared" si="66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83"/>
        <v>78</v>
      </c>
      <c r="H86" s="111">
        <f t="shared" si="61"/>
        <v>46817</v>
      </c>
      <c r="I86" s="176">
        <f t="shared" si="58"/>
        <v>9.9000000000000005E-2</v>
      </c>
      <c r="J86" s="24">
        <f t="shared" si="67"/>
        <v>0</v>
      </c>
      <c r="K86" s="242">
        <f t="shared" si="56"/>
        <v>0</v>
      </c>
      <c r="L86" s="24">
        <f t="shared" si="89"/>
        <v>0</v>
      </c>
      <c r="M86" s="24">
        <f t="shared" si="77"/>
        <v>0</v>
      </c>
      <c r="N86" s="24">
        <f t="shared" si="62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9"/>
        <v>0</v>
      </c>
      <c r="S86" s="24">
        <f t="shared" si="78"/>
        <v>0</v>
      </c>
      <c r="T86" s="24"/>
      <c r="U86" s="36">
        <f t="shared" si="84"/>
        <v>0</v>
      </c>
      <c r="V86" s="36">
        <f t="shared" si="71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3"/>
        <v>7860</v>
      </c>
      <c r="Y86" s="57">
        <f t="shared" si="50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5"/>
        <v>8360</v>
      </c>
      <c r="AN86" s="57">
        <f t="shared" si="54"/>
        <v>58676</v>
      </c>
      <c r="AO86" s="130">
        <f t="shared" si="72"/>
        <v>0</v>
      </c>
      <c r="AP86" s="109">
        <f t="shared" si="85"/>
        <v>78</v>
      </c>
      <c r="AQ86" s="110">
        <f t="shared" si="63"/>
        <v>46817</v>
      </c>
      <c r="AR86" s="177">
        <f t="shared" si="57"/>
        <v>0.13900000000000001</v>
      </c>
      <c r="AS86" s="105">
        <f t="shared" si="73"/>
        <v>0</v>
      </c>
      <c r="AT86" s="105">
        <f t="shared" si="79"/>
        <v>0</v>
      </c>
      <c r="AU86" s="105">
        <f t="shared" si="80"/>
        <v>0</v>
      </c>
      <c r="AV86" s="105">
        <f t="shared" si="75"/>
        <v>0</v>
      </c>
      <c r="AW86" s="105">
        <f t="shared" si="65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6"/>
        <v>0</v>
      </c>
      <c r="BH86" s="108">
        <f t="shared" si="86"/>
        <v>0</v>
      </c>
      <c r="BI86" s="108">
        <f t="shared" si="81"/>
        <v>0</v>
      </c>
      <c r="BJ86" s="22">
        <f t="shared" si="82"/>
        <v>46817</v>
      </c>
      <c r="BK86" s="108">
        <f t="shared" si="66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83"/>
        <v>79</v>
      </c>
      <c r="H87" s="111">
        <f t="shared" si="61"/>
        <v>46848</v>
      </c>
      <c r="I87" s="176">
        <f t="shared" si="58"/>
        <v>9.9000000000000005E-2</v>
      </c>
      <c r="J87" s="24">
        <f t="shared" si="67"/>
        <v>0</v>
      </c>
      <c r="K87" s="242">
        <f t="shared" si="56"/>
        <v>0</v>
      </c>
      <c r="L87" s="24">
        <f t="shared" si="89"/>
        <v>0</v>
      </c>
      <c r="M87" s="24">
        <f t="shared" si="77"/>
        <v>0</v>
      </c>
      <c r="N87" s="24">
        <f t="shared" si="62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9"/>
        <v>0</v>
      </c>
      <c r="S87" s="24">
        <f t="shared" si="78"/>
        <v>0</v>
      </c>
      <c r="T87" s="24"/>
      <c r="U87" s="36">
        <f t="shared" si="84"/>
        <v>0</v>
      </c>
      <c r="V87" s="36">
        <f t="shared" si="71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3"/>
        <v>7860</v>
      </c>
      <c r="Y87" s="57">
        <f t="shared" si="50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5"/>
        <v>8360</v>
      </c>
      <c r="AN87" s="57">
        <f t="shared" si="54"/>
        <v>59041</v>
      </c>
      <c r="AO87" s="130">
        <f t="shared" si="72"/>
        <v>0</v>
      </c>
      <c r="AP87" s="109">
        <f t="shared" si="85"/>
        <v>79</v>
      </c>
      <c r="AQ87" s="110">
        <f t="shared" si="63"/>
        <v>46848</v>
      </c>
      <c r="AR87" s="177">
        <f t="shared" si="57"/>
        <v>0.13900000000000001</v>
      </c>
      <c r="AS87" s="105">
        <f t="shared" si="73"/>
        <v>0</v>
      </c>
      <c r="AT87" s="105">
        <f t="shared" si="79"/>
        <v>0</v>
      </c>
      <c r="AU87" s="105">
        <f t="shared" si="80"/>
        <v>0</v>
      </c>
      <c r="AV87" s="105">
        <f t="shared" si="75"/>
        <v>0</v>
      </c>
      <c r="AW87" s="105">
        <f t="shared" si="65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6"/>
        <v>0</v>
      </c>
      <c r="BH87" s="108">
        <f t="shared" si="86"/>
        <v>0</v>
      </c>
      <c r="BI87" s="108">
        <f t="shared" si="81"/>
        <v>0</v>
      </c>
      <c r="BJ87" s="22">
        <f t="shared" si="82"/>
        <v>46848</v>
      </c>
      <c r="BK87" s="108">
        <f t="shared" si="66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83"/>
        <v>80</v>
      </c>
      <c r="H88" s="111">
        <f t="shared" si="61"/>
        <v>46878</v>
      </c>
      <c r="I88" s="176">
        <f t="shared" si="58"/>
        <v>9.9000000000000005E-2</v>
      </c>
      <c r="J88" s="24">
        <f t="shared" si="67"/>
        <v>0</v>
      </c>
      <c r="K88" s="242">
        <f t="shared" si="56"/>
        <v>0</v>
      </c>
      <c r="L88" s="24">
        <f t="shared" si="89"/>
        <v>0</v>
      </c>
      <c r="M88" s="24">
        <f t="shared" si="77"/>
        <v>0</v>
      </c>
      <c r="N88" s="24">
        <f t="shared" si="62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9"/>
        <v>0</v>
      </c>
      <c r="S88" s="24">
        <f t="shared" si="78"/>
        <v>0</v>
      </c>
      <c r="T88" s="24"/>
      <c r="U88" s="36">
        <f t="shared" si="84"/>
        <v>0</v>
      </c>
      <c r="V88" s="36">
        <f t="shared" si="71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3"/>
        <v>7860</v>
      </c>
      <c r="Y88" s="57">
        <f t="shared" si="50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5"/>
        <v>8360</v>
      </c>
      <c r="AN88" s="57">
        <f t="shared" si="54"/>
        <v>59406</v>
      </c>
      <c r="AO88" s="130">
        <f t="shared" si="72"/>
        <v>0</v>
      </c>
      <c r="AP88" s="109">
        <f t="shared" si="85"/>
        <v>80</v>
      </c>
      <c r="AQ88" s="110">
        <f t="shared" si="63"/>
        <v>46878</v>
      </c>
      <c r="AR88" s="177">
        <f t="shared" si="57"/>
        <v>0.13900000000000001</v>
      </c>
      <c r="AS88" s="105">
        <f t="shared" si="73"/>
        <v>0</v>
      </c>
      <c r="AT88" s="105">
        <f t="shared" si="79"/>
        <v>0</v>
      </c>
      <c r="AU88" s="105">
        <f t="shared" si="80"/>
        <v>0</v>
      </c>
      <c r="AV88" s="105">
        <f t="shared" si="75"/>
        <v>0</v>
      </c>
      <c r="AW88" s="105">
        <f t="shared" si="65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6"/>
        <v>0</v>
      </c>
      <c r="BH88" s="108">
        <f t="shared" si="86"/>
        <v>0</v>
      </c>
      <c r="BI88" s="108">
        <f t="shared" si="81"/>
        <v>0</v>
      </c>
      <c r="BJ88" s="22">
        <f t="shared" si="82"/>
        <v>46878</v>
      </c>
      <c r="BK88" s="108">
        <f t="shared" si="66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83"/>
        <v>81</v>
      </c>
      <c r="H89" s="111">
        <f t="shared" si="61"/>
        <v>46909</v>
      </c>
      <c r="I89" s="176">
        <f t="shared" si="58"/>
        <v>9.9000000000000005E-2</v>
      </c>
      <c r="J89" s="24">
        <f t="shared" si="67"/>
        <v>0</v>
      </c>
      <c r="K89" s="242">
        <f t="shared" si="56"/>
        <v>0</v>
      </c>
      <c r="L89" s="24">
        <f t="shared" si="89"/>
        <v>0</v>
      </c>
      <c r="M89" s="24">
        <f t="shared" si="77"/>
        <v>0</v>
      </c>
      <c r="N89" s="24">
        <f t="shared" si="62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9"/>
        <v>0</v>
      </c>
      <c r="S89" s="24">
        <f t="shared" si="78"/>
        <v>0</v>
      </c>
      <c r="T89" s="24"/>
      <c r="U89" s="36">
        <f t="shared" si="84"/>
        <v>0</v>
      </c>
      <c r="V89" s="36">
        <f t="shared" si="71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3"/>
        <v>7860</v>
      </c>
      <c r="Y89" s="57">
        <f t="shared" si="50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5"/>
        <v>8360</v>
      </c>
      <c r="AN89" s="57">
        <f t="shared" si="54"/>
        <v>59771</v>
      </c>
      <c r="AO89" s="130">
        <f t="shared" si="72"/>
        <v>0</v>
      </c>
      <c r="AP89" s="109">
        <f t="shared" si="85"/>
        <v>81</v>
      </c>
      <c r="AQ89" s="110">
        <f t="shared" si="63"/>
        <v>46909</v>
      </c>
      <c r="AR89" s="177">
        <f t="shared" si="57"/>
        <v>0.13900000000000001</v>
      </c>
      <c r="AS89" s="105">
        <f t="shared" si="73"/>
        <v>0</v>
      </c>
      <c r="AT89" s="105">
        <f t="shared" si="79"/>
        <v>0</v>
      </c>
      <c r="AU89" s="105">
        <f t="shared" si="80"/>
        <v>0</v>
      </c>
      <c r="AV89" s="105">
        <f t="shared" si="75"/>
        <v>0</v>
      </c>
      <c r="AW89" s="105">
        <f t="shared" si="65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6"/>
        <v>0</v>
      </c>
      <c r="BH89" s="108">
        <f t="shared" si="86"/>
        <v>0</v>
      </c>
      <c r="BI89" s="108">
        <f t="shared" si="81"/>
        <v>0</v>
      </c>
      <c r="BJ89" s="22">
        <f t="shared" si="82"/>
        <v>46909</v>
      </c>
      <c r="BK89" s="108">
        <f t="shared" si="66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83"/>
        <v>82</v>
      </c>
      <c r="H90" s="111">
        <f t="shared" si="61"/>
        <v>46939</v>
      </c>
      <c r="I90" s="176">
        <f t="shared" si="58"/>
        <v>9.9000000000000005E-2</v>
      </c>
      <c r="J90" s="24">
        <f t="shared" si="67"/>
        <v>0</v>
      </c>
      <c r="K90" s="242">
        <f t="shared" si="56"/>
        <v>0</v>
      </c>
      <c r="L90" s="24">
        <f t="shared" si="89"/>
        <v>0</v>
      </c>
      <c r="M90" s="24">
        <f t="shared" si="77"/>
        <v>0</v>
      </c>
      <c r="N90" s="24">
        <f t="shared" si="62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9"/>
        <v>0</v>
      </c>
      <c r="S90" s="24">
        <f t="shared" si="78"/>
        <v>0</v>
      </c>
      <c r="T90" s="24"/>
      <c r="U90" s="36">
        <f t="shared" si="84"/>
        <v>0</v>
      </c>
      <c r="V90" s="36">
        <f t="shared" si="71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3"/>
        <v>7860</v>
      </c>
      <c r="Y90" s="57">
        <f t="shared" si="50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5"/>
        <v>8360</v>
      </c>
      <c r="AN90" s="57">
        <f t="shared" si="54"/>
        <v>60136</v>
      </c>
      <c r="AO90" s="130">
        <f t="shared" si="72"/>
        <v>0</v>
      </c>
      <c r="AP90" s="109">
        <f t="shared" si="85"/>
        <v>82</v>
      </c>
      <c r="AQ90" s="110">
        <f t="shared" si="63"/>
        <v>46939</v>
      </c>
      <c r="AR90" s="177">
        <f t="shared" si="57"/>
        <v>0.13900000000000001</v>
      </c>
      <c r="AS90" s="105">
        <f t="shared" si="73"/>
        <v>0</v>
      </c>
      <c r="AT90" s="105">
        <f t="shared" si="79"/>
        <v>0</v>
      </c>
      <c r="AU90" s="105">
        <f t="shared" si="80"/>
        <v>0</v>
      </c>
      <c r="AV90" s="105">
        <f t="shared" si="75"/>
        <v>0</v>
      </c>
      <c r="AW90" s="105">
        <f t="shared" si="65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6"/>
        <v>0</v>
      </c>
      <c r="BH90" s="108">
        <f t="shared" si="86"/>
        <v>0</v>
      </c>
      <c r="BI90" s="108">
        <f t="shared" si="81"/>
        <v>0</v>
      </c>
      <c r="BJ90" s="22">
        <f t="shared" si="82"/>
        <v>46939</v>
      </c>
      <c r="BK90" s="108">
        <f t="shared" si="66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83"/>
        <v>83</v>
      </c>
      <c r="H91" s="111">
        <f t="shared" si="61"/>
        <v>46970</v>
      </c>
      <c r="I91" s="176">
        <f t="shared" si="58"/>
        <v>9.9000000000000005E-2</v>
      </c>
      <c r="J91" s="24">
        <f t="shared" si="67"/>
        <v>0</v>
      </c>
      <c r="K91" s="242">
        <f t="shared" si="56"/>
        <v>0</v>
      </c>
      <c r="L91" s="24">
        <f t="shared" si="89"/>
        <v>0</v>
      </c>
      <c r="M91" s="24">
        <f t="shared" si="77"/>
        <v>0</v>
      </c>
      <c r="N91" s="24">
        <f t="shared" si="62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9"/>
        <v>0</v>
      </c>
      <c r="S91" s="24">
        <f t="shared" si="78"/>
        <v>0</v>
      </c>
      <c r="T91" s="24"/>
      <c r="U91" s="36">
        <f t="shared" si="84"/>
        <v>0</v>
      </c>
      <c r="V91" s="36">
        <f t="shared" si="71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3"/>
        <v>7860</v>
      </c>
      <c r="Y91" s="57">
        <f t="shared" si="50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5"/>
        <v>8360</v>
      </c>
      <c r="AN91" s="57">
        <f t="shared" si="54"/>
        <v>60501</v>
      </c>
      <c r="AO91" s="130">
        <f t="shared" si="72"/>
        <v>0</v>
      </c>
      <c r="AP91" s="109">
        <f t="shared" si="85"/>
        <v>83</v>
      </c>
      <c r="AQ91" s="110">
        <f t="shared" si="63"/>
        <v>46970</v>
      </c>
      <c r="AR91" s="177">
        <f t="shared" si="57"/>
        <v>0.13900000000000001</v>
      </c>
      <c r="AS91" s="105">
        <f t="shared" si="73"/>
        <v>0</v>
      </c>
      <c r="AT91" s="105">
        <f t="shared" si="79"/>
        <v>0</v>
      </c>
      <c r="AU91" s="105">
        <f t="shared" si="80"/>
        <v>0</v>
      </c>
      <c r="AV91" s="105">
        <f t="shared" si="75"/>
        <v>0</v>
      </c>
      <c r="AW91" s="105">
        <f t="shared" si="65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6"/>
        <v>0</v>
      </c>
      <c r="BH91" s="108">
        <f t="shared" si="86"/>
        <v>0</v>
      </c>
      <c r="BI91" s="108">
        <f t="shared" si="81"/>
        <v>0</v>
      </c>
      <c r="BJ91" s="22">
        <f t="shared" si="82"/>
        <v>46970</v>
      </c>
      <c r="BK91" s="108">
        <f t="shared" si="66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83"/>
        <v>84</v>
      </c>
      <c r="H92" s="111">
        <f t="shared" si="61"/>
        <v>47001</v>
      </c>
      <c r="I92" s="176">
        <f t="shared" si="58"/>
        <v>9.9000000000000005E-2</v>
      </c>
      <c r="J92" s="24">
        <f t="shared" si="67"/>
        <v>0</v>
      </c>
      <c r="K92" s="242">
        <f t="shared" si="56"/>
        <v>0</v>
      </c>
      <c r="L92" s="24">
        <f t="shared" si="89"/>
        <v>0</v>
      </c>
      <c r="M92" s="24">
        <f t="shared" si="77"/>
        <v>0</v>
      </c>
      <c r="N92" s="24">
        <f t="shared" si="62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9"/>
        <v>0</v>
      </c>
      <c r="S92" s="24">
        <f t="shared" si="78"/>
        <v>0</v>
      </c>
      <c r="T92" s="24"/>
      <c r="U92" s="36">
        <f t="shared" si="84"/>
        <v>0</v>
      </c>
      <c r="V92" s="36">
        <f t="shared" si="71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3"/>
        <v>7860</v>
      </c>
      <c r="Y92" s="57">
        <f t="shared" si="50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5"/>
        <v>8360</v>
      </c>
      <c r="AN92" s="57">
        <f t="shared" si="54"/>
        <v>60866</v>
      </c>
      <c r="AO92" s="130">
        <f t="shared" si="72"/>
        <v>0</v>
      </c>
      <c r="AP92" s="109">
        <f t="shared" si="85"/>
        <v>84</v>
      </c>
      <c r="AQ92" s="110">
        <f t="shared" si="63"/>
        <v>47001</v>
      </c>
      <c r="AR92" s="177">
        <f t="shared" si="57"/>
        <v>0.13900000000000001</v>
      </c>
      <c r="AS92" s="105">
        <f t="shared" si="73"/>
        <v>0</v>
      </c>
      <c r="AT92" s="105">
        <f t="shared" si="79"/>
        <v>0</v>
      </c>
      <c r="AU92" s="105">
        <f t="shared" si="80"/>
        <v>0</v>
      </c>
      <c r="AV92" s="105">
        <f t="shared" si="75"/>
        <v>0</v>
      </c>
      <c r="AW92" s="105">
        <f t="shared" si="65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6"/>
        <v>0</v>
      </c>
      <c r="BH92" s="108">
        <f t="shared" si="86"/>
        <v>0</v>
      </c>
      <c r="BI92" s="108">
        <f t="shared" si="81"/>
        <v>0</v>
      </c>
      <c r="BJ92" s="22">
        <f t="shared" si="82"/>
        <v>47001</v>
      </c>
      <c r="BK92" s="108">
        <f t="shared" si="66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83"/>
        <v>85</v>
      </c>
      <c r="H93" s="111">
        <f t="shared" si="61"/>
        <v>47031</v>
      </c>
      <c r="I93" s="176">
        <f t="shared" si="58"/>
        <v>9.9000000000000005E-2</v>
      </c>
      <c r="J93" s="24">
        <f t="shared" si="67"/>
        <v>0</v>
      </c>
      <c r="K93" s="242">
        <f t="shared" si="56"/>
        <v>0</v>
      </c>
      <c r="L93" s="24">
        <f t="shared" si="89"/>
        <v>0</v>
      </c>
      <c r="M93" s="24">
        <f t="shared" si="77"/>
        <v>0</v>
      </c>
      <c r="N93" s="24">
        <f t="shared" si="62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9"/>
        <v>0</v>
      </c>
      <c r="S93" s="24">
        <f t="shared" si="78"/>
        <v>0</v>
      </c>
      <c r="T93" s="24"/>
      <c r="U93" s="36">
        <f t="shared" si="84"/>
        <v>0</v>
      </c>
      <c r="V93" s="36">
        <f t="shared" si="71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3"/>
        <v>7860</v>
      </c>
      <c r="Y93" s="57">
        <f t="shared" si="50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5"/>
        <v>8360</v>
      </c>
      <c r="AN93" s="57">
        <f t="shared" si="54"/>
        <v>61231</v>
      </c>
      <c r="AO93" s="130">
        <f t="shared" si="72"/>
        <v>0</v>
      </c>
      <c r="AP93" s="109">
        <f t="shared" si="85"/>
        <v>85</v>
      </c>
      <c r="AQ93" s="110">
        <f t="shared" si="63"/>
        <v>47031</v>
      </c>
      <c r="AR93" s="177">
        <f t="shared" si="57"/>
        <v>0.13900000000000001</v>
      </c>
      <c r="AS93" s="105">
        <f t="shared" si="73"/>
        <v>0</v>
      </c>
      <c r="AT93" s="105">
        <f t="shared" si="79"/>
        <v>0</v>
      </c>
      <c r="AU93" s="105">
        <f t="shared" si="80"/>
        <v>0</v>
      </c>
      <c r="AV93" s="105">
        <f t="shared" si="75"/>
        <v>0</v>
      </c>
      <c r="AW93" s="105">
        <f t="shared" si="65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6"/>
        <v>0</v>
      </c>
      <c r="BH93" s="108">
        <f t="shared" si="86"/>
        <v>0</v>
      </c>
      <c r="BI93" s="108">
        <f t="shared" si="81"/>
        <v>0</v>
      </c>
      <c r="BJ93" s="22">
        <f t="shared" si="82"/>
        <v>47031</v>
      </c>
      <c r="BK93" s="108">
        <f t="shared" si="66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83"/>
        <v>86</v>
      </c>
      <c r="H94" s="111">
        <f t="shared" si="61"/>
        <v>47062</v>
      </c>
      <c r="I94" s="176">
        <f t="shared" si="58"/>
        <v>9.9000000000000005E-2</v>
      </c>
      <c r="J94" s="24">
        <f t="shared" si="67"/>
        <v>0</v>
      </c>
      <c r="K94" s="242">
        <f t="shared" si="56"/>
        <v>0</v>
      </c>
      <c r="L94" s="24">
        <f t="shared" si="89"/>
        <v>0</v>
      </c>
      <c r="M94" s="24">
        <f t="shared" si="77"/>
        <v>0</v>
      </c>
      <c r="N94" s="24">
        <f t="shared" si="62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9"/>
        <v>0</v>
      </c>
      <c r="S94" s="24">
        <f t="shared" si="78"/>
        <v>0</v>
      </c>
      <c r="T94" s="24"/>
      <c r="U94" s="36">
        <f t="shared" si="84"/>
        <v>0</v>
      </c>
      <c r="V94" s="36">
        <f t="shared" si="71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3"/>
        <v>7860</v>
      </c>
      <c r="Y94" s="57">
        <f t="shared" si="50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5"/>
        <v>8360</v>
      </c>
      <c r="AN94" s="57">
        <f t="shared" si="54"/>
        <v>61596</v>
      </c>
      <c r="AO94" s="130">
        <f t="shared" si="72"/>
        <v>0</v>
      </c>
      <c r="AP94" s="109">
        <f t="shared" si="85"/>
        <v>86</v>
      </c>
      <c r="AQ94" s="110">
        <f t="shared" si="63"/>
        <v>47062</v>
      </c>
      <c r="AR94" s="177">
        <f t="shared" si="57"/>
        <v>0.13900000000000001</v>
      </c>
      <c r="AS94" s="105">
        <f t="shared" si="73"/>
        <v>0</v>
      </c>
      <c r="AT94" s="105">
        <f t="shared" si="79"/>
        <v>0</v>
      </c>
      <c r="AU94" s="105">
        <f t="shared" si="80"/>
        <v>0</v>
      </c>
      <c r="AV94" s="105">
        <f t="shared" si="75"/>
        <v>0</v>
      </c>
      <c r="AW94" s="105">
        <f t="shared" si="65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6"/>
        <v>0</v>
      </c>
      <c r="BH94" s="108">
        <f t="shared" si="86"/>
        <v>0</v>
      </c>
      <c r="BI94" s="108">
        <f t="shared" si="81"/>
        <v>0</v>
      </c>
      <c r="BJ94" s="22">
        <f t="shared" si="82"/>
        <v>47062</v>
      </c>
      <c r="BK94" s="108">
        <f t="shared" si="66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83"/>
        <v>87</v>
      </c>
      <c r="H95" s="111">
        <f t="shared" si="61"/>
        <v>47092</v>
      </c>
      <c r="I95" s="176">
        <f t="shared" si="58"/>
        <v>9.9000000000000005E-2</v>
      </c>
      <c r="J95" s="24">
        <f t="shared" si="67"/>
        <v>0</v>
      </c>
      <c r="K95" s="242">
        <f t="shared" si="56"/>
        <v>0</v>
      </c>
      <c r="L95" s="24">
        <f t="shared" si="89"/>
        <v>0</v>
      </c>
      <c r="M95" s="24">
        <f t="shared" si="77"/>
        <v>0</v>
      </c>
      <c r="N95" s="24">
        <f t="shared" si="62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9"/>
        <v>0</v>
      </c>
      <c r="S95" s="24">
        <f t="shared" si="78"/>
        <v>0</v>
      </c>
      <c r="T95" s="24"/>
      <c r="U95" s="36">
        <f t="shared" si="84"/>
        <v>0</v>
      </c>
      <c r="V95" s="36">
        <f t="shared" si="71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3"/>
        <v>7860</v>
      </c>
      <c r="Y95" s="57">
        <f t="shared" si="50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5"/>
        <v>8360</v>
      </c>
      <c r="AN95" s="57">
        <f t="shared" si="54"/>
        <v>61961</v>
      </c>
      <c r="AO95" s="130">
        <f t="shared" si="72"/>
        <v>0</v>
      </c>
      <c r="AP95" s="109">
        <f t="shared" si="85"/>
        <v>87</v>
      </c>
      <c r="AQ95" s="110">
        <f t="shared" si="63"/>
        <v>47092</v>
      </c>
      <c r="AR95" s="177">
        <f t="shared" si="57"/>
        <v>0.13900000000000001</v>
      </c>
      <c r="AS95" s="105">
        <f t="shared" si="73"/>
        <v>0</v>
      </c>
      <c r="AT95" s="105">
        <f t="shared" si="79"/>
        <v>0</v>
      </c>
      <c r="AU95" s="105">
        <f t="shared" si="80"/>
        <v>0</v>
      </c>
      <c r="AV95" s="105">
        <f t="shared" si="75"/>
        <v>0</v>
      </c>
      <c r="AW95" s="105">
        <f t="shared" si="65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6"/>
        <v>0</v>
      </c>
      <c r="BH95" s="108">
        <f t="shared" si="86"/>
        <v>0</v>
      </c>
      <c r="BI95" s="108">
        <f t="shared" si="81"/>
        <v>0</v>
      </c>
      <c r="BJ95" s="22">
        <f t="shared" si="82"/>
        <v>47092</v>
      </c>
      <c r="BK95" s="108">
        <f t="shared" si="66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83"/>
        <v>88</v>
      </c>
      <c r="H96" s="111">
        <f t="shared" si="61"/>
        <v>47123</v>
      </c>
      <c r="I96" s="176">
        <f t="shared" si="58"/>
        <v>9.9000000000000005E-2</v>
      </c>
      <c r="J96" s="24">
        <f t="shared" si="67"/>
        <v>0</v>
      </c>
      <c r="K96" s="242">
        <f t="shared" si="56"/>
        <v>0</v>
      </c>
      <c r="L96" s="24">
        <f t="shared" si="89"/>
        <v>0</v>
      </c>
      <c r="M96" s="24">
        <f t="shared" si="77"/>
        <v>0</v>
      </c>
      <c r="N96" s="24">
        <f t="shared" si="62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9"/>
        <v>0</v>
      </c>
      <c r="S96" s="24">
        <f t="shared" si="78"/>
        <v>0</v>
      </c>
      <c r="T96" s="24"/>
      <c r="U96" s="36">
        <f t="shared" si="84"/>
        <v>0</v>
      </c>
      <c r="V96" s="36">
        <f t="shared" si="71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3"/>
        <v>7860</v>
      </c>
      <c r="Y96" s="57">
        <f t="shared" si="50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5"/>
        <v>8360</v>
      </c>
      <c r="AN96" s="57">
        <f t="shared" si="54"/>
        <v>62326</v>
      </c>
      <c r="AO96" s="130">
        <f t="shared" si="72"/>
        <v>0</v>
      </c>
      <c r="AP96" s="109">
        <f t="shared" si="85"/>
        <v>88</v>
      </c>
      <c r="AQ96" s="110">
        <f t="shared" si="63"/>
        <v>47123</v>
      </c>
      <c r="AR96" s="177">
        <f t="shared" si="57"/>
        <v>0.13900000000000001</v>
      </c>
      <c r="AS96" s="105">
        <f t="shared" si="73"/>
        <v>0</v>
      </c>
      <c r="AT96" s="105">
        <f t="shared" si="79"/>
        <v>0</v>
      </c>
      <c r="AU96" s="105">
        <f t="shared" si="80"/>
        <v>0</v>
      </c>
      <c r="AV96" s="105">
        <f t="shared" si="75"/>
        <v>0</v>
      </c>
      <c r="AW96" s="105">
        <f t="shared" si="65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6"/>
        <v>0</v>
      </c>
      <c r="BH96" s="108">
        <f t="shared" si="86"/>
        <v>0</v>
      </c>
      <c r="BI96" s="108">
        <f t="shared" si="81"/>
        <v>0</v>
      </c>
      <c r="BJ96" s="22">
        <f t="shared" si="82"/>
        <v>47123</v>
      </c>
      <c r="BK96" s="108">
        <f t="shared" si="66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83"/>
        <v>89</v>
      </c>
      <c r="H97" s="111">
        <f t="shared" si="61"/>
        <v>47154</v>
      </c>
      <c r="I97" s="176">
        <f t="shared" si="58"/>
        <v>9.9000000000000005E-2</v>
      </c>
      <c r="J97" s="24">
        <f t="shared" si="67"/>
        <v>0</v>
      </c>
      <c r="K97" s="242">
        <f t="shared" si="56"/>
        <v>0</v>
      </c>
      <c r="L97" s="24">
        <f t="shared" si="89"/>
        <v>0</v>
      </c>
      <c r="M97" s="24">
        <f t="shared" si="77"/>
        <v>0</v>
      </c>
      <c r="N97" s="24">
        <f t="shared" si="62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9"/>
        <v>0</v>
      </c>
      <c r="S97" s="24">
        <f t="shared" si="78"/>
        <v>0</v>
      </c>
      <c r="T97" s="24"/>
      <c r="U97" s="36">
        <f t="shared" si="84"/>
        <v>0</v>
      </c>
      <c r="V97" s="36">
        <f t="shared" si="71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3"/>
        <v>7860</v>
      </c>
      <c r="Y97" s="57">
        <f t="shared" si="50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5"/>
        <v>8360</v>
      </c>
      <c r="AN97" s="57">
        <f t="shared" si="54"/>
        <v>62691</v>
      </c>
      <c r="AO97" s="130">
        <f t="shared" si="72"/>
        <v>0</v>
      </c>
      <c r="AP97" s="109">
        <f t="shared" si="85"/>
        <v>89</v>
      </c>
      <c r="AQ97" s="110">
        <f t="shared" si="63"/>
        <v>47154</v>
      </c>
      <c r="AR97" s="177">
        <f t="shared" si="57"/>
        <v>0.13900000000000001</v>
      </c>
      <c r="AS97" s="105">
        <f t="shared" si="73"/>
        <v>0</v>
      </c>
      <c r="AT97" s="105">
        <f t="shared" si="79"/>
        <v>0</v>
      </c>
      <c r="AU97" s="105">
        <f t="shared" si="80"/>
        <v>0</v>
      </c>
      <c r="AV97" s="105">
        <f t="shared" si="75"/>
        <v>0</v>
      </c>
      <c r="AW97" s="105">
        <f t="shared" si="65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6"/>
        <v>0</v>
      </c>
      <c r="BH97" s="108">
        <f t="shared" si="86"/>
        <v>0</v>
      </c>
      <c r="BI97" s="108">
        <f t="shared" si="81"/>
        <v>0</v>
      </c>
      <c r="BJ97" s="22">
        <f t="shared" si="82"/>
        <v>47154</v>
      </c>
      <c r="BK97" s="108">
        <f t="shared" si="66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83"/>
        <v>90</v>
      </c>
      <c r="H98" s="111">
        <f t="shared" si="61"/>
        <v>47182</v>
      </c>
      <c r="I98" s="176">
        <f t="shared" si="58"/>
        <v>9.9000000000000005E-2</v>
      </c>
      <c r="J98" s="24">
        <f t="shared" si="67"/>
        <v>0</v>
      </c>
      <c r="K98" s="242">
        <f t="shared" si="56"/>
        <v>0</v>
      </c>
      <c r="L98" s="24">
        <f t="shared" si="89"/>
        <v>0</v>
      </c>
      <c r="M98" s="24">
        <f t="shared" si="77"/>
        <v>0</v>
      </c>
      <c r="N98" s="24">
        <f t="shared" si="62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9"/>
        <v>0</v>
      </c>
      <c r="S98" s="24">
        <f t="shared" si="78"/>
        <v>0</v>
      </c>
      <c r="T98" s="24"/>
      <c r="U98" s="36">
        <f t="shared" si="84"/>
        <v>0</v>
      </c>
      <c r="V98" s="36">
        <f t="shared" si="71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3"/>
        <v>7860</v>
      </c>
      <c r="Y98" s="57">
        <f t="shared" si="50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5"/>
        <v>8360</v>
      </c>
      <c r="AN98" s="57">
        <f t="shared" si="54"/>
        <v>63056</v>
      </c>
      <c r="AO98" s="130">
        <f t="shared" si="72"/>
        <v>0</v>
      </c>
      <c r="AP98" s="109">
        <f t="shared" si="85"/>
        <v>90</v>
      </c>
      <c r="AQ98" s="110">
        <f t="shared" si="63"/>
        <v>47182</v>
      </c>
      <c r="AR98" s="177">
        <f t="shared" si="57"/>
        <v>0.13900000000000001</v>
      </c>
      <c r="AS98" s="105">
        <f t="shared" si="73"/>
        <v>0</v>
      </c>
      <c r="AT98" s="105">
        <f t="shared" si="79"/>
        <v>0</v>
      </c>
      <c r="AU98" s="105">
        <f t="shared" si="80"/>
        <v>0</v>
      </c>
      <c r="AV98" s="105">
        <f t="shared" si="75"/>
        <v>0</v>
      </c>
      <c r="AW98" s="105">
        <f t="shared" si="65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6"/>
        <v>0</v>
      </c>
      <c r="BH98" s="108">
        <f t="shared" si="86"/>
        <v>0</v>
      </c>
      <c r="BI98" s="108">
        <f t="shared" si="81"/>
        <v>0</v>
      </c>
      <c r="BJ98" s="22">
        <f t="shared" si="82"/>
        <v>47182</v>
      </c>
      <c r="BK98" s="108">
        <f t="shared" si="66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83"/>
        <v>91</v>
      </c>
      <c r="H99" s="111">
        <f t="shared" si="61"/>
        <v>47213</v>
      </c>
      <c r="I99" s="176">
        <f t="shared" si="58"/>
        <v>9.9000000000000005E-2</v>
      </c>
      <c r="J99" s="24">
        <f t="shared" si="67"/>
        <v>0</v>
      </c>
      <c r="K99" s="242">
        <f t="shared" si="56"/>
        <v>0</v>
      </c>
      <c r="L99" s="24">
        <f t="shared" si="89"/>
        <v>0</v>
      </c>
      <c r="M99" s="24">
        <f t="shared" si="77"/>
        <v>0</v>
      </c>
      <c r="N99" s="24">
        <f t="shared" si="62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9"/>
        <v>0</v>
      </c>
      <c r="S99" s="24">
        <f t="shared" si="78"/>
        <v>0</v>
      </c>
      <c r="T99" s="24"/>
      <c r="U99" s="36">
        <f t="shared" si="84"/>
        <v>0</v>
      </c>
      <c r="V99" s="36">
        <f t="shared" si="71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3"/>
        <v>7860</v>
      </c>
      <c r="Y99" s="57">
        <f t="shared" si="50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5"/>
        <v>8360</v>
      </c>
      <c r="AN99" s="57">
        <f t="shared" si="54"/>
        <v>63421</v>
      </c>
      <c r="AO99" s="130">
        <f t="shared" si="72"/>
        <v>0</v>
      </c>
      <c r="AP99" s="109">
        <f t="shared" si="85"/>
        <v>91</v>
      </c>
      <c r="AQ99" s="110">
        <f t="shared" si="63"/>
        <v>47213</v>
      </c>
      <c r="AR99" s="177">
        <f t="shared" si="57"/>
        <v>0.13900000000000001</v>
      </c>
      <c r="AS99" s="105">
        <f t="shared" si="73"/>
        <v>0</v>
      </c>
      <c r="AT99" s="105">
        <f t="shared" si="79"/>
        <v>0</v>
      </c>
      <c r="AU99" s="105">
        <f t="shared" si="80"/>
        <v>0</v>
      </c>
      <c r="AV99" s="105">
        <f t="shared" si="75"/>
        <v>0</v>
      </c>
      <c r="AW99" s="105">
        <f t="shared" si="65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6"/>
        <v>0</v>
      </c>
      <c r="BH99" s="108">
        <f t="shared" si="86"/>
        <v>0</v>
      </c>
      <c r="BI99" s="108">
        <f t="shared" si="81"/>
        <v>0</v>
      </c>
      <c r="BJ99" s="22">
        <f t="shared" si="82"/>
        <v>47213</v>
      </c>
      <c r="BK99" s="108">
        <f t="shared" si="66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83"/>
        <v>92</v>
      </c>
      <c r="H100" s="111">
        <f t="shared" si="61"/>
        <v>47243</v>
      </c>
      <c r="I100" s="176">
        <f t="shared" si="58"/>
        <v>9.9000000000000005E-2</v>
      </c>
      <c r="J100" s="24">
        <f t="shared" si="67"/>
        <v>0</v>
      </c>
      <c r="K100" s="242">
        <f t="shared" si="56"/>
        <v>0</v>
      </c>
      <c r="L100" s="24">
        <f t="shared" si="89"/>
        <v>0</v>
      </c>
      <c r="M100" s="24">
        <f t="shared" si="77"/>
        <v>0</v>
      </c>
      <c r="N100" s="24">
        <f t="shared" si="62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9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71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3"/>
        <v>7860</v>
      </c>
      <c r="Y100" s="57">
        <f t="shared" si="50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5"/>
        <v>8360</v>
      </c>
      <c r="AN100" s="57">
        <f t="shared" si="54"/>
        <v>63786</v>
      </c>
      <c r="AO100" s="130">
        <f t="shared" si="72"/>
        <v>0</v>
      </c>
      <c r="AP100" s="109">
        <f t="shared" si="85"/>
        <v>92</v>
      </c>
      <c r="AQ100" s="110">
        <f t="shared" si="63"/>
        <v>47243</v>
      </c>
      <c r="AR100" s="177">
        <f t="shared" si="57"/>
        <v>0.13900000000000001</v>
      </c>
      <c r="AS100" s="105">
        <f t="shared" si="73"/>
        <v>0</v>
      </c>
      <c r="AT100" s="105">
        <f t="shared" si="79"/>
        <v>0</v>
      </c>
      <c r="AU100" s="105">
        <f t="shared" si="80"/>
        <v>0</v>
      </c>
      <c r="AV100" s="105">
        <f t="shared" si="75"/>
        <v>0</v>
      </c>
      <c r="AW100" s="105">
        <f t="shared" si="65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6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47243</v>
      </c>
      <c r="BK100" s="108">
        <f t="shared" si="66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83"/>
        <v>93</v>
      </c>
      <c r="H101" s="111">
        <f t="shared" si="61"/>
        <v>47274</v>
      </c>
      <c r="I101" s="176">
        <f t="shared" si="58"/>
        <v>9.9000000000000005E-2</v>
      </c>
      <c r="J101" s="24">
        <f t="shared" si="67"/>
        <v>0</v>
      </c>
      <c r="K101" s="242">
        <f t="shared" si="56"/>
        <v>0</v>
      </c>
      <c r="L101" s="24">
        <f t="shared" si="89"/>
        <v>0</v>
      </c>
      <c r="M101" s="24">
        <f t="shared" si="77"/>
        <v>0</v>
      </c>
      <c r="N101" s="24">
        <f t="shared" si="62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9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71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3"/>
        <v>7860</v>
      </c>
      <c r="Y101" s="57">
        <f t="shared" si="50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5"/>
        <v>8360</v>
      </c>
      <c r="AN101" s="57">
        <f t="shared" si="54"/>
        <v>64151</v>
      </c>
      <c r="AO101" s="130">
        <f t="shared" si="72"/>
        <v>0</v>
      </c>
      <c r="AP101" s="109">
        <f t="shared" si="85"/>
        <v>93</v>
      </c>
      <c r="AQ101" s="110">
        <f t="shared" si="63"/>
        <v>47274</v>
      </c>
      <c r="AR101" s="177">
        <f t="shared" si="57"/>
        <v>0.13900000000000001</v>
      </c>
      <c r="AS101" s="105">
        <f t="shared" si="73"/>
        <v>0</v>
      </c>
      <c r="AT101" s="105">
        <f t="shared" si="79"/>
        <v>0</v>
      </c>
      <c r="AU101" s="105">
        <f t="shared" si="80"/>
        <v>0</v>
      </c>
      <c r="AV101" s="105">
        <f t="shared" si="75"/>
        <v>0</v>
      </c>
      <c r="AW101" s="105">
        <f t="shared" si="65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6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47274</v>
      </c>
      <c r="BK101" s="108">
        <f t="shared" si="66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1"/>
        <v>47304</v>
      </c>
      <c r="I102" s="176">
        <f t="shared" si="58"/>
        <v>9.9000000000000005E-2</v>
      </c>
      <c r="J102" s="24">
        <f t="shared" si="67"/>
        <v>0</v>
      </c>
      <c r="K102" s="242">
        <f t="shared" si="56"/>
        <v>0</v>
      </c>
      <c r="L102" s="24">
        <f t="shared" si="89"/>
        <v>0</v>
      </c>
      <c r="M102" s="24">
        <f t="shared" si="77"/>
        <v>0</v>
      </c>
      <c r="N102" s="24">
        <f t="shared" si="62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9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71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3"/>
        <v>7860</v>
      </c>
      <c r="Y102" s="57">
        <f t="shared" si="50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5"/>
        <v>8360</v>
      </c>
      <c r="AN102" s="57">
        <f t="shared" si="54"/>
        <v>64516</v>
      </c>
      <c r="AO102" s="130">
        <f t="shared" si="72"/>
        <v>0</v>
      </c>
      <c r="AP102" s="109">
        <f t="shared" si="85"/>
        <v>94</v>
      </c>
      <c r="AQ102" s="110">
        <f t="shared" si="63"/>
        <v>47304</v>
      </c>
      <c r="AR102" s="177">
        <f t="shared" si="57"/>
        <v>0.13900000000000001</v>
      </c>
      <c r="AS102" s="105">
        <f t="shared" si="73"/>
        <v>0</v>
      </c>
      <c r="AT102" s="105">
        <f t="shared" si="79"/>
        <v>0</v>
      </c>
      <c r="AU102" s="105">
        <f t="shared" si="80"/>
        <v>0</v>
      </c>
      <c r="AV102" s="105">
        <f t="shared" si="75"/>
        <v>0</v>
      </c>
      <c r="AW102" s="105">
        <f t="shared" si="65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6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47304</v>
      </c>
      <c r="BK102" s="108">
        <f t="shared" si="66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1"/>
        <v>47335</v>
      </c>
      <c r="I103" s="176">
        <f t="shared" si="58"/>
        <v>9.9000000000000005E-2</v>
      </c>
      <c r="J103" s="24">
        <f t="shared" si="67"/>
        <v>0</v>
      </c>
      <c r="K103" s="242">
        <f t="shared" si="56"/>
        <v>0</v>
      </c>
      <c r="L103" s="24">
        <f t="shared" si="89"/>
        <v>0</v>
      </c>
      <c r="M103" s="24">
        <f t="shared" si="77"/>
        <v>0</v>
      </c>
      <c r="N103" s="24">
        <f t="shared" si="62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9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71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3"/>
        <v>7860</v>
      </c>
      <c r="Y103" s="57">
        <f t="shared" si="50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5"/>
        <v>8360</v>
      </c>
      <c r="AN103" s="57">
        <f t="shared" si="54"/>
        <v>64881</v>
      </c>
      <c r="AO103" s="130">
        <f t="shared" si="72"/>
        <v>0</v>
      </c>
      <c r="AP103" s="109">
        <f t="shared" si="85"/>
        <v>95</v>
      </c>
      <c r="AQ103" s="110">
        <f t="shared" si="63"/>
        <v>47335</v>
      </c>
      <c r="AR103" s="177">
        <f t="shared" si="57"/>
        <v>0.13900000000000001</v>
      </c>
      <c r="AS103" s="105">
        <f t="shared" si="73"/>
        <v>0</v>
      </c>
      <c r="AT103" s="105">
        <f t="shared" si="79"/>
        <v>0</v>
      </c>
      <c r="AU103" s="105">
        <f t="shared" si="80"/>
        <v>0</v>
      </c>
      <c r="AV103" s="105">
        <f t="shared" si="75"/>
        <v>0</v>
      </c>
      <c r="AW103" s="105">
        <f t="shared" si="65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6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47335</v>
      </c>
      <c r="BK103" s="108">
        <f t="shared" si="66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1"/>
        <v>47366</v>
      </c>
      <c r="I104" s="176">
        <f t="shared" si="58"/>
        <v>9.9000000000000005E-2</v>
      </c>
      <c r="J104" s="24">
        <f t="shared" si="67"/>
        <v>0</v>
      </c>
      <c r="K104" s="242">
        <f t="shared" si="56"/>
        <v>0</v>
      </c>
      <c r="L104" s="24">
        <f t="shared" si="89"/>
        <v>0</v>
      </c>
      <c r="M104" s="24">
        <f t="shared" si="77"/>
        <v>0</v>
      </c>
      <c r="N104" s="24">
        <f t="shared" si="62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9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71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3"/>
        <v>7860</v>
      </c>
      <c r="Y104" s="57">
        <f t="shared" si="50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5"/>
        <v>8360</v>
      </c>
      <c r="AN104" s="57">
        <f t="shared" si="54"/>
        <v>65246</v>
      </c>
      <c r="AO104" s="130">
        <f t="shared" si="72"/>
        <v>0</v>
      </c>
      <c r="AP104" s="109">
        <f t="shared" si="85"/>
        <v>96</v>
      </c>
      <c r="AQ104" s="110">
        <f t="shared" si="63"/>
        <v>47366</v>
      </c>
      <c r="AR104" s="177">
        <f t="shared" si="57"/>
        <v>0.13900000000000001</v>
      </c>
      <c r="AS104" s="105">
        <f t="shared" si="73"/>
        <v>0</v>
      </c>
      <c r="AT104" s="105">
        <f t="shared" si="79"/>
        <v>0</v>
      </c>
      <c r="AU104" s="105">
        <f t="shared" si="80"/>
        <v>0</v>
      </c>
      <c r="AV104" s="105">
        <f t="shared" si="75"/>
        <v>0</v>
      </c>
      <c r="AW104" s="105">
        <f t="shared" si="65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6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47366</v>
      </c>
      <c r="BK104" s="108">
        <f t="shared" si="66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1"/>
        <v>47396</v>
      </c>
      <c r="I105" s="176">
        <f t="shared" si="58"/>
        <v>9.9000000000000005E-2</v>
      </c>
      <c r="J105" s="24">
        <f t="shared" si="67"/>
        <v>0</v>
      </c>
      <c r="K105" s="242">
        <f t="shared" si="56"/>
        <v>0</v>
      </c>
      <c r="L105" s="24">
        <f t="shared" si="89"/>
        <v>0</v>
      </c>
      <c r="M105" s="24">
        <f t="shared" si="77"/>
        <v>0</v>
      </c>
      <c r="N105" s="24">
        <f t="shared" si="62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9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71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3"/>
        <v>7860</v>
      </c>
      <c r="Y105" s="57">
        <f t="shared" si="50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5"/>
        <v>8360</v>
      </c>
      <c r="AN105" s="57">
        <f t="shared" si="54"/>
        <v>65611</v>
      </c>
      <c r="AO105" s="130">
        <f t="shared" si="72"/>
        <v>0</v>
      </c>
      <c r="AP105" s="109">
        <f t="shared" si="85"/>
        <v>97</v>
      </c>
      <c r="AQ105" s="110">
        <f t="shared" si="63"/>
        <v>47396</v>
      </c>
      <c r="AR105" s="177">
        <f t="shared" si="57"/>
        <v>0.13900000000000001</v>
      </c>
      <c r="AS105" s="105">
        <f t="shared" si="73"/>
        <v>0</v>
      </c>
      <c r="AT105" s="105">
        <f t="shared" si="79"/>
        <v>0</v>
      </c>
      <c r="AU105" s="105">
        <f t="shared" si="80"/>
        <v>0</v>
      </c>
      <c r="AV105" s="105">
        <f t="shared" si="75"/>
        <v>0</v>
      </c>
      <c r="AW105" s="105">
        <f t="shared" ref="AW105:AW108" si="94">IF(AY105-AZ105&gt;$D$23,$D$23-AU105,IF(BI105=0,0,BA105)+BX153)</f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6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47396</v>
      </c>
      <c r="BK105" s="108">
        <f t="shared" si="66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1"/>
        <v>47427</v>
      </c>
      <c r="I106" s="176">
        <f t="shared" si="58"/>
        <v>9.9000000000000005E-2</v>
      </c>
      <c r="J106" s="24">
        <f t="shared" si="67"/>
        <v>0</v>
      </c>
      <c r="K106" s="242">
        <f t="shared" si="56"/>
        <v>0</v>
      </c>
      <c r="L106" s="24">
        <f t="shared" si="89"/>
        <v>0</v>
      </c>
      <c r="M106" s="24">
        <f t="shared" si="77"/>
        <v>0</v>
      </c>
      <c r="N106" s="24">
        <f t="shared" si="62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9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71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3"/>
        <v>7860</v>
      </c>
      <c r="Y106" s="57">
        <f t="shared" si="50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5"/>
        <v>8360</v>
      </c>
      <c r="AN106" s="57">
        <f t="shared" si="54"/>
        <v>65976</v>
      </c>
      <c r="AO106" s="130">
        <f t="shared" si="72"/>
        <v>0</v>
      </c>
      <c r="AP106" s="109">
        <f t="shared" si="85"/>
        <v>98</v>
      </c>
      <c r="AQ106" s="110">
        <f t="shared" si="63"/>
        <v>47427</v>
      </c>
      <c r="AR106" s="177">
        <f t="shared" si="57"/>
        <v>0.13900000000000001</v>
      </c>
      <c r="AS106" s="105">
        <f t="shared" si="73"/>
        <v>0</v>
      </c>
      <c r="AT106" s="105">
        <f t="shared" si="79"/>
        <v>0</v>
      </c>
      <c r="AU106" s="105">
        <f t="shared" si="80"/>
        <v>0</v>
      </c>
      <c r="AV106" s="105">
        <f t="shared" si="75"/>
        <v>0</v>
      </c>
      <c r="AW106" s="105">
        <f t="shared" si="94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6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47427</v>
      </c>
      <c r="BK106" s="108">
        <f t="shared" si="66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83"/>
        <v>99</v>
      </c>
      <c r="H107" s="111">
        <f t="shared" si="61"/>
        <v>47457</v>
      </c>
      <c r="I107" s="176">
        <f t="shared" si="58"/>
        <v>9.9000000000000005E-2</v>
      </c>
      <c r="J107" s="24">
        <f t="shared" si="67"/>
        <v>0</v>
      </c>
      <c r="K107" s="242">
        <f t="shared" si="56"/>
        <v>0</v>
      </c>
      <c r="L107" s="24">
        <f t="shared" si="89"/>
        <v>0</v>
      </c>
      <c r="M107" s="24">
        <f t="shared" si="77"/>
        <v>0</v>
      </c>
      <c r="N107" s="24">
        <f t="shared" si="62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9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71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3"/>
        <v>5211.9699999999766</v>
      </c>
      <c r="Y107" s="57">
        <f t="shared" si="50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5"/>
        <v>7690.1499999998841</v>
      </c>
      <c r="AN107" s="57">
        <f t="shared" si="54"/>
        <v>66341</v>
      </c>
      <c r="AO107" s="130">
        <f t="shared" si="72"/>
        <v>0</v>
      </c>
      <c r="AP107" s="109">
        <f t="shared" si="85"/>
        <v>99</v>
      </c>
      <c r="AQ107" s="110">
        <f t="shared" si="63"/>
        <v>47457</v>
      </c>
      <c r="AR107" s="177">
        <f t="shared" si="57"/>
        <v>0.13900000000000001</v>
      </c>
      <c r="AS107" s="105">
        <f t="shared" si="73"/>
        <v>0</v>
      </c>
      <c r="AT107" s="105">
        <f t="shared" si="79"/>
        <v>0</v>
      </c>
      <c r="AU107" s="105">
        <f t="shared" si="80"/>
        <v>0</v>
      </c>
      <c r="AV107" s="105">
        <f t="shared" si="75"/>
        <v>0</v>
      </c>
      <c r="AW107" s="105">
        <f t="shared" si="94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6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47457</v>
      </c>
      <c r="BK107" s="108">
        <f t="shared" si="66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1"/>
        <v>47488</v>
      </c>
      <c r="I108" s="176">
        <f t="shared" si="58"/>
        <v>9.9000000000000005E-2</v>
      </c>
      <c r="J108" s="24">
        <f t="shared" si="67"/>
        <v>0</v>
      </c>
      <c r="K108" s="242">
        <f t="shared" si="56"/>
        <v>0</v>
      </c>
      <c r="L108" s="24">
        <f t="shared" si="89"/>
        <v>0</v>
      </c>
      <c r="M108" s="24">
        <f t="shared" si="77"/>
        <v>0</v>
      </c>
      <c r="N108" s="24">
        <f t="shared" si="62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9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3"/>
        <v>0</v>
      </c>
      <c r="Y108" s="57">
        <f t="shared" si="50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5"/>
        <v>0</v>
      </c>
      <c r="AN108" s="57">
        <f t="shared" si="54"/>
        <v>66706</v>
      </c>
      <c r="AO108" s="130">
        <f t="shared" si="72"/>
        <v>0</v>
      </c>
      <c r="AP108" s="109">
        <f t="shared" si="85"/>
        <v>100</v>
      </c>
      <c r="AQ108" s="110">
        <f t="shared" si="63"/>
        <v>47488</v>
      </c>
      <c r="AR108" s="177">
        <f t="shared" si="57"/>
        <v>0.13900000000000001</v>
      </c>
      <c r="AS108" s="105">
        <f t="shared" si="73"/>
        <v>0</v>
      </c>
      <c r="AT108" s="105">
        <f t="shared" si="79"/>
        <v>0</v>
      </c>
      <c r="AU108" s="105">
        <f t="shared" si="80"/>
        <v>0</v>
      </c>
      <c r="AV108" s="105">
        <f t="shared" si="75"/>
        <v>0</v>
      </c>
      <c r="AW108" s="105">
        <f t="shared" si="94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6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47488</v>
      </c>
      <c r="BK108" s="108">
        <f t="shared" si="66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495231.97</v>
      </c>
      <c r="K109" s="30">
        <f>(SUM(K9:K108)-IF(CODE(C12)=209,AI51,0))</f>
        <v>453231.97</v>
      </c>
      <c r="L109" s="30">
        <f t="shared" ref="L109:R109" si="95">SUM(L9:L108)</f>
        <v>93831.97</v>
      </c>
      <c r="M109" s="30">
        <f t="shared" si="95"/>
        <v>359400.00000000006</v>
      </c>
      <c r="N109" s="31">
        <f t="shared" si="95"/>
        <v>0</v>
      </c>
      <c r="O109" s="31">
        <f t="shared" si="95"/>
        <v>0</v>
      </c>
      <c r="P109" s="31">
        <f t="shared" si="95"/>
        <v>135831.97000000003</v>
      </c>
      <c r="Q109" s="31">
        <f t="shared" si="95"/>
        <v>42000</v>
      </c>
      <c r="R109" s="31">
        <f t="shared" si="95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3"/>
        <v>0</v>
      </c>
      <c r="Y109" s="57">
        <f t="shared" ref="Y109:Y143" si="96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5"/>
        <v>0</v>
      </c>
      <c r="AN109" s="57">
        <f t="shared" si="54"/>
        <v>67071</v>
      </c>
      <c r="AO109" s="130"/>
      <c r="AP109" s="28"/>
      <c r="AQ109" s="29" t="s">
        <v>7</v>
      </c>
      <c r="AR109" s="29"/>
      <c r="AS109" s="30">
        <f>SUM(AS9:AS108)</f>
        <v>500930.14999999991</v>
      </c>
      <c r="AT109" s="30">
        <f>(SUM(AT9:AT108)-IF(CODE(C12)=209,BX57,0))</f>
        <v>500930.14999999991</v>
      </c>
      <c r="AU109" s="30">
        <f>SUM(AU9:AU108)</f>
        <v>141530.14999999997</v>
      </c>
      <c r="AV109" s="30">
        <f>SUM(AV9:AV108)</f>
        <v>359400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6"/>
        <v>453231.97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7">IF(K75 &gt; 0, K75, 0)</f>
        <v>0</v>
      </c>
      <c r="Y110" s="57">
        <f t="shared" si="96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5"/>
        <v>0</v>
      </c>
      <c r="AN110" s="57">
        <f t="shared" si="54"/>
        <v>67436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6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7"/>
        <v>0</v>
      </c>
      <c r="Y111" s="57">
        <f t="shared" si="96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5"/>
        <v>0</v>
      </c>
      <c r="AN111" s="57">
        <f t="shared" si="54"/>
        <v>67801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6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7"/>
        <v>0</v>
      </c>
      <c r="Y112" s="57">
        <f t="shared" si="96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5"/>
        <v>0</v>
      </c>
      <c r="AN112" s="57">
        <f t="shared" si="54"/>
        <v>68166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6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7"/>
        <v>0</v>
      </c>
      <c r="Y113" s="57">
        <f t="shared" si="96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5"/>
        <v>0</v>
      </c>
      <c r="AN113" s="57">
        <f t="shared" ref="AN113:AN147" si="98">AN112+365</f>
        <v>68531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6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7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9">AT75</f>
        <v>0</v>
      </c>
      <c r="AN114" s="57">
        <f t="shared" si="98"/>
        <v>68896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6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7"/>
        <v>0</v>
      </c>
      <c r="Y115" s="57">
        <f t="shared" si="96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9"/>
        <v>0</v>
      </c>
      <c r="AN115" s="57">
        <f t="shared" si="98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7"/>
        <v>0</v>
      </c>
      <c r="Y116" s="57">
        <f t="shared" si="96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9"/>
        <v>0</v>
      </c>
      <c r="AN116" s="57">
        <f t="shared" si="98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7"/>
        <v>0</v>
      </c>
      <c r="Y117" s="57">
        <f t="shared" si="96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9"/>
        <v>0</v>
      </c>
      <c r="AN117" s="57">
        <f t="shared" si="98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7"/>
        <v>0</v>
      </c>
      <c r="Y118" s="57">
        <f t="shared" si="96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9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7"/>
        <v>0</v>
      </c>
      <c r="Y119" s="57">
        <f t="shared" si="96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9"/>
        <v>0</v>
      </c>
      <c r="AN119" s="57">
        <f t="shared" si="98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7"/>
        <v>0</v>
      </c>
      <c r="Y120" s="57">
        <f t="shared" si="96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9"/>
        <v>0</v>
      </c>
      <c r="AN120" s="57">
        <f t="shared" si="98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7"/>
        <v>0</v>
      </c>
      <c r="Y121" s="57">
        <f t="shared" si="96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9"/>
        <v>0</v>
      </c>
      <c r="AN121" s="57">
        <f t="shared" si="98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7"/>
        <v>0</v>
      </c>
      <c r="Y122" s="57">
        <f t="shared" si="96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9"/>
        <v>0</v>
      </c>
      <c r="AN122" s="57">
        <f t="shared" si="98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7"/>
        <v>0</v>
      </c>
      <c r="Y123" s="57">
        <f t="shared" si="96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9"/>
        <v>0</v>
      </c>
      <c r="AN123" s="57">
        <f t="shared" si="98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7"/>
        <v>0</v>
      </c>
      <c r="Y124" s="57">
        <f t="shared" si="96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9"/>
        <v>0</v>
      </c>
      <c r="AN124" s="57">
        <f t="shared" si="98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7"/>
        <v>0</v>
      </c>
      <c r="Y125" s="57">
        <f t="shared" si="96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9"/>
        <v>0</v>
      </c>
      <c r="AN125" s="57">
        <f t="shared" si="98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7"/>
        <v>0</v>
      </c>
      <c r="Y126" s="57">
        <f t="shared" si="96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9"/>
        <v>0</v>
      </c>
      <c r="AN126" s="57">
        <f t="shared" si="98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7"/>
        <v>0</v>
      </c>
      <c r="Y127" s="57">
        <f t="shared" si="96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9"/>
        <v>0</v>
      </c>
      <c r="AN127" s="57">
        <f t="shared" si="98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7"/>
        <v>0</v>
      </c>
      <c r="Y128" s="57">
        <f t="shared" si="96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9"/>
        <v>0</v>
      </c>
      <c r="AN128" s="57">
        <f t="shared" si="98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7"/>
        <v>0</v>
      </c>
      <c r="Y129" s="57">
        <f t="shared" si="96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9"/>
        <v>0</v>
      </c>
      <c r="AN129" s="57">
        <f t="shared" si="98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7"/>
        <v>0</v>
      </c>
      <c r="Y130" s="57">
        <f t="shared" si="96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9"/>
        <v>0</v>
      </c>
      <c r="AN130" s="57">
        <f t="shared" si="98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7"/>
        <v>0</v>
      </c>
      <c r="Y131" s="57">
        <f t="shared" si="96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9"/>
        <v>0</v>
      </c>
      <c r="AN131" s="57">
        <f t="shared" si="98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7"/>
        <v>0</v>
      </c>
      <c r="Y132" s="57">
        <f t="shared" si="96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9"/>
        <v>0</v>
      </c>
      <c r="AN132" s="57">
        <f t="shared" si="98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7"/>
        <v>0</v>
      </c>
      <c r="Y133" s="57">
        <f t="shared" si="96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9"/>
        <v>0</v>
      </c>
      <c r="AN133" s="57">
        <f t="shared" si="98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7"/>
        <v>0</v>
      </c>
      <c r="Y134" s="57">
        <f t="shared" si="96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9"/>
        <v>0</v>
      </c>
      <c r="AN134" s="57">
        <f t="shared" si="98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7"/>
        <v>0</v>
      </c>
      <c r="Y135" s="57">
        <f t="shared" si="96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9"/>
        <v>0</v>
      </c>
      <c r="AN135" s="57">
        <f t="shared" si="98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7"/>
        <v>0</v>
      </c>
      <c r="Y136" s="57">
        <f t="shared" si="96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9"/>
        <v>0</v>
      </c>
      <c r="AN136" s="57">
        <f t="shared" si="98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7"/>
        <v>0</v>
      </c>
      <c r="Y137" s="57">
        <f t="shared" si="96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9"/>
        <v>0</v>
      </c>
      <c r="AN137" s="57">
        <f t="shared" si="98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7"/>
        <v>0</v>
      </c>
      <c r="Y138" s="57">
        <f t="shared" si="96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9"/>
        <v>0</v>
      </c>
      <c r="AN138" s="57">
        <f t="shared" si="98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7"/>
        <v>0</v>
      </c>
      <c r="Y139" s="57">
        <f t="shared" si="96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9"/>
        <v>0</v>
      </c>
      <c r="AN139" s="57">
        <f t="shared" si="98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7"/>
        <v>0</v>
      </c>
      <c r="Y140" s="57">
        <f t="shared" si="96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9"/>
        <v>0</v>
      </c>
      <c r="AN140" s="57">
        <f t="shared" si="98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7"/>
        <v>0</v>
      </c>
      <c r="Y141" s="57">
        <f t="shared" si="96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9"/>
        <v>0</v>
      </c>
      <c r="AN141" s="57">
        <f t="shared" si="98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7"/>
        <v>0</v>
      </c>
      <c r="Y142" s="57">
        <f t="shared" si="96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9"/>
        <v>0</v>
      </c>
      <c r="AN142" s="57">
        <f t="shared" si="98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6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9"/>
        <v>0</v>
      </c>
      <c r="AN143" s="57">
        <f t="shared" si="98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453231.97</v>
      </c>
      <c r="Y144" s="154">
        <f>XIRR(X42:X143,Y42:Y143)*12</f>
        <v>8.1191647052764895E-2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9"/>
        <v>0</v>
      </c>
      <c r="AN144" s="57">
        <f t="shared" si="98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9"/>
        <v>0</v>
      </c>
      <c r="AN145" s="57">
        <f t="shared" si="98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9"/>
        <v>0</v>
      </c>
      <c r="AN146" s="57">
        <f t="shared" si="98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9"/>
        <v>0</v>
      </c>
      <c r="AN147" s="57">
        <f t="shared" si="98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500930.14999999991</v>
      </c>
      <c r="AN148" s="154">
        <f>XIRR(AM46:AM147,AN46:AN147)*12</f>
        <v>0.13944207429885863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L6:L7"/>
    <mergeCell ref="M6:M7"/>
    <mergeCell ref="Q6:Q7"/>
    <mergeCell ref="S6:S7"/>
    <mergeCell ref="AQ6:AQ7"/>
    <mergeCell ref="AR6:AR7"/>
    <mergeCell ref="AT6:AT7"/>
    <mergeCell ref="AU6:AU7"/>
    <mergeCell ref="AV6:AV7"/>
    <mergeCell ref="K6:K7"/>
    <mergeCell ref="A16:A18"/>
    <mergeCell ref="A9:B9"/>
    <mergeCell ref="A10:B10"/>
    <mergeCell ref="BN10:BN11"/>
    <mergeCell ref="T6:T7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BO10:BO11"/>
    <mergeCell ref="A11:B11"/>
    <mergeCell ref="A12:B12"/>
    <mergeCell ref="A13:B13"/>
    <mergeCell ref="BN13:BN14"/>
    <mergeCell ref="BO13:BO14"/>
    <mergeCell ref="A14:A15"/>
    <mergeCell ref="A29:B29"/>
    <mergeCell ref="A19:E19"/>
    <mergeCell ref="A20:E20"/>
    <mergeCell ref="A22:B22"/>
    <mergeCell ref="A23:B23"/>
    <mergeCell ref="A24:B24"/>
    <mergeCell ref="A25:B25"/>
    <mergeCell ref="A26:B26"/>
    <mergeCell ref="A27:B27"/>
    <mergeCell ref="A28:B28"/>
    <mergeCell ref="C41:E41"/>
    <mergeCell ref="A30:B30"/>
    <mergeCell ref="A31:B31"/>
    <mergeCell ref="A32:B32"/>
    <mergeCell ref="BN33:BN35"/>
    <mergeCell ref="A33:B33"/>
    <mergeCell ref="A34:E34"/>
    <mergeCell ref="C33:E33"/>
    <mergeCell ref="A50:A51"/>
    <mergeCell ref="A52:B52"/>
    <mergeCell ref="A53:B53"/>
    <mergeCell ref="A21:C21"/>
    <mergeCell ref="A47:C47"/>
    <mergeCell ref="A49:E49"/>
    <mergeCell ref="C48:E48"/>
    <mergeCell ref="C46:E46"/>
    <mergeCell ref="A42:A45"/>
    <mergeCell ref="A46:B46"/>
    <mergeCell ref="A48:B48"/>
    <mergeCell ref="A35:B35"/>
    <mergeCell ref="D35:E35"/>
    <mergeCell ref="A36:B36"/>
    <mergeCell ref="A37:A40"/>
    <mergeCell ref="A41:B41"/>
  </mergeCells>
  <conditionalFormatting sqref="D17">
    <cfRule type="cellIs" dxfId="7" priority="1" operator="notEqual">
      <formula>""</formula>
    </cfRule>
  </conditionalFormatting>
  <dataValidations count="5"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1">
      <formula1>$X$39:$AA$39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36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topLeftCell="B1" zoomScale="70" zoomScaleNormal="90" zoomScaleSheetLayoutView="70" workbookViewId="0">
      <selection activeCell="C10" sqref="C10:D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8.425781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757" t="s">
        <v>333</v>
      </c>
      <c r="B1" s="758"/>
      <c r="C1" s="758"/>
      <c r="D1" s="758"/>
      <c r="E1" s="759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23"/>
      <c r="B2" s="824"/>
      <c r="C2" s="824"/>
      <c r="D2" s="824"/>
      <c r="E2" s="825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70" t="s">
        <v>196</v>
      </c>
      <c r="B3" s="771"/>
      <c r="C3" s="771"/>
      <c r="D3" s="771"/>
      <c r="E3" s="772"/>
      <c r="F3" s="310"/>
      <c r="G3" s="865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2" ht="13.5" hidden="1" customHeight="1" x14ac:dyDescent="0.2">
      <c r="A4" s="187"/>
      <c r="B4" s="185"/>
      <c r="C4" s="185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2" ht="13.5" hidden="1" customHeight="1" thickBot="1" x14ac:dyDescent="0.25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37.9" customHeight="1" thickBot="1" x14ac:dyDescent="0.25">
      <c r="A6" s="919" t="s">
        <v>164</v>
      </c>
      <c r="B6" s="919"/>
      <c r="C6" s="919" t="s">
        <v>165</v>
      </c>
      <c r="D6" s="919"/>
      <c r="E6" s="533" t="s">
        <v>166</v>
      </c>
      <c r="F6" s="230"/>
      <c r="G6" s="776" t="s">
        <v>148</v>
      </c>
      <c r="H6" s="776" t="s">
        <v>187</v>
      </c>
      <c r="I6" s="776" t="s">
        <v>188</v>
      </c>
      <c r="J6" s="776" t="s">
        <v>189</v>
      </c>
      <c r="K6" s="776" t="s">
        <v>190</v>
      </c>
      <c r="L6" s="776" t="s">
        <v>191</v>
      </c>
      <c r="M6" s="776" t="s">
        <v>192</v>
      </c>
      <c r="N6" s="238"/>
      <c r="O6" s="238"/>
      <c r="P6" s="238"/>
      <c r="Q6" s="776" t="s">
        <v>195</v>
      </c>
      <c r="R6" s="238"/>
      <c r="S6" s="776" t="s">
        <v>193</v>
      </c>
      <c r="T6" s="776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14" t="s">
        <v>148</v>
      </c>
      <c r="AQ6" s="914" t="s">
        <v>187</v>
      </c>
      <c r="AR6" s="914" t="s">
        <v>188</v>
      </c>
      <c r="AS6" s="267"/>
      <c r="AT6" s="914" t="s">
        <v>194</v>
      </c>
      <c r="AU6" s="914" t="s">
        <v>191</v>
      </c>
      <c r="AV6" s="914" t="s">
        <v>192</v>
      </c>
      <c r="AW6" s="500"/>
      <c r="AX6" s="500"/>
      <c r="AY6" s="500"/>
      <c r="AZ6" s="500"/>
      <c r="BA6" s="500"/>
      <c r="BB6" s="500"/>
      <c r="BC6" s="500"/>
      <c r="BD6" s="500"/>
      <c r="BE6" s="500"/>
      <c r="BF6" s="500"/>
      <c r="BG6" s="914" t="s">
        <v>193</v>
      </c>
      <c r="BH6" s="103"/>
      <c r="BI6" s="102"/>
      <c r="BJ6" s="117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2" ht="28.9" customHeight="1" x14ac:dyDescent="0.5">
      <c r="A7" s="766" t="s">
        <v>200</v>
      </c>
      <c r="B7" s="766"/>
      <c r="C7" s="767">
        <v>75000</v>
      </c>
      <c r="D7" s="767"/>
      <c r="E7" s="219"/>
      <c r="F7" s="231"/>
      <c r="G7" s="776"/>
      <c r="H7" s="776"/>
      <c r="I7" s="776"/>
      <c r="J7" s="776"/>
      <c r="K7" s="776"/>
      <c r="L7" s="776"/>
      <c r="M7" s="776"/>
      <c r="N7" s="237" t="s">
        <v>36</v>
      </c>
      <c r="O7" s="237" t="s">
        <v>39</v>
      </c>
      <c r="P7" s="237" t="s">
        <v>38</v>
      </c>
      <c r="Q7" s="776"/>
      <c r="R7" s="326" t="s">
        <v>40</v>
      </c>
      <c r="S7" s="776"/>
      <c r="T7" s="776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48</v>
      </c>
      <c r="AP7" s="914"/>
      <c r="AQ7" s="914"/>
      <c r="AR7" s="914"/>
      <c r="AS7" s="461" t="s">
        <v>156</v>
      </c>
      <c r="AT7" s="914"/>
      <c r="AU7" s="914"/>
      <c r="AV7" s="914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14"/>
      <c r="BH7" s="163" t="s">
        <v>32</v>
      </c>
      <c r="BI7" s="104" t="s">
        <v>31</v>
      </c>
      <c r="BJ7" s="153">
        <f>BJ8</f>
        <v>44285</v>
      </c>
      <c r="BK7" s="108">
        <f>K8</f>
        <v>-90750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2" ht="18" customHeight="1" thickBot="1" x14ac:dyDescent="0.55000000000000004">
      <c r="A8" s="766" t="s">
        <v>276</v>
      </c>
      <c r="B8" s="766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-90750</v>
      </c>
      <c r="L8" s="242"/>
      <c r="M8" s="243"/>
      <c r="N8" s="243"/>
      <c r="O8" s="243"/>
      <c r="P8" s="243"/>
      <c r="Q8" s="243"/>
      <c r="R8" s="243"/>
      <c r="S8" s="239">
        <f>C23</f>
        <v>90750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-90750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90750</v>
      </c>
      <c r="BH8" s="106"/>
      <c r="BI8" s="108"/>
      <c r="BJ8" s="22">
        <f>H8</f>
        <v>44285</v>
      </c>
      <c r="BK8" s="104">
        <f>$C$25</f>
        <v>15750</v>
      </c>
      <c r="BN8" s="785"/>
      <c r="BO8" s="778"/>
      <c r="BP8" s="125" t="s">
        <v>87</v>
      </c>
      <c r="BQ8" s="126" t="s">
        <v>88</v>
      </c>
      <c r="BR8" s="799"/>
      <c r="BS8" s="801"/>
      <c r="BT8" s="797"/>
    </row>
    <row r="9" spans="1:72" ht="16.899999999999999" customHeight="1" thickBot="1" x14ac:dyDescent="0.25">
      <c r="A9" s="766" t="s">
        <v>199</v>
      </c>
      <c r="B9" s="766"/>
      <c r="C9" s="788">
        <v>44285</v>
      </c>
      <c r="D9" s="788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3600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2">IF(P9-Q9&gt;$C$24,$C$24-L9,IF(V9=0,0,R9)+$AI$51)</f>
        <v>0</v>
      </c>
      <c r="O9" s="242">
        <v>0</v>
      </c>
      <c r="P9" s="242">
        <f>L9+Q9</f>
        <v>3600</v>
      </c>
      <c r="Q9" s="242">
        <f>IF(OR($C$8="Нет",$C$16="Нет"),0,IF($C$17="Серебряный",3600,IF($C$17="Золотой",5000,IF($C$17="Платиновый",7000,""))))</f>
        <v>3600</v>
      </c>
      <c r="R9" s="242">
        <f>IF(V9=0,0,0)</f>
        <v>0</v>
      </c>
      <c r="S9" s="242">
        <f>S8-M9-T9</f>
        <v>90750</v>
      </c>
      <c r="T9" s="467"/>
      <c r="U9" s="198">
        <f>C10</f>
        <v>48</v>
      </c>
      <c r="V9" s="36">
        <f>U9</f>
        <v>48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14" si="4">$D$13</f>
        <v>0.16900000000000001</v>
      </c>
      <c r="AS9" s="258">
        <f>AT9+AZ9</f>
        <v>2617</v>
      </c>
      <c r="AT9" s="258">
        <f>IF(AND(BG8+AW9+AU9&gt;AT8,AT8&lt;&gt;0),IF($D$16="Да",$AL$36,$D$24),IF(BG8=0,0,BG8+AW9+AU9+AU10))</f>
        <v>2617</v>
      </c>
      <c r="AU9" s="258">
        <f>IF($C$9&gt;$AF$51,ROUND(BG8*AR9*((AQ9-DATE(YEAR(AQ9),MONTH(AQ9),1)+1)/(DATE(YEAR(AQ9)+1,1,1)-DATE(YEAR(AQ9),1,1))+(EOMONTH(AQ8,0)-AQ8)/(DATE(YEAR(AQ8)+1,1,1)-DATE(YEAR(AQ8),1,1))),2),0)</f>
        <v>1176.52</v>
      </c>
      <c r="AV9" s="258">
        <f>IF(BI9=0,0,IF(BI9=1,BG8,IF(BG8+AW9+AU9&gt;AT8,AT9-AU9-AW9,BG8)))</f>
        <v>1440.48</v>
      </c>
      <c r="AW9" s="258">
        <f t="shared" ref="AW9:AW72" si="5">IF(AY9-AZ9&gt;$D$24,$D$24-AU9,IF(BI9=0,0,BA9)+BX57)</f>
        <v>0</v>
      </c>
      <c r="AX9" s="258"/>
      <c r="AY9" s="258">
        <f>AU9+AZ9</f>
        <v>1176.52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89309.52</v>
      </c>
      <c r="BH9" s="108">
        <f>C10</f>
        <v>48</v>
      </c>
      <c r="BI9" s="108">
        <f>BH9</f>
        <v>48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763" t="s">
        <v>198</v>
      </c>
      <c r="B10" s="763"/>
      <c r="C10" s="787">
        <v>48</v>
      </c>
      <c r="D10" s="787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3600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3600</v>
      </c>
      <c r="Q10" s="242">
        <f t="shared" ref="Q10:Q14" si="13">IF(OR($C$8="Нет",$C$16="Нет"),0,IF($C$17="Серебряный",3600,IF($C$17="Золотой",5000,IF($C$17="Платиновый",7000,""))))</f>
        <v>3600</v>
      </c>
      <c r="R10" s="242">
        <f t="shared" ref="R10:R73" si="14">IF(V10=0,0,0)</f>
        <v>0</v>
      </c>
      <c r="S10" s="242">
        <f t="shared" ref="S10:S73" si="15">S9-M10-T10</f>
        <v>90750</v>
      </c>
      <c r="T10" s="467"/>
      <c r="U10" s="198">
        <f>IF((U9-1)&lt;0,0,U9-1)</f>
        <v>47</v>
      </c>
      <c r="V10" s="36">
        <f t="shared" ref="V10:V73" si="16">U10</f>
        <v>47</v>
      </c>
      <c r="W10" s="54">
        <f>ROUND(S8*0%,-2)</f>
        <v>0</v>
      </c>
      <c r="X10" s="54">
        <f>ROUND(S8*0.5%,0)</f>
        <v>454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0.16900000000000001</v>
      </c>
      <c r="AS10" s="258">
        <f t="shared" ref="AS10:AS73" si="18">AT10+AZ10</f>
        <v>2617</v>
      </c>
      <c r="AT10" s="258">
        <f t="shared" ref="AT10:AT73" si="19">IF(AND(BG9+AW10+AU10&gt;AT9,AT9&lt;&gt;0),IF($D$16="Да",$AL$36,$D$24),IF(BG9=0,0,BG9+AW10+AU10+AU11))</f>
        <v>2617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1240.55</v>
      </c>
      <c r="AV10" s="258">
        <f t="shared" ref="AV10:AV73" si="21">IF(BI10=0,0,IF(BI10=1,BG9,IF(BG9+AW10+AU10&gt;AT9,AT10-AU10-AW10,BG9)))</f>
        <v>1376.45</v>
      </c>
      <c r="AW10" s="258">
        <f t="shared" si="5"/>
        <v>0</v>
      </c>
      <c r="AX10" s="258">
        <v>0</v>
      </c>
      <c r="AY10" s="258">
        <f t="shared" ref="AY10:AY85" si="22">AU10+AZ10</f>
        <v>1240.55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87933.07</v>
      </c>
      <c r="BH10" s="108">
        <f>IF((BH9-1)&lt;0,0,BH9-1)</f>
        <v>47</v>
      </c>
      <c r="BI10" s="108">
        <f>BH10</f>
        <v>47</v>
      </c>
      <c r="BJ10" s="22">
        <f>H10</f>
        <v>44343</v>
      </c>
      <c r="BK10" s="108">
        <f t="shared" si="7"/>
        <v>0</v>
      </c>
      <c r="BN10" s="784" t="s">
        <v>90</v>
      </c>
      <c r="BO10" s="777" t="s">
        <v>85</v>
      </c>
      <c r="BP10" s="129" t="s">
        <v>84</v>
      </c>
    </row>
    <row r="11" spans="1:72" ht="18" customHeight="1" thickBot="1" x14ac:dyDescent="0.25">
      <c r="A11" s="805" t="s">
        <v>172</v>
      </c>
      <c r="B11" s="805"/>
      <c r="C11" s="220">
        <v>0.16900000000000001</v>
      </c>
      <c r="D11" s="217">
        <f>C11</f>
        <v>0.16900000000000001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3600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3600</v>
      </c>
      <c r="Q11" s="242">
        <f t="shared" si="13"/>
        <v>3600</v>
      </c>
      <c r="R11" s="242">
        <f t="shared" si="14"/>
        <v>0</v>
      </c>
      <c r="S11" s="242">
        <f t="shared" si="15"/>
        <v>90750</v>
      </c>
      <c r="T11" s="467"/>
      <c r="U11" s="198">
        <f>IF((U10-1)&lt;0,0,U10-1)</f>
        <v>46</v>
      </c>
      <c r="V11" s="36">
        <f t="shared" si="16"/>
        <v>46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0.16900000000000001</v>
      </c>
      <c r="AS11" s="258">
        <f t="shared" si="18"/>
        <v>2617</v>
      </c>
      <c r="AT11" s="258">
        <f t="shared" si="19"/>
        <v>2617</v>
      </c>
      <c r="AU11" s="258">
        <f t="shared" si="20"/>
        <v>1262.1400000000001</v>
      </c>
      <c r="AV11" s="258">
        <f>IF(BI11=0,0,IF(BI11=1,BG10,IF(BG10+AW11+AU11&gt;AT10,AT11-AU11-AW11,BG10)))</f>
        <v>1354.86</v>
      </c>
      <c r="AW11" s="258">
        <f t="shared" si="5"/>
        <v>0</v>
      </c>
      <c r="AX11" s="258">
        <v>0</v>
      </c>
      <c r="AY11" s="258">
        <f t="shared" si="22"/>
        <v>1262.1400000000001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86578.21</v>
      </c>
      <c r="BH11" s="108">
        <f>IF((BH10-1)&lt;0,0,BH10-1)</f>
        <v>46</v>
      </c>
      <c r="BI11" s="108">
        <f t="shared" ref="BI11:BI74" si="26">BH11</f>
        <v>46</v>
      </c>
      <c r="BJ11" s="22">
        <f t="shared" ref="BJ11:BJ74" si="27">H11</f>
        <v>44374</v>
      </c>
      <c r="BK11" s="108">
        <f t="shared" si="7"/>
        <v>0</v>
      </c>
      <c r="BN11" s="785"/>
      <c r="BO11" s="778"/>
      <c r="BP11" s="128" t="s">
        <v>91</v>
      </c>
    </row>
    <row r="12" spans="1:72" ht="18" customHeight="1" thickBot="1" x14ac:dyDescent="0.25">
      <c r="A12" s="805" t="s">
        <v>173</v>
      </c>
      <c r="B12" s="805"/>
      <c r="C12" s="221" t="s">
        <v>33</v>
      </c>
      <c r="D12" s="218" t="str">
        <f>C12</f>
        <v>Базовый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3600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3600</v>
      </c>
      <c r="Q12" s="242">
        <f t="shared" si="13"/>
        <v>3600</v>
      </c>
      <c r="R12" s="242">
        <f t="shared" si="14"/>
        <v>0</v>
      </c>
      <c r="S12" s="242">
        <f t="shared" si="15"/>
        <v>90750</v>
      </c>
      <c r="T12" s="467"/>
      <c r="U12" s="198">
        <f t="shared" ref="U12:U75" si="29">IF((U11-1)&lt;0,0,U11-1)</f>
        <v>45</v>
      </c>
      <c r="V12" s="36">
        <f t="shared" si="16"/>
        <v>45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0.16900000000000001</v>
      </c>
      <c r="AS12" s="258">
        <f t="shared" si="18"/>
        <v>2617</v>
      </c>
      <c r="AT12" s="258">
        <f t="shared" si="19"/>
        <v>2617</v>
      </c>
      <c r="AU12" s="258">
        <f t="shared" si="20"/>
        <v>1202.6099999999999</v>
      </c>
      <c r="AV12" s="258">
        <f t="shared" si="21"/>
        <v>1414.39</v>
      </c>
      <c r="AW12" s="258">
        <f t="shared" si="5"/>
        <v>0</v>
      </c>
      <c r="AX12" s="258">
        <v>0</v>
      </c>
      <c r="AY12" s="258">
        <f t="shared" si="22"/>
        <v>1202.6099999999999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85163.82</v>
      </c>
      <c r="BH12" s="108">
        <f t="shared" ref="BH12:BH75" si="31">IF((BH11-1)&lt;0,0,BH11-1)</f>
        <v>45</v>
      </c>
      <c r="BI12" s="108">
        <f t="shared" si="26"/>
        <v>45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805" t="s">
        <v>171</v>
      </c>
      <c r="B13" s="805"/>
      <c r="C13" s="222">
        <f>IF(OR(C8="Гарантия стандарт",C8="Гарантия пакет",C12="Базовый"),C11,C11-2%)</f>
        <v>0.16900000000000001</v>
      </c>
      <c r="D13" s="217">
        <f>IF(OR(D8="Гарантия стандарт",D8="Гарантия пакет",D12="Базовый"),D11,D11-2%)</f>
        <v>0.16900000000000001</v>
      </c>
      <c r="E13" s="535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3600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3600</v>
      </c>
      <c r="Q13" s="242">
        <f t="shared" si="13"/>
        <v>3600</v>
      </c>
      <c r="R13" s="242">
        <f t="shared" si="14"/>
        <v>0</v>
      </c>
      <c r="S13" s="242">
        <f>S12-M13-T13</f>
        <v>90750</v>
      </c>
      <c r="T13" s="467"/>
      <c r="U13" s="198">
        <f>IF((U12-1)&lt;0,0,U12-1)</f>
        <v>44</v>
      </c>
      <c r="V13" s="36">
        <f>U13</f>
        <v>44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0.16900000000000001</v>
      </c>
      <c r="AS13" s="258">
        <f t="shared" si="18"/>
        <v>2617</v>
      </c>
      <c r="AT13" s="258">
        <f t="shared" si="19"/>
        <v>2617</v>
      </c>
      <c r="AU13" s="258">
        <f t="shared" si="20"/>
        <v>1222.3900000000001</v>
      </c>
      <c r="AV13" s="258">
        <f t="shared" si="21"/>
        <v>1394.61</v>
      </c>
      <c r="AW13" s="258">
        <f t="shared" si="5"/>
        <v>0</v>
      </c>
      <c r="AX13" s="258">
        <v>0</v>
      </c>
      <c r="AY13" s="258">
        <f t="shared" si="22"/>
        <v>1222.3900000000001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83769.210000000006</v>
      </c>
      <c r="BH13" s="108">
        <f t="shared" si="31"/>
        <v>44</v>
      </c>
      <c r="BI13" s="108">
        <f t="shared" si="26"/>
        <v>44</v>
      </c>
      <c r="BJ13" s="22">
        <f t="shared" si="27"/>
        <v>44435</v>
      </c>
      <c r="BK13" s="108">
        <f t="shared" si="7"/>
        <v>0</v>
      </c>
      <c r="BN13" s="784" t="s">
        <v>92</v>
      </c>
      <c r="BO13" s="777" t="s">
        <v>85</v>
      </c>
      <c r="BP13" s="129" t="s">
        <v>90</v>
      </c>
    </row>
    <row r="14" spans="1:72" ht="19.5" customHeight="1" thickBot="1" x14ac:dyDescent="0.25">
      <c r="A14" s="920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3600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3600</v>
      </c>
      <c r="Q14" s="252">
        <f t="shared" si="13"/>
        <v>3600</v>
      </c>
      <c r="R14" s="252">
        <f t="shared" si="14"/>
        <v>0</v>
      </c>
      <c r="S14" s="252">
        <f>S13-M14-T14</f>
        <v>90750</v>
      </c>
      <c r="T14" s="468"/>
      <c r="U14" s="198">
        <f>IF((U13-1)&lt;0,0,U13-1)</f>
        <v>43</v>
      </c>
      <c r="V14" s="36">
        <f t="shared" si="16"/>
        <v>43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0.16900000000000001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0.16900000000000001</v>
      </c>
      <c r="AS14" s="258">
        <f t="shared" si="18"/>
        <v>2617</v>
      </c>
      <c r="AT14" s="258">
        <f t="shared" si="19"/>
        <v>2617</v>
      </c>
      <c r="AU14" s="258">
        <f t="shared" si="20"/>
        <v>1202.3800000000001</v>
      </c>
      <c r="AV14" s="258">
        <f t="shared" si="21"/>
        <v>1414.62</v>
      </c>
      <c r="AW14" s="258">
        <f t="shared" si="5"/>
        <v>0</v>
      </c>
      <c r="AX14" s="258">
        <v>0</v>
      </c>
      <c r="AY14" s="258">
        <f t="shared" si="22"/>
        <v>1202.3800000000001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82354.590000000011</v>
      </c>
      <c r="BH14" s="108">
        <f t="shared" si="31"/>
        <v>43</v>
      </c>
      <c r="BI14" s="108">
        <f t="shared" si="26"/>
        <v>43</v>
      </c>
      <c r="BJ14" s="22">
        <f t="shared" si="27"/>
        <v>44466</v>
      </c>
      <c r="BK14" s="108">
        <f t="shared" si="7"/>
        <v>0</v>
      </c>
      <c r="BN14" s="785"/>
      <c r="BO14" s="778"/>
      <c r="BP14" s="128" t="s">
        <v>93</v>
      </c>
    </row>
    <row r="15" spans="1:72" ht="20.25" customHeight="1" x14ac:dyDescent="0.2">
      <c r="A15" s="921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23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 t="shared" ref="I15:I20" si="32">IF(AND($C$16="Да",$C$8&lt;&gt;"Нет"),$AG$37,$C$13)</f>
        <v>0.129</v>
      </c>
      <c r="J15" s="242">
        <f t="shared" si="9"/>
        <v>2498</v>
      </c>
      <c r="K15" s="242">
        <f>IF(AND(G15&gt;=$W$9,G15&lt;=$W$9+5),$W$10,IF(S14+N15+L15&gt;K14,IF(AND($C$16="Да",$C$8&lt;&gt;"Нет"),$AF$37,$C$24),IF(S14=0,0,S14+N15+L15+L16)))</f>
        <v>2498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962.2</v>
      </c>
      <c r="M15" s="242">
        <f>IF(S14=0,0,IF(S14+N15+L15&gt;K14,K15-L15-N15,S14))</f>
        <v>1535.8</v>
      </c>
      <c r="N15" s="242">
        <f t="shared" si="2"/>
        <v>0</v>
      </c>
      <c r="O15" s="242">
        <v>0</v>
      </c>
      <c r="P15" s="242">
        <f t="shared" si="25"/>
        <v>962.2</v>
      </c>
      <c r="Q15" s="242">
        <f t="shared" ref="Q15:Q78" si="33">IF(V15=0,0,0)</f>
        <v>0</v>
      </c>
      <c r="R15" s="242">
        <f t="shared" si="14"/>
        <v>0</v>
      </c>
      <c r="S15" s="242">
        <f>S14-M15-T15</f>
        <v>89214.2</v>
      </c>
      <c r="T15" s="467"/>
      <c r="U15" s="198">
        <f t="shared" si="29"/>
        <v>42</v>
      </c>
      <c r="V15" s="36">
        <f t="shared" si="16"/>
        <v>42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ref="AR15:AR20" si="34">IF($D$16="Да",$AM$37,$D$13)</f>
        <v>0.16900000000000001</v>
      </c>
      <c r="AS15" s="258">
        <f t="shared" si="18"/>
        <v>2617</v>
      </c>
      <c r="AT15" s="258">
        <f t="shared" si="19"/>
        <v>2617</v>
      </c>
      <c r="AU15" s="258">
        <f t="shared" si="20"/>
        <v>1143.94</v>
      </c>
      <c r="AV15" s="258">
        <f t="shared" si="21"/>
        <v>1473.06</v>
      </c>
      <c r="AW15" s="258">
        <f t="shared" si="5"/>
        <v>0</v>
      </c>
      <c r="AX15" s="258">
        <v>0</v>
      </c>
      <c r="AY15" s="258">
        <f t="shared" si="22"/>
        <v>1143.94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80881.530000000013</v>
      </c>
      <c r="BH15" s="108">
        <f t="shared" si="31"/>
        <v>42</v>
      </c>
      <c r="BI15" s="108">
        <f t="shared" si="26"/>
        <v>42</v>
      </c>
      <c r="BJ15" s="22">
        <f t="shared" si="27"/>
        <v>44496</v>
      </c>
      <c r="BK15" s="108">
        <f t="shared" si="7"/>
        <v>2498</v>
      </c>
    </row>
    <row r="16" spans="1:72" ht="19.149999999999999" customHeight="1" x14ac:dyDescent="0.2">
      <c r="A16" s="925" t="s">
        <v>341</v>
      </c>
      <c r="B16" s="186" t="s">
        <v>170</v>
      </c>
      <c r="C16" s="506" t="s">
        <v>179</v>
      </c>
      <c r="D16" s="530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si="32"/>
        <v>0.129</v>
      </c>
      <c r="J16" s="242">
        <f t="shared" si="9"/>
        <v>2498</v>
      </c>
      <c r="K16" s="242">
        <f t="shared" ref="K16:K21" si="35">IF(AND(G16&gt;=$W$9,G16&lt;=$W$9+5),$W$10,IF(AND(S15+N16+L16&gt;K15,K15&lt;&gt;0),IF(AND($C$16="Да",$C$8&lt;&gt;"Нет"),$AF$37,$C$24),IF(S15=0,0,S15+N16+L16+L17)))</f>
        <v>2498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977.45</v>
      </c>
      <c r="M16" s="242">
        <f>IF(S15=0,0,IF(S15+N16+L16&gt;K15,K16-L16-N16,S15))</f>
        <v>1520.55</v>
      </c>
      <c r="N16" s="242">
        <f t="shared" si="2"/>
        <v>0</v>
      </c>
      <c r="O16" s="242">
        <v>0</v>
      </c>
      <c r="P16" s="242">
        <f t="shared" si="25"/>
        <v>977.45</v>
      </c>
      <c r="Q16" s="242">
        <f t="shared" si="33"/>
        <v>0</v>
      </c>
      <c r="R16" s="242">
        <f t="shared" si="14"/>
        <v>0</v>
      </c>
      <c r="S16" s="242">
        <f t="shared" si="15"/>
        <v>87693.65</v>
      </c>
      <c r="T16" s="467"/>
      <c r="U16" s="198">
        <f t="shared" si="29"/>
        <v>41</v>
      </c>
      <c r="V16" s="36">
        <f t="shared" si="16"/>
        <v>41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34"/>
        <v>0.16900000000000001</v>
      </c>
      <c r="AS16" s="258">
        <f t="shared" si="18"/>
        <v>2617</v>
      </c>
      <c r="AT16" s="258">
        <f t="shared" si="19"/>
        <v>2617</v>
      </c>
      <c r="AU16" s="258">
        <f t="shared" si="20"/>
        <v>1160.93</v>
      </c>
      <c r="AV16" s="258">
        <f t="shared" si="21"/>
        <v>1456.07</v>
      </c>
      <c r="AW16" s="258">
        <f t="shared" si="5"/>
        <v>0</v>
      </c>
      <c r="AX16" s="258">
        <v>0</v>
      </c>
      <c r="AY16" s="258">
        <f t="shared" si="22"/>
        <v>1160.93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79425.460000000006</v>
      </c>
      <c r="BH16" s="108">
        <f t="shared" si="31"/>
        <v>41</v>
      </c>
      <c r="BI16" s="108">
        <f t="shared" si="26"/>
        <v>41</v>
      </c>
      <c r="BJ16" s="22">
        <f t="shared" si="27"/>
        <v>44527</v>
      </c>
      <c r="BK16" s="108">
        <f t="shared" si="7"/>
        <v>2498</v>
      </c>
    </row>
    <row r="17" spans="1:393" ht="19.899999999999999" customHeight="1" x14ac:dyDescent="0.2">
      <c r="A17" s="925"/>
      <c r="B17" s="186" t="s">
        <v>183</v>
      </c>
      <c r="C17" s="507" t="str">
        <f>IF(C16="Да",IF(AND($C$23&lt;200000),"Серебряный",IF(AND($C$23&gt;=200000,$C$23&lt;300000),"Золотой",IF(AND($C$23&gt;=300000,$C$7&lt;=500000),"Платиновый",""))),"")</f>
        <v>Серебряный</v>
      </c>
      <c r="D17" s="207" t="str">
        <f>IF(D16="Да",IF(AND($D$23&lt;200000),"Серебряный",IF(AND($D$23&gt;=200000,$D$23&lt;300000),"Золотой",IF(AND($D$23&gt;=300000,$C$7&lt;=500000),"Платиновый",""))),"")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2"/>
        <v>0.129</v>
      </c>
      <c r="J17" s="242">
        <f t="shared" si="9"/>
        <v>2498</v>
      </c>
      <c r="K17" s="242">
        <f t="shared" si="35"/>
        <v>2498</v>
      </c>
      <c r="L17" s="242">
        <f t="shared" si="36"/>
        <v>929.79</v>
      </c>
      <c r="M17" s="242">
        <f t="shared" si="12"/>
        <v>1568.21</v>
      </c>
      <c r="N17" s="242">
        <f t="shared" si="2"/>
        <v>0</v>
      </c>
      <c r="O17" s="242">
        <v>0</v>
      </c>
      <c r="P17" s="242">
        <f t="shared" si="25"/>
        <v>929.79</v>
      </c>
      <c r="Q17" s="242">
        <f t="shared" si="33"/>
        <v>0</v>
      </c>
      <c r="R17" s="242">
        <f t="shared" si="14"/>
        <v>0</v>
      </c>
      <c r="S17" s="242">
        <f t="shared" si="15"/>
        <v>86125.439999999988</v>
      </c>
      <c r="T17" s="467"/>
      <c r="U17" s="198">
        <f t="shared" si="29"/>
        <v>40</v>
      </c>
      <c r="V17" s="36">
        <f t="shared" si="16"/>
        <v>40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34"/>
        <v>0.16900000000000001</v>
      </c>
      <c r="AS17" s="258">
        <f t="shared" si="18"/>
        <v>2617</v>
      </c>
      <c r="AT17" s="258">
        <f t="shared" si="19"/>
        <v>2617</v>
      </c>
      <c r="AU17" s="258">
        <f t="shared" si="20"/>
        <v>1103.25</v>
      </c>
      <c r="AV17" s="258">
        <f t="shared" si="21"/>
        <v>1513.75</v>
      </c>
      <c r="AW17" s="258">
        <f t="shared" si="5"/>
        <v>0</v>
      </c>
      <c r="AX17" s="258">
        <v>0</v>
      </c>
      <c r="AY17" s="258">
        <f t="shared" si="22"/>
        <v>1103.25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77911.710000000006</v>
      </c>
      <c r="BH17" s="108">
        <f t="shared" si="31"/>
        <v>40</v>
      </c>
      <c r="BI17" s="108">
        <f t="shared" si="26"/>
        <v>40</v>
      </c>
      <c r="BJ17" s="22">
        <f t="shared" si="27"/>
        <v>44557</v>
      </c>
      <c r="BK17" s="108">
        <f t="shared" si="7"/>
        <v>2498</v>
      </c>
    </row>
    <row r="18" spans="1:393" ht="19.899999999999999" customHeight="1" x14ac:dyDescent="0.2">
      <c r="A18" s="925"/>
      <c r="B18" s="186" t="s">
        <v>184</v>
      </c>
      <c r="C18" s="508">
        <f>IF($C$17="Серебряный",3600,IF($C$17="Золотой",5000,IF($C$17="Платиновый",7000,"")))</f>
        <v>3600</v>
      </c>
      <c r="D18" s="534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2"/>
        <v>0.129</v>
      </c>
      <c r="J18" s="242">
        <f t="shared" si="9"/>
        <v>2498</v>
      </c>
      <c r="K18" s="242">
        <f t="shared" si="35"/>
        <v>2498</v>
      </c>
      <c r="L18" s="242">
        <f t="shared" si="36"/>
        <v>943.6</v>
      </c>
      <c r="M18" s="242">
        <f t="shared" si="12"/>
        <v>1554.4</v>
      </c>
      <c r="N18" s="242">
        <f t="shared" si="2"/>
        <v>0</v>
      </c>
      <c r="O18" s="242">
        <v>0</v>
      </c>
      <c r="P18" s="242">
        <f t="shared" si="25"/>
        <v>943.6</v>
      </c>
      <c r="Q18" s="242">
        <f t="shared" si="33"/>
        <v>0</v>
      </c>
      <c r="R18" s="242">
        <f t="shared" si="14"/>
        <v>0</v>
      </c>
      <c r="S18" s="242">
        <f t="shared" si="15"/>
        <v>84571.04</v>
      </c>
      <c r="T18" s="467"/>
      <c r="U18" s="198">
        <f t="shared" si="29"/>
        <v>39</v>
      </c>
      <c r="V18" s="36">
        <f t="shared" si="16"/>
        <v>39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34"/>
        <v>0.16900000000000001</v>
      </c>
      <c r="AS18" s="258">
        <f t="shared" si="18"/>
        <v>2617</v>
      </c>
      <c r="AT18" s="258">
        <f t="shared" si="19"/>
        <v>2617</v>
      </c>
      <c r="AU18" s="258">
        <f t="shared" si="20"/>
        <v>1118.3</v>
      </c>
      <c r="AV18" s="258">
        <f t="shared" si="21"/>
        <v>1498.7</v>
      </c>
      <c r="AW18" s="258">
        <f t="shared" si="5"/>
        <v>0</v>
      </c>
      <c r="AX18" s="258">
        <v>0</v>
      </c>
      <c r="AY18" s="258">
        <f t="shared" si="22"/>
        <v>1118.3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76413.010000000009</v>
      </c>
      <c r="BH18" s="108">
        <f t="shared" si="31"/>
        <v>39</v>
      </c>
      <c r="BI18" s="108">
        <f t="shared" si="26"/>
        <v>39</v>
      </c>
      <c r="BJ18" s="22">
        <f t="shared" si="27"/>
        <v>44588</v>
      </c>
      <c r="BK18" s="108">
        <f t="shared" si="7"/>
        <v>2498</v>
      </c>
    </row>
    <row r="19" spans="1:393" ht="36" customHeight="1" x14ac:dyDescent="0.2">
      <c r="A19" s="922" t="s">
        <v>338</v>
      </c>
      <c r="B19" s="922"/>
      <c r="C19" s="922"/>
      <c r="D19" s="922"/>
      <c r="E19" s="922"/>
      <c r="F19" s="233"/>
      <c r="G19" s="244">
        <f t="shared" si="28"/>
        <v>11</v>
      </c>
      <c r="H19" s="245">
        <f t="shared" si="1"/>
        <v>44619</v>
      </c>
      <c r="I19" s="246">
        <f t="shared" si="32"/>
        <v>0.129</v>
      </c>
      <c r="J19" s="242">
        <f t="shared" si="9"/>
        <v>2498</v>
      </c>
      <c r="K19" s="242">
        <f t="shared" si="35"/>
        <v>2498</v>
      </c>
      <c r="L19" s="242">
        <f t="shared" si="36"/>
        <v>926.57</v>
      </c>
      <c r="M19" s="242">
        <f t="shared" si="12"/>
        <v>1571.4299999999998</v>
      </c>
      <c r="N19" s="242">
        <f t="shared" si="2"/>
        <v>0</v>
      </c>
      <c r="O19" s="242">
        <v>0</v>
      </c>
      <c r="P19" s="242">
        <f t="shared" si="25"/>
        <v>926.57</v>
      </c>
      <c r="Q19" s="242">
        <f t="shared" si="33"/>
        <v>0</v>
      </c>
      <c r="R19" s="242">
        <f t="shared" si="14"/>
        <v>0</v>
      </c>
      <c r="S19" s="242">
        <f t="shared" si="15"/>
        <v>82999.61</v>
      </c>
      <c r="T19" s="467"/>
      <c r="U19" s="198">
        <f>IF((U18-1)&lt;0,0,U18-1)</f>
        <v>38</v>
      </c>
      <c r="V19" s="36">
        <f t="shared" si="16"/>
        <v>38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34"/>
        <v>0.16900000000000001</v>
      </c>
      <c r="AS19" s="258">
        <f t="shared" si="18"/>
        <v>2617</v>
      </c>
      <c r="AT19" s="258">
        <f t="shared" si="19"/>
        <v>2617</v>
      </c>
      <c r="AU19" s="258">
        <f t="shared" si="20"/>
        <v>1096.79</v>
      </c>
      <c r="AV19" s="258">
        <f t="shared" si="21"/>
        <v>1520.21</v>
      </c>
      <c r="AW19" s="258">
        <f t="shared" si="5"/>
        <v>0</v>
      </c>
      <c r="AX19" s="258">
        <v>0</v>
      </c>
      <c r="AY19" s="258">
        <f t="shared" si="22"/>
        <v>1096.79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74892.800000000003</v>
      </c>
      <c r="BH19" s="108">
        <f t="shared" si="31"/>
        <v>38</v>
      </c>
      <c r="BI19" s="108">
        <f t="shared" si="26"/>
        <v>38</v>
      </c>
      <c r="BJ19" s="22">
        <f t="shared" si="27"/>
        <v>44619</v>
      </c>
      <c r="BK19" s="108">
        <f t="shared" si="7"/>
        <v>2498</v>
      </c>
    </row>
    <row r="20" spans="1:393" ht="16.899999999999999" customHeight="1" thickBot="1" x14ac:dyDescent="0.25">
      <c r="A20" s="923" t="s">
        <v>342</v>
      </c>
      <c r="B20" s="923"/>
      <c r="C20" s="923"/>
      <c r="D20" s="923"/>
      <c r="E20" s="923"/>
      <c r="F20" s="224"/>
      <c r="G20" s="248">
        <f t="shared" si="28"/>
        <v>12</v>
      </c>
      <c r="H20" s="249">
        <f t="shared" si="1"/>
        <v>44647</v>
      </c>
      <c r="I20" s="250">
        <f t="shared" si="32"/>
        <v>0.129</v>
      </c>
      <c r="J20" s="252">
        <f t="shared" si="9"/>
        <v>2498</v>
      </c>
      <c r="K20" s="252">
        <f t="shared" si="35"/>
        <v>2498</v>
      </c>
      <c r="L20" s="252">
        <f>IF(AND(G20&gt;=$W$9,G20&lt;=$W$9+5),0,IF($C$9&gt;$AF$51,ROUND(S19*I20*((H20-DATE(YEAR(H20),MONTH(H20),1)+1)/(DATE(YEAR(H20)+1,1,1)-DATE(YEAR(H20),1,1))+(EOMONTH(H19,0)-H19)/(DATE(YEAR(H19)+1,1,1)-DATE(YEAR(H19),1,1))),2),0))</f>
        <v>821.36</v>
      </c>
      <c r="M20" s="252">
        <f t="shared" si="12"/>
        <v>1676.6399999999999</v>
      </c>
      <c r="N20" s="252">
        <f t="shared" si="2"/>
        <v>0</v>
      </c>
      <c r="O20" s="252">
        <v>0</v>
      </c>
      <c r="P20" s="252">
        <f t="shared" si="25"/>
        <v>821.36</v>
      </c>
      <c r="Q20" s="252">
        <f t="shared" si="33"/>
        <v>0</v>
      </c>
      <c r="R20" s="252">
        <f t="shared" si="14"/>
        <v>0</v>
      </c>
      <c r="S20" s="252">
        <f t="shared" si="15"/>
        <v>81322.97</v>
      </c>
      <c r="T20" s="468"/>
      <c r="U20" s="198">
        <f>IF((U19-1)&lt;0,0,U19-1)</f>
        <v>37</v>
      </c>
      <c r="V20" s="36">
        <f t="shared" si="16"/>
        <v>37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34"/>
        <v>0.16900000000000001</v>
      </c>
      <c r="AS20" s="258">
        <f t="shared" si="18"/>
        <v>2617</v>
      </c>
      <c r="AT20" s="258">
        <f t="shared" si="19"/>
        <v>2617</v>
      </c>
      <c r="AU20" s="258">
        <f t="shared" si="20"/>
        <v>970.94</v>
      </c>
      <c r="AV20" s="258">
        <f t="shared" si="21"/>
        <v>1646.06</v>
      </c>
      <c r="AW20" s="258">
        <f t="shared" si="5"/>
        <v>0</v>
      </c>
      <c r="AX20" s="258">
        <v>0</v>
      </c>
      <c r="AY20" s="258">
        <f t="shared" si="22"/>
        <v>970.94</v>
      </c>
      <c r="AZ20" s="258">
        <f t="shared" si="6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73246.740000000005</v>
      </c>
      <c r="BH20" s="108">
        <f t="shared" si="31"/>
        <v>37</v>
      </c>
      <c r="BI20" s="108">
        <f t="shared" si="26"/>
        <v>37</v>
      </c>
      <c r="BJ20" s="22">
        <f t="shared" si="27"/>
        <v>44647</v>
      </c>
      <c r="BK20" s="108">
        <f t="shared" si="7"/>
        <v>2498</v>
      </c>
    </row>
    <row r="21" spans="1:393" ht="38.25" customHeight="1" x14ac:dyDescent="0.2">
      <c r="A21" s="913" t="str">
        <f>CONCATENATE("Наличие акции Снижаем ставку 2,0:
- первые 6 мес. ставка - 0%;
- с 7-го мес. снижение ставки на ",AG35*100," % годовых от базовой ставки!")</f>
        <v>Наличие акции Снижаем ставку 2,0:
- первые 6 мес. ставка - 0%;
- с 7-го мес. снижение ставки на 4 % годовых от базовой ставки!</v>
      </c>
      <c r="B21" s="890"/>
      <c r="C21" s="538" t="s">
        <v>179</v>
      </c>
      <c r="D21" s="539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0.129</v>
      </c>
      <c r="J21" s="242">
        <f>K21+Q21</f>
        <v>2498</v>
      </c>
      <c r="K21" s="242">
        <f t="shared" si="35"/>
        <v>2498</v>
      </c>
      <c r="L21" s="242">
        <f>IF(AND(G21&gt;=$W$9,G21&lt;=$W$9+5),0,IF($C$9&gt;$AF$51,ROUND(S20*I21*((H21-DATE(YEAR(H21),MONTH(H21),1)+1)/(DATE(YEAR(H21)+1,1,1)-DATE(YEAR(H21),1,1))+(EOMONTH(H20,0)-H20)/(DATE(YEAR(H20)+1,1,1)-DATE(YEAR(H20),1,1))),2),0))</f>
        <v>890.99</v>
      </c>
      <c r="M21" s="242">
        <f t="shared" si="12"/>
        <v>1607.01</v>
      </c>
      <c r="N21" s="242">
        <f t="shared" si="2"/>
        <v>0</v>
      </c>
      <c r="O21" s="242">
        <v>0</v>
      </c>
      <c r="P21" s="242">
        <f t="shared" si="25"/>
        <v>890.99</v>
      </c>
      <c r="Q21" s="242">
        <f t="shared" si="33"/>
        <v>0</v>
      </c>
      <c r="R21" s="242">
        <f t="shared" si="14"/>
        <v>0</v>
      </c>
      <c r="S21" s="242">
        <f t="shared" si="15"/>
        <v>79715.960000000006</v>
      </c>
      <c r="T21" s="467"/>
      <c r="U21" s="198">
        <f>IF((U20-1)&lt;0,0,U20-1)</f>
        <v>36</v>
      </c>
      <c r="V21" s="36">
        <f t="shared" si="16"/>
        <v>36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8">IF($D$16="Да",$AM$37,$D$13)</f>
        <v>0.16900000000000001</v>
      </c>
      <c r="AS21" s="258">
        <f t="shared" si="18"/>
        <v>2617</v>
      </c>
      <c r="AT21" s="258">
        <f t="shared" si="19"/>
        <v>2617</v>
      </c>
      <c r="AU21" s="258">
        <f t="shared" si="20"/>
        <v>1051.3399999999999</v>
      </c>
      <c r="AV21" s="258">
        <f t="shared" si="21"/>
        <v>1565.66</v>
      </c>
      <c r="AW21" s="258">
        <f t="shared" si="5"/>
        <v>0</v>
      </c>
      <c r="AX21" s="258">
        <v>0</v>
      </c>
      <c r="AY21" s="258">
        <f t="shared" si="22"/>
        <v>1051.3399999999999</v>
      </c>
      <c r="AZ21" s="258">
        <f t="shared" ref="AZ21:AZ84" si="39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71681.08</v>
      </c>
      <c r="BH21" s="108">
        <f t="shared" si="31"/>
        <v>36</v>
      </c>
      <c r="BI21" s="108">
        <f t="shared" si="26"/>
        <v>36</v>
      </c>
      <c r="BJ21" s="22">
        <f t="shared" si="27"/>
        <v>44678</v>
      </c>
      <c r="BK21" s="108">
        <f t="shared" si="7"/>
        <v>2498</v>
      </c>
    </row>
    <row r="22" spans="1:393" ht="34.15" customHeight="1" x14ac:dyDescent="0.2">
      <c r="A22" s="924" t="s">
        <v>343</v>
      </c>
      <c r="B22" s="924"/>
      <c r="C22" s="924"/>
      <c r="D22" s="924"/>
      <c r="E22" s="924"/>
      <c r="F22" s="225"/>
      <c r="G22" s="244">
        <f t="shared" si="28"/>
        <v>14</v>
      </c>
      <c r="H22" s="245">
        <f t="shared" si="1"/>
        <v>44708</v>
      </c>
      <c r="I22" s="246">
        <f t="shared" ref="I22:I32" si="40">IF(AND($C$16="Да",$C$8&lt;&gt;"Нет"),$AG$37,$C$13)</f>
        <v>0.129</v>
      </c>
      <c r="J22" s="242">
        <f t="shared" si="9"/>
        <v>2498</v>
      </c>
      <c r="K22" s="242">
        <f t="shared" ref="K22:K31" si="41">IF(AND(G22&gt;=$W$9,G22&lt;=$W$9+5),$W$10,IF(AND(S21+N22+L22&gt;K21,K21&lt;&gt;0),IF(AND($C$16="Да",$C$8&lt;&gt;"Нет"),$AF$37,$C$24),IF(S21=0,0,S21+N22+L22+L23)))</f>
        <v>2498</v>
      </c>
      <c r="L22" s="242">
        <f t="shared" si="36"/>
        <v>845.21</v>
      </c>
      <c r="M22" s="242">
        <f t="shared" si="12"/>
        <v>1652.79</v>
      </c>
      <c r="N22" s="242">
        <f t="shared" si="2"/>
        <v>0</v>
      </c>
      <c r="O22" s="242">
        <v>0</v>
      </c>
      <c r="P22" s="242">
        <f t="shared" si="25"/>
        <v>845.21</v>
      </c>
      <c r="Q22" s="242">
        <f t="shared" si="33"/>
        <v>0</v>
      </c>
      <c r="R22" s="242">
        <f t="shared" si="14"/>
        <v>0</v>
      </c>
      <c r="S22" s="242">
        <f t="shared" si="15"/>
        <v>78063.170000000013</v>
      </c>
      <c r="T22" s="467"/>
      <c r="U22" s="198">
        <f t="shared" si="29"/>
        <v>35</v>
      </c>
      <c r="V22" s="36">
        <f t="shared" si="16"/>
        <v>35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8"/>
        <v>0.16900000000000001</v>
      </c>
      <c r="AS22" s="258">
        <f t="shared" si="18"/>
        <v>2617</v>
      </c>
      <c r="AT22" s="258">
        <f t="shared" si="19"/>
        <v>2617</v>
      </c>
      <c r="AU22" s="258">
        <f t="shared" si="20"/>
        <v>995.68</v>
      </c>
      <c r="AV22" s="258">
        <f t="shared" si="21"/>
        <v>1621.3200000000002</v>
      </c>
      <c r="AW22" s="258">
        <f t="shared" si="5"/>
        <v>0</v>
      </c>
      <c r="AX22" s="258">
        <v>0</v>
      </c>
      <c r="AY22" s="258">
        <f t="shared" si="22"/>
        <v>995.68</v>
      </c>
      <c r="AZ22" s="258">
        <f t="shared" si="39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70059.759999999995</v>
      </c>
      <c r="BH22" s="108">
        <f t="shared" si="31"/>
        <v>35</v>
      </c>
      <c r="BI22" s="108">
        <f t="shared" si="26"/>
        <v>35</v>
      </c>
      <c r="BJ22" s="22">
        <f t="shared" si="27"/>
        <v>44708</v>
      </c>
      <c r="BK22" s="108">
        <f t="shared" si="7"/>
        <v>2498</v>
      </c>
    </row>
    <row r="23" spans="1:393" ht="19.149999999999999" customHeight="1" x14ac:dyDescent="0.2">
      <c r="A23" s="769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769"/>
      <c r="C23" s="540">
        <f>$C$7+(IF($C$8="Нет",0,IF($C$25&lt;&gt;"",$C$25,0))+IF(C14="Нет",0,IF(C14="Да",C15,0)))</f>
        <v>90750</v>
      </c>
      <c r="D23" s="541">
        <f>$C$7+(IF($D$8="Нет",0,IF($D$25&lt;&gt;"",$D$25,0))+IF(D14="Нет",0,IF(D14="Да",D15,0)))</f>
        <v>90750</v>
      </c>
      <c r="E23" s="542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40"/>
        <v>0.129</v>
      </c>
      <c r="J23" s="242">
        <f t="shared" si="9"/>
        <v>2498</v>
      </c>
      <c r="K23" s="242">
        <f t="shared" si="41"/>
        <v>2498</v>
      </c>
      <c r="L23" s="242">
        <f t="shared" si="36"/>
        <v>855.27</v>
      </c>
      <c r="M23" s="242">
        <f t="shared" si="12"/>
        <v>1642.73</v>
      </c>
      <c r="N23" s="242">
        <f t="shared" si="2"/>
        <v>0</v>
      </c>
      <c r="O23" s="242">
        <v>0</v>
      </c>
      <c r="P23" s="242">
        <f t="shared" si="25"/>
        <v>855.27</v>
      </c>
      <c r="Q23" s="242">
        <f t="shared" si="33"/>
        <v>0</v>
      </c>
      <c r="R23" s="242">
        <f t="shared" si="14"/>
        <v>0</v>
      </c>
      <c r="S23" s="242">
        <f t="shared" si="15"/>
        <v>76420.440000000017</v>
      </c>
      <c r="T23" s="467"/>
      <c r="U23" s="198">
        <f t="shared" si="29"/>
        <v>34</v>
      </c>
      <c r="V23" s="36">
        <f t="shared" si="16"/>
        <v>34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8"/>
        <v>0.16900000000000001</v>
      </c>
      <c r="AS23" s="258">
        <f t="shared" si="18"/>
        <v>2617</v>
      </c>
      <c r="AT23" s="258">
        <f t="shared" si="19"/>
        <v>2617</v>
      </c>
      <c r="AU23" s="258">
        <f t="shared" si="20"/>
        <v>1005.6</v>
      </c>
      <c r="AV23" s="258">
        <f t="shared" si="21"/>
        <v>1611.4</v>
      </c>
      <c r="AW23" s="258">
        <f t="shared" si="5"/>
        <v>0</v>
      </c>
      <c r="AX23" s="258">
        <v>0</v>
      </c>
      <c r="AY23" s="258">
        <f t="shared" si="22"/>
        <v>1005.6</v>
      </c>
      <c r="AZ23" s="258">
        <f t="shared" si="39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68448.36</v>
      </c>
      <c r="BH23" s="108">
        <f t="shared" si="31"/>
        <v>34</v>
      </c>
      <c r="BI23" s="108">
        <f t="shared" si="26"/>
        <v>34</v>
      </c>
      <c r="BJ23" s="22">
        <f t="shared" si="27"/>
        <v>44739</v>
      </c>
      <c r="BK23" s="108">
        <f t="shared" si="7"/>
        <v>2498</v>
      </c>
    </row>
    <row r="24" spans="1:393" ht="18" customHeight="1" x14ac:dyDescent="0.2">
      <c r="A24" s="769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769"/>
      <c r="C24" s="516">
        <f>ROUNDUP(AH36/AH33*C23/AG47,0)*AG47</f>
        <v>2617</v>
      </c>
      <c r="D24" s="531">
        <f>ROUNDUP(AI36/AH33*D23/AG47,0)*AG47</f>
        <v>2617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40"/>
        <v>0.129</v>
      </c>
      <c r="J24" s="242">
        <f t="shared" si="9"/>
        <v>2498</v>
      </c>
      <c r="K24" s="242">
        <f t="shared" si="41"/>
        <v>2498</v>
      </c>
      <c r="L24" s="242">
        <f t="shared" si="36"/>
        <v>810.27</v>
      </c>
      <c r="M24" s="242">
        <f t="shared" si="12"/>
        <v>1687.73</v>
      </c>
      <c r="N24" s="242">
        <f t="shared" si="2"/>
        <v>0</v>
      </c>
      <c r="O24" s="242">
        <v>0</v>
      </c>
      <c r="P24" s="242">
        <f t="shared" si="25"/>
        <v>810.27</v>
      </c>
      <c r="Q24" s="242">
        <f t="shared" si="33"/>
        <v>0</v>
      </c>
      <c r="R24" s="242">
        <f t="shared" si="14"/>
        <v>0</v>
      </c>
      <c r="S24" s="242">
        <f t="shared" si="15"/>
        <v>74732.710000000021</v>
      </c>
      <c r="T24" s="467"/>
      <c r="U24" s="198">
        <f t="shared" si="29"/>
        <v>33</v>
      </c>
      <c r="V24" s="36">
        <f t="shared" si="16"/>
        <v>33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8"/>
        <v>0.16900000000000001</v>
      </c>
      <c r="AS24" s="258">
        <f t="shared" si="18"/>
        <v>2617</v>
      </c>
      <c r="AT24" s="258">
        <f t="shared" si="19"/>
        <v>2617</v>
      </c>
      <c r="AU24" s="258">
        <f t="shared" si="20"/>
        <v>950.78</v>
      </c>
      <c r="AV24" s="258">
        <f t="shared" si="21"/>
        <v>1666.22</v>
      </c>
      <c r="AW24" s="258">
        <f t="shared" si="5"/>
        <v>0</v>
      </c>
      <c r="AX24" s="258">
        <v>0</v>
      </c>
      <c r="AY24" s="258">
        <f t="shared" si="22"/>
        <v>950.78</v>
      </c>
      <c r="AZ24" s="258">
        <f t="shared" si="39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66782.14</v>
      </c>
      <c r="BH24" s="108">
        <f t="shared" si="31"/>
        <v>33</v>
      </c>
      <c r="BI24" s="108">
        <f t="shared" si="26"/>
        <v>33</v>
      </c>
      <c r="BJ24" s="22">
        <f t="shared" si="27"/>
        <v>44769</v>
      </c>
      <c r="BK24" s="108">
        <f t="shared" si="7"/>
        <v>2498</v>
      </c>
    </row>
    <row r="25" spans="1:393" ht="18" customHeight="1" x14ac:dyDescent="0.2">
      <c r="A25" s="763" t="s">
        <v>285</v>
      </c>
      <c r="B25" s="763"/>
      <c r="C25" s="508">
        <f>IF(C8="Гарантия пакет",(AH65*AH79+AI65*AI79),INDEX($AC$79:$AI$79,MATCH(C$8,$AC$59:$AJ$59,0))*C26)*$C$10</f>
        <v>15750</v>
      </c>
      <c r="D25" s="208">
        <f>IF(D8="Гарантия пакет",(AH65*AH79+AI65*AI79),INDEX($AC$79:$AI$79,MATCH(D$8,$AC$59:$AJ$59,0))*D26)*$C$10</f>
        <v>15750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40"/>
        <v>0.129</v>
      </c>
      <c r="J25" s="242">
        <f t="shared" si="9"/>
        <v>2498</v>
      </c>
      <c r="K25" s="242">
        <f t="shared" si="41"/>
        <v>2498</v>
      </c>
      <c r="L25" s="242">
        <f t="shared" si="36"/>
        <v>818.78</v>
      </c>
      <c r="M25" s="242">
        <f t="shared" si="12"/>
        <v>1679.22</v>
      </c>
      <c r="N25" s="242">
        <f t="shared" si="2"/>
        <v>0</v>
      </c>
      <c r="O25" s="242">
        <v>0</v>
      </c>
      <c r="P25" s="242">
        <f t="shared" si="25"/>
        <v>818.78</v>
      </c>
      <c r="Q25" s="242">
        <f t="shared" si="33"/>
        <v>0</v>
      </c>
      <c r="R25" s="242">
        <f t="shared" si="14"/>
        <v>0</v>
      </c>
      <c r="S25" s="242">
        <f t="shared" si="15"/>
        <v>73053.49000000002</v>
      </c>
      <c r="T25" s="467"/>
      <c r="U25" s="198">
        <f t="shared" si="29"/>
        <v>32</v>
      </c>
      <c r="V25" s="36">
        <f t="shared" si="16"/>
        <v>32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8"/>
        <v>0.16900000000000001</v>
      </c>
      <c r="AS25" s="258">
        <f t="shared" si="18"/>
        <v>2617</v>
      </c>
      <c r="AT25" s="258">
        <f t="shared" si="19"/>
        <v>2617</v>
      </c>
      <c r="AU25" s="258">
        <f t="shared" si="20"/>
        <v>958.55</v>
      </c>
      <c r="AV25" s="258">
        <f t="shared" si="21"/>
        <v>1658.45</v>
      </c>
      <c r="AW25" s="258">
        <f t="shared" si="5"/>
        <v>0</v>
      </c>
      <c r="AX25" s="258">
        <v>0</v>
      </c>
      <c r="AY25" s="258">
        <f t="shared" si="22"/>
        <v>958.55</v>
      </c>
      <c r="AZ25" s="258">
        <f t="shared" si="39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65123.69</v>
      </c>
      <c r="BH25" s="108">
        <f t="shared" si="31"/>
        <v>32</v>
      </c>
      <c r="BI25" s="108">
        <f t="shared" si="26"/>
        <v>32</v>
      </c>
      <c r="BJ25" s="22">
        <f t="shared" si="27"/>
        <v>44800</v>
      </c>
      <c r="BK25" s="108">
        <f t="shared" si="7"/>
        <v>2498</v>
      </c>
    </row>
    <row r="26" spans="1:393" ht="18" customHeight="1" x14ac:dyDescent="0.2">
      <c r="A26" s="763" t="s">
        <v>100</v>
      </c>
      <c r="B26" s="804"/>
      <c r="C26" s="517">
        <f>IF(C8="Нет",0,IF(C8=AC59,AC65,IF(C8=AD59,AD65,IF(C8=AF59,AF65,IF(C8=AG59,AG65,IF(C8=AE59,AE65,IF(C8=AH59,AH65,IF(C8=AI59,AI65,IF(C8=AJ59,AJ65,Y23)))))))))</f>
        <v>3.5000000000000001E-3</v>
      </c>
      <c r="D26" s="532">
        <f>IF(D8=AC59,AC65,IF(D8=AD59,AD65,IF(D8=AF59,AF65,IF(D8=AG59,AG65,IF(D8=AE59,AE65,IF(D8=AH59,AH65,IF(D8=AI59,AI65,IF(D8=AJ59,AJ65,Y23))))))))</f>
        <v>3.5000000000000001E-3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40"/>
        <v>0.129</v>
      </c>
      <c r="J26" s="242">
        <f t="shared" si="9"/>
        <v>2498</v>
      </c>
      <c r="K26" s="242">
        <f t="shared" si="41"/>
        <v>2498</v>
      </c>
      <c r="L26" s="242">
        <f t="shared" si="36"/>
        <v>800.39</v>
      </c>
      <c r="M26" s="242">
        <f t="shared" si="12"/>
        <v>1697.6100000000001</v>
      </c>
      <c r="N26" s="242">
        <f t="shared" si="2"/>
        <v>0</v>
      </c>
      <c r="O26" s="242">
        <v>0</v>
      </c>
      <c r="P26" s="242">
        <f t="shared" si="25"/>
        <v>800.39</v>
      </c>
      <c r="Q26" s="242">
        <f t="shared" si="33"/>
        <v>0</v>
      </c>
      <c r="R26" s="242">
        <f t="shared" si="14"/>
        <v>0</v>
      </c>
      <c r="S26" s="242">
        <f t="shared" si="15"/>
        <v>71355.880000000019</v>
      </c>
      <c r="T26" s="467"/>
      <c r="U26" s="198">
        <f t="shared" si="29"/>
        <v>31</v>
      </c>
      <c r="V26" s="36">
        <f t="shared" si="16"/>
        <v>31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8"/>
        <v>0.16900000000000001</v>
      </c>
      <c r="AS26" s="258">
        <f t="shared" si="18"/>
        <v>2617</v>
      </c>
      <c r="AT26" s="258">
        <f t="shared" si="19"/>
        <v>2617</v>
      </c>
      <c r="AU26" s="258">
        <f t="shared" si="20"/>
        <v>934.75</v>
      </c>
      <c r="AV26" s="258">
        <f t="shared" si="21"/>
        <v>1682.25</v>
      </c>
      <c r="AW26" s="258">
        <f t="shared" si="5"/>
        <v>0</v>
      </c>
      <c r="AX26" s="258">
        <v>0</v>
      </c>
      <c r="AY26" s="258">
        <f t="shared" si="22"/>
        <v>934.75</v>
      </c>
      <c r="AZ26" s="258">
        <f t="shared" si="39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63441.440000000002</v>
      </c>
      <c r="BH26" s="108">
        <f t="shared" si="31"/>
        <v>31</v>
      </c>
      <c r="BI26" s="108">
        <f t="shared" si="26"/>
        <v>31</v>
      </c>
      <c r="BJ26" s="22">
        <f t="shared" si="27"/>
        <v>44831</v>
      </c>
      <c r="BK26" s="108">
        <f t="shared" si="7"/>
        <v>2498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63" t="s">
        <v>325</v>
      </c>
      <c r="B27" s="763"/>
      <c r="C27" s="508">
        <f>IF(C8="Гарантия пакет",(AH65*AH79+AI65*AI79),INDEX($AC$79:$AI$79,MATCH(C$8,$AC$59:$AJ$59,0)))</f>
        <v>93750</v>
      </c>
      <c r="D27" s="208">
        <f>IF(D8="Гарантия пакет",(AH65*AH79+AI65*AI79),INDEX($AC$79:$AI$79,MATCH(D$8,$AC$59:$AJ$59,0)))</f>
        <v>93750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40"/>
        <v>0.129</v>
      </c>
      <c r="J27" s="242">
        <f t="shared" si="9"/>
        <v>2498</v>
      </c>
      <c r="K27" s="242">
        <f t="shared" si="41"/>
        <v>2498</v>
      </c>
      <c r="L27" s="242">
        <f t="shared" si="36"/>
        <v>756.57</v>
      </c>
      <c r="M27" s="242">
        <f t="shared" si="12"/>
        <v>1741.4299999999998</v>
      </c>
      <c r="N27" s="242">
        <f t="shared" si="2"/>
        <v>0</v>
      </c>
      <c r="O27" s="242">
        <v>0</v>
      </c>
      <c r="P27" s="242">
        <f t="shared" si="25"/>
        <v>756.57</v>
      </c>
      <c r="Q27" s="242">
        <f t="shared" si="33"/>
        <v>0</v>
      </c>
      <c r="R27" s="242">
        <f t="shared" si="14"/>
        <v>0</v>
      </c>
      <c r="S27" s="242">
        <f t="shared" si="15"/>
        <v>69614.450000000026</v>
      </c>
      <c r="T27" s="467"/>
      <c r="U27" s="198">
        <f t="shared" si="29"/>
        <v>30</v>
      </c>
      <c r="V27" s="36">
        <f t="shared" si="16"/>
        <v>30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8"/>
        <v>0.16900000000000001</v>
      </c>
      <c r="AS27" s="258">
        <f t="shared" si="18"/>
        <v>2617</v>
      </c>
      <c r="AT27" s="258">
        <f t="shared" si="19"/>
        <v>2617</v>
      </c>
      <c r="AU27" s="258">
        <f t="shared" si="20"/>
        <v>881.23</v>
      </c>
      <c r="AV27" s="258">
        <f t="shared" si="21"/>
        <v>1735.77</v>
      </c>
      <c r="AW27" s="258">
        <f t="shared" si="5"/>
        <v>0</v>
      </c>
      <c r="AX27" s="258">
        <v>0</v>
      </c>
      <c r="AY27" s="258">
        <f t="shared" si="22"/>
        <v>881.23</v>
      </c>
      <c r="AZ27" s="258">
        <f t="shared" si="39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61705.670000000006</v>
      </c>
      <c r="BH27" s="108">
        <f t="shared" si="31"/>
        <v>30</v>
      </c>
      <c r="BI27" s="108">
        <f t="shared" si="26"/>
        <v>30</v>
      </c>
      <c r="BJ27" s="22">
        <f t="shared" si="27"/>
        <v>44861</v>
      </c>
      <c r="BK27" s="108">
        <f t="shared" si="7"/>
        <v>2498</v>
      </c>
    </row>
    <row r="28" spans="1:393" ht="22.5" customHeight="1" x14ac:dyDescent="0.2">
      <c r="A28" s="763" t="s">
        <v>310</v>
      </c>
      <c r="B28" s="763"/>
      <c r="C28" s="508">
        <f>C25/$C$10</f>
        <v>328.125</v>
      </c>
      <c r="D28" s="208">
        <f>D25/$C$10</f>
        <v>328.125</v>
      </c>
      <c r="E28" s="206">
        <f t="shared" ref="E28:E29" si="42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40"/>
        <v>0.129</v>
      </c>
      <c r="J28" s="242">
        <f t="shared" si="9"/>
        <v>2498</v>
      </c>
      <c r="K28" s="242">
        <f t="shared" si="41"/>
        <v>2498</v>
      </c>
      <c r="L28" s="242">
        <f t="shared" si="36"/>
        <v>762.71</v>
      </c>
      <c r="M28" s="242">
        <f t="shared" si="12"/>
        <v>1735.29</v>
      </c>
      <c r="N28" s="242">
        <f t="shared" si="2"/>
        <v>0</v>
      </c>
      <c r="O28" s="242">
        <v>0</v>
      </c>
      <c r="P28" s="242">
        <f t="shared" si="25"/>
        <v>762.71</v>
      </c>
      <c r="Q28" s="242">
        <f t="shared" si="33"/>
        <v>0</v>
      </c>
      <c r="R28" s="242">
        <f t="shared" si="14"/>
        <v>0</v>
      </c>
      <c r="S28" s="242">
        <f t="shared" si="15"/>
        <v>67879.160000000033</v>
      </c>
      <c r="T28" s="467"/>
      <c r="U28" s="198">
        <f t="shared" si="29"/>
        <v>29</v>
      </c>
      <c r="V28" s="36">
        <f t="shared" si="16"/>
        <v>29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8"/>
        <v>0.16900000000000001</v>
      </c>
      <c r="AS28" s="258">
        <f t="shared" si="18"/>
        <v>2617</v>
      </c>
      <c r="AT28" s="258">
        <f t="shared" si="19"/>
        <v>2617</v>
      </c>
      <c r="AU28" s="258">
        <f t="shared" si="20"/>
        <v>885.69</v>
      </c>
      <c r="AV28" s="258">
        <f t="shared" si="21"/>
        <v>1731.31</v>
      </c>
      <c r="AW28" s="258">
        <f t="shared" si="5"/>
        <v>0</v>
      </c>
      <c r="AX28" s="258">
        <v>0</v>
      </c>
      <c r="AY28" s="258">
        <f t="shared" si="22"/>
        <v>885.69</v>
      </c>
      <c r="AZ28" s="258">
        <f t="shared" si="39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59974.360000000008</v>
      </c>
      <c r="BH28" s="108">
        <f t="shared" si="31"/>
        <v>29</v>
      </c>
      <c r="BI28" s="108">
        <f t="shared" si="26"/>
        <v>29</v>
      </c>
      <c r="BJ28" s="22">
        <f t="shared" si="27"/>
        <v>44892</v>
      </c>
      <c r="BK28" s="108">
        <f t="shared" si="7"/>
        <v>2498</v>
      </c>
    </row>
    <row r="29" spans="1:393" ht="19.5" customHeight="1" x14ac:dyDescent="0.25">
      <c r="A29" s="763" t="s">
        <v>311</v>
      </c>
      <c r="B29" s="763"/>
      <c r="C29" s="354">
        <f>ROUND($C$28/30.4,2)</f>
        <v>10.79</v>
      </c>
      <c r="D29" s="208">
        <f>ROUND($D$28/30.4,2)</f>
        <v>10.79</v>
      </c>
      <c r="E29" s="210">
        <f t="shared" si="42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40"/>
        <v>0.129</v>
      </c>
      <c r="J29" s="242">
        <f t="shared" si="9"/>
        <v>2498</v>
      </c>
      <c r="K29" s="242">
        <f t="shared" si="41"/>
        <v>2498</v>
      </c>
      <c r="L29" s="242">
        <f t="shared" si="36"/>
        <v>719.71</v>
      </c>
      <c r="M29" s="242">
        <f t="shared" si="12"/>
        <v>1778.29</v>
      </c>
      <c r="N29" s="242">
        <f t="shared" si="2"/>
        <v>0</v>
      </c>
      <c r="O29" s="242">
        <v>0</v>
      </c>
      <c r="P29" s="242">
        <f t="shared" si="25"/>
        <v>719.71</v>
      </c>
      <c r="Q29" s="242">
        <f t="shared" si="33"/>
        <v>0</v>
      </c>
      <c r="R29" s="242">
        <f t="shared" si="14"/>
        <v>0</v>
      </c>
      <c r="S29" s="242">
        <f t="shared" si="15"/>
        <v>66100.870000000039</v>
      </c>
      <c r="T29" s="467"/>
      <c r="U29" s="198">
        <f t="shared" si="29"/>
        <v>28</v>
      </c>
      <c r="V29" s="36">
        <f t="shared" si="16"/>
        <v>28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8"/>
        <v>0.16900000000000001</v>
      </c>
      <c r="AS29" s="258">
        <f t="shared" si="18"/>
        <v>2617</v>
      </c>
      <c r="AT29" s="258">
        <f t="shared" si="19"/>
        <v>2617</v>
      </c>
      <c r="AU29" s="258">
        <f t="shared" si="20"/>
        <v>833.07</v>
      </c>
      <c r="AV29" s="258">
        <f t="shared" si="21"/>
        <v>1783.9299999999998</v>
      </c>
      <c r="AW29" s="258">
        <f t="shared" si="5"/>
        <v>0</v>
      </c>
      <c r="AX29" s="258">
        <v>0</v>
      </c>
      <c r="AY29" s="258">
        <f t="shared" si="22"/>
        <v>833.07</v>
      </c>
      <c r="AZ29" s="258">
        <f t="shared" si="39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58190.430000000008</v>
      </c>
      <c r="BH29" s="108">
        <f t="shared" si="31"/>
        <v>28</v>
      </c>
      <c r="BI29" s="108">
        <f t="shared" si="26"/>
        <v>28</v>
      </c>
      <c r="BJ29" s="22">
        <f t="shared" si="27"/>
        <v>44922</v>
      </c>
      <c r="BK29" s="108">
        <f t="shared" si="7"/>
        <v>2498</v>
      </c>
    </row>
    <row r="30" spans="1:393" ht="17.25" customHeight="1" x14ac:dyDescent="0.25">
      <c r="A30" s="763" t="s">
        <v>75</v>
      </c>
      <c r="B30" s="763"/>
      <c r="C30" s="194">
        <f>L109</f>
        <v>24915.419999999995</v>
      </c>
      <c r="D30" s="209">
        <f>AU109</f>
        <v>34500.30999999999</v>
      </c>
      <c r="E30" s="192">
        <f>C30-D30</f>
        <v>-9584.8899999999958</v>
      </c>
      <c r="F30" s="235"/>
      <c r="G30" s="244">
        <f>G29+1</f>
        <v>22</v>
      </c>
      <c r="H30" s="245">
        <f t="shared" si="1"/>
        <v>44953</v>
      </c>
      <c r="I30" s="246">
        <f t="shared" si="40"/>
        <v>0.129</v>
      </c>
      <c r="J30" s="242">
        <f t="shared" si="9"/>
        <v>2498</v>
      </c>
      <c r="K30" s="242">
        <f t="shared" si="41"/>
        <v>2498</v>
      </c>
      <c r="L30" s="242">
        <f t="shared" si="36"/>
        <v>724.21</v>
      </c>
      <c r="M30" s="242">
        <f t="shared" si="12"/>
        <v>1773.79</v>
      </c>
      <c r="N30" s="242">
        <f t="shared" si="2"/>
        <v>0</v>
      </c>
      <c r="O30" s="242">
        <v>0</v>
      </c>
      <c r="P30" s="242">
        <f t="shared" si="25"/>
        <v>724.21</v>
      </c>
      <c r="Q30" s="242">
        <f t="shared" si="33"/>
        <v>0</v>
      </c>
      <c r="R30" s="242">
        <f t="shared" si="14"/>
        <v>0</v>
      </c>
      <c r="S30" s="242">
        <f t="shared" si="15"/>
        <v>64327.080000000038</v>
      </c>
      <c r="T30" s="467"/>
      <c r="U30" s="198">
        <f>IF((U29-1)&lt;0,0,U29-1)</f>
        <v>27</v>
      </c>
      <c r="V30" s="36">
        <f t="shared" si="16"/>
        <v>27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8"/>
        <v>0.16900000000000001</v>
      </c>
      <c r="AS30" s="258">
        <f t="shared" si="18"/>
        <v>2617</v>
      </c>
      <c r="AT30" s="258">
        <f t="shared" si="19"/>
        <v>2617</v>
      </c>
      <c r="AU30" s="258">
        <f t="shared" si="20"/>
        <v>835.23</v>
      </c>
      <c r="AV30" s="258">
        <f>IF(BI30=0,0,IF(BI30=1,BG29,IF(BG29+AW30+AU30&gt;AT29,AT30-AU30-AW30,BG29)))</f>
        <v>1781.77</v>
      </c>
      <c r="AW30" s="258">
        <f t="shared" si="5"/>
        <v>0</v>
      </c>
      <c r="AX30" s="258">
        <v>0</v>
      </c>
      <c r="AY30" s="258">
        <f t="shared" si="22"/>
        <v>835.23</v>
      </c>
      <c r="AZ30" s="258">
        <f t="shared" si="39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56408.660000000011</v>
      </c>
      <c r="BH30" s="108">
        <f>IF((BH29-1)&lt;0,0,BH29-1)</f>
        <v>27</v>
      </c>
      <c r="BI30" s="108">
        <f t="shared" si="26"/>
        <v>27</v>
      </c>
      <c r="BJ30" s="22">
        <f t="shared" si="27"/>
        <v>44953</v>
      </c>
      <c r="BK30" s="108">
        <f t="shared" si="7"/>
        <v>2498</v>
      </c>
    </row>
    <row r="31" spans="1:393" ht="16.5" customHeight="1" x14ac:dyDescent="0.2">
      <c r="A31" s="763" t="s">
        <v>290</v>
      </c>
      <c r="B31" s="763"/>
      <c r="C31" s="194">
        <f>IF(C18="",0,C18*6)</f>
        <v>21600</v>
      </c>
      <c r="D31" s="209">
        <f>IF(D18="",0,D18*12)</f>
        <v>0</v>
      </c>
      <c r="E31" s="274">
        <f>C31-D31</f>
        <v>21600</v>
      </c>
      <c r="F31" s="236"/>
      <c r="G31" s="244">
        <f t="shared" si="28"/>
        <v>23</v>
      </c>
      <c r="H31" s="245">
        <f t="shared" si="1"/>
        <v>44984</v>
      </c>
      <c r="I31" s="246">
        <f t="shared" si="40"/>
        <v>0.129</v>
      </c>
      <c r="J31" s="242">
        <f t="shared" si="9"/>
        <v>2498</v>
      </c>
      <c r="K31" s="242">
        <f t="shared" si="41"/>
        <v>2498</v>
      </c>
      <c r="L31" s="242">
        <f t="shared" si="36"/>
        <v>704.78</v>
      </c>
      <c r="M31" s="242">
        <f t="shared" si="12"/>
        <v>1793.22</v>
      </c>
      <c r="N31" s="242">
        <f t="shared" si="2"/>
        <v>0</v>
      </c>
      <c r="O31" s="242">
        <v>0</v>
      </c>
      <c r="P31" s="242">
        <f t="shared" si="25"/>
        <v>704.78</v>
      </c>
      <c r="Q31" s="242">
        <f t="shared" si="33"/>
        <v>0</v>
      </c>
      <c r="R31" s="242">
        <f t="shared" si="14"/>
        <v>0</v>
      </c>
      <c r="S31" s="242">
        <f t="shared" si="15"/>
        <v>62533.860000000037</v>
      </c>
      <c r="T31" s="467"/>
      <c r="U31" s="198">
        <f t="shared" si="29"/>
        <v>26</v>
      </c>
      <c r="V31" s="36">
        <f t="shared" si="16"/>
        <v>26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8"/>
        <v>0.16900000000000001</v>
      </c>
      <c r="AS31" s="258">
        <f t="shared" si="18"/>
        <v>2617</v>
      </c>
      <c r="AT31" s="258">
        <f t="shared" si="19"/>
        <v>2617</v>
      </c>
      <c r="AU31" s="258">
        <f t="shared" si="20"/>
        <v>809.66</v>
      </c>
      <c r="AV31" s="258">
        <f t="shared" si="21"/>
        <v>1807.3400000000001</v>
      </c>
      <c r="AW31" s="258">
        <f t="shared" si="5"/>
        <v>0</v>
      </c>
      <c r="AX31" s="258">
        <v>0</v>
      </c>
      <c r="AY31" s="258">
        <f t="shared" si="22"/>
        <v>809.66</v>
      </c>
      <c r="AZ31" s="258">
        <f t="shared" si="39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54601.320000000007</v>
      </c>
      <c r="BH31" s="108">
        <f t="shared" si="31"/>
        <v>26</v>
      </c>
      <c r="BI31" s="108">
        <f t="shared" si="26"/>
        <v>26</v>
      </c>
      <c r="BJ31" s="22">
        <f t="shared" si="27"/>
        <v>44984</v>
      </c>
      <c r="BK31" s="108">
        <f t="shared" si="7"/>
        <v>2498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763" t="s">
        <v>157</v>
      </c>
      <c r="B32" s="763"/>
      <c r="C32" s="199">
        <f>J109</f>
        <v>137265.42000000004</v>
      </c>
      <c r="D32" s="534">
        <f>AT109</f>
        <v>125250.31000000001</v>
      </c>
      <c r="E32" s="473">
        <f>C32-D32</f>
        <v>12015.11000000003</v>
      </c>
      <c r="F32" s="191"/>
      <c r="G32" s="248">
        <f t="shared" si="28"/>
        <v>24</v>
      </c>
      <c r="H32" s="249">
        <f t="shared" si="1"/>
        <v>45012</v>
      </c>
      <c r="I32" s="250">
        <f t="shared" si="40"/>
        <v>0.129</v>
      </c>
      <c r="J32" s="252">
        <f t="shared" si="9"/>
        <v>2498</v>
      </c>
      <c r="K32" s="252">
        <f>IF(AND(G32&gt;=$W$9,G32&lt;=$W$9+5),$W$10,IF(AND(S31+N32+L32&gt;K31,K31&lt;&gt;0),IF(AND($C$16="Да",$C$8&lt;&gt;"Нет"),$AF$37,$C$24),IF(S31=0,0,S31+N32+L32+L33)))</f>
        <v>2498</v>
      </c>
      <c r="L32" s="252">
        <f t="shared" si="36"/>
        <v>618.83000000000004</v>
      </c>
      <c r="M32" s="252">
        <f t="shared" si="12"/>
        <v>1879.17</v>
      </c>
      <c r="N32" s="252">
        <f t="shared" si="2"/>
        <v>0</v>
      </c>
      <c r="O32" s="252">
        <v>0</v>
      </c>
      <c r="P32" s="252">
        <f t="shared" si="25"/>
        <v>618.83000000000004</v>
      </c>
      <c r="Q32" s="252">
        <f t="shared" si="33"/>
        <v>0</v>
      </c>
      <c r="R32" s="252">
        <f t="shared" si="14"/>
        <v>0</v>
      </c>
      <c r="S32" s="252">
        <f t="shared" si="15"/>
        <v>60654.690000000039</v>
      </c>
      <c r="T32" s="468"/>
      <c r="U32" s="198">
        <f t="shared" si="29"/>
        <v>25</v>
      </c>
      <c r="V32" s="36">
        <f t="shared" si="16"/>
        <v>25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8"/>
        <v>0.16900000000000001</v>
      </c>
      <c r="AS32" s="258">
        <f t="shared" si="18"/>
        <v>2617</v>
      </c>
      <c r="AT32" s="258">
        <f t="shared" si="19"/>
        <v>2617</v>
      </c>
      <c r="AU32" s="258">
        <f t="shared" si="20"/>
        <v>707.87</v>
      </c>
      <c r="AV32" s="258">
        <f t="shared" si="21"/>
        <v>1909.13</v>
      </c>
      <c r="AW32" s="258">
        <f t="shared" si="5"/>
        <v>0</v>
      </c>
      <c r="AX32" s="258">
        <v>0</v>
      </c>
      <c r="AY32" s="258">
        <f t="shared" si="22"/>
        <v>707.87</v>
      </c>
      <c r="AZ32" s="258">
        <f t="shared" si="39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52692.19000000001</v>
      </c>
      <c r="BH32" s="108">
        <f t="shared" si="31"/>
        <v>25</v>
      </c>
      <c r="BI32" s="108">
        <f t="shared" si="26"/>
        <v>25</v>
      </c>
      <c r="BJ32" s="22">
        <f t="shared" si="27"/>
        <v>45012</v>
      </c>
      <c r="BK32" s="108">
        <f t="shared" si="7"/>
        <v>2498</v>
      </c>
    </row>
    <row r="33" spans="1:1217" ht="51.75" customHeight="1" x14ac:dyDescent="0.2">
      <c r="A33" s="926" t="s">
        <v>302</v>
      </c>
      <c r="B33" s="926"/>
      <c r="C33" s="536">
        <f>C30+C31</f>
        <v>46515.42</v>
      </c>
      <c r="D33" s="537">
        <f>D30+D31</f>
        <v>34500.30999999999</v>
      </c>
      <c r="E33" s="234">
        <f>C33-D33</f>
        <v>12015.110000000008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0.129</v>
      </c>
      <c r="J33" s="242">
        <f t="shared" si="9"/>
        <v>2498</v>
      </c>
      <c r="K33" s="242">
        <f>IF(AND(G33&gt;=$W$9,G33&lt;=$W$9+5),$W$10,IF(AND(S32+N33+L33&gt;K32,K32&lt;&gt;0),IF(AND($C$16="Да",$C$8&lt;&gt;"Нет"),$AF$38,$C$24),IF(S32=0,0,S32+N33+L33+L34)))</f>
        <v>2498</v>
      </c>
      <c r="L33" s="242">
        <f t="shared" si="36"/>
        <v>664.54</v>
      </c>
      <c r="M33" s="242">
        <f t="shared" si="12"/>
        <v>1833.46</v>
      </c>
      <c r="N33" s="242">
        <f t="shared" si="2"/>
        <v>0</v>
      </c>
      <c r="O33" s="242">
        <v>0</v>
      </c>
      <c r="P33" s="242">
        <f t="shared" si="25"/>
        <v>664.54</v>
      </c>
      <c r="Q33" s="242">
        <f t="shared" si="33"/>
        <v>0</v>
      </c>
      <c r="R33" s="242">
        <f t="shared" si="14"/>
        <v>0</v>
      </c>
      <c r="S33" s="242">
        <f t="shared" si="15"/>
        <v>58821.23000000004</v>
      </c>
      <c r="T33" s="467"/>
      <c r="U33" s="198">
        <f t="shared" si="29"/>
        <v>24</v>
      </c>
      <c r="V33" s="36">
        <f t="shared" si="16"/>
        <v>24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-121</v>
      </c>
      <c r="AG33" s="2">
        <f>ROUNDUP(((S20)*AG37/12*(1+AG37/12)^(U21)/((1+AG37/12)^(U21)-1)+S20/10000*IF(U21&lt;11,20,IF(U21&lt;34,0.7,IF(U21&lt;58,0.3,0.1)))*IF(AG37&lt;0.3,AG37/0.2,AG37/0.1))/AG47,0)*AG47</f>
        <v>2738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3">IF($D$16="Да",$AM$38,$D$13)</f>
        <v>0.16900000000000001</v>
      </c>
      <c r="AS33" s="258">
        <f t="shared" si="18"/>
        <v>2617</v>
      </c>
      <c r="AT33" s="258">
        <f t="shared" si="19"/>
        <v>2617</v>
      </c>
      <c r="AU33" s="258">
        <f t="shared" si="20"/>
        <v>756.31</v>
      </c>
      <c r="AV33" s="258">
        <f t="shared" si="21"/>
        <v>1860.69</v>
      </c>
      <c r="AW33" s="258">
        <f t="shared" si="5"/>
        <v>0</v>
      </c>
      <c r="AX33" s="258">
        <v>0</v>
      </c>
      <c r="AY33" s="258">
        <f t="shared" si="22"/>
        <v>756.31</v>
      </c>
      <c r="AZ33" s="258">
        <f t="shared" si="39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50831.500000000007</v>
      </c>
      <c r="BH33" s="108">
        <f t="shared" si="31"/>
        <v>24</v>
      </c>
      <c r="BI33" s="108">
        <f t="shared" si="26"/>
        <v>24</v>
      </c>
      <c r="BJ33" s="22">
        <f t="shared" si="27"/>
        <v>45043</v>
      </c>
      <c r="BK33" s="108">
        <f t="shared" si="7"/>
        <v>2498</v>
      </c>
      <c r="BN33" s="782"/>
      <c r="BP33" s="131"/>
    </row>
    <row r="34" spans="1:1217" ht="52.5" customHeight="1" x14ac:dyDescent="0.2">
      <c r="A34" s="927" t="s">
        <v>293</v>
      </c>
      <c r="B34" s="928"/>
      <c r="C34" s="929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4" s="929"/>
      <c r="E34" s="929"/>
      <c r="F34" s="191"/>
      <c r="G34" s="244">
        <f t="shared" si="28"/>
        <v>26</v>
      </c>
      <c r="H34" s="245">
        <f t="shared" si="1"/>
        <v>45073</v>
      </c>
      <c r="I34" s="246">
        <f t="shared" ref="I34:I44" si="44">IF(AND($C$16="Да",$C$8&lt;&gt;"Нет"),$AG$38,$C$13)</f>
        <v>0.129</v>
      </c>
      <c r="J34" s="242">
        <f t="shared" si="9"/>
        <v>2498</v>
      </c>
      <c r="K34" s="242">
        <f t="shared" ref="K34:K44" si="45">IF(AND(G34&gt;=$W$9,G34&lt;=$W$9+5),$W$10,IF(AND(S33+N34+L34&gt;K33,K33&lt;&gt;0),IF(AND($C$16="Да",$C$8&lt;&gt;"Нет"),$AF$38,$C$24),IF(S33=0,0,S33+N34+L34+L35)))</f>
        <v>2498</v>
      </c>
      <c r="L34" s="242">
        <f t="shared" si="36"/>
        <v>623.66999999999996</v>
      </c>
      <c r="M34" s="242">
        <f t="shared" si="12"/>
        <v>1874.33</v>
      </c>
      <c r="N34" s="242">
        <f t="shared" si="2"/>
        <v>0</v>
      </c>
      <c r="O34" s="242">
        <v>0</v>
      </c>
      <c r="P34" s="242">
        <f t="shared" si="25"/>
        <v>623.66999999999996</v>
      </c>
      <c r="Q34" s="242">
        <f t="shared" si="33"/>
        <v>0</v>
      </c>
      <c r="R34" s="242">
        <f t="shared" si="14"/>
        <v>0</v>
      </c>
      <c r="S34" s="242">
        <f t="shared" si="15"/>
        <v>56946.900000000038</v>
      </c>
      <c r="T34" s="467"/>
      <c r="U34" s="198">
        <f t="shared" si="29"/>
        <v>23</v>
      </c>
      <c r="V34" s="36">
        <f t="shared" si="16"/>
        <v>23</v>
      </c>
      <c r="AB34" s="2">
        <f>IF(C10 &lt;=W31,W33,IF(C10 &lt;=X31,X33,IF(C10 &lt;=Y31,Y33,IF(C10 &lt;=Z31,Z33,AA33))))</f>
        <v>3900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3"/>
        <v>0.16900000000000001</v>
      </c>
      <c r="AS34" s="258">
        <f t="shared" si="18"/>
        <v>2617</v>
      </c>
      <c r="AT34" s="258">
        <f t="shared" si="19"/>
        <v>2617</v>
      </c>
      <c r="AU34" s="258">
        <f t="shared" si="20"/>
        <v>706.07</v>
      </c>
      <c r="AV34" s="258">
        <f t="shared" si="21"/>
        <v>1910.9299999999998</v>
      </c>
      <c r="AW34" s="258">
        <f t="shared" si="5"/>
        <v>0</v>
      </c>
      <c r="AX34" s="258">
        <v>0</v>
      </c>
      <c r="AY34" s="258">
        <f t="shared" si="22"/>
        <v>706.07</v>
      </c>
      <c r="AZ34" s="258">
        <f t="shared" si="39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48920.570000000007</v>
      </c>
      <c r="BH34" s="108">
        <f t="shared" si="31"/>
        <v>23</v>
      </c>
      <c r="BI34" s="108">
        <f t="shared" si="26"/>
        <v>23</v>
      </c>
      <c r="BJ34" s="22">
        <f t="shared" si="27"/>
        <v>45073</v>
      </c>
      <c r="BK34" s="108">
        <f t="shared" si="7"/>
        <v>2498</v>
      </c>
      <c r="BN34" s="782"/>
    </row>
    <row r="35" spans="1:1217" ht="36" customHeight="1" x14ac:dyDescent="0.2">
      <c r="A35" s="930" t="s">
        <v>344</v>
      </c>
      <c r="B35" s="930"/>
      <c r="C35" s="930"/>
      <c r="D35" s="930"/>
      <c r="E35" s="930"/>
      <c r="F35" s="191"/>
      <c r="G35" s="244">
        <f t="shared" si="28"/>
        <v>27</v>
      </c>
      <c r="H35" s="245">
        <f t="shared" si="1"/>
        <v>45104</v>
      </c>
      <c r="I35" s="246">
        <f t="shared" si="44"/>
        <v>0.129</v>
      </c>
      <c r="J35" s="242">
        <f t="shared" si="9"/>
        <v>2498</v>
      </c>
      <c r="K35" s="242">
        <f t="shared" si="45"/>
        <v>2498</v>
      </c>
      <c r="L35" s="242">
        <f t="shared" si="36"/>
        <v>623.91999999999996</v>
      </c>
      <c r="M35" s="242">
        <f t="shared" si="12"/>
        <v>1874.08</v>
      </c>
      <c r="N35" s="242">
        <f t="shared" si="2"/>
        <v>0</v>
      </c>
      <c r="O35" s="242">
        <v>0</v>
      </c>
      <c r="P35" s="242">
        <f t="shared" si="25"/>
        <v>623.91999999999996</v>
      </c>
      <c r="Q35" s="242">
        <f t="shared" si="33"/>
        <v>0</v>
      </c>
      <c r="R35" s="242">
        <f t="shared" si="14"/>
        <v>0</v>
      </c>
      <c r="S35" s="242">
        <f t="shared" si="15"/>
        <v>55072.820000000036</v>
      </c>
      <c r="T35" s="467"/>
      <c r="U35" s="198">
        <f t="shared" si="29"/>
        <v>22</v>
      </c>
      <c r="V35" s="36">
        <f t="shared" si="16"/>
        <v>22</v>
      </c>
      <c r="AE35" s="15"/>
      <c r="AF35" s="47">
        <f>ROUNDUP(AH35/AH33*C7/1,0)*1</f>
        <v>119</v>
      </c>
      <c r="AG35" s="169">
        <v>0.04</v>
      </c>
      <c r="AH35" s="16">
        <f>IF(AG35=3%,INDEX(W40:AE40,MATCH($C$11,$W$39:$AE$39,0)),IF(AG35=4%,INDEX(W37:AE37,MATCH($C$11,$W$36:$AE$36,0)),0))</f>
        <v>9500</v>
      </c>
      <c r="AL35" s="47">
        <f>ROUNDUP(AH35/AH33*C7/1,0)*1</f>
        <v>119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3"/>
        <v>0.16900000000000001</v>
      </c>
      <c r="AS35" s="258">
        <f t="shared" si="18"/>
        <v>2617</v>
      </c>
      <c r="AT35" s="258">
        <f t="shared" si="19"/>
        <v>2617</v>
      </c>
      <c r="AU35" s="258">
        <f t="shared" si="20"/>
        <v>702.18</v>
      </c>
      <c r="AV35" s="258">
        <f t="shared" si="21"/>
        <v>1914.8200000000002</v>
      </c>
      <c r="AW35" s="258">
        <f t="shared" si="5"/>
        <v>0</v>
      </c>
      <c r="AX35" s="258">
        <v>0</v>
      </c>
      <c r="AY35" s="258">
        <f t="shared" si="22"/>
        <v>702.18</v>
      </c>
      <c r="AZ35" s="258">
        <f t="shared" si="39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47005.750000000007</v>
      </c>
      <c r="BH35" s="108">
        <f t="shared" si="31"/>
        <v>22</v>
      </c>
      <c r="BI35" s="108">
        <f t="shared" si="26"/>
        <v>22</v>
      </c>
      <c r="BJ35" s="22">
        <f t="shared" si="27"/>
        <v>45104</v>
      </c>
      <c r="BK35" s="108">
        <f t="shared" si="7"/>
        <v>2498</v>
      </c>
      <c r="BN35" s="782"/>
    </row>
    <row r="36" spans="1:1217" ht="28.15" customHeight="1" x14ac:dyDescent="0.3">
      <c r="A36" s="894" t="s">
        <v>294</v>
      </c>
      <c r="B36" s="878"/>
      <c r="C36" s="487" t="s">
        <v>179</v>
      </c>
      <c r="D36" s="907" t="s">
        <v>304</v>
      </c>
      <c r="E36" s="908"/>
      <c r="F36" s="178"/>
      <c r="G36" s="244">
        <f t="shared" si="28"/>
        <v>28</v>
      </c>
      <c r="H36" s="245">
        <f t="shared" si="1"/>
        <v>45134</v>
      </c>
      <c r="I36" s="246">
        <f t="shared" si="44"/>
        <v>0.129</v>
      </c>
      <c r="J36" s="242">
        <f t="shared" si="9"/>
        <v>2498</v>
      </c>
      <c r="K36" s="242">
        <f t="shared" si="45"/>
        <v>2498</v>
      </c>
      <c r="L36" s="242">
        <f t="shared" si="36"/>
        <v>583.91999999999996</v>
      </c>
      <c r="M36" s="242">
        <f t="shared" si="12"/>
        <v>1914.08</v>
      </c>
      <c r="N36" s="242">
        <f t="shared" si="2"/>
        <v>0</v>
      </c>
      <c r="O36" s="242">
        <v>0</v>
      </c>
      <c r="P36" s="242">
        <f t="shared" si="25"/>
        <v>583.91999999999996</v>
      </c>
      <c r="Q36" s="242">
        <f t="shared" si="33"/>
        <v>0</v>
      </c>
      <c r="R36" s="242">
        <f t="shared" si="14"/>
        <v>0</v>
      </c>
      <c r="S36" s="242">
        <f t="shared" si="15"/>
        <v>53158.740000000034</v>
      </c>
      <c r="T36" s="467"/>
      <c r="U36" s="198">
        <f t="shared" si="29"/>
        <v>21</v>
      </c>
      <c r="V36" s="36">
        <f t="shared" si="16"/>
        <v>21</v>
      </c>
      <c r="W36" s="15">
        <v>0.11899999999999999</v>
      </c>
      <c r="X36" s="15">
        <v>0.129</v>
      </c>
      <c r="Y36" s="484">
        <v>0.13900000000000001</v>
      </c>
      <c r="Z36" s="101">
        <v>0.14899999999999999</v>
      </c>
      <c r="AA36" s="484">
        <v>0.16900000000000001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2617</v>
      </c>
      <c r="AG36" s="15">
        <f>IF(OR(C$8="Гарантия стандарт",C$8="Гарантия пакет"),AD13,C11)</f>
        <v>0.16900000000000001</v>
      </c>
      <c r="AH36" s="16">
        <f>IF(AG35=3%,INDEX(W41:AE41,MATCH($C$11,$W$39:$AE$39,0)),IF(AG35=4%,INDEX(W38:AE38,MATCH($C$11,$W$36:$AE$36,0)),0))</f>
        <v>173000</v>
      </c>
      <c r="AI36" s="2">
        <f>INDEX(W41:AE41,MATCH($D$11,$W$39:$AE$39,0))</f>
        <v>173000</v>
      </c>
      <c r="AL36" s="47">
        <f>D24</f>
        <v>2617</v>
      </c>
      <c r="AM36" s="15">
        <f>IF(OR(D$8="Гарантия стандарт",D$8="Гарантия пакет"),AD13,D11)</f>
        <v>0.16900000000000001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3"/>
        <v>0.16900000000000001</v>
      </c>
      <c r="AS36" s="258">
        <f t="shared" si="18"/>
        <v>2617</v>
      </c>
      <c r="AT36" s="258">
        <f t="shared" si="19"/>
        <v>2617</v>
      </c>
      <c r="AU36" s="258">
        <f t="shared" si="20"/>
        <v>652.92999999999995</v>
      </c>
      <c r="AV36" s="258">
        <f t="shared" si="21"/>
        <v>1964.0700000000002</v>
      </c>
      <c r="AW36" s="258">
        <f t="shared" si="5"/>
        <v>0</v>
      </c>
      <c r="AX36" s="258">
        <v>0</v>
      </c>
      <c r="AY36" s="258">
        <f t="shared" si="22"/>
        <v>652.92999999999995</v>
      </c>
      <c r="AZ36" s="258">
        <f t="shared" si="39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45041.680000000008</v>
      </c>
      <c r="BH36" s="108">
        <f t="shared" si="31"/>
        <v>21</v>
      </c>
      <c r="BI36" s="108">
        <f t="shared" si="26"/>
        <v>21</v>
      </c>
      <c r="BJ36" s="22">
        <f t="shared" si="27"/>
        <v>45134</v>
      </c>
      <c r="BK36" s="108">
        <f t="shared" si="7"/>
        <v>2498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8.9" customHeight="1" x14ac:dyDescent="0.3">
      <c r="A37" s="894" t="s">
        <v>347</v>
      </c>
      <c r="B37" s="878"/>
      <c r="C37" s="397" t="s">
        <v>47</v>
      </c>
      <c r="D37" s="936" t="s">
        <v>348</v>
      </c>
      <c r="E37" s="937"/>
      <c r="F37" s="178"/>
      <c r="G37" s="244">
        <f t="shared" si="28"/>
        <v>29</v>
      </c>
      <c r="H37" s="245">
        <f t="shared" si="1"/>
        <v>45165</v>
      </c>
      <c r="I37" s="246">
        <f t="shared" si="44"/>
        <v>0.129</v>
      </c>
      <c r="J37" s="242">
        <f t="shared" si="9"/>
        <v>2498</v>
      </c>
      <c r="K37" s="242">
        <f t="shared" si="45"/>
        <v>2498</v>
      </c>
      <c r="L37" s="242">
        <f t="shared" si="36"/>
        <v>582.41999999999996</v>
      </c>
      <c r="M37" s="242">
        <f t="shared" si="12"/>
        <v>1915.58</v>
      </c>
      <c r="N37" s="242">
        <f t="shared" si="2"/>
        <v>0</v>
      </c>
      <c r="O37" s="242">
        <v>0</v>
      </c>
      <c r="P37" s="242">
        <f t="shared" si="25"/>
        <v>582.41999999999996</v>
      </c>
      <c r="Q37" s="242">
        <f t="shared" si="33"/>
        <v>0</v>
      </c>
      <c r="R37" s="242">
        <f t="shared" si="14"/>
        <v>0</v>
      </c>
      <c r="S37" s="242">
        <f t="shared" si="15"/>
        <v>51243.160000000033</v>
      </c>
      <c r="T37" s="467"/>
      <c r="U37" s="198">
        <f t="shared" si="29"/>
        <v>20</v>
      </c>
      <c r="V37" s="36">
        <f t="shared" si="16"/>
        <v>20</v>
      </c>
      <c r="W37" s="16">
        <f>INDEX('Для Перспективы'!$B$6:$D$6,MATCH($C$10,'Для Перспективы'!$B$1:$D$1,0))</f>
        <v>4000</v>
      </c>
      <c r="X37" s="16">
        <f>INDEX('Для Перспективы'!$B$8:$D$8,MATCH($C$10,'Для Перспективы'!$B$1:$F$1,0))</f>
        <v>9000</v>
      </c>
      <c r="Y37" s="16">
        <f>INDEX('Для Перспективы'!$B$10:$D$10,MATCH($C$10,'Для Перспективы'!$B$1:$D$1,0))</f>
        <v>9000</v>
      </c>
      <c r="Z37" s="16">
        <f>INDEX('Для Перспективы'!$B$12:$D$12,MATCH($C$10,'Для Перспективы'!$B$1:$D$1,0))</f>
        <v>9000</v>
      </c>
      <c r="AA37" s="16">
        <f>INDEX('Для Перспективы'!$B$16:$D$16,MATCH($C$10,'Для Перспективы'!$B$1:$D$1,0))</f>
        <v>9500</v>
      </c>
      <c r="AB37" s="16">
        <f>INDEX('Для Перспективы'!$B$22:$D$22,MATCH($C$10,'Для Перспективы'!$B$1:$D$1,0))</f>
        <v>9500</v>
      </c>
      <c r="AC37" s="16">
        <f>INDEX('Для Перспективы'!$B$20:$F$20,MATCH($C$10,'Для Перспективы'!$B$1:$F$1,0))</f>
        <v>9500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2498</v>
      </c>
      <c r="AG37" s="169">
        <f>AG36-$AG$35</f>
        <v>0.129</v>
      </c>
      <c r="AI37" s="2"/>
      <c r="AJ37" s="2"/>
      <c r="AK37" s="57"/>
      <c r="AL37" s="47">
        <f>AL36-$AL$35</f>
        <v>2498</v>
      </c>
      <c r="AM37" s="169">
        <f>AM36-$AM$35</f>
        <v>0.129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3"/>
        <v>0.16900000000000001</v>
      </c>
      <c r="AS37" s="258">
        <f t="shared" si="18"/>
        <v>2617</v>
      </c>
      <c r="AT37" s="258">
        <f t="shared" si="19"/>
        <v>2617</v>
      </c>
      <c r="AU37" s="258">
        <f t="shared" si="20"/>
        <v>646.5</v>
      </c>
      <c r="AV37" s="258">
        <f t="shared" si="21"/>
        <v>1970.5</v>
      </c>
      <c r="AW37" s="258">
        <f t="shared" si="5"/>
        <v>0</v>
      </c>
      <c r="AX37" s="258">
        <v>0</v>
      </c>
      <c r="AY37" s="258">
        <f t="shared" si="22"/>
        <v>646.5</v>
      </c>
      <c r="AZ37" s="258">
        <f t="shared" si="39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43071.180000000008</v>
      </c>
      <c r="BH37" s="108">
        <f t="shared" si="31"/>
        <v>20</v>
      </c>
      <c r="BI37" s="108">
        <f t="shared" si="26"/>
        <v>20</v>
      </c>
      <c r="BJ37" s="22">
        <f t="shared" si="27"/>
        <v>45165</v>
      </c>
      <c r="BK37" s="108">
        <f t="shared" si="7"/>
        <v>2498</v>
      </c>
    </row>
    <row r="38" spans="1:1217" s="16" customFormat="1" ht="16.899999999999999" customHeight="1" x14ac:dyDescent="0.3">
      <c r="A38" s="931" t="s">
        <v>346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4"/>
        <v>0.129</v>
      </c>
      <c r="J38" s="242">
        <f t="shared" si="9"/>
        <v>2498</v>
      </c>
      <c r="K38" s="242">
        <f t="shared" si="45"/>
        <v>2498</v>
      </c>
      <c r="L38" s="242">
        <f t="shared" si="36"/>
        <v>561.42999999999995</v>
      </c>
      <c r="M38" s="242">
        <f t="shared" si="12"/>
        <v>1936.5700000000002</v>
      </c>
      <c r="N38" s="242">
        <f t="shared" si="2"/>
        <v>0</v>
      </c>
      <c r="O38" s="242">
        <v>0</v>
      </c>
      <c r="P38" s="242">
        <f t="shared" si="25"/>
        <v>561.42999999999995</v>
      </c>
      <c r="Q38" s="242">
        <f t="shared" si="33"/>
        <v>0</v>
      </c>
      <c r="R38" s="242">
        <f t="shared" si="14"/>
        <v>0</v>
      </c>
      <c r="S38" s="242">
        <f t="shared" si="15"/>
        <v>49306.590000000033</v>
      </c>
      <c r="T38" s="467"/>
      <c r="U38" s="198">
        <f t="shared" si="29"/>
        <v>19</v>
      </c>
      <c r="V38" s="36">
        <f t="shared" si="16"/>
        <v>19</v>
      </c>
      <c r="W38" s="16">
        <f>INDEX('Для Перспективы'!B7:D7,MATCH($C$10,'Для Перспективы'!$B$1:$D$1,0))</f>
        <v>158000</v>
      </c>
      <c r="X38" s="16">
        <f>INDEX('Для Перспективы'!$B$9:$D$9,MATCH($C$10,'Для Перспективы'!$B$1:$D$1,0))</f>
        <v>160800</v>
      </c>
      <c r="Y38" s="16">
        <f>INDEX('Для Перспективы'!$B$11:$D$11,MATCH($C$10,'Для Перспективы'!$B$1:$D$1,0))</f>
        <v>163800</v>
      </c>
      <c r="Z38" s="16">
        <f>INDEX('Для Перспективы'!$B$13:$D$13,MATCH($C$10,'Для Перспективы'!$B$1:$D$1,0))</f>
        <v>166900</v>
      </c>
      <c r="AA38" s="16">
        <f>INDEX('Для Перспективы'!$B$17:$D$17,MATCH($C$10,'Для Перспективы'!$B$1:$D$1,0))</f>
        <v>173000</v>
      </c>
      <c r="AB38" s="16">
        <f>INDEX('Для Перспективы'!$B$23:$D$23,MATCH($C$10,'Для Перспективы'!$B$1:$D$1,0))</f>
        <v>182500</v>
      </c>
      <c r="AC38" s="16">
        <f>INDEX('Для Перспективы'!$B$11:$D$11,MATCH($C$10,'Для Перспективы'!$B$1:$D$1,0))</f>
        <v>163800</v>
      </c>
      <c r="AD38" s="16">
        <f>INDEX('Для Перспективы'!$B$11:$D$11,MATCH($C$10,'Для Перспективы'!$B$1:$D$1,0))</f>
        <v>163800</v>
      </c>
      <c r="AE38" s="16" t="e">
        <f>INDEX('Для Перспективы'!$G21:$I21,MATCH($C$10,'Для Перспективы'!$G$1:$I$1,0))</f>
        <v>#N/A</v>
      </c>
      <c r="AF38" s="47">
        <f t="shared" ref="AF38:AF40" si="46">IF(AG38=AG37,AF37,AF37-$AF$35)</f>
        <v>2498</v>
      </c>
      <c r="AG38" s="169">
        <f>AG36-$AG$35</f>
        <v>0.129</v>
      </c>
      <c r="AI38" s="2"/>
      <c r="AJ38" s="2"/>
      <c r="AK38" s="57"/>
      <c r="AL38" s="47">
        <f>AL36-$AL$35</f>
        <v>2498</v>
      </c>
      <c r="AM38" s="169">
        <f>AM36-$AM$35</f>
        <v>0.129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3"/>
        <v>0.16900000000000001</v>
      </c>
      <c r="AS38" s="258">
        <f t="shared" si="18"/>
        <v>2617</v>
      </c>
      <c r="AT38" s="258">
        <f t="shared" si="19"/>
        <v>2617</v>
      </c>
      <c r="AU38" s="258">
        <f t="shared" si="20"/>
        <v>618.22</v>
      </c>
      <c r="AV38" s="258">
        <f t="shared" si="21"/>
        <v>1998.78</v>
      </c>
      <c r="AW38" s="258">
        <f t="shared" si="5"/>
        <v>0</v>
      </c>
      <c r="AX38" s="258">
        <v>0</v>
      </c>
      <c r="AY38" s="258">
        <f t="shared" si="22"/>
        <v>618.22</v>
      </c>
      <c r="AZ38" s="258">
        <f t="shared" si="39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41072.400000000009</v>
      </c>
      <c r="BH38" s="108">
        <f t="shared" si="31"/>
        <v>19</v>
      </c>
      <c r="BI38" s="108">
        <f t="shared" si="26"/>
        <v>19</v>
      </c>
      <c r="BJ38" s="22">
        <f t="shared" si="27"/>
        <v>45196</v>
      </c>
      <c r="BK38" s="108">
        <f t="shared" si="7"/>
        <v>2498</v>
      </c>
    </row>
    <row r="39" spans="1:1217" s="16" customFormat="1" ht="16.899999999999999" customHeight="1" x14ac:dyDescent="0.3">
      <c r="A39" s="931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4"/>
        <v>0.129</v>
      </c>
      <c r="J39" s="242">
        <f t="shared" si="9"/>
        <v>2498</v>
      </c>
      <c r="K39" s="242">
        <f t="shared" si="45"/>
        <v>2498</v>
      </c>
      <c r="L39" s="242">
        <f t="shared" si="36"/>
        <v>522.78</v>
      </c>
      <c r="M39" s="242">
        <f t="shared" si="12"/>
        <v>1975.22</v>
      </c>
      <c r="N39" s="242">
        <f t="shared" si="2"/>
        <v>0</v>
      </c>
      <c r="O39" s="242">
        <v>0</v>
      </c>
      <c r="P39" s="242">
        <f t="shared" si="25"/>
        <v>522.78</v>
      </c>
      <c r="Q39" s="242">
        <f t="shared" si="33"/>
        <v>0</v>
      </c>
      <c r="R39" s="242">
        <f t="shared" si="14"/>
        <v>0</v>
      </c>
      <c r="S39" s="242">
        <f t="shared" si="15"/>
        <v>47331.370000000032</v>
      </c>
      <c r="T39" s="467"/>
      <c r="U39" s="198">
        <f t="shared" si="29"/>
        <v>18</v>
      </c>
      <c r="V39" s="36">
        <f t="shared" si="16"/>
        <v>18</v>
      </c>
      <c r="W39" s="15">
        <v>0.11899999999999999</v>
      </c>
      <c r="X39" s="15">
        <v>0.129</v>
      </c>
      <c r="Y39" s="484">
        <v>0.13900000000000001</v>
      </c>
      <c r="Z39" s="101">
        <v>0.14899999999999999</v>
      </c>
      <c r="AA39" s="484">
        <v>0.16900000000000001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>IF(AG39=AG38,AF38,AF38-$AF$35)</f>
        <v>2498</v>
      </c>
      <c r="AG39" s="169">
        <f>AG36-$AG$35</f>
        <v>0.129</v>
      </c>
      <c r="AI39" s="2"/>
      <c r="AJ39" s="2"/>
      <c r="AK39" s="57"/>
      <c r="AL39" s="47">
        <f>AL36-$AL$35</f>
        <v>2498</v>
      </c>
      <c r="AM39" s="169">
        <f>AM36-$AM$35</f>
        <v>0.129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3"/>
        <v>0.16900000000000001</v>
      </c>
      <c r="AS39" s="258">
        <f t="shared" si="18"/>
        <v>2617</v>
      </c>
      <c r="AT39" s="258">
        <f t="shared" si="19"/>
        <v>2617</v>
      </c>
      <c r="AU39" s="258">
        <f t="shared" si="20"/>
        <v>570.51</v>
      </c>
      <c r="AV39" s="258">
        <f t="shared" si="21"/>
        <v>2046.49</v>
      </c>
      <c r="AW39" s="258">
        <f t="shared" si="5"/>
        <v>0</v>
      </c>
      <c r="AX39" s="258">
        <v>0</v>
      </c>
      <c r="AY39" s="258">
        <f t="shared" si="22"/>
        <v>570.51</v>
      </c>
      <c r="AZ39" s="258">
        <f t="shared" si="39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39025.910000000011</v>
      </c>
      <c r="BH39" s="108">
        <f t="shared" si="31"/>
        <v>18</v>
      </c>
      <c r="BI39" s="108">
        <f t="shared" si="26"/>
        <v>18</v>
      </c>
      <c r="BJ39" s="22">
        <f t="shared" si="27"/>
        <v>45226</v>
      </c>
      <c r="BK39" s="108">
        <f t="shared" si="7"/>
        <v>2498</v>
      </c>
    </row>
    <row r="40" spans="1:1217" s="16" customFormat="1" ht="16.899999999999999" customHeight="1" x14ac:dyDescent="0.3">
      <c r="A40" s="931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4"/>
        <v>0.129</v>
      </c>
      <c r="J40" s="242">
        <f t="shared" si="9"/>
        <v>2498</v>
      </c>
      <c r="K40" s="242">
        <f t="shared" si="45"/>
        <v>2498</v>
      </c>
      <c r="L40" s="242">
        <f t="shared" si="36"/>
        <v>518.57000000000005</v>
      </c>
      <c r="M40" s="242">
        <f t="shared" si="12"/>
        <v>1979.4299999999998</v>
      </c>
      <c r="N40" s="242">
        <f t="shared" si="2"/>
        <v>0</v>
      </c>
      <c r="O40" s="242">
        <v>0</v>
      </c>
      <c r="P40" s="242">
        <f t="shared" si="25"/>
        <v>518.57000000000005</v>
      </c>
      <c r="Q40" s="242">
        <f t="shared" si="33"/>
        <v>0</v>
      </c>
      <c r="R40" s="242">
        <f t="shared" si="14"/>
        <v>0</v>
      </c>
      <c r="S40" s="242">
        <f t="shared" si="15"/>
        <v>45351.940000000031</v>
      </c>
      <c r="T40" s="467"/>
      <c r="U40" s="198">
        <f t="shared" si="29"/>
        <v>17</v>
      </c>
      <c r="V40" s="36">
        <f t="shared" si="16"/>
        <v>17</v>
      </c>
      <c r="W40" s="16">
        <f>INDEX('Для Перспективы'!B2:D2,MATCH($C$10,'Для Перспективы'!$B$1:$D$1,0))</f>
        <v>3000</v>
      </c>
      <c r="X40" s="16">
        <f>INDEX('Для Перспективы'!B4:D4,MATCH($C$10,'Для Перспективы'!$B$1:$D$1,0))</f>
        <v>3300</v>
      </c>
      <c r="Y40" s="16">
        <f>INDEX('Для Перспективы'!B10:D10,MATCH($C$10,'Для Перспективы'!$B$1:$D$1,0))</f>
        <v>9000</v>
      </c>
      <c r="Z40" s="16">
        <f>INDEX('Для Перспективы'!B12:D12,MATCH($C$10,'Для Перспективы'!$B$1:$D$1,0))</f>
        <v>9000</v>
      </c>
      <c r="AA40" s="16">
        <f>INDEX('Для Перспективы'!B16:D16,MATCH($C$10,'Для Перспективы'!$B$1:$D$1,0))</f>
        <v>9500</v>
      </c>
      <c r="AB40" s="16">
        <f>INDEX('Для Перспективы'!B22:D22,MATCH($C$10,'Для Перспективы'!$B$1:$D$1,0))</f>
        <v>9500</v>
      </c>
      <c r="AC40" s="16">
        <f>INDEX('Для Перспективы'!B16:D16,MATCH($C$10,'Для Перспективы'!$B$1:$D$1,0))</f>
        <v>9500</v>
      </c>
      <c r="AD40" s="16">
        <f>INDEX('Для Перспективы'!B18:D18,MATCH($C$10,'Для Перспективы'!$B$1:$D$1,0))</f>
        <v>7400</v>
      </c>
      <c r="AE40" s="16">
        <f>INDEX('Для Перспективы'!B20:D20,MATCH($C$10,'Для Перспективы'!$B$1:$D$1,0))</f>
        <v>9500</v>
      </c>
      <c r="AF40" s="47">
        <f t="shared" si="46"/>
        <v>2498</v>
      </c>
      <c r="AG40" s="169">
        <f>AG36-$AG$35</f>
        <v>0.129</v>
      </c>
      <c r="AI40" s="2"/>
      <c r="AJ40" s="2"/>
      <c r="AK40" s="57"/>
      <c r="AL40" s="47">
        <f>AL36-$AL$35</f>
        <v>2498</v>
      </c>
      <c r="AM40" s="169">
        <f>AM36-$AM$35</f>
        <v>0.129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3"/>
        <v>0.16900000000000001</v>
      </c>
      <c r="AS40" s="258">
        <f t="shared" si="18"/>
        <v>2617</v>
      </c>
      <c r="AT40" s="258">
        <f t="shared" si="19"/>
        <v>2617</v>
      </c>
      <c r="AU40" s="258">
        <f t="shared" si="20"/>
        <v>560.16</v>
      </c>
      <c r="AV40" s="258">
        <f t="shared" si="21"/>
        <v>2056.84</v>
      </c>
      <c r="AW40" s="258">
        <f t="shared" si="5"/>
        <v>0</v>
      </c>
      <c r="AX40" s="258">
        <v>0</v>
      </c>
      <c r="AY40" s="258">
        <f t="shared" si="22"/>
        <v>560.16</v>
      </c>
      <c r="AZ40" s="258">
        <f t="shared" si="39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36969.070000000007</v>
      </c>
      <c r="BH40" s="108">
        <f t="shared" si="31"/>
        <v>17</v>
      </c>
      <c r="BI40" s="108">
        <f t="shared" si="26"/>
        <v>17</v>
      </c>
      <c r="BJ40" s="22">
        <f t="shared" si="27"/>
        <v>45257</v>
      </c>
      <c r="BK40" s="108">
        <f t="shared" si="7"/>
        <v>2498</v>
      </c>
    </row>
    <row r="41" spans="1:1217" s="16" customFormat="1" ht="19.5" customHeight="1" x14ac:dyDescent="0.3">
      <c r="A41" s="931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4"/>
        <v>0.129</v>
      </c>
      <c r="J41" s="242">
        <f t="shared" si="9"/>
        <v>2498</v>
      </c>
      <c r="K41" s="242">
        <f t="shared" si="45"/>
        <v>2498</v>
      </c>
      <c r="L41" s="242">
        <f t="shared" si="36"/>
        <v>480.85</v>
      </c>
      <c r="M41" s="242">
        <f t="shared" si="12"/>
        <v>2017.15</v>
      </c>
      <c r="N41" s="242">
        <f t="shared" si="2"/>
        <v>0</v>
      </c>
      <c r="O41" s="242">
        <v>0</v>
      </c>
      <c r="P41" s="242">
        <f t="shared" si="25"/>
        <v>480.85</v>
      </c>
      <c r="Q41" s="242">
        <f t="shared" si="33"/>
        <v>0</v>
      </c>
      <c r="R41" s="242">
        <f t="shared" si="14"/>
        <v>0</v>
      </c>
      <c r="S41" s="242">
        <f t="shared" si="15"/>
        <v>43334.79000000003</v>
      </c>
      <c r="T41" s="467"/>
      <c r="U41" s="198">
        <f t="shared" si="29"/>
        <v>16</v>
      </c>
      <c r="V41" s="36">
        <f t="shared" si="16"/>
        <v>16</v>
      </c>
      <c r="W41" s="16">
        <f>INDEX('Для Перспективы'!B3:D3,MATCH($C$10,'Для Перспективы'!$B$1:$D$1,0))</f>
        <v>152000</v>
      </c>
      <c r="X41" s="16">
        <f>INDEX('Для Перспективы'!B5:D5,MATCH($C$10,'Для Перспективы'!$B$1:$D$1,0))</f>
        <v>158090</v>
      </c>
      <c r="Y41" s="16">
        <f>INDEX('Для Перспективы'!B11:D11,MATCH($C$10,'Для Перспективы'!$B$1:$D$1,0))</f>
        <v>163800</v>
      </c>
      <c r="Z41" s="16">
        <f>INDEX('Для Перспективы'!B13:D13,MATCH($C$10,'Для Перспективы'!$B$1:$D$1,0))</f>
        <v>166900</v>
      </c>
      <c r="AA41" s="16">
        <f>INDEX('Для Перспективы'!B17:D17,MATCH($C$10,'Для Перспективы'!$B$1:$D$1,0))</f>
        <v>173000</v>
      </c>
      <c r="AB41" s="16">
        <f>INDEX('Для Перспективы'!B23:D23,MATCH($C$10,'Для Перспективы'!$B$1:$D$1,0))</f>
        <v>182500</v>
      </c>
      <c r="AC41" s="16">
        <f>INDEX('Для Перспективы'!B17:D17,MATCH($C$10,'Для Перспективы'!$B$1:$D$1,0))</f>
        <v>173000</v>
      </c>
      <c r="AD41" s="16">
        <f>INDEX('Для Перспективы'!B19:D19,MATCH($C$10,'Для Перспективы'!$B$1:$D$1,0))</f>
        <v>175150</v>
      </c>
      <c r="AE41" s="16">
        <f>INDEX('Для Перспективы'!B21:D21,MATCH($C$10,'Для Перспективы'!$B$1:$D$1,0))</f>
        <v>176100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3"/>
        <v>0.16900000000000001</v>
      </c>
      <c r="AS41" s="258">
        <f t="shared" si="18"/>
        <v>2617</v>
      </c>
      <c r="AT41" s="258">
        <f t="shared" si="19"/>
        <v>2617</v>
      </c>
      <c r="AU41" s="258">
        <f t="shared" si="20"/>
        <v>513.52</v>
      </c>
      <c r="AV41" s="258">
        <f t="shared" si="21"/>
        <v>2103.48</v>
      </c>
      <c r="AW41" s="258">
        <f t="shared" si="5"/>
        <v>0</v>
      </c>
      <c r="AX41" s="258">
        <v>0</v>
      </c>
      <c r="AY41" s="258">
        <f t="shared" si="22"/>
        <v>513.52</v>
      </c>
      <c r="AZ41" s="258">
        <f t="shared" si="39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34865.590000000004</v>
      </c>
      <c r="BH41" s="108">
        <f t="shared" si="31"/>
        <v>16</v>
      </c>
      <c r="BI41" s="108">
        <f t="shared" si="26"/>
        <v>16</v>
      </c>
      <c r="BJ41" s="22">
        <f t="shared" si="27"/>
        <v>45287</v>
      </c>
      <c r="BK41" s="108">
        <f t="shared" si="7"/>
        <v>2498</v>
      </c>
    </row>
    <row r="42" spans="1:1217" s="16" customFormat="1" ht="45.75" customHeight="1" x14ac:dyDescent="0.3">
      <c r="A42" s="932" t="s">
        <v>340</v>
      </c>
      <c r="B42" s="932"/>
      <c r="C42" s="933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934"/>
      <c r="E42" s="935"/>
      <c r="F42" s="178"/>
      <c r="G42" s="244">
        <f t="shared" si="28"/>
        <v>34</v>
      </c>
      <c r="H42" s="245">
        <f t="shared" si="1"/>
        <v>45318</v>
      </c>
      <c r="I42" s="246">
        <f t="shared" si="44"/>
        <v>0.129</v>
      </c>
      <c r="J42" s="242">
        <f t="shared" si="9"/>
        <v>2498</v>
      </c>
      <c r="K42" s="242">
        <f t="shared" si="45"/>
        <v>2498</v>
      </c>
      <c r="L42" s="242">
        <f t="shared" si="36"/>
        <v>473.65</v>
      </c>
      <c r="M42" s="242">
        <f t="shared" si="12"/>
        <v>2024.35</v>
      </c>
      <c r="N42" s="242">
        <f t="shared" si="2"/>
        <v>0</v>
      </c>
      <c r="O42" s="242">
        <v>0</v>
      </c>
      <c r="P42" s="242">
        <f t="shared" si="25"/>
        <v>473.65</v>
      </c>
      <c r="Q42" s="242">
        <f t="shared" si="33"/>
        <v>0</v>
      </c>
      <c r="R42" s="242">
        <f t="shared" si="14"/>
        <v>0</v>
      </c>
      <c r="S42" s="242">
        <f t="shared" si="15"/>
        <v>41310.440000000031</v>
      </c>
      <c r="T42" s="467"/>
      <c r="U42" s="198">
        <f t="shared" si="29"/>
        <v>15</v>
      </c>
      <c r="V42" s="36">
        <f t="shared" si="16"/>
        <v>15</v>
      </c>
      <c r="W42" s="2"/>
      <c r="X42" s="18">
        <f>K8</f>
        <v>-90750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3"/>
        <v>0.16900000000000001</v>
      </c>
      <c r="AS42" s="258">
        <f t="shared" si="18"/>
        <v>2617</v>
      </c>
      <c r="AT42" s="258">
        <f t="shared" si="19"/>
        <v>2617</v>
      </c>
      <c r="AU42" s="258">
        <f t="shared" si="20"/>
        <v>499.25</v>
      </c>
      <c r="AV42" s="258">
        <f t="shared" si="21"/>
        <v>2117.75</v>
      </c>
      <c r="AW42" s="258">
        <f t="shared" si="5"/>
        <v>0</v>
      </c>
      <c r="AX42" s="258">
        <v>0</v>
      </c>
      <c r="AY42" s="258">
        <f t="shared" si="22"/>
        <v>499.25</v>
      </c>
      <c r="AZ42" s="258">
        <f t="shared" si="39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32747.840000000004</v>
      </c>
      <c r="BH42" s="108">
        <f t="shared" si="31"/>
        <v>15</v>
      </c>
      <c r="BI42" s="108">
        <f t="shared" si="26"/>
        <v>15</v>
      </c>
      <c r="BJ42" s="22">
        <f t="shared" si="27"/>
        <v>45318</v>
      </c>
      <c r="BK42" s="108">
        <f t="shared" si="7"/>
        <v>2498</v>
      </c>
    </row>
    <row r="43" spans="1:1217" s="16" customFormat="1" ht="16.899999999999999" customHeight="1" x14ac:dyDescent="0.3">
      <c r="A43" s="931" t="s">
        <v>345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4"/>
        <v>0.129</v>
      </c>
      <c r="J43" s="242">
        <f t="shared" si="9"/>
        <v>2498</v>
      </c>
      <c r="K43" s="242">
        <f t="shared" si="45"/>
        <v>2498</v>
      </c>
      <c r="L43" s="242">
        <f t="shared" si="36"/>
        <v>451.37</v>
      </c>
      <c r="M43" s="242">
        <f t="shared" si="12"/>
        <v>2046.63</v>
      </c>
      <c r="N43" s="242">
        <f t="shared" si="2"/>
        <v>0</v>
      </c>
      <c r="O43" s="242">
        <v>0</v>
      </c>
      <c r="P43" s="242">
        <f t="shared" si="25"/>
        <v>451.37</v>
      </c>
      <c r="Q43" s="242">
        <f t="shared" si="33"/>
        <v>0</v>
      </c>
      <c r="R43" s="242">
        <f t="shared" si="14"/>
        <v>0</v>
      </c>
      <c r="S43" s="242">
        <f t="shared" si="15"/>
        <v>39263.810000000034</v>
      </c>
      <c r="T43" s="467"/>
      <c r="U43" s="198">
        <f t="shared" si="29"/>
        <v>14</v>
      </c>
      <c r="V43" s="36">
        <f t="shared" si="16"/>
        <v>14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3"/>
        <v>0.16900000000000001</v>
      </c>
      <c r="AS43" s="258">
        <f t="shared" si="18"/>
        <v>2617</v>
      </c>
      <c r="AT43" s="258">
        <f t="shared" si="19"/>
        <v>2617</v>
      </c>
      <c r="AU43" s="258">
        <f t="shared" si="20"/>
        <v>468.76</v>
      </c>
      <c r="AV43" s="258">
        <f t="shared" si="21"/>
        <v>2148.2399999999998</v>
      </c>
      <c r="AW43" s="258">
        <f t="shared" si="5"/>
        <v>0</v>
      </c>
      <c r="AX43" s="258">
        <v>0</v>
      </c>
      <c r="AY43" s="258">
        <f t="shared" si="22"/>
        <v>468.76</v>
      </c>
      <c r="AZ43" s="258">
        <f t="shared" si="39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30599.600000000006</v>
      </c>
      <c r="BH43" s="108">
        <f t="shared" si="31"/>
        <v>14</v>
      </c>
      <c r="BI43" s="108">
        <f t="shared" si="26"/>
        <v>14</v>
      </c>
      <c r="BJ43" s="22">
        <f t="shared" si="27"/>
        <v>45349</v>
      </c>
      <c r="BK43" s="108">
        <f t="shared" si="7"/>
        <v>2498</v>
      </c>
    </row>
    <row r="44" spans="1:1217" s="16" customFormat="1" ht="18" customHeight="1" thickBot="1" x14ac:dyDescent="0.35">
      <c r="A44" s="931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4"/>
        <v>0.129</v>
      </c>
      <c r="J44" s="252">
        <f t="shared" si="9"/>
        <v>2498</v>
      </c>
      <c r="K44" s="252">
        <f t="shared" si="45"/>
        <v>2498</v>
      </c>
      <c r="L44" s="252">
        <f t="shared" si="36"/>
        <v>401.33</v>
      </c>
      <c r="M44" s="252">
        <f t="shared" si="12"/>
        <v>2096.67</v>
      </c>
      <c r="N44" s="252">
        <f t="shared" si="2"/>
        <v>0</v>
      </c>
      <c r="O44" s="252">
        <v>0</v>
      </c>
      <c r="P44" s="252">
        <f t="shared" si="25"/>
        <v>401.33</v>
      </c>
      <c r="Q44" s="252">
        <f t="shared" si="33"/>
        <v>0</v>
      </c>
      <c r="R44" s="252">
        <f t="shared" si="14"/>
        <v>0</v>
      </c>
      <c r="S44" s="252">
        <f t="shared" si="15"/>
        <v>37167.140000000036</v>
      </c>
      <c r="T44" s="468"/>
      <c r="U44" s="198">
        <f t="shared" si="29"/>
        <v>13</v>
      </c>
      <c r="V44" s="36">
        <f t="shared" si="16"/>
        <v>13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3"/>
        <v>0.16900000000000001</v>
      </c>
      <c r="AS44" s="258">
        <f t="shared" si="18"/>
        <v>2617</v>
      </c>
      <c r="AT44" s="258">
        <f t="shared" si="19"/>
        <v>2617</v>
      </c>
      <c r="AU44" s="258">
        <f t="shared" si="20"/>
        <v>409.75</v>
      </c>
      <c r="AV44" s="258">
        <f t="shared" si="21"/>
        <v>2207.25</v>
      </c>
      <c r="AW44" s="258">
        <f t="shared" si="5"/>
        <v>0</v>
      </c>
      <c r="AX44" s="258">
        <v>0</v>
      </c>
      <c r="AY44" s="258">
        <f t="shared" si="22"/>
        <v>409.75</v>
      </c>
      <c r="AZ44" s="258">
        <f t="shared" si="39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28392.350000000006</v>
      </c>
      <c r="BH44" s="108">
        <f t="shared" si="31"/>
        <v>13</v>
      </c>
      <c r="BI44" s="108">
        <f t="shared" si="26"/>
        <v>13</v>
      </c>
      <c r="BJ44" s="22">
        <f t="shared" si="27"/>
        <v>45378</v>
      </c>
      <c r="BK44" s="108">
        <f t="shared" si="7"/>
        <v>2498</v>
      </c>
    </row>
    <row r="45" spans="1:1217" s="16" customFormat="1" ht="16.899999999999999" customHeight="1" x14ac:dyDescent="0.3">
      <c r="A45" s="931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0.129</v>
      </c>
      <c r="J45" s="242">
        <f t="shared" si="9"/>
        <v>2498</v>
      </c>
      <c r="K45" s="242">
        <f>IF(AND(G45&gt;=$W$9,G45&lt;=$W$9+5),$W$10,IF(AND(S44+N45+L45&gt;K44,K44&lt;&gt;0),IF(AND($C$16="Да",$C$8&lt;&gt;"Нет"),$AF$39,$C$24),IF(S44=0,0,S44+N45+L45+L46)))</f>
        <v>2498</v>
      </c>
      <c r="L45" s="242">
        <f t="shared" si="36"/>
        <v>406.1</v>
      </c>
      <c r="M45" s="242">
        <f t="shared" si="12"/>
        <v>2091.9</v>
      </c>
      <c r="N45" s="242">
        <f t="shared" si="2"/>
        <v>0</v>
      </c>
      <c r="O45" s="242">
        <v>0</v>
      </c>
      <c r="P45" s="242">
        <f t="shared" si="25"/>
        <v>406.1</v>
      </c>
      <c r="Q45" s="242">
        <f t="shared" si="33"/>
        <v>0</v>
      </c>
      <c r="R45" s="242">
        <f t="shared" si="14"/>
        <v>0</v>
      </c>
      <c r="S45" s="242">
        <f t="shared" si="15"/>
        <v>35075.240000000034</v>
      </c>
      <c r="T45" s="467"/>
      <c r="U45" s="198">
        <f t="shared" si="29"/>
        <v>12</v>
      </c>
      <c r="V45" s="36">
        <f t="shared" si="16"/>
        <v>12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7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8">IF($D$16="Да",$AM$39,$D$13)</f>
        <v>0.16900000000000001</v>
      </c>
      <c r="AS45" s="258">
        <f t="shared" si="18"/>
        <v>2617</v>
      </c>
      <c r="AT45" s="258">
        <f t="shared" si="19"/>
        <v>2617</v>
      </c>
      <c r="AU45" s="258">
        <f t="shared" si="20"/>
        <v>406.41</v>
      </c>
      <c r="AV45" s="258">
        <f t="shared" si="21"/>
        <v>2210.59</v>
      </c>
      <c r="AW45" s="258">
        <f t="shared" si="5"/>
        <v>0</v>
      </c>
      <c r="AX45" s="258">
        <v>0</v>
      </c>
      <c r="AY45" s="258">
        <f t="shared" si="22"/>
        <v>406.41</v>
      </c>
      <c r="AZ45" s="258">
        <f t="shared" si="39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26181.760000000006</v>
      </c>
      <c r="BH45" s="108">
        <f t="shared" si="31"/>
        <v>12</v>
      </c>
      <c r="BI45" s="108">
        <f t="shared" si="26"/>
        <v>12</v>
      </c>
      <c r="BJ45" s="22">
        <f t="shared" si="27"/>
        <v>45409</v>
      </c>
      <c r="BK45" s="108">
        <f t="shared" si="7"/>
        <v>2498</v>
      </c>
    </row>
    <row r="46" spans="1:1217" s="16" customFormat="1" ht="19.5" customHeight="1" x14ac:dyDescent="0.3">
      <c r="A46" s="931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49">IF(AND($C$16="Да",$C$8&lt;&gt;"Нет"),$AG$39,$C$13)</f>
        <v>0.129</v>
      </c>
      <c r="J46" s="242">
        <f t="shared" si="9"/>
        <v>2498</v>
      </c>
      <c r="K46" s="242">
        <f t="shared" ref="K46:K56" si="50">IF(AND(G46&gt;=$W$9,G46&lt;=$W$9+5),$W$10,IF(AND(S45+N46+L46&gt;K45,K45&lt;&gt;0),IF(AND($C$16="Да",$C$8&lt;&gt;"Нет"),$AF$39,$C$24),IF(S45=0,0,S45+N46+L46+L47)))</f>
        <v>2498</v>
      </c>
      <c r="L46" s="242">
        <f t="shared" si="36"/>
        <v>370.88</v>
      </c>
      <c r="M46" s="242">
        <f t="shared" si="12"/>
        <v>2127.12</v>
      </c>
      <c r="N46" s="242">
        <f t="shared" si="2"/>
        <v>0</v>
      </c>
      <c r="O46" s="242">
        <v>0</v>
      </c>
      <c r="P46" s="242">
        <f t="shared" si="25"/>
        <v>370.88</v>
      </c>
      <c r="Q46" s="242">
        <f t="shared" si="33"/>
        <v>0</v>
      </c>
      <c r="R46" s="242">
        <f t="shared" si="14"/>
        <v>0</v>
      </c>
      <c r="S46" s="242">
        <f t="shared" si="15"/>
        <v>32948.120000000032</v>
      </c>
      <c r="T46" s="467"/>
      <c r="U46" s="198">
        <f t="shared" si="29"/>
        <v>11</v>
      </c>
      <c r="V46" s="36">
        <f t="shared" si="16"/>
        <v>11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1">IF(K11 &gt; 0, K11, 0)</f>
        <v>0</v>
      </c>
      <c r="Y46" s="57">
        <f t="shared" si="47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-90750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8"/>
        <v>0.16900000000000001</v>
      </c>
      <c r="AS46" s="258">
        <f t="shared" si="18"/>
        <v>2617</v>
      </c>
      <c r="AT46" s="258">
        <f t="shared" si="19"/>
        <v>2617</v>
      </c>
      <c r="AU46" s="258">
        <f t="shared" si="20"/>
        <v>362.68</v>
      </c>
      <c r="AV46" s="258">
        <f t="shared" si="21"/>
        <v>2254.3200000000002</v>
      </c>
      <c r="AW46" s="258">
        <f t="shared" si="5"/>
        <v>0</v>
      </c>
      <c r="AX46" s="258">
        <v>0</v>
      </c>
      <c r="AY46" s="258">
        <f t="shared" si="22"/>
        <v>362.68</v>
      </c>
      <c r="AZ46" s="258">
        <f t="shared" si="39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23927.440000000006</v>
      </c>
      <c r="BH46" s="108">
        <f t="shared" si="31"/>
        <v>11</v>
      </c>
      <c r="BI46" s="108">
        <f t="shared" si="26"/>
        <v>11</v>
      </c>
      <c r="BJ46" s="22">
        <f t="shared" si="27"/>
        <v>45439</v>
      </c>
      <c r="BK46" s="108">
        <f t="shared" si="7"/>
        <v>2498</v>
      </c>
    </row>
    <row r="47" spans="1:1217" s="16" customFormat="1" ht="56.25" customHeight="1" x14ac:dyDescent="0.3">
      <c r="A47" s="932" t="s">
        <v>339</v>
      </c>
      <c r="B47" s="938"/>
      <c r="C47" s="933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934"/>
      <c r="E47" s="935"/>
      <c r="F47" s="178"/>
      <c r="G47" s="244">
        <f t="shared" si="28"/>
        <v>39</v>
      </c>
      <c r="H47" s="245">
        <f t="shared" si="1"/>
        <v>45470</v>
      </c>
      <c r="I47" s="246">
        <f t="shared" si="49"/>
        <v>0.129</v>
      </c>
      <c r="J47" s="242">
        <f t="shared" si="9"/>
        <v>2498</v>
      </c>
      <c r="K47" s="242">
        <f t="shared" si="50"/>
        <v>2498</v>
      </c>
      <c r="L47" s="242">
        <f t="shared" si="36"/>
        <v>360</v>
      </c>
      <c r="M47" s="242">
        <f t="shared" si="12"/>
        <v>2138</v>
      </c>
      <c r="N47" s="242">
        <f t="shared" si="2"/>
        <v>0</v>
      </c>
      <c r="O47" s="242">
        <v>0</v>
      </c>
      <c r="P47" s="242">
        <f t="shared" si="25"/>
        <v>360</v>
      </c>
      <c r="Q47" s="242">
        <f t="shared" si="33"/>
        <v>0</v>
      </c>
      <c r="R47" s="242">
        <f t="shared" si="14"/>
        <v>0</v>
      </c>
      <c r="S47" s="242">
        <f t="shared" si="15"/>
        <v>30810.120000000032</v>
      </c>
      <c r="T47" s="467"/>
      <c r="U47" s="198">
        <f t="shared" si="29"/>
        <v>10</v>
      </c>
      <c r="V47" s="36">
        <f t="shared" si="16"/>
        <v>10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1"/>
        <v>0</v>
      </c>
      <c r="Y47" s="57">
        <f t="shared" si="47"/>
        <v>45745</v>
      </c>
      <c r="Z47" s="5" t="s">
        <v>42</v>
      </c>
      <c r="AA47" s="8"/>
      <c r="AB47" s="17">
        <f>AC51/C7</f>
        <v>0.67000413333333353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8"/>
        <v>0.16900000000000001</v>
      </c>
      <c r="AS47" s="258">
        <f t="shared" si="18"/>
        <v>2617</v>
      </c>
      <c r="AT47" s="258">
        <f t="shared" si="19"/>
        <v>2617</v>
      </c>
      <c r="AU47" s="258">
        <f t="shared" si="20"/>
        <v>342.5</v>
      </c>
      <c r="AV47" s="258">
        <f t="shared" si="21"/>
        <v>2274.5</v>
      </c>
      <c r="AW47" s="258">
        <f t="shared" si="5"/>
        <v>0</v>
      </c>
      <c r="AX47" s="258">
        <v>0</v>
      </c>
      <c r="AY47" s="258">
        <f t="shared" si="22"/>
        <v>342.5</v>
      </c>
      <c r="AZ47" s="258">
        <f t="shared" si="39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21652.940000000006</v>
      </c>
      <c r="BH47" s="108">
        <f t="shared" si="31"/>
        <v>10</v>
      </c>
      <c r="BI47" s="108">
        <f t="shared" si="26"/>
        <v>10</v>
      </c>
      <c r="BJ47" s="22">
        <f t="shared" si="27"/>
        <v>45470</v>
      </c>
      <c r="BK47" s="108">
        <f t="shared" si="7"/>
        <v>2498</v>
      </c>
    </row>
    <row r="48" spans="1:1217" s="16" customFormat="1" ht="18.75" customHeight="1" x14ac:dyDescent="0.3">
      <c r="A48" s="901" t="s">
        <v>301</v>
      </c>
      <c r="B48" s="901"/>
      <c r="C48" s="901"/>
      <c r="D48" s="901"/>
      <c r="E48" s="901"/>
      <c r="F48" s="178"/>
      <c r="G48" s="244">
        <f t="shared" si="28"/>
        <v>40</v>
      </c>
      <c r="H48" s="245">
        <f t="shared" si="1"/>
        <v>45500</v>
      </c>
      <c r="I48" s="246">
        <f t="shared" si="49"/>
        <v>0.129</v>
      </c>
      <c r="J48" s="242">
        <f t="shared" si="9"/>
        <v>2498</v>
      </c>
      <c r="K48" s="242">
        <f t="shared" si="50"/>
        <v>2498</v>
      </c>
      <c r="L48" s="242">
        <f t="shared" si="36"/>
        <v>325.77999999999997</v>
      </c>
      <c r="M48" s="242">
        <f t="shared" si="12"/>
        <v>2172.2200000000003</v>
      </c>
      <c r="N48" s="242">
        <f t="shared" si="2"/>
        <v>0</v>
      </c>
      <c r="O48" s="242">
        <v>0</v>
      </c>
      <c r="P48" s="242">
        <f t="shared" si="25"/>
        <v>325.77999999999997</v>
      </c>
      <c r="Q48" s="242">
        <f t="shared" si="33"/>
        <v>0</v>
      </c>
      <c r="R48" s="242">
        <f t="shared" si="14"/>
        <v>0</v>
      </c>
      <c r="S48" s="242">
        <f t="shared" si="15"/>
        <v>28637.900000000031</v>
      </c>
      <c r="T48" s="467"/>
      <c r="U48" s="198">
        <f t="shared" si="29"/>
        <v>9</v>
      </c>
      <c r="V48" s="36">
        <f t="shared" si="16"/>
        <v>9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1"/>
        <v>0</v>
      </c>
      <c r="Y48" s="57">
        <f t="shared" si="47"/>
        <v>46110</v>
      </c>
      <c r="Z48" s="5"/>
      <c r="AA48" s="8"/>
      <c r="AB48" s="17">
        <f>IF(C8=AC59,AC65,IF(C8=AD59,AD65,IF(C8=AF59,AF65,IF(C8=AG59,AG65,IF(C8=AE59,AE65,IF(C8=AH59,AH65,IF(C8=AI59,AI65,IF(C8=AJ59,AJ65,Y23))))))))</f>
        <v>3.5000000000000001E-3</v>
      </c>
      <c r="AC48" s="39">
        <f>C7*(1-AC47)</f>
        <v>75000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2617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8"/>
        <v>0.16900000000000001</v>
      </c>
      <c r="AS48" s="258">
        <f t="shared" si="18"/>
        <v>2617</v>
      </c>
      <c r="AT48" s="258">
        <f t="shared" si="19"/>
        <v>2617</v>
      </c>
      <c r="AU48" s="258">
        <f t="shared" si="20"/>
        <v>299.95</v>
      </c>
      <c r="AV48" s="258">
        <f t="shared" si="21"/>
        <v>2317.0500000000002</v>
      </c>
      <c r="AW48" s="258">
        <f t="shared" si="5"/>
        <v>0</v>
      </c>
      <c r="AX48" s="258">
        <v>0</v>
      </c>
      <c r="AY48" s="258">
        <f t="shared" si="22"/>
        <v>299.95</v>
      </c>
      <c r="AZ48" s="258">
        <f t="shared" si="39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19335.890000000007</v>
      </c>
      <c r="BH48" s="108">
        <f t="shared" si="31"/>
        <v>9</v>
      </c>
      <c r="BI48" s="108">
        <f t="shared" si="26"/>
        <v>9</v>
      </c>
      <c r="BJ48" s="22">
        <f t="shared" si="27"/>
        <v>45500</v>
      </c>
      <c r="BK48" s="108">
        <f t="shared" si="7"/>
        <v>2498</v>
      </c>
    </row>
    <row r="49" spans="1:64" s="16" customFormat="1" ht="55.15" customHeight="1" x14ac:dyDescent="0.25">
      <c r="A49" s="902" t="s">
        <v>308</v>
      </c>
      <c r="B49" s="903"/>
      <c r="C49" s="904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10385 рублей</v>
      </c>
      <c r="D49" s="905"/>
      <c r="E49" s="906"/>
      <c r="F49" s="180"/>
      <c r="G49" s="244">
        <f t="shared" si="28"/>
        <v>41</v>
      </c>
      <c r="H49" s="245">
        <f t="shared" si="1"/>
        <v>45531</v>
      </c>
      <c r="I49" s="246">
        <f t="shared" si="49"/>
        <v>0.129</v>
      </c>
      <c r="J49" s="242">
        <f t="shared" si="9"/>
        <v>2498</v>
      </c>
      <c r="K49" s="242">
        <f t="shared" si="50"/>
        <v>2498</v>
      </c>
      <c r="L49" s="242">
        <f t="shared" si="36"/>
        <v>312.89999999999998</v>
      </c>
      <c r="M49" s="242">
        <f t="shared" si="12"/>
        <v>2185.1</v>
      </c>
      <c r="N49" s="242">
        <f t="shared" si="2"/>
        <v>0</v>
      </c>
      <c r="O49" s="242">
        <v>0</v>
      </c>
      <c r="P49" s="242">
        <f t="shared" si="25"/>
        <v>312.89999999999998</v>
      </c>
      <c r="Q49" s="242">
        <f t="shared" si="33"/>
        <v>0</v>
      </c>
      <c r="R49" s="242">
        <f t="shared" si="14"/>
        <v>0</v>
      </c>
      <c r="S49" s="242">
        <f t="shared" si="15"/>
        <v>26452.800000000032</v>
      </c>
      <c r="T49" s="467"/>
      <c r="U49" s="198">
        <f t="shared" si="29"/>
        <v>8</v>
      </c>
      <c r="V49" s="36">
        <f t="shared" si="16"/>
        <v>8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1"/>
        <v>0</v>
      </c>
      <c r="Y49" s="57">
        <f t="shared" si="47"/>
        <v>46475</v>
      </c>
      <c r="Z49" s="2"/>
      <c r="AA49" s="2"/>
      <c r="AB49" s="15">
        <f>IF(D8=AC59,AC65,IF(D8=AD59,AD65,IF(D8=AF59,AF65,IF(D8=AG59,AG65,IF(D8=AE59,AE65,IF(D8=AH59,AH65,IF(D8=AI59,AI65,Y23)))))))</f>
        <v>3.5000000000000001E-3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2614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2617</v>
      </c>
      <c r="AN49" s="57">
        <f t="shared" ref="AN49:AN112" si="52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8"/>
        <v>0.16900000000000001</v>
      </c>
      <c r="AS49" s="258">
        <f t="shared" si="18"/>
        <v>2617</v>
      </c>
      <c r="AT49" s="258">
        <f t="shared" si="19"/>
        <v>2617</v>
      </c>
      <c r="AU49" s="258">
        <f t="shared" si="20"/>
        <v>276.77999999999997</v>
      </c>
      <c r="AV49" s="258">
        <f t="shared" si="21"/>
        <v>2340.2200000000003</v>
      </c>
      <c r="AW49" s="258">
        <f t="shared" si="5"/>
        <v>0</v>
      </c>
      <c r="AX49" s="258">
        <v>0</v>
      </c>
      <c r="AY49" s="258">
        <f t="shared" si="22"/>
        <v>276.77999999999997</v>
      </c>
      <c r="AZ49" s="258">
        <f t="shared" si="39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16995.670000000006</v>
      </c>
      <c r="BH49" s="108">
        <f t="shared" si="31"/>
        <v>8</v>
      </c>
      <c r="BI49" s="108">
        <f t="shared" si="26"/>
        <v>8</v>
      </c>
      <c r="BJ49" s="22">
        <f t="shared" si="27"/>
        <v>45531</v>
      </c>
      <c r="BK49" s="108">
        <f t="shared" si="7"/>
        <v>2498</v>
      </c>
    </row>
    <row r="50" spans="1:64" s="16" customFormat="1" ht="55.5" customHeight="1" thickBot="1" x14ac:dyDescent="0.3">
      <c r="A50" s="790" t="s">
        <v>175</v>
      </c>
      <c r="B50" s="790"/>
      <c r="C50" s="790"/>
      <c r="D50" s="790"/>
      <c r="E50" s="790"/>
      <c r="F50" s="180"/>
      <c r="G50" s="244">
        <f t="shared" si="28"/>
        <v>42</v>
      </c>
      <c r="H50" s="245">
        <f t="shared" si="1"/>
        <v>45562</v>
      </c>
      <c r="I50" s="246">
        <f t="shared" si="49"/>
        <v>0.129</v>
      </c>
      <c r="J50" s="242">
        <f t="shared" si="9"/>
        <v>2498</v>
      </c>
      <c r="K50" s="242">
        <f t="shared" si="50"/>
        <v>2498</v>
      </c>
      <c r="L50" s="242">
        <f t="shared" si="36"/>
        <v>289.02999999999997</v>
      </c>
      <c r="M50" s="242">
        <f t="shared" si="12"/>
        <v>2208.9700000000003</v>
      </c>
      <c r="N50" s="242">
        <f t="shared" si="2"/>
        <v>0</v>
      </c>
      <c r="O50" s="242">
        <v>0</v>
      </c>
      <c r="P50" s="242">
        <f t="shared" si="25"/>
        <v>289.02999999999997</v>
      </c>
      <c r="Q50" s="242">
        <f t="shared" si="33"/>
        <v>0</v>
      </c>
      <c r="R50" s="242">
        <f t="shared" si="14"/>
        <v>0</v>
      </c>
      <c r="S50" s="242">
        <f t="shared" si="15"/>
        <v>24243.830000000031</v>
      </c>
      <c r="T50" s="467"/>
      <c r="U50" s="198">
        <f t="shared" si="29"/>
        <v>7</v>
      </c>
      <c r="V50" s="36">
        <f t="shared" si="16"/>
        <v>7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1"/>
        <v>2498</v>
      </c>
      <c r="Y50" s="57">
        <f t="shared" si="47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3">AT11</f>
        <v>2617</v>
      </c>
      <c r="AN50" s="57">
        <f t="shared" si="52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8"/>
        <v>0.16900000000000001</v>
      </c>
      <c r="AS50" s="258">
        <f t="shared" si="18"/>
        <v>2617</v>
      </c>
      <c r="AT50" s="258">
        <f t="shared" si="19"/>
        <v>2617</v>
      </c>
      <c r="AU50" s="258">
        <f t="shared" si="20"/>
        <v>243.28</v>
      </c>
      <c r="AV50" s="258">
        <f t="shared" si="21"/>
        <v>2373.7199999999998</v>
      </c>
      <c r="AW50" s="258">
        <f t="shared" si="5"/>
        <v>0</v>
      </c>
      <c r="AX50" s="258">
        <v>0</v>
      </c>
      <c r="AY50" s="258">
        <f t="shared" si="22"/>
        <v>243.28</v>
      </c>
      <c r="AZ50" s="258">
        <f t="shared" si="39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14621.950000000006</v>
      </c>
      <c r="BH50" s="108">
        <f t="shared" si="31"/>
        <v>7</v>
      </c>
      <c r="BI50" s="108">
        <f t="shared" si="26"/>
        <v>7</v>
      </c>
      <c r="BJ50" s="22">
        <f t="shared" si="27"/>
        <v>45562</v>
      </c>
      <c r="BK50" s="108">
        <f t="shared" si="7"/>
        <v>2498</v>
      </c>
    </row>
    <row r="51" spans="1:64" s="16" customFormat="1" ht="19.5" customHeight="1" x14ac:dyDescent="0.3">
      <c r="A51" s="792" t="s">
        <v>186</v>
      </c>
      <c r="B51" s="213" t="s">
        <v>180</v>
      </c>
      <c r="C51" s="191">
        <f>C33/($C$10/12)</f>
        <v>11628.855</v>
      </c>
      <c r="D51" s="191">
        <f>D33/($C$10/12)</f>
        <v>8625.0774999999976</v>
      </c>
      <c r="E51" s="191">
        <f>C51-D51</f>
        <v>3003.777500000002</v>
      </c>
      <c r="F51" s="178"/>
      <c r="G51" s="244">
        <f t="shared" si="28"/>
        <v>43</v>
      </c>
      <c r="H51" s="245">
        <f t="shared" si="1"/>
        <v>45592</v>
      </c>
      <c r="I51" s="246">
        <f t="shared" si="49"/>
        <v>0.129</v>
      </c>
      <c r="J51" s="242">
        <f t="shared" si="9"/>
        <v>2498</v>
      </c>
      <c r="K51" s="242">
        <f t="shared" si="50"/>
        <v>2498</v>
      </c>
      <c r="L51" s="242">
        <f t="shared" si="36"/>
        <v>256.35000000000002</v>
      </c>
      <c r="M51" s="242">
        <f t="shared" si="12"/>
        <v>2241.65</v>
      </c>
      <c r="N51" s="242">
        <f t="shared" si="2"/>
        <v>0</v>
      </c>
      <c r="O51" s="242">
        <v>0</v>
      </c>
      <c r="P51" s="242">
        <f t="shared" si="25"/>
        <v>256.35000000000002</v>
      </c>
      <c r="Q51" s="242">
        <f t="shared" si="33"/>
        <v>0</v>
      </c>
      <c r="R51" s="242">
        <f t="shared" si="14"/>
        <v>0</v>
      </c>
      <c r="S51" s="242">
        <f t="shared" si="15"/>
        <v>22002.180000000029</v>
      </c>
      <c r="T51" s="467"/>
      <c r="U51" s="198">
        <f t="shared" si="29"/>
        <v>6</v>
      </c>
      <c r="V51" s="36">
        <f t="shared" si="16"/>
        <v>6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1"/>
        <v>2498</v>
      </c>
      <c r="Y51" s="57">
        <f t="shared" si="47"/>
        <v>47205</v>
      </c>
      <c r="Z51" s="11" t="s">
        <v>18</v>
      </c>
      <c r="AA51" s="11"/>
      <c r="AB51" s="11"/>
      <c r="AC51" s="42">
        <f>(D32-C7)</f>
        <v>50250.310000000012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3"/>
        <v>2617</v>
      </c>
      <c r="AN51" s="57">
        <f t="shared" si="52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8"/>
        <v>0.16900000000000001</v>
      </c>
      <c r="AS51" s="258">
        <f t="shared" si="18"/>
        <v>2617</v>
      </c>
      <c r="AT51" s="258">
        <f t="shared" si="19"/>
        <v>2617</v>
      </c>
      <c r="AU51" s="258">
        <f t="shared" si="20"/>
        <v>202.55</v>
      </c>
      <c r="AV51" s="258">
        <f t="shared" si="21"/>
        <v>2414.4499999999998</v>
      </c>
      <c r="AW51" s="258">
        <f t="shared" si="5"/>
        <v>0</v>
      </c>
      <c r="AX51" s="258">
        <v>0</v>
      </c>
      <c r="AY51" s="258">
        <f t="shared" si="22"/>
        <v>202.55</v>
      </c>
      <c r="AZ51" s="258">
        <f t="shared" si="39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12207.500000000007</v>
      </c>
      <c r="BH51" s="108">
        <f t="shared" si="31"/>
        <v>6</v>
      </c>
      <c r="BI51" s="108">
        <f t="shared" si="26"/>
        <v>6</v>
      </c>
      <c r="BJ51" s="22">
        <f t="shared" si="27"/>
        <v>45592</v>
      </c>
      <c r="BK51" s="108">
        <f t="shared" si="7"/>
        <v>2498</v>
      </c>
    </row>
    <row r="52" spans="1:64" s="16" customFormat="1" ht="24" customHeight="1" x14ac:dyDescent="0.3">
      <c r="A52" s="792"/>
      <c r="B52" s="213" t="s">
        <v>181</v>
      </c>
      <c r="C52" s="201">
        <f>C51/C23</f>
        <v>0.12814165289256199</v>
      </c>
      <c r="D52" s="201">
        <f>D51/D23</f>
        <v>9.5042176308539922E-2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49"/>
        <v>0.129</v>
      </c>
      <c r="J52" s="242">
        <f t="shared" si="9"/>
        <v>2498</v>
      </c>
      <c r="K52" s="242">
        <f t="shared" si="50"/>
        <v>2498</v>
      </c>
      <c r="L52" s="242">
        <f t="shared" si="36"/>
        <v>240.4</v>
      </c>
      <c r="M52" s="242">
        <f t="shared" si="12"/>
        <v>2257.6</v>
      </c>
      <c r="N52" s="242">
        <f t="shared" si="2"/>
        <v>0</v>
      </c>
      <c r="O52" s="242">
        <v>0</v>
      </c>
      <c r="P52" s="242">
        <f t="shared" si="25"/>
        <v>240.4</v>
      </c>
      <c r="Q52" s="242">
        <f t="shared" si="33"/>
        <v>0</v>
      </c>
      <c r="R52" s="242">
        <f t="shared" si="14"/>
        <v>0</v>
      </c>
      <c r="S52" s="242">
        <f t="shared" si="15"/>
        <v>19744.580000000031</v>
      </c>
      <c r="T52" s="467"/>
      <c r="U52" s="198">
        <f t="shared" si="29"/>
        <v>5</v>
      </c>
      <c r="V52" s="36">
        <f t="shared" si="16"/>
        <v>5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1"/>
        <v>2498</v>
      </c>
      <c r="Y52" s="57">
        <f t="shared" si="47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3"/>
        <v>2617</v>
      </c>
      <c r="AN52" s="57">
        <f t="shared" si="52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8"/>
        <v>0.16900000000000001</v>
      </c>
      <c r="AS52" s="258">
        <f t="shared" si="18"/>
        <v>2617</v>
      </c>
      <c r="AT52" s="258">
        <f t="shared" si="19"/>
        <v>2617</v>
      </c>
      <c r="AU52" s="258">
        <f t="shared" si="20"/>
        <v>174.74</v>
      </c>
      <c r="AV52" s="258">
        <f t="shared" si="21"/>
        <v>2442.2600000000002</v>
      </c>
      <c r="AW52" s="258">
        <f t="shared" si="5"/>
        <v>0</v>
      </c>
      <c r="AX52" s="258">
        <v>0</v>
      </c>
      <c r="AY52" s="258">
        <f t="shared" si="22"/>
        <v>174.74</v>
      </c>
      <c r="AZ52" s="258">
        <f t="shared" si="39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9765.2400000000071</v>
      </c>
      <c r="BH52" s="108">
        <f t="shared" si="31"/>
        <v>5</v>
      </c>
      <c r="BI52" s="108">
        <f t="shared" si="26"/>
        <v>5</v>
      </c>
      <c r="BJ52" s="22">
        <f t="shared" si="27"/>
        <v>45623</v>
      </c>
      <c r="BK52" s="108">
        <f t="shared" si="7"/>
        <v>2498</v>
      </c>
    </row>
    <row r="53" spans="1:64" s="16" customFormat="1" ht="24" customHeight="1" x14ac:dyDescent="0.3">
      <c r="A53" s="763" t="s">
        <v>177</v>
      </c>
      <c r="B53" s="763"/>
      <c r="C53" s="190">
        <f>C51/12</f>
        <v>969.07124999999996</v>
      </c>
      <c r="D53" s="191">
        <f>D51/12</f>
        <v>718.75645833333317</v>
      </c>
      <c r="E53" s="191">
        <f>C53-D53</f>
        <v>250.31479166666679</v>
      </c>
      <c r="F53" s="178"/>
      <c r="G53" s="244">
        <f t="shared" si="28"/>
        <v>45</v>
      </c>
      <c r="H53" s="245">
        <f t="shared" si="1"/>
        <v>45653</v>
      </c>
      <c r="I53" s="246">
        <f t="shared" si="49"/>
        <v>0.129</v>
      </c>
      <c r="J53" s="242">
        <f t="shared" si="9"/>
        <v>2498</v>
      </c>
      <c r="K53" s="242">
        <f t="shared" si="50"/>
        <v>2498</v>
      </c>
      <c r="L53" s="242">
        <f t="shared" si="36"/>
        <v>208.77</v>
      </c>
      <c r="M53" s="242">
        <f t="shared" si="12"/>
        <v>2289.23</v>
      </c>
      <c r="N53" s="242">
        <f t="shared" si="2"/>
        <v>0</v>
      </c>
      <c r="O53" s="242">
        <v>0</v>
      </c>
      <c r="P53" s="242">
        <f t="shared" si="25"/>
        <v>208.77</v>
      </c>
      <c r="Q53" s="242">
        <f t="shared" si="33"/>
        <v>0</v>
      </c>
      <c r="R53" s="242">
        <f t="shared" si="14"/>
        <v>0</v>
      </c>
      <c r="S53" s="242">
        <f t="shared" si="15"/>
        <v>17455.350000000031</v>
      </c>
      <c r="T53" s="467"/>
      <c r="U53" s="198">
        <f t="shared" si="29"/>
        <v>4</v>
      </c>
      <c r="V53" s="36">
        <f t="shared" si="16"/>
        <v>4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1"/>
        <v>2498</v>
      </c>
      <c r="Y53" s="57">
        <f t="shared" si="47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3"/>
        <v>2617</v>
      </c>
      <c r="AN53" s="57">
        <f t="shared" si="52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8"/>
        <v>0.16900000000000001</v>
      </c>
      <c r="AS53" s="258">
        <f t="shared" si="18"/>
        <v>2617</v>
      </c>
      <c r="AT53" s="258">
        <f t="shared" si="19"/>
        <v>2617</v>
      </c>
      <c r="AU53" s="258">
        <f t="shared" si="20"/>
        <v>135.27000000000001</v>
      </c>
      <c r="AV53" s="258">
        <f t="shared" si="21"/>
        <v>2481.73</v>
      </c>
      <c r="AW53" s="258">
        <f t="shared" si="5"/>
        <v>0</v>
      </c>
      <c r="AX53" s="258">
        <v>0</v>
      </c>
      <c r="AY53" s="258">
        <f t="shared" si="22"/>
        <v>135.27000000000001</v>
      </c>
      <c r="AZ53" s="258">
        <f t="shared" si="39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7283.5100000000075</v>
      </c>
      <c r="BH53" s="108">
        <f t="shared" si="31"/>
        <v>4</v>
      </c>
      <c r="BI53" s="108">
        <f t="shared" si="26"/>
        <v>4</v>
      </c>
      <c r="BJ53" s="22">
        <f t="shared" si="27"/>
        <v>45653</v>
      </c>
      <c r="BK53" s="108">
        <f t="shared" si="7"/>
        <v>2498</v>
      </c>
    </row>
    <row r="54" spans="1:64" s="16" customFormat="1" ht="24" customHeight="1" thickBot="1" x14ac:dyDescent="0.35">
      <c r="A54" s="789" t="s">
        <v>176</v>
      </c>
      <c r="B54" s="789"/>
      <c r="C54" s="203">
        <f>C53/30</f>
        <v>32.302374999999998</v>
      </c>
      <c r="D54" s="202">
        <f>D53/30</f>
        <v>23.958548611111105</v>
      </c>
      <c r="E54" s="202">
        <f>C54-D54</f>
        <v>8.3438263888888926</v>
      </c>
      <c r="F54" s="178"/>
      <c r="G54" s="244">
        <f t="shared" si="28"/>
        <v>46</v>
      </c>
      <c r="H54" s="245">
        <f t="shared" si="1"/>
        <v>45684</v>
      </c>
      <c r="I54" s="246">
        <f t="shared" si="49"/>
        <v>0.129</v>
      </c>
      <c r="J54" s="242">
        <f t="shared" si="9"/>
        <v>2498</v>
      </c>
      <c r="K54" s="242">
        <f t="shared" si="50"/>
        <v>2498</v>
      </c>
      <c r="L54" s="242">
        <f t="shared" si="36"/>
        <v>191.18</v>
      </c>
      <c r="M54" s="242">
        <f t="shared" si="12"/>
        <v>2306.8200000000002</v>
      </c>
      <c r="N54" s="242">
        <f t="shared" si="2"/>
        <v>0</v>
      </c>
      <c r="O54" s="242">
        <v>0</v>
      </c>
      <c r="P54" s="242">
        <f t="shared" si="25"/>
        <v>191.18</v>
      </c>
      <c r="Q54" s="242">
        <f t="shared" si="33"/>
        <v>0</v>
      </c>
      <c r="R54" s="242">
        <f t="shared" si="14"/>
        <v>0</v>
      </c>
      <c r="S54" s="242">
        <f t="shared" si="15"/>
        <v>15148.530000000032</v>
      </c>
      <c r="T54" s="467"/>
      <c r="U54" s="198">
        <f t="shared" si="29"/>
        <v>3</v>
      </c>
      <c r="V54" s="36">
        <f t="shared" si="16"/>
        <v>3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1"/>
        <v>2498</v>
      </c>
      <c r="Y54" s="57">
        <f t="shared" si="47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2619.2702223029451</v>
      </c>
      <c r="AF54" s="2"/>
      <c r="AG54" s="47">
        <f>(D23+AI51)*AE14/12*(1+AE14/12)^(C10)/((1+AE14/12)^(C10)-1)+D23/10000*IF(C10&lt;11,20,IF(C10&lt;20,2.5,IF(C10&lt;37,1.5,IF(C10&lt;60,0.7,0.5))))*IF(AE14&lt;0.3,AE14/0.2,AE14/0.1)</f>
        <v>2619.2702223029451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3"/>
        <v>2617</v>
      </c>
      <c r="AN54" s="57">
        <f t="shared" si="52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8"/>
        <v>0.16900000000000001</v>
      </c>
      <c r="AS54" s="258">
        <f t="shared" si="18"/>
        <v>2617</v>
      </c>
      <c r="AT54" s="258">
        <f t="shared" si="19"/>
        <v>2617</v>
      </c>
      <c r="AU54" s="258">
        <f t="shared" si="20"/>
        <v>104.51</v>
      </c>
      <c r="AV54" s="258">
        <f t="shared" si="21"/>
        <v>2512.4899999999998</v>
      </c>
      <c r="AW54" s="258">
        <f t="shared" si="5"/>
        <v>0</v>
      </c>
      <c r="AX54" s="258">
        <v>0</v>
      </c>
      <c r="AY54" s="258">
        <f t="shared" si="22"/>
        <v>104.51</v>
      </c>
      <c r="AZ54" s="258">
        <f t="shared" si="39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4771.0200000000077</v>
      </c>
      <c r="BH54" s="108">
        <f t="shared" si="31"/>
        <v>3</v>
      </c>
      <c r="BI54" s="108">
        <f t="shared" si="26"/>
        <v>3</v>
      </c>
      <c r="BJ54" s="22">
        <f t="shared" si="27"/>
        <v>45684</v>
      </c>
      <c r="BK54" s="108">
        <f t="shared" si="7"/>
        <v>2498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49"/>
        <v>0.129</v>
      </c>
      <c r="J55" s="242">
        <f t="shared" si="9"/>
        <v>2498</v>
      </c>
      <c r="K55" s="242">
        <f t="shared" si="50"/>
        <v>2498</v>
      </c>
      <c r="L55" s="242">
        <f t="shared" si="36"/>
        <v>165.97</v>
      </c>
      <c r="M55" s="242">
        <f t="shared" si="12"/>
        <v>2332.0300000000002</v>
      </c>
      <c r="N55" s="242">
        <f t="shared" si="2"/>
        <v>0</v>
      </c>
      <c r="O55" s="242">
        <v>0</v>
      </c>
      <c r="P55" s="242">
        <f t="shared" si="25"/>
        <v>165.97</v>
      </c>
      <c r="Q55" s="242">
        <f t="shared" si="33"/>
        <v>0</v>
      </c>
      <c r="R55" s="242">
        <f t="shared" si="14"/>
        <v>0</v>
      </c>
      <c r="S55" s="242">
        <f t="shared" si="15"/>
        <v>12816.500000000031</v>
      </c>
      <c r="T55" s="467"/>
      <c r="U55" s="198">
        <f t="shared" si="29"/>
        <v>2</v>
      </c>
      <c r="V55" s="36">
        <f t="shared" si="16"/>
        <v>2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1"/>
        <v>2498</v>
      </c>
      <c r="Y55" s="57">
        <f t="shared" si="47"/>
        <v>48665</v>
      </c>
      <c r="AA55" s="170" t="s">
        <v>134</v>
      </c>
      <c r="AD55" s="47">
        <f>IF(DAY(C9)&lt;4,AE54,IF(DAY(C9)&gt;28,AE56,AE55))</f>
        <v>2613.9023598029453</v>
      </c>
      <c r="AE55" s="47">
        <f>(C23+AI51)*AG36/12*(1+AG36/12)^(C10)/((1+AG36/12)^(C10)-1)+C23/10000*IF(C10&lt;11,20,IF(C10&lt;34,0.7,IF(C10&lt;58,0.3,0.1)))*IF(AG36&lt;0.3,AG36/0.2,AG36/0.1)</f>
        <v>2616.2028723029453</v>
      </c>
      <c r="AF55" s="13">
        <f>IF(DAY(C9)&lt;4,AG54,IF(DAY(C9)&gt;28,AG56,AG55))</f>
        <v>2613.9023598029453</v>
      </c>
      <c r="AG55" s="156">
        <f>(D23+AI51)*AE14/12*(1+AE14/12)^(C10)/((1+AE14/12)^(C10)-1)+D23/10000*IF(C10&lt;11,20,IF(C10&lt;34,0.7,IF(C10&lt;58,0.3,0.1)))*IF(AE14&lt;0.3,AE14/0.2,AE14/0.1)</f>
        <v>2616.2028723029453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3"/>
        <v>2617</v>
      </c>
      <c r="AN55" s="57">
        <f t="shared" si="52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8"/>
        <v>0.16900000000000001</v>
      </c>
      <c r="AS55" s="258">
        <f t="shared" si="18"/>
        <v>2617</v>
      </c>
      <c r="AT55" s="258">
        <f t="shared" si="19"/>
        <v>2617</v>
      </c>
      <c r="AU55" s="258">
        <f t="shared" si="20"/>
        <v>68.48</v>
      </c>
      <c r="AV55" s="258">
        <f t="shared" si="21"/>
        <v>2548.52</v>
      </c>
      <c r="AW55" s="258">
        <f t="shared" si="5"/>
        <v>0</v>
      </c>
      <c r="AX55" s="258">
        <v>0</v>
      </c>
      <c r="AY55" s="258">
        <f t="shared" si="22"/>
        <v>68.48</v>
      </c>
      <c r="AZ55" s="258">
        <f t="shared" si="39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2222.5000000000077</v>
      </c>
      <c r="BH55" s="108">
        <f t="shared" si="31"/>
        <v>2</v>
      </c>
      <c r="BI55" s="108">
        <f t="shared" si="26"/>
        <v>2</v>
      </c>
      <c r="BJ55" s="22">
        <f t="shared" si="27"/>
        <v>45715</v>
      </c>
      <c r="BK55" s="108">
        <f t="shared" si="7"/>
        <v>2498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49"/>
        <v>0.129</v>
      </c>
      <c r="J56" s="252">
        <f t="shared" si="9"/>
        <v>2498</v>
      </c>
      <c r="K56" s="252">
        <f t="shared" si="50"/>
        <v>2498</v>
      </c>
      <c r="L56" s="252">
        <f t="shared" si="36"/>
        <v>126.83</v>
      </c>
      <c r="M56" s="252">
        <f t="shared" si="12"/>
        <v>2371.17</v>
      </c>
      <c r="N56" s="252">
        <f t="shared" si="2"/>
        <v>0</v>
      </c>
      <c r="O56" s="252">
        <v>0</v>
      </c>
      <c r="P56" s="252">
        <f t="shared" si="25"/>
        <v>126.83</v>
      </c>
      <c r="Q56" s="252">
        <f t="shared" si="33"/>
        <v>0</v>
      </c>
      <c r="R56" s="252">
        <f t="shared" si="14"/>
        <v>0</v>
      </c>
      <c r="S56" s="252">
        <f t="shared" si="15"/>
        <v>10445.330000000031</v>
      </c>
      <c r="T56" s="468"/>
      <c r="U56" s="198">
        <f t="shared" si="29"/>
        <v>1</v>
      </c>
      <c r="V56" s="36">
        <f t="shared" si="16"/>
        <v>1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1"/>
        <v>2498</v>
      </c>
      <c r="Y56" s="57">
        <f t="shared" si="47"/>
        <v>49030</v>
      </c>
      <c r="AA56" s="171">
        <v>20000</v>
      </c>
      <c r="AB56" s="133" t="s">
        <v>135</v>
      </c>
      <c r="AC56" s="118">
        <f>ROUNDUP(AD56/AG47,0)*AG47</f>
        <v>1857</v>
      </c>
      <c r="AD56" s="13">
        <f>(C23+AI51)*AC57/12*(1+AC57/12)^(C10+AD57)/((1+AC57/12)^(C10+AD57)-1)+10*C23/100000*IF(C10+AD57&lt;24,4,IF(C10+AD57&lt;36,3,IF(C10+AD57&lt;48,2,IF(C10+AD57&lt;60,1.5,1))))*AC57/0.2</f>
        <v>1856.9768922080962</v>
      </c>
      <c r="AE56" s="47">
        <f>(C23+AI51)*AG36/12*(1+AG36/12)^(C10)/((1+AG36/12)^(C10)-1)+C23/10000*IF(C10&lt;11,20,IF(C10&lt;34,0.7,IF(C10&lt;48,0.3,0)))*IF(AG36&lt;0.3,AG36/0.2,AG36/0.1)</f>
        <v>2613.9023598029453</v>
      </c>
      <c r="AF56" s="13">
        <f>(D23+AI51)*AF57/12*(1+AF57/12)^(C10+AD57)/((1+AF57/12)^(C10+AD57)-1)+10*D23/100000*IF(C10+AD57&lt;24,4,IF(C10+AD57&lt;36,3,IF(C10+AD57&lt;48,2,IF(C10+AD57&lt;60,1.5,1))))*AF57/0.2</f>
        <v>1856.9768922080962</v>
      </c>
      <c r="AG56" s="157">
        <f>(D23+AI51)*AE14/12*(1+AE14/12)^(C10)/((1+AE14/12)^(C10)-1)+D23/10000*IF(C10&lt;11,20,IF(C10&lt;34,0.7,IF(C10&lt;48,0.3,0)))*IF(AE14&lt;0.3,AE14/0.2,AE14/0.1)</f>
        <v>2613.9023598029453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3"/>
        <v>2617</v>
      </c>
      <c r="AN56" s="57">
        <f t="shared" si="52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8"/>
        <v>0.16900000000000001</v>
      </c>
      <c r="AS56" s="258">
        <f t="shared" si="18"/>
        <v>2251.3100000000077</v>
      </c>
      <c r="AT56" s="258">
        <f t="shared" si="19"/>
        <v>2251.3100000000077</v>
      </c>
      <c r="AU56" s="258">
        <f t="shared" si="20"/>
        <v>28.81</v>
      </c>
      <c r="AV56" s="258">
        <f t="shared" si="21"/>
        <v>2222.5000000000077</v>
      </c>
      <c r="AW56" s="258">
        <f t="shared" si="5"/>
        <v>0</v>
      </c>
      <c r="AX56" s="258">
        <v>0</v>
      </c>
      <c r="AY56" s="258">
        <f t="shared" si="22"/>
        <v>28.81</v>
      </c>
      <c r="AZ56" s="258">
        <f t="shared" si="39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1</v>
      </c>
      <c r="BI56" s="108">
        <f t="shared" si="26"/>
        <v>1</v>
      </c>
      <c r="BJ56" s="22">
        <f t="shared" si="27"/>
        <v>45743</v>
      </c>
      <c r="BK56" s="108">
        <f t="shared" si="7"/>
        <v>2498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0.129</v>
      </c>
      <c r="J57" s="242">
        <f t="shared" si="9"/>
        <v>2498</v>
      </c>
      <c r="K57" s="242">
        <f>IF(AND(G57&gt;=$W$9,G57&lt;=$W$9+5),$W$10,IF(AND(S56+N57+L57&gt;K56,K56&lt;&gt;0),IF(AND($C$16="Да",$C$8&lt;&gt;"Нет"),$AF$40,$C$24),IF(S56=0,0,S56+N57+L57+L58)))</f>
        <v>2498</v>
      </c>
      <c r="L57" s="242">
        <f t="shared" si="36"/>
        <v>114.44</v>
      </c>
      <c r="M57" s="242">
        <f t="shared" si="12"/>
        <v>2383.56</v>
      </c>
      <c r="N57" s="242">
        <f t="shared" si="2"/>
        <v>0</v>
      </c>
      <c r="O57" s="242">
        <v>0</v>
      </c>
      <c r="P57" s="242">
        <f t="shared" si="25"/>
        <v>114.44</v>
      </c>
      <c r="Q57" s="242">
        <f t="shared" si="33"/>
        <v>0</v>
      </c>
      <c r="R57" s="242">
        <f t="shared" si="14"/>
        <v>0</v>
      </c>
      <c r="S57" s="242">
        <f t="shared" si="15"/>
        <v>8061.7700000000314</v>
      </c>
      <c r="T57" s="467"/>
      <c r="U57" s="198">
        <f t="shared" si="29"/>
        <v>0</v>
      </c>
      <c r="V57" s="36">
        <f t="shared" si="16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1"/>
        <v>2498</v>
      </c>
      <c r="Y57" s="57">
        <f t="shared" si="47"/>
        <v>49395</v>
      </c>
      <c r="AA57" s="171">
        <v>200000</v>
      </c>
      <c r="AB57" s="171">
        <v>200000</v>
      </c>
      <c r="AC57" s="15">
        <f>IF(C9&gt;AH48,C11,C11+0.05)</f>
        <v>0.16900000000000001</v>
      </c>
      <c r="AD57" s="2">
        <f xml:space="preserve"> IF(C9&gt;AH48,36,24)</f>
        <v>36</v>
      </c>
      <c r="AE57" s="44">
        <f>(C23+AI51)*AG36/12*(1+AG36/12)^(C10)/((1+AG36/12)^(C10)-1)</f>
        <v>2613.9023598029453</v>
      </c>
      <c r="AF57" s="15">
        <f>IF(C9&gt;AH48,D13,D13+0.05)</f>
        <v>0.16900000000000001</v>
      </c>
      <c r="AG57" s="118">
        <f>(D23+AI51)*AE14/12*(1+AE14/12)^(C10)/((1+AE14/12)^(C10)-1)</f>
        <v>2613.9023598029453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3"/>
        <v>2617</v>
      </c>
      <c r="AN57" s="57">
        <f t="shared" si="52"/>
        <v>47935</v>
      </c>
      <c r="AO57" s="130">
        <f t="shared" si="17"/>
        <v>0</v>
      </c>
      <c r="AP57" s="261">
        <f t="shared" si="30"/>
        <v>49</v>
      </c>
      <c r="AQ57" s="262">
        <f t="shared" si="3"/>
        <v>45774</v>
      </c>
      <c r="AR57" s="263">
        <f t="shared" ref="AR57:AR108" si="54">IF($D$16="Да",$AM$40,$D$13)</f>
        <v>0.16900000000000001</v>
      </c>
      <c r="AS57" s="258">
        <f t="shared" si="18"/>
        <v>0</v>
      </c>
      <c r="AT57" s="258">
        <f t="shared" si="19"/>
        <v>0</v>
      </c>
      <c r="AU57" s="258">
        <f t="shared" si="20"/>
        <v>0</v>
      </c>
      <c r="AV57" s="258">
        <f t="shared" si="21"/>
        <v>0</v>
      </c>
      <c r="AW57" s="258">
        <f t="shared" si="5"/>
        <v>0</v>
      </c>
      <c r="AX57" s="258">
        <v>0</v>
      </c>
      <c r="AY57" s="258">
        <f t="shared" si="22"/>
        <v>0</v>
      </c>
      <c r="AZ57" s="258">
        <f t="shared" si="39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45774</v>
      </c>
      <c r="BK57" s="108">
        <f t="shared" si="7"/>
        <v>2498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5">IF(AND($C$16="Да",$C$8&lt;&gt;"Нет"),$AG$40,$C$13)</f>
        <v>0.129</v>
      </c>
      <c r="J58" s="242">
        <f t="shared" si="9"/>
        <v>2498</v>
      </c>
      <c r="K58" s="242">
        <f t="shared" ref="K58:K68" si="56">IF(AND(G58&gt;=$W$9,G58&lt;=$W$9+5),$W$10,IF(AND(S57+N58+L58&gt;K57,K57&lt;&gt;0),IF(AND($C$16="Да",$C$8&lt;&gt;"Нет"),$AF$40,$C$24),IF(S57=0,0,S57+N58+L58+L59)))</f>
        <v>2498</v>
      </c>
      <c r="L58" s="242">
        <f t="shared" si="36"/>
        <v>85.48</v>
      </c>
      <c r="M58" s="242">
        <f t="shared" si="12"/>
        <v>2412.52</v>
      </c>
      <c r="N58" s="242">
        <f t="shared" si="2"/>
        <v>0</v>
      </c>
      <c r="O58" s="242">
        <v>0</v>
      </c>
      <c r="P58" s="242">
        <f t="shared" si="25"/>
        <v>85.48</v>
      </c>
      <c r="Q58" s="242">
        <f t="shared" si="33"/>
        <v>0</v>
      </c>
      <c r="R58" s="242">
        <f t="shared" si="14"/>
        <v>0</v>
      </c>
      <c r="S58" s="242">
        <f t="shared" si="15"/>
        <v>5649.2500000000309</v>
      </c>
      <c r="T58" s="467"/>
      <c r="U58" s="198">
        <f t="shared" si="29"/>
        <v>0</v>
      </c>
      <c r="V58" s="36">
        <f t="shared" si="16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1"/>
        <v>2498</v>
      </c>
      <c r="Y58" s="57">
        <f t="shared" si="47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3"/>
        <v>2617</v>
      </c>
      <c r="AN58" s="57">
        <f t="shared" si="52"/>
        <v>48300</v>
      </c>
      <c r="AO58" s="130">
        <f t="shared" si="17"/>
        <v>0</v>
      </c>
      <c r="AP58" s="261">
        <f t="shared" si="30"/>
        <v>50</v>
      </c>
      <c r="AQ58" s="262">
        <f t="shared" si="3"/>
        <v>45804</v>
      </c>
      <c r="AR58" s="263">
        <f t="shared" si="54"/>
        <v>0.16900000000000001</v>
      </c>
      <c r="AS58" s="258">
        <f t="shared" si="18"/>
        <v>0</v>
      </c>
      <c r="AT58" s="258">
        <f t="shared" si="19"/>
        <v>0</v>
      </c>
      <c r="AU58" s="258">
        <f t="shared" si="20"/>
        <v>0</v>
      </c>
      <c r="AV58" s="258">
        <f t="shared" si="21"/>
        <v>0</v>
      </c>
      <c r="AW58" s="258">
        <f t="shared" si="5"/>
        <v>0</v>
      </c>
      <c r="AX58" s="258">
        <v>0</v>
      </c>
      <c r="AY58" s="258">
        <f t="shared" si="22"/>
        <v>0</v>
      </c>
      <c r="AZ58" s="258">
        <f t="shared" si="39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45804</v>
      </c>
      <c r="BK58" s="108">
        <f t="shared" si="7"/>
        <v>2498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5"/>
        <v>0.129</v>
      </c>
      <c r="J59" s="242">
        <f t="shared" si="9"/>
        <v>2498</v>
      </c>
      <c r="K59" s="242">
        <f t="shared" si="56"/>
        <v>2498</v>
      </c>
      <c r="L59" s="242">
        <f t="shared" si="36"/>
        <v>61.89</v>
      </c>
      <c r="M59" s="242">
        <f t="shared" si="12"/>
        <v>2436.11</v>
      </c>
      <c r="N59" s="242">
        <f t="shared" si="2"/>
        <v>0</v>
      </c>
      <c r="O59" s="242">
        <v>0</v>
      </c>
      <c r="P59" s="242">
        <f t="shared" si="25"/>
        <v>61.89</v>
      </c>
      <c r="Q59" s="242">
        <f t="shared" si="33"/>
        <v>0</v>
      </c>
      <c r="R59" s="242">
        <f t="shared" si="14"/>
        <v>0</v>
      </c>
      <c r="S59" s="242">
        <f t="shared" si="15"/>
        <v>3213.1400000000308</v>
      </c>
      <c r="T59" s="467"/>
      <c r="U59" s="198">
        <f t="shared" si="29"/>
        <v>0</v>
      </c>
      <c r="V59" s="36">
        <f t="shared" si="16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1"/>
        <v>2498</v>
      </c>
      <c r="Y59" s="57">
        <f t="shared" si="47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3"/>
        <v>2617</v>
      </c>
      <c r="AN59" s="57">
        <f t="shared" si="52"/>
        <v>48665</v>
      </c>
      <c r="AO59" s="130">
        <f t="shared" si="17"/>
        <v>0</v>
      </c>
      <c r="AP59" s="261">
        <f t="shared" si="30"/>
        <v>51</v>
      </c>
      <c r="AQ59" s="262">
        <f t="shared" si="3"/>
        <v>45835</v>
      </c>
      <c r="AR59" s="263">
        <f t="shared" si="54"/>
        <v>0.16900000000000001</v>
      </c>
      <c r="AS59" s="258">
        <f t="shared" si="18"/>
        <v>0</v>
      </c>
      <c r="AT59" s="258">
        <f t="shared" si="19"/>
        <v>0</v>
      </c>
      <c r="AU59" s="258">
        <f t="shared" si="20"/>
        <v>0</v>
      </c>
      <c r="AV59" s="258">
        <f t="shared" si="21"/>
        <v>0</v>
      </c>
      <c r="AW59" s="258">
        <f t="shared" si="5"/>
        <v>0</v>
      </c>
      <c r="AX59" s="258">
        <v>0</v>
      </c>
      <c r="AY59" s="258">
        <f t="shared" si="22"/>
        <v>0</v>
      </c>
      <c r="AZ59" s="258">
        <f t="shared" si="39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45835</v>
      </c>
      <c r="BK59" s="108">
        <f t="shared" si="7"/>
        <v>2498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5"/>
        <v>0.129</v>
      </c>
      <c r="J60" s="242">
        <f t="shared" si="9"/>
        <v>2498</v>
      </c>
      <c r="K60" s="242">
        <f t="shared" si="56"/>
        <v>2498</v>
      </c>
      <c r="L60" s="242">
        <f t="shared" si="36"/>
        <v>34.07</v>
      </c>
      <c r="M60" s="242">
        <f t="shared" si="12"/>
        <v>2463.9299999999998</v>
      </c>
      <c r="N60" s="242">
        <f t="shared" si="2"/>
        <v>0</v>
      </c>
      <c r="O60" s="242">
        <v>0</v>
      </c>
      <c r="P60" s="242">
        <f t="shared" si="25"/>
        <v>34.07</v>
      </c>
      <c r="Q60" s="242">
        <f t="shared" si="33"/>
        <v>0</v>
      </c>
      <c r="R60" s="242">
        <f t="shared" si="14"/>
        <v>0</v>
      </c>
      <c r="S60" s="242">
        <f t="shared" si="15"/>
        <v>749.21000000003096</v>
      </c>
      <c r="T60" s="467"/>
      <c r="U60" s="198">
        <f t="shared" si="29"/>
        <v>0</v>
      </c>
      <c r="V60" s="36">
        <f t="shared" si="16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1"/>
        <v>2498</v>
      </c>
      <c r="Y60" s="57">
        <f t="shared" si="47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3"/>
        <v>2617</v>
      </c>
      <c r="AN60" s="57">
        <f t="shared" si="52"/>
        <v>49030</v>
      </c>
      <c r="AO60" s="130">
        <f t="shared" si="17"/>
        <v>0</v>
      </c>
      <c r="AP60" s="261">
        <f t="shared" si="30"/>
        <v>52</v>
      </c>
      <c r="AQ60" s="262">
        <f t="shared" si="3"/>
        <v>45865</v>
      </c>
      <c r="AR60" s="263">
        <f t="shared" si="54"/>
        <v>0.16900000000000001</v>
      </c>
      <c r="AS60" s="258">
        <f t="shared" si="18"/>
        <v>0</v>
      </c>
      <c r="AT60" s="258">
        <f t="shared" si="19"/>
        <v>0</v>
      </c>
      <c r="AU60" s="258">
        <f t="shared" si="20"/>
        <v>0</v>
      </c>
      <c r="AV60" s="258">
        <f t="shared" si="21"/>
        <v>0</v>
      </c>
      <c r="AW60" s="258">
        <f t="shared" si="5"/>
        <v>0</v>
      </c>
      <c r="AX60" s="258">
        <v>0</v>
      </c>
      <c r="AY60" s="258">
        <f t="shared" si="22"/>
        <v>0</v>
      </c>
      <c r="AZ60" s="258">
        <f t="shared" si="39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45865</v>
      </c>
      <c r="BK60" s="108">
        <f t="shared" si="7"/>
        <v>2498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5"/>
        <v>0.129</v>
      </c>
      <c r="J61" s="242">
        <f t="shared" si="9"/>
        <v>757.420000000031</v>
      </c>
      <c r="K61" s="242">
        <f t="shared" si="56"/>
        <v>757.420000000031</v>
      </c>
      <c r="L61" s="242">
        <f t="shared" si="36"/>
        <v>8.2100000000000009</v>
      </c>
      <c r="M61" s="242">
        <f t="shared" si="12"/>
        <v>749.21000000003096</v>
      </c>
      <c r="N61" s="242">
        <f t="shared" si="2"/>
        <v>0</v>
      </c>
      <c r="O61" s="242">
        <v>0</v>
      </c>
      <c r="P61" s="242">
        <f t="shared" si="25"/>
        <v>8.2100000000000009</v>
      </c>
      <c r="Q61" s="242">
        <f t="shared" si="33"/>
        <v>0</v>
      </c>
      <c r="R61" s="242">
        <f t="shared" si="14"/>
        <v>0</v>
      </c>
      <c r="S61" s="242">
        <f t="shared" si="15"/>
        <v>0</v>
      </c>
      <c r="T61" s="467"/>
      <c r="U61" s="198">
        <f t="shared" si="29"/>
        <v>0</v>
      </c>
      <c r="V61" s="36">
        <f t="shared" si="16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1"/>
        <v>2498</v>
      </c>
      <c r="Y61" s="57">
        <f t="shared" si="47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3"/>
        <v>2617</v>
      </c>
      <c r="AN61" s="57">
        <f t="shared" si="52"/>
        <v>49395</v>
      </c>
      <c r="AO61" s="130">
        <f t="shared" si="17"/>
        <v>0</v>
      </c>
      <c r="AP61" s="261">
        <f t="shared" si="30"/>
        <v>53</v>
      </c>
      <c r="AQ61" s="262">
        <f t="shared" si="3"/>
        <v>45896</v>
      </c>
      <c r="AR61" s="263">
        <f t="shared" si="54"/>
        <v>0.16900000000000001</v>
      </c>
      <c r="AS61" s="258">
        <f t="shared" si="18"/>
        <v>0</v>
      </c>
      <c r="AT61" s="258">
        <f t="shared" si="19"/>
        <v>0</v>
      </c>
      <c r="AU61" s="258">
        <f t="shared" si="20"/>
        <v>0</v>
      </c>
      <c r="AV61" s="258">
        <f t="shared" si="21"/>
        <v>0</v>
      </c>
      <c r="AW61" s="258">
        <f t="shared" si="5"/>
        <v>0</v>
      </c>
      <c r="AX61" s="258">
        <v>0</v>
      </c>
      <c r="AY61" s="258">
        <f t="shared" si="22"/>
        <v>0</v>
      </c>
      <c r="AZ61" s="258">
        <f t="shared" si="39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45896</v>
      </c>
      <c r="BK61" s="108">
        <f t="shared" si="7"/>
        <v>757.420000000031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5"/>
        <v>0.129</v>
      </c>
      <c r="J62" s="242">
        <f t="shared" si="9"/>
        <v>0</v>
      </c>
      <c r="K62" s="242">
        <f t="shared" si="56"/>
        <v>0</v>
      </c>
      <c r="L62" s="242">
        <f t="shared" si="36"/>
        <v>0</v>
      </c>
      <c r="M62" s="242">
        <f t="shared" si="12"/>
        <v>0</v>
      </c>
      <c r="N62" s="242">
        <f t="shared" si="2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4"/>
        <v>0</v>
      </c>
      <c r="S62" s="242">
        <f t="shared" si="15"/>
        <v>0</v>
      </c>
      <c r="T62" s="467"/>
      <c r="U62" s="198">
        <f t="shared" si="29"/>
        <v>0</v>
      </c>
      <c r="V62" s="36">
        <f t="shared" si="16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1"/>
        <v>2498</v>
      </c>
      <c r="Y62" s="57">
        <f t="shared" si="47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3"/>
        <v>2617</v>
      </c>
      <c r="AN62" s="57">
        <f t="shared" si="52"/>
        <v>49760</v>
      </c>
      <c r="AO62" s="130">
        <f t="shared" si="17"/>
        <v>0</v>
      </c>
      <c r="AP62" s="261">
        <f t="shared" si="30"/>
        <v>54</v>
      </c>
      <c r="AQ62" s="262">
        <f t="shared" si="3"/>
        <v>45927</v>
      </c>
      <c r="AR62" s="263">
        <f t="shared" si="54"/>
        <v>0.16900000000000001</v>
      </c>
      <c r="AS62" s="258">
        <f t="shared" si="18"/>
        <v>0</v>
      </c>
      <c r="AT62" s="258">
        <f t="shared" si="19"/>
        <v>0</v>
      </c>
      <c r="AU62" s="258">
        <f t="shared" si="20"/>
        <v>0</v>
      </c>
      <c r="AV62" s="258">
        <f t="shared" si="21"/>
        <v>0</v>
      </c>
      <c r="AW62" s="258">
        <f t="shared" si="5"/>
        <v>0</v>
      </c>
      <c r="AX62" s="258">
        <v>0</v>
      </c>
      <c r="AY62" s="258">
        <f t="shared" si="22"/>
        <v>0</v>
      </c>
      <c r="AZ62" s="258">
        <f t="shared" si="39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45927</v>
      </c>
      <c r="BK62" s="108">
        <f t="shared" si="7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5"/>
        <v>0.129</v>
      </c>
      <c r="J63" s="242">
        <f t="shared" si="9"/>
        <v>0</v>
      </c>
      <c r="K63" s="242">
        <f t="shared" si="56"/>
        <v>0</v>
      </c>
      <c r="L63" s="242">
        <f t="shared" si="36"/>
        <v>0</v>
      </c>
      <c r="M63" s="242">
        <f t="shared" si="12"/>
        <v>0</v>
      </c>
      <c r="N63" s="242">
        <f t="shared" si="2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4"/>
        <v>0</v>
      </c>
      <c r="S63" s="242">
        <f t="shared" si="15"/>
        <v>0</v>
      </c>
      <c r="T63" s="467"/>
      <c r="U63" s="198">
        <f t="shared" si="29"/>
        <v>0</v>
      </c>
      <c r="V63" s="36">
        <f t="shared" si="16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1"/>
        <v>2498</v>
      </c>
      <c r="Y63" s="57">
        <f t="shared" si="47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3"/>
        <v>2617</v>
      </c>
      <c r="AN63" s="57">
        <f t="shared" si="52"/>
        <v>50125</v>
      </c>
      <c r="AO63" s="130">
        <f t="shared" si="17"/>
        <v>0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0.16900000000000001</v>
      </c>
      <c r="AS63" s="258">
        <f t="shared" si="18"/>
        <v>0</v>
      </c>
      <c r="AT63" s="258">
        <f t="shared" si="19"/>
        <v>0</v>
      </c>
      <c r="AU63" s="258">
        <f t="shared" si="20"/>
        <v>0</v>
      </c>
      <c r="AV63" s="258">
        <f t="shared" si="21"/>
        <v>0</v>
      </c>
      <c r="AW63" s="258">
        <f t="shared" si="5"/>
        <v>0</v>
      </c>
      <c r="AX63" s="258">
        <v>0</v>
      </c>
      <c r="AY63" s="258">
        <f t="shared" si="22"/>
        <v>0</v>
      </c>
      <c r="AZ63" s="258">
        <f t="shared" si="39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45957</v>
      </c>
      <c r="BK63" s="108">
        <f t="shared" si="7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5"/>
        <v>0.129</v>
      </c>
      <c r="J64" s="242">
        <f t="shared" si="9"/>
        <v>0</v>
      </c>
      <c r="K64" s="242">
        <f t="shared" si="56"/>
        <v>0</v>
      </c>
      <c r="L64" s="242">
        <f t="shared" si="36"/>
        <v>0</v>
      </c>
      <c r="M64" s="242">
        <f t="shared" si="12"/>
        <v>0</v>
      </c>
      <c r="N64" s="242">
        <f t="shared" si="2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4"/>
        <v>0</v>
      </c>
      <c r="S64" s="242">
        <f t="shared" si="15"/>
        <v>0</v>
      </c>
      <c r="T64" s="467"/>
      <c r="U64" s="198">
        <f t="shared" si="29"/>
        <v>0</v>
      </c>
      <c r="V64" s="36">
        <f t="shared" si="16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1"/>
        <v>2498</v>
      </c>
      <c r="Y64" s="57">
        <f t="shared" si="47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3"/>
        <v>2617</v>
      </c>
      <c r="AN64" s="57">
        <f t="shared" si="52"/>
        <v>50490</v>
      </c>
      <c r="AO64" s="130">
        <f t="shared" si="17"/>
        <v>0</v>
      </c>
      <c r="AP64" s="261">
        <f t="shared" si="30"/>
        <v>56</v>
      </c>
      <c r="AQ64" s="262">
        <f t="shared" si="3"/>
        <v>45988</v>
      </c>
      <c r="AR64" s="263">
        <f t="shared" si="54"/>
        <v>0.16900000000000001</v>
      </c>
      <c r="AS64" s="258">
        <f t="shared" si="18"/>
        <v>0</v>
      </c>
      <c r="AT64" s="258">
        <f t="shared" si="19"/>
        <v>0</v>
      </c>
      <c r="AU64" s="258">
        <f t="shared" si="20"/>
        <v>0</v>
      </c>
      <c r="AV64" s="258">
        <f t="shared" si="21"/>
        <v>0</v>
      </c>
      <c r="AW64" s="258">
        <f t="shared" si="5"/>
        <v>0</v>
      </c>
      <c r="AX64" s="258">
        <v>0</v>
      </c>
      <c r="AY64" s="258">
        <f t="shared" si="22"/>
        <v>0</v>
      </c>
      <c r="AZ64" s="258">
        <f t="shared" si="39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45988</v>
      </c>
      <c r="BK64" s="108">
        <f t="shared" si="7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5"/>
        <v>0.129</v>
      </c>
      <c r="J65" s="242">
        <f t="shared" si="9"/>
        <v>0</v>
      </c>
      <c r="K65" s="242">
        <f t="shared" si="56"/>
        <v>0</v>
      </c>
      <c r="L65" s="242">
        <f t="shared" si="36"/>
        <v>0</v>
      </c>
      <c r="M65" s="242">
        <f t="shared" si="12"/>
        <v>0</v>
      </c>
      <c r="N65" s="242">
        <f t="shared" si="2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4"/>
        <v>0</v>
      </c>
      <c r="S65" s="242">
        <f t="shared" si="15"/>
        <v>0</v>
      </c>
      <c r="T65" s="467"/>
      <c r="U65" s="198">
        <f t="shared" si="29"/>
        <v>0</v>
      </c>
      <c r="V65" s="36">
        <f t="shared" si="16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1"/>
        <v>2498</v>
      </c>
      <c r="Y65" s="57">
        <f t="shared" si="47"/>
        <v>52315</v>
      </c>
      <c r="AB65" s="2"/>
      <c r="AC65" s="66">
        <f t="shared" ref="AC65:AI65" si="57">IF(AC79&gt;$AA$59,AC64,IF(AC79&gt;$AA$58,AC63,IF(AC79&gt;$AA$57,AC62,AC61)))</f>
        <v>3.5000000000000001E-3</v>
      </c>
      <c r="AD65" s="66">
        <f t="shared" si="57"/>
        <v>3.5000000000000001E-3</v>
      </c>
      <c r="AE65" s="66">
        <f t="shared" si="57"/>
        <v>2.5000000000000001E-3</v>
      </c>
      <c r="AF65" s="66">
        <f t="shared" si="57"/>
        <v>3.0000000000000001E-3</v>
      </c>
      <c r="AG65" s="66">
        <f t="shared" si="57"/>
        <v>0</v>
      </c>
      <c r="AH65" s="66">
        <f t="shared" si="57"/>
        <v>1E-3</v>
      </c>
      <c r="AI65" s="66">
        <f t="shared" si="57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3"/>
        <v>2617</v>
      </c>
      <c r="AN65" s="57">
        <f t="shared" si="52"/>
        <v>50855</v>
      </c>
      <c r="AO65" s="130">
        <f t="shared" si="17"/>
        <v>0</v>
      </c>
      <c r="AP65" s="261">
        <f t="shared" si="30"/>
        <v>57</v>
      </c>
      <c r="AQ65" s="262">
        <f t="shared" si="3"/>
        <v>46018</v>
      </c>
      <c r="AR65" s="263">
        <f t="shared" si="54"/>
        <v>0.16900000000000001</v>
      </c>
      <c r="AS65" s="258">
        <f t="shared" si="18"/>
        <v>0</v>
      </c>
      <c r="AT65" s="258">
        <f t="shared" si="19"/>
        <v>0</v>
      </c>
      <c r="AU65" s="258">
        <f t="shared" si="20"/>
        <v>0</v>
      </c>
      <c r="AV65" s="258">
        <f t="shared" si="21"/>
        <v>0</v>
      </c>
      <c r="AW65" s="258">
        <f t="shared" si="5"/>
        <v>0</v>
      </c>
      <c r="AX65" s="258">
        <v>0</v>
      </c>
      <c r="AY65" s="258">
        <f t="shared" si="22"/>
        <v>0</v>
      </c>
      <c r="AZ65" s="258">
        <f t="shared" si="39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46018</v>
      </c>
      <c r="BK65" s="108">
        <f t="shared" si="7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5"/>
        <v>0.129</v>
      </c>
      <c r="J66" s="242">
        <f t="shared" si="9"/>
        <v>0</v>
      </c>
      <c r="K66" s="242">
        <f t="shared" si="56"/>
        <v>0</v>
      </c>
      <c r="L66" s="242">
        <f t="shared" si="36"/>
        <v>0</v>
      </c>
      <c r="M66" s="242">
        <f t="shared" si="12"/>
        <v>0</v>
      </c>
      <c r="N66" s="242">
        <f t="shared" si="2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4"/>
        <v>0</v>
      </c>
      <c r="S66" s="242">
        <f t="shared" si="15"/>
        <v>0</v>
      </c>
      <c r="T66" s="467"/>
      <c r="U66" s="198">
        <f t="shared" si="29"/>
        <v>0</v>
      </c>
      <c r="V66" s="36">
        <f t="shared" si="16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1"/>
        <v>2498</v>
      </c>
      <c r="Y66" s="57">
        <f t="shared" si="47"/>
        <v>52680</v>
      </c>
      <c r="AA66" s="133" t="s">
        <v>96</v>
      </c>
      <c r="AB66" s="15"/>
      <c r="AC66" s="143">
        <f>AC65*AC79*IF($C$10&gt;60,60,$C$10)</f>
        <v>12600</v>
      </c>
      <c r="AD66" s="143">
        <f>AD65*AD79*IF($C$10&gt;60,60,$C$10)</f>
        <v>15750</v>
      </c>
      <c r="AE66" s="143">
        <f>AE65*AE79*IF($C$10&gt;60,60,$C$10)</f>
        <v>13500</v>
      </c>
      <c r="AF66" s="143">
        <f>AF65*AF79*IF($C$10&gt;60,60,$C$10)</f>
        <v>14040</v>
      </c>
      <c r="AG66" s="143">
        <f t="shared" ref="AG66:AH66" si="58">AG65*AG79*$C$10</f>
        <v>0</v>
      </c>
      <c r="AH66" s="143">
        <f t="shared" si="58"/>
        <v>3600</v>
      </c>
      <c r="AI66" s="143">
        <f>AI65*AI79*$C$10</f>
        <v>28800</v>
      </c>
      <c r="AJ66" s="143">
        <f>AI66+AH66</f>
        <v>32400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3"/>
        <v>2617</v>
      </c>
      <c r="AN66" s="57">
        <f t="shared" si="52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4"/>
        <v>0.16900000000000001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5"/>
        <v>0</v>
      </c>
      <c r="AX66" s="258">
        <v>0</v>
      </c>
      <c r="AY66" s="258">
        <f t="shared" si="22"/>
        <v>0</v>
      </c>
      <c r="AZ66" s="258">
        <f t="shared" si="39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46049</v>
      </c>
      <c r="BK66" s="108">
        <f t="shared" si="7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5"/>
        <v>0.129</v>
      </c>
      <c r="J67" s="242">
        <f t="shared" si="9"/>
        <v>0</v>
      </c>
      <c r="K67" s="242">
        <f t="shared" si="56"/>
        <v>0</v>
      </c>
      <c r="L67" s="242">
        <f t="shared" si="36"/>
        <v>0</v>
      </c>
      <c r="M67" s="242">
        <f t="shared" si="12"/>
        <v>0</v>
      </c>
      <c r="N67" s="242">
        <f t="shared" si="2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4"/>
        <v>0</v>
      </c>
      <c r="S67" s="242">
        <f t="shared" si="15"/>
        <v>0</v>
      </c>
      <c r="T67" s="467"/>
      <c r="U67" s="198">
        <f t="shared" si="29"/>
        <v>0</v>
      </c>
      <c r="V67" s="36">
        <f t="shared" si="16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1"/>
        <v>2498</v>
      </c>
      <c r="Y67" s="57">
        <f t="shared" si="47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3"/>
        <v>2617</v>
      </c>
      <c r="AN67" s="57">
        <f t="shared" si="52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4"/>
        <v>0.16900000000000001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5"/>
        <v>0</v>
      </c>
      <c r="AX67" s="258">
        <v>0</v>
      </c>
      <c r="AY67" s="258">
        <f t="shared" si="22"/>
        <v>0</v>
      </c>
      <c r="AZ67" s="258">
        <f t="shared" si="39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46080</v>
      </c>
      <c r="BK67" s="108">
        <f t="shared" si="7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5"/>
        <v>0.129</v>
      </c>
      <c r="J68" s="242">
        <f t="shared" si="9"/>
        <v>0</v>
      </c>
      <c r="K68" s="242">
        <f t="shared" si="56"/>
        <v>0</v>
      </c>
      <c r="L68" s="242">
        <f t="shared" si="36"/>
        <v>0</v>
      </c>
      <c r="M68" s="242">
        <f t="shared" si="12"/>
        <v>0</v>
      </c>
      <c r="N68" s="242">
        <f t="shared" si="2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4"/>
        <v>0</v>
      </c>
      <c r="S68" s="242">
        <f t="shared" si="15"/>
        <v>0</v>
      </c>
      <c r="T68" s="467"/>
      <c r="U68" s="198">
        <f t="shared" si="29"/>
        <v>0</v>
      </c>
      <c r="V68" s="36">
        <f t="shared" si="16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1"/>
        <v>2498</v>
      </c>
      <c r="Y68" s="57">
        <f t="shared" si="47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3"/>
        <v>2617</v>
      </c>
      <c r="AN68" s="57">
        <f t="shared" si="52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4"/>
        <v>0.16900000000000001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5"/>
        <v>0</v>
      </c>
      <c r="AX68" s="258">
        <v>0</v>
      </c>
      <c r="AY68" s="258">
        <f t="shared" si="22"/>
        <v>0</v>
      </c>
      <c r="AZ68" s="258">
        <f t="shared" si="39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46108</v>
      </c>
      <c r="BK68" s="108">
        <f t="shared" si="7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5"/>
        <v>0.129</v>
      </c>
      <c r="J69" s="242">
        <f t="shared" si="9"/>
        <v>0</v>
      </c>
      <c r="K69" s="242">
        <f t="shared" ref="K69:K108" si="59">IF(AND(G69&gt;=$W$9,G69&lt;=$W$9+5),$W$10,IF(AND(S68+N69+L69&gt;K68,K68&lt;&gt;0),IF($C$16="Да",$AF$40,$C$24),IF(S68=0,0,S68+N69+L69+L70)))</f>
        <v>0</v>
      </c>
      <c r="L69" s="242">
        <f t="shared" si="36"/>
        <v>0</v>
      </c>
      <c r="M69" s="242">
        <f t="shared" si="12"/>
        <v>0</v>
      </c>
      <c r="N69" s="242">
        <f t="shared" si="2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4"/>
        <v>0</v>
      </c>
      <c r="S69" s="242">
        <f t="shared" si="15"/>
        <v>0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1"/>
        <v>2498</v>
      </c>
      <c r="Y69" s="57">
        <f t="shared" si="47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3"/>
        <v>2617</v>
      </c>
      <c r="AN69" s="57">
        <f t="shared" si="52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4"/>
        <v>0.16900000000000001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5"/>
        <v>0</v>
      </c>
      <c r="AX69" s="258">
        <v>0</v>
      </c>
      <c r="AY69" s="258">
        <f t="shared" si="22"/>
        <v>0</v>
      </c>
      <c r="AZ69" s="258">
        <f t="shared" si="39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5"/>
        <v>0.129</v>
      </c>
      <c r="J70" s="242">
        <f t="shared" si="9"/>
        <v>0</v>
      </c>
      <c r="K70" s="242">
        <f t="shared" si="59"/>
        <v>0</v>
      </c>
      <c r="L70" s="242">
        <f t="shared" si="36"/>
        <v>0</v>
      </c>
      <c r="M70" s="242">
        <f t="shared" si="12"/>
        <v>0</v>
      </c>
      <c r="N70" s="242">
        <f t="shared" si="2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4"/>
        <v>0</v>
      </c>
      <c r="S70" s="242">
        <f t="shared" si="15"/>
        <v>0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1"/>
        <v>2498</v>
      </c>
      <c r="Y70" s="57">
        <f t="shared" si="47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3"/>
        <v>2617</v>
      </c>
      <c r="AN70" s="57">
        <f t="shared" si="52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4"/>
        <v>0.16900000000000001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5"/>
        <v>0</v>
      </c>
      <c r="AX70" s="258">
        <v>0</v>
      </c>
      <c r="AY70" s="258">
        <f t="shared" si="22"/>
        <v>0</v>
      </c>
      <c r="AZ70" s="258">
        <f t="shared" si="39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5"/>
        <v>0.129</v>
      </c>
      <c r="J71" s="242">
        <f t="shared" si="9"/>
        <v>0</v>
      </c>
      <c r="K71" s="242">
        <f t="shared" si="59"/>
        <v>0</v>
      </c>
      <c r="L71" s="242">
        <f t="shared" si="36"/>
        <v>0</v>
      </c>
      <c r="M71" s="242">
        <f t="shared" si="12"/>
        <v>0</v>
      </c>
      <c r="N71" s="242">
        <f t="shared" si="2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1"/>
        <v>2498</v>
      </c>
      <c r="Y71" s="57">
        <f t="shared" si="47"/>
        <v>54505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3"/>
        <v>2617</v>
      </c>
      <c r="AN71" s="57">
        <f t="shared" si="52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4"/>
        <v>0.16900000000000001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5"/>
        <v>0</v>
      </c>
      <c r="AX71" s="258">
        <v>0</v>
      </c>
      <c r="AY71" s="258">
        <f t="shared" si="22"/>
        <v>0</v>
      </c>
      <c r="AZ71" s="258">
        <f t="shared" si="39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5"/>
        <v>0.129</v>
      </c>
      <c r="J72" s="242">
        <f t="shared" si="9"/>
        <v>0</v>
      </c>
      <c r="K72" s="242">
        <f t="shared" si="59"/>
        <v>0</v>
      </c>
      <c r="L72" s="242">
        <f t="shared" si="36"/>
        <v>0</v>
      </c>
      <c r="M72" s="242">
        <f t="shared" si="12"/>
        <v>0</v>
      </c>
      <c r="N72" s="242">
        <f t="shared" si="2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1"/>
        <v>2498</v>
      </c>
      <c r="Y72" s="57">
        <f t="shared" si="47"/>
        <v>54870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3"/>
        <v>2617</v>
      </c>
      <c r="AN72" s="57">
        <f t="shared" si="52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4"/>
        <v>0.16900000000000001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5"/>
        <v>0</v>
      </c>
      <c r="AX72" s="258">
        <v>0</v>
      </c>
      <c r="AY72" s="258">
        <f t="shared" si="22"/>
        <v>0</v>
      </c>
      <c r="AZ72" s="258">
        <f t="shared" si="39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0">IF((OR(DAY($AD$54)=29,DAY($AD$54)=30,DAY($AD$54)=31)),(EDATE($C$9-3,G73)),(IF((OR(DAY($AD$54)=1,DAY($AD$54)=2,DAY($AD$54)=3)),(EDATE($C$9,G73)+3),EDATE($C$9,G73))))</f>
        <v>46261</v>
      </c>
      <c r="I73" s="246">
        <f t="shared" si="55"/>
        <v>0.129</v>
      </c>
      <c r="J73" s="242">
        <f t="shared" si="9"/>
        <v>0</v>
      </c>
      <c r="K73" s="242">
        <f t="shared" si="59"/>
        <v>0</v>
      </c>
      <c r="L73" s="242">
        <f t="shared" si="36"/>
        <v>0</v>
      </c>
      <c r="M73" s="242">
        <f t="shared" si="12"/>
        <v>0</v>
      </c>
      <c r="N73" s="242">
        <f t="shared" ref="N73:N108" si="61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1"/>
        <v>2498</v>
      </c>
      <c r="Y73" s="57">
        <f t="shared" si="47"/>
        <v>55235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3"/>
        <v>2617</v>
      </c>
      <c r="AN73" s="57">
        <f t="shared" si="52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2">IF((OR(DAY($AD$54)=29,DAY($AD$54)=30,DAY($AD$54)=31)),(EDATE($C$9-3,AP73)),(IF((OR(DAY($AD$54)=1,DAY($AD$54)=2,DAY($AD$54)=3)),(EDATE($C$9,AP73)+3),EDATE($C$9,AP73))))</f>
        <v>46261</v>
      </c>
      <c r="AR73" s="263">
        <f t="shared" si="54"/>
        <v>0.16900000000000001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8" si="63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9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4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0"/>
        <v>46292</v>
      </c>
      <c r="I74" s="246">
        <f t="shared" si="55"/>
        <v>0.129</v>
      </c>
      <c r="J74" s="242">
        <f t="shared" ref="J74:J108" si="65">K74+Q74</f>
        <v>0</v>
      </c>
      <c r="K74" s="242">
        <f t="shared" si="59"/>
        <v>0</v>
      </c>
      <c r="L74" s="242">
        <f t="shared" si="36"/>
        <v>0</v>
      </c>
      <c r="M74" s="242">
        <f t="shared" ref="M74" si="66">IF(S73=0,0,IF(S73+N74+L74&gt;K73,K74-L74-N74,S73))</f>
        <v>0</v>
      </c>
      <c r="N74" s="242">
        <f t="shared" si="61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7">IF(V74=0,0,0)</f>
        <v>0</v>
      </c>
      <c r="S74" s="242">
        <f t="shared" ref="S74" si="68">S73-M74-T74</f>
        <v>0</v>
      </c>
      <c r="T74" s="467"/>
      <c r="U74" s="36">
        <f t="shared" si="29"/>
        <v>0</v>
      </c>
      <c r="V74" s="36">
        <f t="shared" ref="V74:V107" si="6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1"/>
        <v>2498</v>
      </c>
      <c r="Y74" s="57">
        <f t="shared" si="47"/>
        <v>55600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3"/>
        <v>2617</v>
      </c>
      <c r="AN74" s="57">
        <f t="shared" si="52"/>
        <v>54140</v>
      </c>
      <c r="AO74" s="130">
        <f t="shared" ref="AO74:AO108" si="70">IF(OR(AT74="",AT74=0),0,1)</f>
        <v>0</v>
      </c>
      <c r="AP74" s="261">
        <f t="shared" si="30"/>
        <v>66</v>
      </c>
      <c r="AQ74" s="262">
        <f t="shared" si="62"/>
        <v>46292</v>
      </c>
      <c r="AR74" s="263">
        <f t="shared" si="54"/>
        <v>0.16900000000000001</v>
      </c>
      <c r="AS74" s="258">
        <f t="shared" ref="AS74:AS108" si="71">AT74+AZ74</f>
        <v>0</v>
      </c>
      <c r="AT74" s="258">
        <f t="shared" ref="AT74" si="72">IF(AND(BG73+AW74+AU74&gt;AT73,AT73&lt;&gt;0),IF($D$16="Да",$AL$36,$D$24),IF(BG73=0,0,BG73+AW74+AU74+AU75))</f>
        <v>0</v>
      </c>
      <c r="AU74" s="258">
        <f t="shared" ref="AU74" si="73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4">IF(BI74=0,0,IF(BI74=1,BG73,IF(BG73+AW74+AU74&gt;AT73,AT74-AU74-AW74,BG73)))</f>
        <v>0</v>
      </c>
      <c r="AW74" s="258">
        <f t="shared" si="63"/>
        <v>0</v>
      </c>
      <c r="AX74" s="258">
        <v>0</v>
      </c>
      <c r="AY74" s="258">
        <f t="shared" si="22"/>
        <v>0</v>
      </c>
      <c r="AZ74" s="258">
        <f t="shared" si="39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5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4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0"/>
        <v>46322</v>
      </c>
      <c r="I75" s="176">
        <f t="shared" ref="I75:I108" si="76">IF($C$16="Да",$AG$40,$C$13)</f>
        <v>0.129</v>
      </c>
      <c r="J75" s="24">
        <f t="shared" si="65"/>
        <v>0</v>
      </c>
      <c r="K75" s="24">
        <f t="shared" si="59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1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7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6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1"/>
        <v>2498</v>
      </c>
      <c r="Y75" s="57">
        <f t="shared" si="47"/>
        <v>55965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3"/>
        <v>2617</v>
      </c>
      <c r="AN75" s="57">
        <f t="shared" si="52"/>
        <v>54505</v>
      </c>
      <c r="AO75" s="130">
        <f t="shared" si="70"/>
        <v>0</v>
      </c>
      <c r="AP75" s="109">
        <f t="shared" si="30"/>
        <v>67</v>
      </c>
      <c r="AQ75" s="110">
        <f t="shared" si="62"/>
        <v>46322</v>
      </c>
      <c r="AR75" s="177">
        <f t="shared" si="54"/>
        <v>0.16900000000000001</v>
      </c>
      <c r="AS75" s="105">
        <f t="shared" si="71"/>
        <v>0</v>
      </c>
      <c r="AT75" s="105">
        <f t="shared" ref="AT75:AT108" si="79">IF(AND(G75&gt;=$W$9,G75&lt;=$W$9+5),$W$10,IF(AND(BG74+AW75+AU75&gt;AT74,AT74&lt;&gt;0),IF($D$16="Да",$AL$40,$D$24),IF(BG74=0,0,BG74+AW75+AU75+AU76)))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4"/>
        <v>0</v>
      </c>
      <c r="AW75" s="105">
        <f t="shared" si="63"/>
        <v>0</v>
      </c>
      <c r="AX75" s="105">
        <v>0</v>
      </c>
      <c r="AY75" s="105">
        <f t="shared" si="22"/>
        <v>0</v>
      </c>
      <c r="AZ75" s="105">
        <f t="shared" si="39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5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46322</v>
      </c>
      <c r="BK75" s="108">
        <f t="shared" si="64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3">G75+1</f>
        <v>68</v>
      </c>
      <c r="H76" s="111">
        <f t="shared" si="60"/>
        <v>46353</v>
      </c>
      <c r="I76" s="176">
        <f t="shared" si="76"/>
        <v>0.129</v>
      </c>
      <c r="J76" s="24">
        <f t="shared" si="65"/>
        <v>0</v>
      </c>
      <c r="K76" s="24">
        <f t="shared" si="59"/>
        <v>0</v>
      </c>
      <c r="L76" s="24">
        <f t="shared" si="36"/>
        <v>0</v>
      </c>
      <c r="M76" s="24">
        <f t="shared" si="77"/>
        <v>0</v>
      </c>
      <c r="N76" s="24">
        <f t="shared" si="61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7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6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1"/>
        <v>2498</v>
      </c>
      <c r="Y76" s="57">
        <f t="shared" si="47"/>
        <v>56330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3"/>
        <v>2617</v>
      </c>
      <c r="AN76" s="57">
        <f t="shared" si="52"/>
        <v>54870</v>
      </c>
      <c r="AO76" s="130">
        <f t="shared" si="70"/>
        <v>0</v>
      </c>
      <c r="AP76" s="109">
        <f t="shared" ref="AP76:AP108" si="85">AP75+1</f>
        <v>68</v>
      </c>
      <c r="AQ76" s="110">
        <f t="shared" si="62"/>
        <v>46353</v>
      </c>
      <c r="AR76" s="177">
        <f t="shared" si="54"/>
        <v>0.16900000000000001</v>
      </c>
      <c r="AS76" s="105">
        <f t="shared" si="71"/>
        <v>0</v>
      </c>
      <c r="AT76" s="105">
        <f t="shared" si="79"/>
        <v>0</v>
      </c>
      <c r="AU76" s="105">
        <f t="shared" si="80"/>
        <v>0</v>
      </c>
      <c r="AV76" s="105">
        <f t="shared" si="74"/>
        <v>0</v>
      </c>
      <c r="AW76" s="105">
        <f t="shared" si="63"/>
        <v>0</v>
      </c>
      <c r="AX76" s="105">
        <v>0</v>
      </c>
      <c r="AY76" s="105">
        <f t="shared" si="22"/>
        <v>0</v>
      </c>
      <c r="AZ76" s="105">
        <f t="shared" si="39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5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46353</v>
      </c>
      <c r="BK76" s="108">
        <f t="shared" si="64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3"/>
        <v>69</v>
      </c>
      <c r="H77" s="111">
        <f t="shared" si="60"/>
        <v>46383</v>
      </c>
      <c r="I77" s="176">
        <f t="shared" si="76"/>
        <v>0.129</v>
      </c>
      <c r="J77" s="24">
        <f t="shared" si="65"/>
        <v>0</v>
      </c>
      <c r="K77" s="24">
        <f t="shared" si="59"/>
        <v>0</v>
      </c>
      <c r="L77" s="24">
        <f t="shared" si="36"/>
        <v>0</v>
      </c>
      <c r="M77" s="24">
        <f t="shared" si="77"/>
        <v>0</v>
      </c>
      <c r="N77" s="24">
        <f t="shared" si="61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7"/>
        <v>0</v>
      </c>
      <c r="S77" s="24">
        <f t="shared" si="78"/>
        <v>0</v>
      </c>
      <c r="T77" s="24"/>
      <c r="U77" s="36">
        <f t="shared" si="84"/>
        <v>0</v>
      </c>
      <c r="V77" s="36">
        <f t="shared" si="6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1"/>
        <v>2498</v>
      </c>
      <c r="Y77" s="57">
        <f t="shared" si="47"/>
        <v>56695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3"/>
        <v>2617</v>
      </c>
      <c r="AN77" s="57">
        <f t="shared" si="52"/>
        <v>55235</v>
      </c>
      <c r="AO77" s="130">
        <f t="shared" si="70"/>
        <v>0</v>
      </c>
      <c r="AP77" s="109">
        <f t="shared" si="85"/>
        <v>69</v>
      </c>
      <c r="AQ77" s="110">
        <f t="shared" si="62"/>
        <v>46383</v>
      </c>
      <c r="AR77" s="177">
        <f t="shared" si="54"/>
        <v>0.16900000000000001</v>
      </c>
      <c r="AS77" s="105">
        <f t="shared" si="71"/>
        <v>0</v>
      </c>
      <c r="AT77" s="105">
        <f t="shared" si="79"/>
        <v>0</v>
      </c>
      <c r="AU77" s="105">
        <f t="shared" si="80"/>
        <v>0</v>
      </c>
      <c r="AV77" s="105">
        <f t="shared" si="74"/>
        <v>0</v>
      </c>
      <c r="AW77" s="105">
        <f t="shared" si="63"/>
        <v>0</v>
      </c>
      <c r="AX77" s="105">
        <v>0</v>
      </c>
      <c r="AY77" s="105">
        <f t="shared" si="22"/>
        <v>0</v>
      </c>
      <c r="AZ77" s="105">
        <f t="shared" si="39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5"/>
        <v>0</v>
      </c>
      <c r="BH77" s="108">
        <f t="shared" si="86"/>
        <v>0</v>
      </c>
      <c r="BI77" s="108">
        <f t="shared" si="81"/>
        <v>0</v>
      </c>
      <c r="BJ77" s="22">
        <f t="shared" si="82"/>
        <v>46383</v>
      </c>
      <c r="BK77" s="108">
        <f t="shared" si="64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3"/>
        <v>70</v>
      </c>
      <c r="H78" s="111">
        <f t="shared" si="60"/>
        <v>46414</v>
      </c>
      <c r="I78" s="176">
        <f t="shared" si="76"/>
        <v>0.129</v>
      </c>
      <c r="J78" s="24">
        <f t="shared" si="65"/>
        <v>0</v>
      </c>
      <c r="K78" s="24">
        <f t="shared" si="59"/>
        <v>0</v>
      </c>
      <c r="L78" s="24">
        <f t="shared" si="36"/>
        <v>0</v>
      </c>
      <c r="M78" s="24">
        <f t="shared" si="77"/>
        <v>0</v>
      </c>
      <c r="N78" s="24">
        <f t="shared" si="61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7"/>
        <v>0</v>
      </c>
      <c r="S78" s="24">
        <f t="shared" si="78"/>
        <v>0</v>
      </c>
      <c r="T78" s="24"/>
      <c r="U78" s="36">
        <f t="shared" si="84"/>
        <v>0</v>
      </c>
      <c r="V78" s="36">
        <f t="shared" si="6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1"/>
        <v>2498</v>
      </c>
      <c r="Y78" s="57">
        <f t="shared" si="47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3"/>
        <v>2617</v>
      </c>
      <c r="AN78" s="57">
        <f t="shared" si="52"/>
        <v>55600</v>
      </c>
      <c r="AO78" s="130">
        <f t="shared" si="70"/>
        <v>0</v>
      </c>
      <c r="AP78" s="109">
        <f t="shared" si="85"/>
        <v>70</v>
      </c>
      <c r="AQ78" s="110">
        <f t="shared" si="62"/>
        <v>46414</v>
      </c>
      <c r="AR78" s="177">
        <f t="shared" si="54"/>
        <v>0.16900000000000001</v>
      </c>
      <c r="AS78" s="105">
        <f t="shared" si="71"/>
        <v>0</v>
      </c>
      <c r="AT78" s="105">
        <f t="shared" si="79"/>
        <v>0</v>
      </c>
      <c r="AU78" s="105">
        <f t="shared" si="80"/>
        <v>0</v>
      </c>
      <c r="AV78" s="105">
        <f t="shared" si="74"/>
        <v>0</v>
      </c>
      <c r="AW78" s="105">
        <f t="shared" si="63"/>
        <v>0</v>
      </c>
      <c r="AX78" s="105">
        <v>0</v>
      </c>
      <c r="AY78" s="105">
        <f t="shared" si="22"/>
        <v>0</v>
      </c>
      <c r="AZ78" s="105">
        <f t="shared" si="39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5"/>
        <v>0</v>
      </c>
      <c r="BH78" s="108">
        <f t="shared" si="86"/>
        <v>0</v>
      </c>
      <c r="BI78" s="108">
        <f t="shared" si="81"/>
        <v>0</v>
      </c>
      <c r="BJ78" s="22">
        <f t="shared" si="82"/>
        <v>46414</v>
      </c>
      <c r="BK78" s="108">
        <f t="shared" si="64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3"/>
        <v>71</v>
      </c>
      <c r="H79" s="111">
        <f t="shared" si="60"/>
        <v>46445</v>
      </c>
      <c r="I79" s="176">
        <f t="shared" si="76"/>
        <v>0.129</v>
      </c>
      <c r="J79" s="24">
        <f t="shared" si="65"/>
        <v>0</v>
      </c>
      <c r="K79" s="24">
        <f t="shared" si="59"/>
        <v>0</v>
      </c>
      <c r="L79" s="24">
        <f t="shared" si="36"/>
        <v>0</v>
      </c>
      <c r="M79" s="24">
        <f t="shared" si="77"/>
        <v>0</v>
      </c>
      <c r="N79" s="24">
        <f t="shared" si="61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7"/>
        <v>0</v>
      </c>
      <c r="S79" s="24">
        <f t="shared" si="78"/>
        <v>0</v>
      </c>
      <c r="T79" s="24"/>
      <c r="U79" s="36">
        <f t="shared" si="84"/>
        <v>0</v>
      </c>
      <c r="V79" s="36">
        <f t="shared" si="6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1"/>
        <v>2498</v>
      </c>
      <c r="Y79" s="57">
        <f t="shared" si="47"/>
        <v>57425</v>
      </c>
      <c r="AC79" s="143">
        <f>MIN($C$7*IF($C$7&gt;$AB$71,AC76,IF($C$7&gt;$AB$70,AC75,IF($C$7&gt;$AB$69,AC74,IF($C$7&gt;$AB$68,AC73,AC72)))),5000000)</f>
        <v>75000</v>
      </c>
      <c r="AD79" s="143">
        <f>MIN($C$7*IF($C$7&gt;$AB$72,AD77,IF($C$7&gt;$AB$71,AD76,IF($C$7&gt;$AB$70,AD75,IF($C$7&gt;$AB$69,AD74,IF($C$7&gt;$AB$68,AD73,AD72))))),5000000)</f>
        <v>93750</v>
      </c>
      <c r="AE79" s="143">
        <f>MIN(3000000,$C$7*IF($C$7&gt;=$AA$71,AE76,IF($C$7&gt;=$AA$70,AE75,IF($C$7&gt;=$AA$69,AE74,IF($C$7&gt;=$AA$68,AE73,AE72)))))</f>
        <v>112500</v>
      </c>
      <c r="AF79" s="143">
        <f>MIN(3000000,$C$7*IF($C$7&gt;=$AA$71,AF76,IF($C$7&gt;=$AA$70,AF75,IF($C$7&gt;=$AA$69,AF74,IF($C$7&gt;=$AA$68,AF73,AF72)))))</f>
        <v>97500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75000</v>
      </c>
      <c r="AI79" s="143">
        <f>$C$7*IF($C$7&gt;=$AA$71,AI76,IF($C$7&gt;=$AA$70,AI75,IF($C$7&gt;=$AA$69,AI74,IF($C$7&gt;=$AA$68,AI73,AI72))))</f>
        <v>150000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3"/>
        <v>2617</v>
      </c>
      <c r="AN79" s="57">
        <f t="shared" si="52"/>
        <v>55965</v>
      </c>
      <c r="AO79" s="130">
        <f t="shared" si="70"/>
        <v>0</v>
      </c>
      <c r="AP79" s="109">
        <f t="shared" si="85"/>
        <v>71</v>
      </c>
      <c r="AQ79" s="110">
        <f t="shared" si="62"/>
        <v>46445</v>
      </c>
      <c r="AR79" s="177">
        <f t="shared" si="54"/>
        <v>0.16900000000000001</v>
      </c>
      <c r="AS79" s="105">
        <f t="shared" si="71"/>
        <v>0</v>
      </c>
      <c r="AT79" s="105">
        <f t="shared" si="79"/>
        <v>0</v>
      </c>
      <c r="AU79" s="105">
        <f t="shared" si="80"/>
        <v>0</v>
      </c>
      <c r="AV79" s="105">
        <f t="shared" si="74"/>
        <v>0</v>
      </c>
      <c r="AW79" s="105">
        <f t="shared" si="63"/>
        <v>0</v>
      </c>
      <c r="AX79" s="105">
        <v>0</v>
      </c>
      <c r="AY79" s="105">
        <f t="shared" si="22"/>
        <v>0</v>
      </c>
      <c r="AZ79" s="105">
        <f t="shared" si="39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5"/>
        <v>0</v>
      </c>
      <c r="BH79" s="108">
        <f t="shared" si="86"/>
        <v>0</v>
      </c>
      <c r="BI79" s="108">
        <f t="shared" si="81"/>
        <v>0</v>
      </c>
      <c r="BJ79" s="22">
        <f t="shared" si="82"/>
        <v>46445</v>
      </c>
      <c r="BK79" s="108">
        <f t="shared" si="64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3"/>
        <v>72</v>
      </c>
      <c r="H80" s="111">
        <f t="shared" si="60"/>
        <v>46473</v>
      </c>
      <c r="I80" s="176">
        <f t="shared" si="76"/>
        <v>0.129</v>
      </c>
      <c r="J80" s="24">
        <f t="shared" si="65"/>
        <v>0</v>
      </c>
      <c r="K80" s="24">
        <f t="shared" si="59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1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7"/>
        <v>0</v>
      </c>
      <c r="S80" s="24">
        <f t="shared" si="78"/>
        <v>0</v>
      </c>
      <c r="T80" s="24"/>
      <c r="U80" s="36">
        <f t="shared" si="84"/>
        <v>0</v>
      </c>
      <c r="V80" s="36">
        <f t="shared" si="6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1"/>
        <v>2498</v>
      </c>
      <c r="Y80" s="57">
        <f t="shared" si="47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3"/>
        <v>2617</v>
      </c>
      <c r="AN80" s="57">
        <f t="shared" si="52"/>
        <v>56330</v>
      </c>
      <c r="AO80" s="130">
        <f t="shared" si="70"/>
        <v>0</v>
      </c>
      <c r="AP80" s="109">
        <f t="shared" si="85"/>
        <v>72</v>
      </c>
      <c r="AQ80" s="110">
        <f t="shared" si="62"/>
        <v>46473</v>
      </c>
      <c r="AR80" s="177">
        <f t="shared" si="54"/>
        <v>0.16900000000000001</v>
      </c>
      <c r="AS80" s="105">
        <f t="shared" si="71"/>
        <v>0</v>
      </c>
      <c r="AT80" s="105">
        <f t="shared" si="79"/>
        <v>0</v>
      </c>
      <c r="AU80" s="105">
        <f t="shared" si="80"/>
        <v>0</v>
      </c>
      <c r="AV80" s="105">
        <f t="shared" si="74"/>
        <v>0</v>
      </c>
      <c r="AW80" s="105">
        <f t="shared" si="63"/>
        <v>0</v>
      </c>
      <c r="AX80" s="105">
        <v>0</v>
      </c>
      <c r="AY80" s="105">
        <f t="shared" si="22"/>
        <v>0</v>
      </c>
      <c r="AZ80" s="105">
        <f t="shared" si="39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5"/>
        <v>0</v>
      </c>
      <c r="BH80" s="108">
        <f t="shared" si="86"/>
        <v>0</v>
      </c>
      <c r="BI80" s="108">
        <f t="shared" si="81"/>
        <v>0</v>
      </c>
      <c r="BJ80" s="22">
        <f t="shared" si="82"/>
        <v>46473</v>
      </c>
      <c r="BK80" s="108">
        <f t="shared" si="64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3"/>
        <v>73</v>
      </c>
      <c r="H81" s="111">
        <f t="shared" si="60"/>
        <v>46504</v>
      </c>
      <c r="I81" s="176">
        <f t="shared" si="76"/>
        <v>0.129</v>
      </c>
      <c r="J81" s="24">
        <f t="shared" si="65"/>
        <v>0</v>
      </c>
      <c r="K81" s="24">
        <f t="shared" si="59"/>
        <v>0</v>
      </c>
      <c r="L81" s="24">
        <f t="shared" si="89"/>
        <v>0</v>
      </c>
      <c r="M81" s="24">
        <f t="shared" si="77"/>
        <v>0</v>
      </c>
      <c r="N81" s="24">
        <f t="shared" si="61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7"/>
        <v>0</v>
      </c>
      <c r="S81" s="24">
        <f t="shared" si="78"/>
        <v>0</v>
      </c>
      <c r="T81" s="24"/>
      <c r="U81" s="36">
        <f t="shared" si="84"/>
        <v>0</v>
      </c>
      <c r="V81" s="36">
        <f t="shared" si="6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1"/>
        <v>2498</v>
      </c>
      <c r="Y81" s="57">
        <f t="shared" si="47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3"/>
        <v>2617</v>
      </c>
      <c r="AN81" s="57">
        <f t="shared" si="52"/>
        <v>56695</v>
      </c>
      <c r="AO81" s="130">
        <f t="shared" si="70"/>
        <v>0</v>
      </c>
      <c r="AP81" s="109">
        <f t="shared" si="85"/>
        <v>73</v>
      </c>
      <c r="AQ81" s="110">
        <f t="shared" si="62"/>
        <v>46504</v>
      </c>
      <c r="AR81" s="177">
        <f t="shared" si="54"/>
        <v>0.16900000000000001</v>
      </c>
      <c r="AS81" s="105">
        <f t="shared" si="71"/>
        <v>0</v>
      </c>
      <c r="AT81" s="105">
        <f t="shared" si="79"/>
        <v>0</v>
      </c>
      <c r="AU81" s="105">
        <f t="shared" si="80"/>
        <v>0</v>
      </c>
      <c r="AV81" s="105">
        <f t="shared" si="74"/>
        <v>0</v>
      </c>
      <c r="AW81" s="105">
        <f t="shared" si="63"/>
        <v>0</v>
      </c>
      <c r="AX81" s="105">
        <v>0</v>
      </c>
      <c r="AY81" s="105">
        <f t="shared" si="22"/>
        <v>0</v>
      </c>
      <c r="AZ81" s="105">
        <f t="shared" si="39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5"/>
        <v>0</v>
      </c>
      <c r="BH81" s="108">
        <f t="shared" si="86"/>
        <v>0</v>
      </c>
      <c r="BI81" s="108">
        <f t="shared" si="81"/>
        <v>0</v>
      </c>
      <c r="BJ81" s="22">
        <f t="shared" si="82"/>
        <v>46504</v>
      </c>
      <c r="BK81" s="108">
        <f t="shared" si="64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3"/>
        <v>74</v>
      </c>
      <c r="H82" s="111">
        <f t="shared" si="60"/>
        <v>46534</v>
      </c>
      <c r="I82" s="176">
        <f t="shared" si="76"/>
        <v>0.129</v>
      </c>
      <c r="J82" s="24">
        <f t="shared" si="65"/>
        <v>0</v>
      </c>
      <c r="K82" s="24">
        <f t="shared" si="59"/>
        <v>0</v>
      </c>
      <c r="L82" s="24">
        <f t="shared" si="89"/>
        <v>0</v>
      </c>
      <c r="M82" s="24">
        <f t="shared" si="77"/>
        <v>0</v>
      </c>
      <c r="N82" s="24">
        <f t="shared" si="61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7"/>
        <v>0</v>
      </c>
      <c r="S82" s="24">
        <f t="shared" si="78"/>
        <v>0</v>
      </c>
      <c r="T82" s="24"/>
      <c r="U82" s="36">
        <f t="shared" si="84"/>
        <v>0</v>
      </c>
      <c r="V82" s="36">
        <f t="shared" si="6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1"/>
        <v>2498</v>
      </c>
      <c r="Y82" s="57">
        <f t="shared" si="47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3"/>
        <v>2617</v>
      </c>
      <c r="AN82" s="57">
        <f t="shared" si="52"/>
        <v>57060</v>
      </c>
      <c r="AO82" s="130">
        <f t="shared" si="70"/>
        <v>0</v>
      </c>
      <c r="AP82" s="109">
        <f t="shared" si="85"/>
        <v>74</v>
      </c>
      <c r="AQ82" s="110">
        <f t="shared" si="62"/>
        <v>46534</v>
      </c>
      <c r="AR82" s="177">
        <f t="shared" si="54"/>
        <v>0.16900000000000001</v>
      </c>
      <c r="AS82" s="105">
        <f t="shared" si="71"/>
        <v>0</v>
      </c>
      <c r="AT82" s="105">
        <f t="shared" si="79"/>
        <v>0</v>
      </c>
      <c r="AU82" s="105">
        <f t="shared" si="80"/>
        <v>0</v>
      </c>
      <c r="AV82" s="105">
        <f t="shared" si="74"/>
        <v>0</v>
      </c>
      <c r="AW82" s="105">
        <f t="shared" si="63"/>
        <v>0</v>
      </c>
      <c r="AX82" s="105">
        <v>0</v>
      </c>
      <c r="AY82" s="105">
        <f t="shared" si="22"/>
        <v>0</v>
      </c>
      <c r="AZ82" s="105">
        <f t="shared" si="39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5"/>
        <v>0</v>
      </c>
      <c r="BH82" s="108">
        <f t="shared" si="86"/>
        <v>0</v>
      </c>
      <c r="BI82" s="108">
        <f t="shared" si="81"/>
        <v>0</v>
      </c>
      <c r="BJ82" s="22">
        <f t="shared" si="82"/>
        <v>46534</v>
      </c>
      <c r="BK82" s="108">
        <f t="shared" si="64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3"/>
        <v>75</v>
      </c>
      <c r="H83" s="111">
        <f t="shared" si="60"/>
        <v>46565</v>
      </c>
      <c r="I83" s="176">
        <f t="shared" si="76"/>
        <v>0.129</v>
      </c>
      <c r="J83" s="24">
        <f t="shared" si="65"/>
        <v>0</v>
      </c>
      <c r="K83" s="24">
        <f t="shared" si="59"/>
        <v>0</v>
      </c>
      <c r="L83" s="24">
        <f t="shared" si="89"/>
        <v>0</v>
      </c>
      <c r="M83" s="24">
        <f t="shared" si="77"/>
        <v>0</v>
      </c>
      <c r="N83" s="24">
        <f t="shared" si="61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7"/>
        <v>0</v>
      </c>
      <c r="S83" s="24">
        <f t="shared" si="78"/>
        <v>0</v>
      </c>
      <c r="T83" s="24"/>
      <c r="U83" s="36">
        <f t="shared" si="84"/>
        <v>0</v>
      </c>
      <c r="V83" s="36">
        <f t="shared" si="6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1"/>
        <v>2498</v>
      </c>
      <c r="Y83" s="57">
        <f t="shared" si="47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3"/>
        <v>2617</v>
      </c>
      <c r="AN83" s="57">
        <f t="shared" si="52"/>
        <v>57425</v>
      </c>
      <c r="AO83" s="130">
        <f t="shared" si="70"/>
        <v>0</v>
      </c>
      <c r="AP83" s="109">
        <f t="shared" si="85"/>
        <v>75</v>
      </c>
      <c r="AQ83" s="110">
        <f t="shared" si="62"/>
        <v>46565</v>
      </c>
      <c r="AR83" s="177">
        <f t="shared" si="54"/>
        <v>0.16900000000000001</v>
      </c>
      <c r="AS83" s="105">
        <f t="shared" si="71"/>
        <v>0</v>
      </c>
      <c r="AT83" s="105">
        <f t="shared" si="79"/>
        <v>0</v>
      </c>
      <c r="AU83" s="105">
        <f t="shared" si="80"/>
        <v>0</v>
      </c>
      <c r="AV83" s="105">
        <f t="shared" si="74"/>
        <v>0</v>
      </c>
      <c r="AW83" s="105">
        <f t="shared" si="63"/>
        <v>0</v>
      </c>
      <c r="AX83" s="105">
        <v>0</v>
      </c>
      <c r="AY83" s="105">
        <f t="shared" si="22"/>
        <v>0</v>
      </c>
      <c r="AZ83" s="105">
        <f t="shared" si="39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5"/>
        <v>0</v>
      </c>
      <c r="BH83" s="108">
        <f t="shared" si="86"/>
        <v>0</v>
      </c>
      <c r="BI83" s="108">
        <f t="shared" si="81"/>
        <v>0</v>
      </c>
      <c r="BJ83" s="22">
        <f t="shared" si="82"/>
        <v>46565</v>
      </c>
      <c r="BK83" s="108">
        <f t="shared" si="64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3"/>
        <v>76</v>
      </c>
      <c r="H84" s="111">
        <f t="shared" si="60"/>
        <v>46595</v>
      </c>
      <c r="I84" s="176">
        <f t="shared" si="76"/>
        <v>0.129</v>
      </c>
      <c r="J84" s="24">
        <f t="shared" si="65"/>
        <v>0</v>
      </c>
      <c r="K84" s="24">
        <f t="shared" si="59"/>
        <v>0</v>
      </c>
      <c r="L84" s="24">
        <f t="shared" si="89"/>
        <v>0</v>
      </c>
      <c r="M84" s="24">
        <f t="shared" si="77"/>
        <v>0</v>
      </c>
      <c r="N84" s="24">
        <f t="shared" si="61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7"/>
        <v>0</v>
      </c>
      <c r="S84" s="24">
        <f t="shared" si="78"/>
        <v>0</v>
      </c>
      <c r="T84" s="24"/>
      <c r="U84" s="36">
        <f t="shared" si="84"/>
        <v>0</v>
      </c>
      <c r="V84" s="36">
        <f t="shared" si="6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1"/>
        <v>2498</v>
      </c>
      <c r="Y84" s="57">
        <f t="shared" si="47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3"/>
        <v>2617</v>
      </c>
      <c r="AN84" s="57">
        <f t="shared" si="52"/>
        <v>57790</v>
      </c>
      <c r="AO84" s="130">
        <f t="shared" si="70"/>
        <v>0</v>
      </c>
      <c r="AP84" s="109">
        <f t="shared" si="85"/>
        <v>76</v>
      </c>
      <c r="AQ84" s="110">
        <f t="shared" si="62"/>
        <v>46595</v>
      </c>
      <c r="AR84" s="177">
        <f t="shared" si="54"/>
        <v>0.16900000000000001</v>
      </c>
      <c r="AS84" s="105">
        <f t="shared" si="71"/>
        <v>0</v>
      </c>
      <c r="AT84" s="105">
        <f t="shared" si="79"/>
        <v>0</v>
      </c>
      <c r="AU84" s="105">
        <f t="shared" si="80"/>
        <v>0</v>
      </c>
      <c r="AV84" s="105">
        <f t="shared" si="74"/>
        <v>0</v>
      </c>
      <c r="AW84" s="105">
        <f t="shared" si="63"/>
        <v>0</v>
      </c>
      <c r="AX84" s="105">
        <v>0</v>
      </c>
      <c r="AY84" s="105">
        <f t="shared" si="22"/>
        <v>0</v>
      </c>
      <c r="AZ84" s="105">
        <f t="shared" si="39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5"/>
        <v>0</v>
      </c>
      <c r="BH84" s="108">
        <f t="shared" si="86"/>
        <v>0</v>
      </c>
      <c r="BI84" s="108">
        <f t="shared" si="81"/>
        <v>0</v>
      </c>
      <c r="BJ84" s="22">
        <f t="shared" si="82"/>
        <v>46595</v>
      </c>
      <c r="BK84" s="108">
        <f t="shared" si="64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3"/>
        <v>77</v>
      </c>
      <c r="H85" s="111">
        <f t="shared" si="60"/>
        <v>46626</v>
      </c>
      <c r="I85" s="176">
        <f t="shared" si="76"/>
        <v>0.129</v>
      </c>
      <c r="J85" s="24">
        <f t="shared" si="65"/>
        <v>0</v>
      </c>
      <c r="K85" s="24">
        <f t="shared" si="59"/>
        <v>0</v>
      </c>
      <c r="L85" s="24">
        <f t="shared" si="89"/>
        <v>0</v>
      </c>
      <c r="M85" s="24">
        <f t="shared" si="77"/>
        <v>0</v>
      </c>
      <c r="N85" s="24">
        <f t="shared" si="61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7"/>
        <v>0</v>
      </c>
      <c r="S85" s="24">
        <f t="shared" si="78"/>
        <v>0</v>
      </c>
      <c r="T85" s="24"/>
      <c r="U85" s="36">
        <f t="shared" si="84"/>
        <v>0</v>
      </c>
      <c r="V85" s="36">
        <f t="shared" si="6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1"/>
        <v>2498</v>
      </c>
      <c r="Y85" s="57">
        <f t="shared" si="47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3"/>
        <v>2617</v>
      </c>
      <c r="AN85" s="57">
        <f t="shared" si="52"/>
        <v>58155</v>
      </c>
      <c r="AO85" s="130">
        <f t="shared" si="70"/>
        <v>0</v>
      </c>
      <c r="AP85" s="109">
        <f t="shared" si="85"/>
        <v>77</v>
      </c>
      <c r="AQ85" s="110">
        <f t="shared" si="62"/>
        <v>46626</v>
      </c>
      <c r="AR85" s="177">
        <f t="shared" si="54"/>
        <v>0.16900000000000001</v>
      </c>
      <c r="AS85" s="105">
        <f t="shared" si="71"/>
        <v>0</v>
      </c>
      <c r="AT85" s="105">
        <f t="shared" si="79"/>
        <v>0</v>
      </c>
      <c r="AU85" s="105">
        <f t="shared" si="80"/>
        <v>0</v>
      </c>
      <c r="AV85" s="105">
        <f t="shared" si="74"/>
        <v>0</v>
      </c>
      <c r="AW85" s="105">
        <f t="shared" si="63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5"/>
        <v>0</v>
      </c>
      <c r="BH85" s="108">
        <f t="shared" si="86"/>
        <v>0</v>
      </c>
      <c r="BI85" s="108">
        <f t="shared" si="81"/>
        <v>0</v>
      </c>
      <c r="BJ85" s="22">
        <f t="shared" si="82"/>
        <v>46626</v>
      </c>
      <c r="BK85" s="108">
        <f t="shared" si="64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3"/>
        <v>78</v>
      </c>
      <c r="H86" s="111">
        <f t="shared" si="60"/>
        <v>46657</v>
      </c>
      <c r="I86" s="176">
        <f t="shared" si="76"/>
        <v>0.129</v>
      </c>
      <c r="J86" s="24">
        <f t="shared" si="65"/>
        <v>0</v>
      </c>
      <c r="K86" s="24">
        <f t="shared" si="59"/>
        <v>0</v>
      </c>
      <c r="L86" s="24">
        <f t="shared" si="89"/>
        <v>0</v>
      </c>
      <c r="M86" s="24">
        <f t="shared" si="77"/>
        <v>0</v>
      </c>
      <c r="N86" s="24">
        <f t="shared" si="61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7"/>
        <v>0</v>
      </c>
      <c r="S86" s="24">
        <f t="shared" si="78"/>
        <v>0</v>
      </c>
      <c r="T86" s="24"/>
      <c r="U86" s="36">
        <f t="shared" si="84"/>
        <v>0</v>
      </c>
      <c r="V86" s="36">
        <f t="shared" si="6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1"/>
        <v>2498</v>
      </c>
      <c r="Y86" s="57">
        <f t="shared" si="47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3"/>
        <v>2617</v>
      </c>
      <c r="AN86" s="57">
        <f t="shared" si="52"/>
        <v>58520</v>
      </c>
      <c r="AO86" s="130">
        <f t="shared" si="70"/>
        <v>0</v>
      </c>
      <c r="AP86" s="109">
        <f t="shared" si="85"/>
        <v>78</v>
      </c>
      <c r="AQ86" s="110">
        <f t="shared" si="62"/>
        <v>46657</v>
      </c>
      <c r="AR86" s="177">
        <f t="shared" si="54"/>
        <v>0.16900000000000001</v>
      </c>
      <c r="AS86" s="105">
        <f t="shared" si="71"/>
        <v>0</v>
      </c>
      <c r="AT86" s="105">
        <f t="shared" si="79"/>
        <v>0</v>
      </c>
      <c r="AU86" s="105">
        <f t="shared" si="80"/>
        <v>0</v>
      </c>
      <c r="AV86" s="105">
        <f t="shared" si="74"/>
        <v>0</v>
      </c>
      <c r="AW86" s="105">
        <f t="shared" si="63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5"/>
        <v>0</v>
      </c>
      <c r="BH86" s="108">
        <f t="shared" si="86"/>
        <v>0</v>
      </c>
      <c r="BI86" s="108">
        <f t="shared" si="81"/>
        <v>0</v>
      </c>
      <c r="BJ86" s="22">
        <f t="shared" si="82"/>
        <v>46657</v>
      </c>
      <c r="BK86" s="108">
        <f t="shared" si="64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3"/>
        <v>79</v>
      </c>
      <c r="H87" s="111">
        <f t="shared" si="60"/>
        <v>46687</v>
      </c>
      <c r="I87" s="176">
        <f t="shared" si="76"/>
        <v>0.129</v>
      </c>
      <c r="J87" s="24">
        <f t="shared" si="65"/>
        <v>0</v>
      </c>
      <c r="K87" s="24">
        <f t="shared" si="59"/>
        <v>0</v>
      </c>
      <c r="L87" s="24">
        <f t="shared" si="89"/>
        <v>0</v>
      </c>
      <c r="M87" s="24">
        <f t="shared" si="77"/>
        <v>0</v>
      </c>
      <c r="N87" s="24">
        <f t="shared" si="61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7"/>
        <v>0</v>
      </c>
      <c r="S87" s="24">
        <f t="shared" si="78"/>
        <v>0</v>
      </c>
      <c r="T87" s="24"/>
      <c r="U87" s="36">
        <f t="shared" si="84"/>
        <v>0</v>
      </c>
      <c r="V87" s="36">
        <f t="shared" si="6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1"/>
        <v>2498</v>
      </c>
      <c r="Y87" s="57">
        <f t="shared" si="47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3"/>
        <v>2617</v>
      </c>
      <c r="AN87" s="57">
        <f t="shared" si="52"/>
        <v>58885</v>
      </c>
      <c r="AO87" s="130">
        <f t="shared" si="70"/>
        <v>0</v>
      </c>
      <c r="AP87" s="109">
        <f t="shared" si="85"/>
        <v>79</v>
      </c>
      <c r="AQ87" s="110">
        <f t="shared" si="62"/>
        <v>46687</v>
      </c>
      <c r="AR87" s="177">
        <f t="shared" si="54"/>
        <v>0.16900000000000001</v>
      </c>
      <c r="AS87" s="105">
        <f t="shared" si="71"/>
        <v>0</v>
      </c>
      <c r="AT87" s="105">
        <f t="shared" si="79"/>
        <v>0</v>
      </c>
      <c r="AU87" s="105">
        <f t="shared" si="80"/>
        <v>0</v>
      </c>
      <c r="AV87" s="105">
        <f t="shared" si="74"/>
        <v>0</v>
      </c>
      <c r="AW87" s="105">
        <f t="shared" si="63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5"/>
        <v>0</v>
      </c>
      <c r="BH87" s="108">
        <f t="shared" si="86"/>
        <v>0</v>
      </c>
      <c r="BI87" s="108">
        <f t="shared" si="81"/>
        <v>0</v>
      </c>
      <c r="BJ87" s="22">
        <f t="shared" si="82"/>
        <v>46687</v>
      </c>
      <c r="BK87" s="108">
        <f t="shared" si="64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3"/>
        <v>80</v>
      </c>
      <c r="H88" s="111">
        <f t="shared" si="60"/>
        <v>46718</v>
      </c>
      <c r="I88" s="176">
        <f t="shared" si="76"/>
        <v>0.129</v>
      </c>
      <c r="J88" s="24">
        <f t="shared" si="65"/>
        <v>0</v>
      </c>
      <c r="K88" s="24">
        <f t="shared" si="59"/>
        <v>0</v>
      </c>
      <c r="L88" s="24">
        <f t="shared" si="89"/>
        <v>0</v>
      </c>
      <c r="M88" s="24">
        <f t="shared" si="77"/>
        <v>0</v>
      </c>
      <c r="N88" s="24">
        <f t="shared" si="61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7"/>
        <v>0</v>
      </c>
      <c r="S88" s="24">
        <f t="shared" si="78"/>
        <v>0</v>
      </c>
      <c r="T88" s="24"/>
      <c r="U88" s="36">
        <f t="shared" si="84"/>
        <v>0</v>
      </c>
      <c r="V88" s="36">
        <f t="shared" si="6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1"/>
        <v>2498</v>
      </c>
      <c r="Y88" s="57">
        <f t="shared" si="47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3"/>
        <v>2617</v>
      </c>
      <c r="AN88" s="57">
        <f t="shared" si="52"/>
        <v>59250</v>
      </c>
      <c r="AO88" s="130">
        <f t="shared" si="70"/>
        <v>0</v>
      </c>
      <c r="AP88" s="109">
        <f t="shared" si="85"/>
        <v>80</v>
      </c>
      <c r="AQ88" s="110">
        <f t="shared" si="62"/>
        <v>46718</v>
      </c>
      <c r="AR88" s="177">
        <f t="shared" si="54"/>
        <v>0.16900000000000001</v>
      </c>
      <c r="AS88" s="105">
        <f t="shared" si="71"/>
        <v>0</v>
      </c>
      <c r="AT88" s="105">
        <f t="shared" si="79"/>
        <v>0</v>
      </c>
      <c r="AU88" s="105">
        <f t="shared" si="80"/>
        <v>0</v>
      </c>
      <c r="AV88" s="105">
        <f t="shared" si="74"/>
        <v>0</v>
      </c>
      <c r="AW88" s="105">
        <f t="shared" si="63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5"/>
        <v>0</v>
      </c>
      <c r="BH88" s="108">
        <f t="shared" si="86"/>
        <v>0</v>
      </c>
      <c r="BI88" s="108">
        <f t="shared" si="81"/>
        <v>0</v>
      </c>
      <c r="BJ88" s="22">
        <f t="shared" si="82"/>
        <v>46718</v>
      </c>
      <c r="BK88" s="108">
        <f t="shared" si="64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3"/>
        <v>81</v>
      </c>
      <c r="H89" s="111">
        <f t="shared" si="60"/>
        <v>46748</v>
      </c>
      <c r="I89" s="176">
        <f t="shared" si="76"/>
        <v>0.129</v>
      </c>
      <c r="J89" s="24">
        <f t="shared" si="65"/>
        <v>0</v>
      </c>
      <c r="K89" s="24">
        <f t="shared" si="59"/>
        <v>0</v>
      </c>
      <c r="L89" s="24">
        <f t="shared" si="89"/>
        <v>0</v>
      </c>
      <c r="M89" s="24">
        <f t="shared" si="77"/>
        <v>0</v>
      </c>
      <c r="N89" s="24">
        <f t="shared" si="61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7"/>
        <v>0</v>
      </c>
      <c r="S89" s="24">
        <f t="shared" si="78"/>
        <v>0</v>
      </c>
      <c r="T89" s="24"/>
      <c r="U89" s="36">
        <f t="shared" si="84"/>
        <v>0</v>
      </c>
      <c r="V89" s="36">
        <f t="shared" si="6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1"/>
        <v>2498</v>
      </c>
      <c r="Y89" s="57">
        <f t="shared" si="47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3"/>
        <v>2617</v>
      </c>
      <c r="AN89" s="57">
        <f t="shared" si="52"/>
        <v>59615</v>
      </c>
      <c r="AO89" s="130">
        <f t="shared" si="70"/>
        <v>0</v>
      </c>
      <c r="AP89" s="109">
        <f t="shared" si="85"/>
        <v>81</v>
      </c>
      <c r="AQ89" s="110">
        <f t="shared" si="62"/>
        <v>46748</v>
      </c>
      <c r="AR89" s="177">
        <f t="shared" si="54"/>
        <v>0.16900000000000001</v>
      </c>
      <c r="AS89" s="105">
        <f t="shared" si="71"/>
        <v>0</v>
      </c>
      <c r="AT89" s="105">
        <f t="shared" si="79"/>
        <v>0</v>
      </c>
      <c r="AU89" s="105">
        <f t="shared" si="80"/>
        <v>0</v>
      </c>
      <c r="AV89" s="105">
        <f t="shared" si="74"/>
        <v>0</v>
      </c>
      <c r="AW89" s="105">
        <f t="shared" si="63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5"/>
        <v>0</v>
      </c>
      <c r="BH89" s="108">
        <f t="shared" si="86"/>
        <v>0</v>
      </c>
      <c r="BI89" s="108">
        <f t="shared" si="81"/>
        <v>0</v>
      </c>
      <c r="BJ89" s="22">
        <f t="shared" si="82"/>
        <v>46748</v>
      </c>
      <c r="BK89" s="108">
        <f t="shared" si="64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3"/>
        <v>82</v>
      </c>
      <c r="H90" s="111">
        <f t="shared" si="60"/>
        <v>46779</v>
      </c>
      <c r="I90" s="176">
        <f t="shared" si="76"/>
        <v>0.129</v>
      </c>
      <c r="J90" s="24">
        <f t="shared" si="65"/>
        <v>0</v>
      </c>
      <c r="K90" s="24">
        <f t="shared" si="59"/>
        <v>0</v>
      </c>
      <c r="L90" s="24">
        <f t="shared" si="89"/>
        <v>0</v>
      </c>
      <c r="M90" s="24">
        <f t="shared" si="77"/>
        <v>0</v>
      </c>
      <c r="N90" s="24">
        <f t="shared" si="61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7"/>
        <v>0</v>
      </c>
      <c r="S90" s="24">
        <f t="shared" si="78"/>
        <v>0</v>
      </c>
      <c r="T90" s="24"/>
      <c r="U90" s="36">
        <f t="shared" si="84"/>
        <v>0</v>
      </c>
      <c r="V90" s="36">
        <f t="shared" si="6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1"/>
        <v>2498</v>
      </c>
      <c r="Y90" s="57">
        <f t="shared" si="47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3"/>
        <v>2617</v>
      </c>
      <c r="AN90" s="57">
        <f t="shared" si="52"/>
        <v>59980</v>
      </c>
      <c r="AO90" s="130">
        <f t="shared" si="70"/>
        <v>0</v>
      </c>
      <c r="AP90" s="109">
        <f t="shared" si="85"/>
        <v>82</v>
      </c>
      <c r="AQ90" s="110">
        <f t="shared" si="62"/>
        <v>46779</v>
      </c>
      <c r="AR90" s="177">
        <f t="shared" si="54"/>
        <v>0.16900000000000001</v>
      </c>
      <c r="AS90" s="105">
        <f t="shared" si="71"/>
        <v>0</v>
      </c>
      <c r="AT90" s="105">
        <f t="shared" si="79"/>
        <v>0</v>
      </c>
      <c r="AU90" s="105">
        <f t="shared" si="80"/>
        <v>0</v>
      </c>
      <c r="AV90" s="105">
        <f t="shared" si="74"/>
        <v>0</v>
      </c>
      <c r="AW90" s="105">
        <f t="shared" si="63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5"/>
        <v>0</v>
      </c>
      <c r="BH90" s="108">
        <f t="shared" si="86"/>
        <v>0</v>
      </c>
      <c r="BI90" s="108">
        <f t="shared" si="81"/>
        <v>0</v>
      </c>
      <c r="BJ90" s="22">
        <f t="shared" si="82"/>
        <v>46779</v>
      </c>
      <c r="BK90" s="108">
        <f t="shared" si="64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3"/>
        <v>83</v>
      </c>
      <c r="H91" s="111">
        <f t="shared" si="60"/>
        <v>46810</v>
      </c>
      <c r="I91" s="176">
        <f t="shared" si="76"/>
        <v>0.129</v>
      </c>
      <c r="J91" s="24">
        <f t="shared" si="65"/>
        <v>0</v>
      </c>
      <c r="K91" s="24">
        <f t="shared" si="59"/>
        <v>0</v>
      </c>
      <c r="L91" s="24">
        <f t="shared" si="89"/>
        <v>0</v>
      </c>
      <c r="M91" s="24">
        <f t="shared" si="77"/>
        <v>0</v>
      </c>
      <c r="N91" s="24">
        <f t="shared" si="61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7"/>
        <v>0</v>
      </c>
      <c r="S91" s="24">
        <f t="shared" si="78"/>
        <v>0</v>
      </c>
      <c r="T91" s="24"/>
      <c r="U91" s="36">
        <f t="shared" si="84"/>
        <v>0</v>
      </c>
      <c r="V91" s="36">
        <f t="shared" si="6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1"/>
        <v>2498</v>
      </c>
      <c r="Y91" s="57">
        <f t="shared" si="47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3"/>
        <v>2617</v>
      </c>
      <c r="AN91" s="57">
        <f t="shared" si="52"/>
        <v>60345</v>
      </c>
      <c r="AO91" s="130">
        <f t="shared" si="70"/>
        <v>0</v>
      </c>
      <c r="AP91" s="109">
        <f t="shared" si="85"/>
        <v>83</v>
      </c>
      <c r="AQ91" s="110">
        <f t="shared" si="62"/>
        <v>46810</v>
      </c>
      <c r="AR91" s="177">
        <f t="shared" si="54"/>
        <v>0.16900000000000001</v>
      </c>
      <c r="AS91" s="105">
        <f t="shared" si="71"/>
        <v>0</v>
      </c>
      <c r="AT91" s="105">
        <f t="shared" si="79"/>
        <v>0</v>
      </c>
      <c r="AU91" s="105">
        <f t="shared" si="80"/>
        <v>0</v>
      </c>
      <c r="AV91" s="105">
        <f t="shared" si="74"/>
        <v>0</v>
      </c>
      <c r="AW91" s="105">
        <f t="shared" si="63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5"/>
        <v>0</v>
      </c>
      <c r="BH91" s="108">
        <f t="shared" si="86"/>
        <v>0</v>
      </c>
      <c r="BI91" s="108">
        <f t="shared" si="81"/>
        <v>0</v>
      </c>
      <c r="BJ91" s="22">
        <f t="shared" si="82"/>
        <v>46810</v>
      </c>
      <c r="BK91" s="108">
        <f t="shared" si="64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3"/>
        <v>84</v>
      </c>
      <c r="H92" s="111">
        <f t="shared" si="60"/>
        <v>46839</v>
      </c>
      <c r="I92" s="176">
        <f t="shared" si="76"/>
        <v>0.129</v>
      </c>
      <c r="J92" s="24">
        <f t="shared" si="65"/>
        <v>0</v>
      </c>
      <c r="K92" s="24">
        <f t="shared" si="59"/>
        <v>0</v>
      </c>
      <c r="L92" s="24">
        <f t="shared" si="89"/>
        <v>0</v>
      </c>
      <c r="M92" s="24">
        <f t="shared" si="77"/>
        <v>0</v>
      </c>
      <c r="N92" s="24">
        <f t="shared" si="61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7"/>
        <v>0</v>
      </c>
      <c r="S92" s="24">
        <f t="shared" si="78"/>
        <v>0</v>
      </c>
      <c r="T92" s="24"/>
      <c r="U92" s="36">
        <f t="shared" si="84"/>
        <v>0</v>
      </c>
      <c r="V92" s="36">
        <f t="shared" si="6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1"/>
        <v>2498</v>
      </c>
      <c r="Y92" s="57">
        <f t="shared" si="47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3"/>
        <v>2617</v>
      </c>
      <c r="AN92" s="57">
        <f t="shared" si="52"/>
        <v>60710</v>
      </c>
      <c r="AO92" s="130">
        <f t="shared" si="70"/>
        <v>0</v>
      </c>
      <c r="AP92" s="109">
        <f t="shared" si="85"/>
        <v>84</v>
      </c>
      <c r="AQ92" s="110">
        <f t="shared" si="62"/>
        <v>46839</v>
      </c>
      <c r="AR92" s="177">
        <f t="shared" si="54"/>
        <v>0.16900000000000001</v>
      </c>
      <c r="AS92" s="105">
        <f t="shared" si="71"/>
        <v>0</v>
      </c>
      <c r="AT92" s="105">
        <f t="shared" si="79"/>
        <v>0</v>
      </c>
      <c r="AU92" s="105">
        <f t="shared" si="80"/>
        <v>0</v>
      </c>
      <c r="AV92" s="105">
        <f t="shared" si="74"/>
        <v>0</v>
      </c>
      <c r="AW92" s="105">
        <f t="shared" si="63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5"/>
        <v>0</v>
      </c>
      <c r="BH92" s="108">
        <f t="shared" si="86"/>
        <v>0</v>
      </c>
      <c r="BI92" s="108">
        <f t="shared" si="81"/>
        <v>0</v>
      </c>
      <c r="BJ92" s="22">
        <f t="shared" si="82"/>
        <v>46839</v>
      </c>
      <c r="BK92" s="108">
        <f t="shared" si="64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3"/>
        <v>85</v>
      </c>
      <c r="H93" s="111">
        <f t="shared" si="60"/>
        <v>46870</v>
      </c>
      <c r="I93" s="176">
        <f t="shared" si="76"/>
        <v>0.129</v>
      </c>
      <c r="J93" s="24">
        <f t="shared" si="65"/>
        <v>0</v>
      </c>
      <c r="K93" s="24">
        <f t="shared" si="59"/>
        <v>0</v>
      </c>
      <c r="L93" s="24">
        <f t="shared" si="89"/>
        <v>0</v>
      </c>
      <c r="M93" s="24">
        <f t="shared" si="77"/>
        <v>0</v>
      </c>
      <c r="N93" s="24">
        <f t="shared" si="61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7"/>
        <v>0</v>
      </c>
      <c r="S93" s="24">
        <f t="shared" si="78"/>
        <v>0</v>
      </c>
      <c r="T93" s="24"/>
      <c r="U93" s="36">
        <f t="shared" si="84"/>
        <v>0</v>
      </c>
      <c r="V93" s="36">
        <f t="shared" si="6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1"/>
        <v>2498</v>
      </c>
      <c r="Y93" s="57">
        <f t="shared" si="47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3"/>
        <v>2617</v>
      </c>
      <c r="AN93" s="57">
        <f t="shared" si="52"/>
        <v>61075</v>
      </c>
      <c r="AO93" s="130">
        <f t="shared" si="70"/>
        <v>0</v>
      </c>
      <c r="AP93" s="109">
        <f t="shared" si="85"/>
        <v>85</v>
      </c>
      <c r="AQ93" s="110">
        <f t="shared" si="62"/>
        <v>46870</v>
      </c>
      <c r="AR93" s="177">
        <f t="shared" si="54"/>
        <v>0.16900000000000001</v>
      </c>
      <c r="AS93" s="105">
        <f t="shared" si="71"/>
        <v>0</v>
      </c>
      <c r="AT93" s="105">
        <f t="shared" si="79"/>
        <v>0</v>
      </c>
      <c r="AU93" s="105">
        <f t="shared" si="80"/>
        <v>0</v>
      </c>
      <c r="AV93" s="105">
        <f t="shared" si="74"/>
        <v>0</v>
      </c>
      <c r="AW93" s="105">
        <f t="shared" si="63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5"/>
        <v>0</v>
      </c>
      <c r="BH93" s="108">
        <f t="shared" si="86"/>
        <v>0</v>
      </c>
      <c r="BI93" s="108">
        <f t="shared" si="81"/>
        <v>0</v>
      </c>
      <c r="BJ93" s="22">
        <f t="shared" si="82"/>
        <v>46870</v>
      </c>
      <c r="BK93" s="108">
        <f t="shared" si="64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3"/>
        <v>86</v>
      </c>
      <c r="H94" s="111">
        <f t="shared" si="60"/>
        <v>46900</v>
      </c>
      <c r="I94" s="176">
        <f t="shared" si="76"/>
        <v>0.129</v>
      </c>
      <c r="J94" s="24">
        <f t="shared" si="65"/>
        <v>0</v>
      </c>
      <c r="K94" s="24">
        <f t="shared" si="59"/>
        <v>0</v>
      </c>
      <c r="L94" s="24">
        <f t="shared" si="89"/>
        <v>0</v>
      </c>
      <c r="M94" s="24">
        <f t="shared" si="77"/>
        <v>0</v>
      </c>
      <c r="N94" s="24">
        <f t="shared" si="61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7"/>
        <v>0</v>
      </c>
      <c r="S94" s="24">
        <f t="shared" si="78"/>
        <v>0</v>
      </c>
      <c r="T94" s="24"/>
      <c r="U94" s="36">
        <f t="shared" si="84"/>
        <v>0</v>
      </c>
      <c r="V94" s="36">
        <f t="shared" si="6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1"/>
        <v>2498</v>
      </c>
      <c r="Y94" s="57">
        <f t="shared" si="47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3"/>
        <v>2617</v>
      </c>
      <c r="AN94" s="57">
        <f t="shared" si="52"/>
        <v>61440</v>
      </c>
      <c r="AO94" s="130">
        <f t="shared" si="70"/>
        <v>0</v>
      </c>
      <c r="AP94" s="109">
        <f t="shared" si="85"/>
        <v>86</v>
      </c>
      <c r="AQ94" s="110">
        <f t="shared" si="62"/>
        <v>46900</v>
      </c>
      <c r="AR94" s="177">
        <f t="shared" si="54"/>
        <v>0.16900000000000001</v>
      </c>
      <c r="AS94" s="105">
        <f t="shared" si="71"/>
        <v>0</v>
      </c>
      <c r="AT94" s="105">
        <f t="shared" si="79"/>
        <v>0</v>
      </c>
      <c r="AU94" s="105">
        <f t="shared" si="80"/>
        <v>0</v>
      </c>
      <c r="AV94" s="105">
        <f t="shared" si="74"/>
        <v>0</v>
      </c>
      <c r="AW94" s="105">
        <f t="shared" si="63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5"/>
        <v>0</v>
      </c>
      <c r="BH94" s="108">
        <f t="shared" si="86"/>
        <v>0</v>
      </c>
      <c r="BI94" s="108">
        <f t="shared" si="81"/>
        <v>0</v>
      </c>
      <c r="BJ94" s="22">
        <f t="shared" si="82"/>
        <v>46900</v>
      </c>
      <c r="BK94" s="108">
        <f t="shared" si="64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3"/>
        <v>87</v>
      </c>
      <c r="H95" s="111">
        <f t="shared" si="60"/>
        <v>46931</v>
      </c>
      <c r="I95" s="176">
        <f t="shared" si="76"/>
        <v>0.129</v>
      </c>
      <c r="J95" s="24">
        <f t="shared" si="65"/>
        <v>0</v>
      </c>
      <c r="K95" s="24">
        <f t="shared" si="59"/>
        <v>0</v>
      </c>
      <c r="L95" s="24">
        <f t="shared" si="89"/>
        <v>0</v>
      </c>
      <c r="M95" s="24">
        <f t="shared" si="77"/>
        <v>0</v>
      </c>
      <c r="N95" s="24">
        <f t="shared" si="61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7"/>
        <v>0</v>
      </c>
      <c r="S95" s="24">
        <f t="shared" si="78"/>
        <v>0</v>
      </c>
      <c r="T95" s="24"/>
      <c r="U95" s="36">
        <f t="shared" si="84"/>
        <v>0</v>
      </c>
      <c r="V95" s="36">
        <f t="shared" si="6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1"/>
        <v>2498</v>
      </c>
      <c r="Y95" s="57">
        <f t="shared" si="47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3"/>
        <v>2251.3100000000077</v>
      </c>
      <c r="AN95" s="57">
        <f t="shared" si="52"/>
        <v>61805</v>
      </c>
      <c r="AO95" s="130">
        <f t="shared" si="70"/>
        <v>0</v>
      </c>
      <c r="AP95" s="109">
        <f t="shared" si="85"/>
        <v>87</v>
      </c>
      <c r="AQ95" s="110">
        <f t="shared" si="62"/>
        <v>46931</v>
      </c>
      <c r="AR95" s="177">
        <f t="shared" si="54"/>
        <v>0.16900000000000001</v>
      </c>
      <c r="AS95" s="105">
        <f t="shared" si="71"/>
        <v>0</v>
      </c>
      <c r="AT95" s="105">
        <f t="shared" si="79"/>
        <v>0</v>
      </c>
      <c r="AU95" s="105">
        <f t="shared" si="80"/>
        <v>0</v>
      </c>
      <c r="AV95" s="105">
        <f t="shared" si="74"/>
        <v>0</v>
      </c>
      <c r="AW95" s="105">
        <f t="shared" si="63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5"/>
        <v>0</v>
      </c>
      <c r="BH95" s="108">
        <f t="shared" si="86"/>
        <v>0</v>
      </c>
      <c r="BI95" s="108">
        <f t="shared" si="81"/>
        <v>0</v>
      </c>
      <c r="BJ95" s="22">
        <f t="shared" si="82"/>
        <v>46931</v>
      </c>
      <c r="BK95" s="108">
        <f t="shared" si="64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3"/>
        <v>88</v>
      </c>
      <c r="H96" s="111">
        <f t="shared" si="60"/>
        <v>46961</v>
      </c>
      <c r="I96" s="176">
        <f t="shared" si="76"/>
        <v>0.129</v>
      </c>
      <c r="J96" s="24">
        <f t="shared" si="65"/>
        <v>0</v>
      </c>
      <c r="K96" s="24">
        <f t="shared" si="59"/>
        <v>0</v>
      </c>
      <c r="L96" s="24">
        <f t="shared" si="89"/>
        <v>0</v>
      </c>
      <c r="M96" s="24">
        <f t="shared" si="77"/>
        <v>0</v>
      </c>
      <c r="N96" s="24">
        <f t="shared" si="61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7"/>
        <v>0</v>
      </c>
      <c r="S96" s="24">
        <f t="shared" si="78"/>
        <v>0</v>
      </c>
      <c r="T96" s="24"/>
      <c r="U96" s="36">
        <f t="shared" si="84"/>
        <v>0</v>
      </c>
      <c r="V96" s="36">
        <f t="shared" si="6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1"/>
        <v>757.420000000031</v>
      </c>
      <c r="Y96" s="57">
        <f t="shared" si="47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3"/>
        <v>0</v>
      </c>
      <c r="AN96" s="57">
        <f t="shared" si="52"/>
        <v>62170</v>
      </c>
      <c r="AO96" s="130">
        <f t="shared" si="70"/>
        <v>0</v>
      </c>
      <c r="AP96" s="109">
        <f t="shared" si="85"/>
        <v>88</v>
      </c>
      <c r="AQ96" s="110">
        <f t="shared" si="62"/>
        <v>46961</v>
      </c>
      <c r="AR96" s="177">
        <f t="shared" si="54"/>
        <v>0.16900000000000001</v>
      </c>
      <c r="AS96" s="105">
        <f t="shared" si="71"/>
        <v>0</v>
      </c>
      <c r="AT96" s="105">
        <f t="shared" si="79"/>
        <v>0</v>
      </c>
      <c r="AU96" s="105">
        <f t="shared" si="80"/>
        <v>0</v>
      </c>
      <c r="AV96" s="105">
        <f t="shared" si="74"/>
        <v>0</v>
      </c>
      <c r="AW96" s="105">
        <f t="shared" si="63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5"/>
        <v>0</v>
      </c>
      <c r="BH96" s="108">
        <f t="shared" si="86"/>
        <v>0</v>
      </c>
      <c r="BI96" s="108">
        <f t="shared" si="81"/>
        <v>0</v>
      </c>
      <c r="BJ96" s="22">
        <f t="shared" si="82"/>
        <v>46961</v>
      </c>
      <c r="BK96" s="108">
        <f t="shared" si="64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3"/>
        <v>89</v>
      </c>
      <c r="H97" s="111">
        <f t="shared" si="60"/>
        <v>46992</v>
      </c>
      <c r="I97" s="176">
        <f t="shared" si="76"/>
        <v>0.129</v>
      </c>
      <c r="J97" s="24">
        <f t="shared" si="65"/>
        <v>0</v>
      </c>
      <c r="K97" s="24">
        <f t="shared" si="59"/>
        <v>0</v>
      </c>
      <c r="L97" s="24">
        <f t="shared" si="89"/>
        <v>0</v>
      </c>
      <c r="M97" s="24">
        <f t="shared" si="77"/>
        <v>0</v>
      </c>
      <c r="N97" s="24">
        <f t="shared" si="61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7"/>
        <v>0</v>
      </c>
      <c r="S97" s="24">
        <f t="shared" si="78"/>
        <v>0</v>
      </c>
      <c r="T97" s="24"/>
      <c r="U97" s="36">
        <f t="shared" si="84"/>
        <v>0</v>
      </c>
      <c r="V97" s="36">
        <f t="shared" si="6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1"/>
        <v>0</v>
      </c>
      <c r="Y97" s="57">
        <f t="shared" si="47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3"/>
        <v>0</v>
      </c>
      <c r="AN97" s="57">
        <f t="shared" si="52"/>
        <v>62535</v>
      </c>
      <c r="AO97" s="130">
        <f t="shared" si="70"/>
        <v>0</v>
      </c>
      <c r="AP97" s="109">
        <f t="shared" si="85"/>
        <v>89</v>
      </c>
      <c r="AQ97" s="110">
        <f t="shared" si="62"/>
        <v>46992</v>
      </c>
      <c r="AR97" s="177">
        <f t="shared" si="54"/>
        <v>0.16900000000000001</v>
      </c>
      <c r="AS97" s="105">
        <f t="shared" si="71"/>
        <v>0</v>
      </c>
      <c r="AT97" s="105">
        <f t="shared" si="79"/>
        <v>0</v>
      </c>
      <c r="AU97" s="105">
        <f t="shared" si="80"/>
        <v>0</v>
      </c>
      <c r="AV97" s="105">
        <f t="shared" si="74"/>
        <v>0</v>
      </c>
      <c r="AW97" s="105">
        <f t="shared" si="63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5"/>
        <v>0</v>
      </c>
      <c r="BH97" s="108">
        <f t="shared" si="86"/>
        <v>0</v>
      </c>
      <c r="BI97" s="108">
        <f t="shared" si="81"/>
        <v>0</v>
      </c>
      <c r="BJ97" s="22">
        <f t="shared" si="82"/>
        <v>46992</v>
      </c>
      <c r="BK97" s="108">
        <f t="shared" si="64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3"/>
        <v>90</v>
      </c>
      <c r="H98" s="111">
        <f t="shared" si="60"/>
        <v>47023</v>
      </c>
      <c r="I98" s="176">
        <f t="shared" si="76"/>
        <v>0.129</v>
      </c>
      <c r="J98" s="24">
        <f t="shared" si="65"/>
        <v>0</v>
      </c>
      <c r="K98" s="24">
        <f t="shared" si="59"/>
        <v>0</v>
      </c>
      <c r="L98" s="24">
        <f t="shared" si="89"/>
        <v>0</v>
      </c>
      <c r="M98" s="24">
        <f t="shared" si="77"/>
        <v>0</v>
      </c>
      <c r="N98" s="24">
        <f t="shared" si="61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7"/>
        <v>0</v>
      </c>
      <c r="S98" s="24">
        <f t="shared" si="78"/>
        <v>0</v>
      </c>
      <c r="T98" s="24"/>
      <c r="U98" s="36">
        <f t="shared" si="84"/>
        <v>0</v>
      </c>
      <c r="V98" s="36">
        <f t="shared" si="6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1"/>
        <v>0</v>
      </c>
      <c r="Y98" s="57">
        <f t="shared" si="47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3"/>
        <v>0</v>
      </c>
      <c r="AN98" s="57">
        <f t="shared" si="52"/>
        <v>62900</v>
      </c>
      <c r="AO98" s="130">
        <f t="shared" si="70"/>
        <v>0</v>
      </c>
      <c r="AP98" s="109">
        <f t="shared" si="85"/>
        <v>90</v>
      </c>
      <c r="AQ98" s="110">
        <f t="shared" si="62"/>
        <v>47023</v>
      </c>
      <c r="AR98" s="177">
        <f t="shared" si="54"/>
        <v>0.16900000000000001</v>
      </c>
      <c r="AS98" s="105">
        <f t="shared" si="71"/>
        <v>0</v>
      </c>
      <c r="AT98" s="105">
        <f t="shared" si="79"/>
        <v>0</v>
      </c>
      <c r="AU98" s="105">
        <f t="shared" si="80"/>
        <v>0</v>
      </c>
      <c r="AV98" s="105">
        <f t="shared" si="74"/>
        <v>0</v>
      </c>
      <c r="AW98" s="105">
        <f t="shared" si="63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5"/>
        <v>0</v>
      </c>
      <c r="BH98" s="108">
        <f t="shared" si="86"/>
        <v>0</v>
      </c>
      <c r="BI98" s="108">
        <f t="shared" si="81"/>
        <v>0</v>
      </c>
      <c r="BJ98" s="22">
        <f t="shared" si="82"/>
        <v>47023</v>
      </c>
      <c r="BK98" s="108">
        <f t="shared" si="64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3"/>
        <v>91</v>
      </c>
      <c r="H99" s="111">
        <f t="shared" si="60"/>
        <v>47053</v>
      </c>
      <c r="I99" s="176">
        <f t="shared" si="76"/>
        <v>0.129</v>
      </c>
      <c r="J99" s="24">
        <f t="shared" si="65"/>
        <v>0</v>
      </c>
      <c r="K99" s="24">
        <f t="shared" si="59"/>
        <v>0</v>
      </c>
      <c r="L99" s="24">
        <f t="shared" si="89"/>
        <v>0</v>
      </c>
      <c r="M99" s="24">
        <f t="shared" si="77"/>
        <v>0</v>
      </c>
      <c r="N99" s="24">
        <f t="shared" si="61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7"/>
        <v>0</v>
      </c>
      <c r="S99" s="24">
        <f t="shared" si="78"/>
        <v>0</v>
      </c>
      <c r="T99" s="24"/>
      <c r="U99" s="36">
        <f t="shared" si="84"/>
        <v>0</v>
      </c>
      <c r="V99" s="36">
        <f t="shared" si="6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1"/>
        <v>0</v>
      </c>
      <c r="Y99" s="57">
        <f t="shared" si="47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3"/>
        <v>0</v>
      </c>
      <c r="AN99" s="57">
        <f t="shared" si="52"/>
        <v>63265</v>
      </c>
      <c r="AO99" s="130">
        <f t="shared" si="70"/>
        <v>0</v>
      </c>
      <c r="AP99" s="109">
        <f t="shared" si="85"/>
        <v>91</v>
      </c>
      <c r="AQ99" s="110">
        <f t="shared" si="62"/>
        <v>47053</v>
      </c>
      <c r="AR99" s="177">
        <f t="shared" si="54"/>
        <v>0.16900000000000001</v>
      </c>
      <c r="AS99" s="105">
        <f t="shared" si="71"/>
        <v>0</v>
      </c>
      <c r="AT99" s="105">
        <f t="shared" si="79"/>
        <v>0</v>
      </c>
      <c r="AU99" s="105">
        <f t="shared" si="80"/>
        <v>0</v>
      </c>
      <c r="AV99" s="105">
        <f t="shared" si="74"/>
        <v>0</v>
      </c>
      <c r="AW99" s="105">
        <f t="shared" si="63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5"/>
        <v>0</v>
      </c>
      <c r="BH99" s="108">
        <f t="shared" si="86"/>
        <v>0</v>
      </c>
      <c r="BI99" s="108">
        <f t="shared" si="81"/>
        <v>0</v>
      </c>
      <c r="BJ99" s="22">
        <f t="shared" si="82"/>
        <v>47053</v>
      </c>
      <c r="BK99" s="108">
        <f t="shared" si="64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3"/>
        <v>92</v>
      </c>
      <c r="H100" s="111">
        <f t="shared" si="60"/>
        <v>47084</v>
      </c>
      <c r="I100" s="176">
        <f t="shared" si="76"/>
        <v>0.129</v>
      </c>
      <c r="J100" s="24">
        <f t="shared" si="65"/>
        <v>0</v>
      </c>
      <c r="K100" s="24">
        <f t="shared" si="59"/>
        <v>0</v>
      </c>
      <c r="L100" s="24">
        <f t="shared" si="89"/>
        <v>0</v>
      </c>
      <c r="M100" s="24">
        <f t="shared" si="77"/>
        <v>0</v>
      </c>
      <c r="N100" s="24">
        <f t="shared" si="61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7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6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1"/>
        <v>0</v>
      </c>
      <c r="Y100" s="57">
        <f t="shared" si="47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3"/>
        <v>0</v>
      </c>
      <c r="AN100" s="57">
        <f t="shared" si="52"/>
        <v>63630</v>
      </c>
      <c r="AO100" s="130">
        <f t="shared" si="70"/>
        <v>0</v>
      </c>
      <c r="AP100" s="109">
        <f t="shared" si="85"/>
        <v>92</v>
      </c>
      <c r="AQ100" s="110">
        <f t="shared" si="62"/>
        <v>47084</v>
      </c>
      <c r="AR100" s="177">
        <f t="shared" si="54"/>
        <v>0.16900000000000001</v>
      </c>
      <c r="AS100" s="105">
        <f t="shared" si="71"/>
        <v>0</v>
      </c>
      <c r="AT100" s="105">
        <f t="shared" si="79"/>
        <v>0</v>
      </c>
      <c r="AU100" s="105">
        <f t="shared" si="80"/>
        <v>0</v>
      </c>
      <c r="AV100" s="105">
        <f t="shared" si="74"/>
        <v>0</v>
      </c>
      <c r="AW100" s="105">
        <f t="shared" si="63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5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47084</v>
      </c>
      <c r="BK100" s="108">
        <f t="shared" si="64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3"/>
        <v>93</v>
      </c>
      <c r="H101" s="111">
        <f t="shared" si="60"/>
        <v>47114</v>
      </c>
      <c r="I101" s="176">
        <f t="shared" si="76"/>
        <v>0.129</v>
      </c>
      <c r="J101" s="24">
        <f t="shared" si="65"/>
        <v>0</v>
      </c>
      <c r="K101" s="24">
        <f t="shared" si="59"/>
        <v>0</v>
      </c>
      <c r="L101" s="24">
        <f t="shared" si="89"/>
        <v>0</v>
      </c>
      <c r="M101" s="24">
        <f t="shared" si="77"/>
        <v>0</v>
      </c>
      <c r="N101" s="24">
        <f t="shared" si="61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7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6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1"/>
        <v>0</v>
      </c>
      <c r="Y101" s="57">
        <f t="shared" si="47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3"/>
        <v>0</v>
      </c>
      <c r="AN101" s="57">
        <f t="shared" si="52"/>
        <v>63995</v>
      </c>
      <c r="AO101" s="130">
        <f t="shared" si="70"/>
        <v>0</v>
      </c>
      <c r="AP101" s="109">
        <f t="shared" si="85"/>
        <v>93</v>
      </c>
      <c r="AQ101" s="110">
        <f t="shared" si="62"/>
        <v>47114</v>
      </c>
      <c r="AR101" s="177">
        <f t="shared" si="54"/>
        <v>0.16900000000000001</v>
      </c>
      <c r="AS101" s="105">
        <f t="shared" si="71"/>
        <v>0</v>
      </c>
      <c r="AT101" s="105">
        <f t="shared" si="79"/>
        <v>0</v>
      </c>
      <c r="AU101" s="105">
        <f t="shared" si="80"/>
        <v>0</v>
      </c>
      <c r="AV101" s="105">
        <f t="shared" si="74"/>
        <v>0</v>
      </c>
      <c r="AW101" s="105">
        <f t="shared" si="63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5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47114</v>
      </c>
      <c r="BK101" s="108">
        <f t="shared" si="64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0"/>
        <v>47145</v>
      </c>
      <c r="I102" s="176">
        <f t="shared" si="76"/>
        <v>0.129</v>
      </c>
      <c r="J102" s="24">
        <f t="shared" si="65"/>
        <v>0</v>
      </c>
      <c r="K102" s="24">
        <f t="shared" si="59"/>
        <v>0</v>
      </c>
      <c r="L102" s="24">
        <f t="shared" si="89"/>
        <v>0</v>
      </c>
      <c r="M102" s="24">
        <f t="shared" si="77"/>
        <v>0</v>
      </c>
      <c r="N102" s="24">
        <f t="shared" si="61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7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6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1"/>
        <v>0</v>
      </c>
      <c r="Y102" s="57">
        <f t="shared" si="47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3"/>
        <v>0</v>
      </c>
      <c r="AN102" s="57">
        <f t="shared" si="52"/>
        <v>64360</v>
      </c>
      <c r="AO102" s="130">
        <f t="shared" si="70"/>
        <v>0</v>
      </c>
      <c r="AP102" s="109">
        <f t="shared" si="85"/>
        <v>94</v>
      </c>
      <c r="AQ102" s="110">
        <f t="shared" si="62"/>
        <v>47145</v>
      </c>
      <c r="AR102" s="177">
        <f t="shared" si="54"/>
        <v>0.16900000000000001</v>
      </c>
      <c r="AS102" s="105">
        <f t="shared" si="71"/>
        <v>0</v>
      </c>
      <c r="AT102" s="105">
        <f t="shared" si="79"/>
        <v>0</v>
      </c>
      <c r="AU102" s="105">
        <f t="shared" si="80"/>
        <v>0</v>
      </c>
      <c r="AV102" s="105">
        <f t="shared" si="74"/>
        <v>0</v>
      </c>
      <c r="AW102" s="105">
        <f t="shared" si="63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5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47145</v>
      </c>
      <c r="BK102" s="108">
        <f t="shared" si="64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0"/>
        <v>47176</v>
      </c>
      <c r="I103" s="176">
        <f t="shared" si="76"/>
        <v>0.129</v>
      </c>
      <c r="J103" s="24">
        <f t="shared" si="65"/>
        <v>0</v>
      </c>
      <c r="K103" s="24">
        <f t="shared" si="59"/>
        <v>0</v>
      </c>
      <c r="L103" s="24">
        <f t="shared" si="89"/>
        <v>0</v>
      </c>
      <c r="M103" s="24">
        <f t="shared" si="77"/>
        <v>0</v>
      </c>
      <c r="N103" s="24">
        <f t="shared" si="61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7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6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1"/>
        <v>0</v>
      </c>
      <c r="Y103" s="57">
        <f t="shared" si="47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3"/>
        <v>0</v>
      </c>
      <c r="AN103" s="57">
        <f t="shared" si="52"/>
        <v>64725</v>
      </c>
      <c r="AO103" s="130">
        <f t="shared" si="70"/>
        <v>0</v>
      </c>
      <c r="AP103" s="109">
        <f t="shared" si="85"/>
        <v>95</v>
      </c>
      <c r="AQ103" s="110">
        <f t="shared" si="62"/>
        <v>47176</v>
      </c>
      <c r="AR103" s="177">
        <f t="shared" si="54"/>
        <v>0.16900000000000001</v>
      </c>
      <c r="AS103" s="105">
        <f t="shared" si="71"/>
        <v>0</v>
      </c>
      <c r="AT103" s="105">
        <f t="shared" si="79"/>
        <v>0</v>
      </c>
      <c r="AU103" s="105">
        <f t="shared" si="80"/>
        <v>0</v>
      </c>
      <c r="AV103" s="105">
        <f t="shared" si="74"/>
        <v>0</v>
      </c>
      <c r="AW103" s="105">
        <f t="shared" si="63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5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47176</v>
      </c>
      <c r="BK103" s="108">
        <f t="shared" si="64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0"/>
        <v>47204</v>
      </c>
      <c r="I104" s="176">
        <f t="shared" si="76"/>
        <v>0.129</v>
      </c>
      <c r="J104" s="24">
        <f t="shared" si="65"/>
        <v>0</v>
      </c>
      <c r="K104" s="24">
        <f t="shared" si="59"/>
        <v>0</v>
      </c>
      <c r="L104" s="24">
        <f t="shared" si="89"/>
        <v>0</v>
      </c>
      <c r="M104" s="24">
        <f t="shared" si="77"/>
        <v>0</v>
      </c>
      <c r="N104" s="24">
        <f t="shared" si="61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7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6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1"/>
        <v>0</v>
      </c>
      <c r="Y104" s="57">
        <f t="shared" si="47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3"/>
        <v>0</v>
      </c>
      <c r="AN104" s="57">
        <f t="shared" si="52"/>
        <v>65090</v>
      </c>
      <c r="AO104" s="130">
        <f t="shared" si="70"/>
        <v>0</v>
      </c>
      <c r="AP104" s="109">
        <f t="shared" si="85"/>
        <v>96</v>
      </c>
      <c r="AQ104" s="110">
        <f t="shared" si="62"/>
        <v>47204</v>
      </c>
      <c r="AR104" s="177">
        <f t="shared" si="54"/>
        <v>0.16900000000000001</v>
      </c>
      <c r="AS104" s="105">
        <f t="shared" si="71"/>
        <v>0</v>
      </c>
      <c r="AT104" s="105">
        <f t="shared" si="79"/>
        <v>0</v>
      </c>
      <c r="AU104" s="105">
        <f t="shared" si="80"/>
        <v>0</v>
      </c>
      <c r="AV104" s="105">
        <f t="shared" si="74"/>
        <v>0</v>
      </c>
      <c r="AW104" s="105">
        <f t="shared" si="63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5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47204</v>
      </c>
      <c r="BK104" s="108">
        <f t="shared" si="64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0"/>
        <v>47235</v>
      </c>
      <c r="I105" s="176">
        <f t="shared" si="76"/>
        <v>0.129</v>
      </c>
      <c r="J105" s="24">
        <f t="shared" si="65"/>
        <v>0</v>
      </c>
      <c r="K105" s="24">
        <f t="shared" si="59"/>
        <v>0</v>
      </c>
      <c r="L105" s="24">
        <f t="shared" si="89"/>
        <v>0</v>
      </c>
      <c r="M105" s="24">
        <f t="shared" si="77"/>
        <v>0</v>
      </c>
      <c r="N105" s="24">
        <f t="shared" si="61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7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6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1"/>
        <v>0</v>
      </c>
      <c r="Y105" s="57">
        <f t="shared" si="47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3"/>
        <v>0</v>
      </c>
      <c r="AN105" s="57">
        <f t="shared" si="52"/>
        <v>65455</v>
      </c>
      <c r="AO105" s="130">
        <f t="shared" si="70"/>
        <v>0</v>
      </c>
      <c r="AP105" s="109">
        <f t="shared" si="85"/>
        <v>97</v>
      </c>
      <c r="AQ105" s="110">
        <f t="shared" si="62"/>
        <v>47235</v>
      </c>
      <c r="AR105" s="177">
        <f t="shared" si="54"/>
        <v>0.16900000000000001</v>
      </c>
      <c r="AS105" s="105">
        <f t="shared" si="71"/>
        <v>0</v>
      </c>
      <c r="AT105" s="105">
        <f t="shared" si="79"/>
        <v>0</v>
      </c>
      <c r="AU105" s="105">
        <f t="shared" si="80"/>
        <v>0</v>
      </c>
      <c r="AV105" s="105">
        <f t="shared" si="74"/>
        <v>0</v>
      </c>
      <c r="AW105" s="105">
        <f t="shared" si="63"/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5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47235</v>
      </c>
      <c r="BK105" s="108">
        <f t="shared" si="64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0"/>
        <v>47265</v>
      </c>
      <c r="I106" s="176">
        <f t="shared" si="76"/>
        <v>0.129</v>
      </c>
      <c r="J106" s="24">
        <f t="shared" si="65"/>
        <v>0</v>
      </c>
      <c r="K106" s="24">
        <f t="shared" si="59"/>
        <v>0</v>
      </c>
      <c r="L106" s="24">
        <f t="shared" si="89"/>
        <v>0</v>
      </c>
      <c r="M106" s="24">
        <f t="shared" si="77"/>
        <v>0</v>
      </c>
      <c r="N106" s="24">
        <f t="shared" si="61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7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6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1"/>
        <v>0</v>
      </c>
      <c r="Y106" s="57">
        <f t="shared" si="47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3"/>
        <v>0</v>
      </c>
      <c r="AN106" s="57">
        <f t="shared" si="52"/>
        <v>65820</v>
      </c>
      <c r="AO106" s="130">
        <f t="shared" si="70"/>
        <v>0</v>
      </c>
      <c r="AP106" s="109">
        <f t="shared" si="85"/>
        <v>98</v>
      </c>
      <c r="AQ106" s="110">
        <f t="shared" si="62"/>
        <v>47265</v>
      </c>
      <c r="AR106" s="177">
        <f t="shared" si="54"/>
        <v>0.16900000000000001</v>
      </c>
      <c r="AS106" s="105">
        <f t="shared" si="71"/>
        <v>0</v>
      </c>
      <c r="AT106" s="105">
        <f t="shared" si="79"/>
        <v>0</v>
      </c>
      <c r="AU106" s="105">
        <f t="shared" si="80"/>
        <v>0</v>
      </c>
      <c r="AV106" s="105">
        <f t="shared" si="74"/>
        <v>0</v>
      </c>
      <c r="AW106" s="105">
        <f t="shared" si="63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5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47265</v>
      </c>
      <c r="BK106" s="108">
        <f t="shared" si="64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3"/>
        <v>99</v>
      </c>
      <c r="H107" s="111">
        <f t="shared" si="60"/>
        <v>47296</v>
      </c>
      <c r="I107" s="176">
        <f t="shared" si="76"/>
        <v>0.129</v>
      </c>
      <c r="J107" s="24">
        <f t="shared" si="65"/>
        <v>0</v>
      </c>
      <c r="K107" s="24">
        <f t="shared" si="59"/>
        <v>0</v>
      </c>
      <c r="L107" s="24">
        <f t="shared" si="89"/>
        <v>0</v>
      </c>
      <c r="M107" s="24">
        <f t="shared" si="77"/>
        <v>0</v>
      </c>
      <c r="N107" s="24">
        <f t="shared" si="61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7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6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1"/>
        <v>0</v>
      </c>
      <c r="Y107" s="57">
        <f t="shared" si="47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3"/>
        <v>0</v>
      </c>
      <c r="AN107" s="57">
        <f t="shared" si="52"/>
        <v>66185</v>
      </c>
      <c r="AO107" s="130">
        <f t="shared" si="70"/>
        <v>0</v>
      </c>
      <c r="AP107" s="109">
        <f t="shared" si="85"/>
        <v>99</v>
      </c>
      <c r="AQ107" s="110">
        <f t="shared" si="62"/>
        <v>47296</v>
      </c>
      <c r="AR107" s="177">
        <f t="shared" si="54"/>
        <v>0.16900000000000001</v>
      </c>
      <c r="AS107" s="105">
        <f t="shared" si="71"/>
        <v>0</v>
      </c>
      <c r="AT107" s="105">
        <f t="shared" si="79"/>
        <v>0</v>
      </c>
      <c r="AU107" s="105">
        <f t="shared" si="80"/>
        <v>0</v>
      </c>
      <c r="AV107" s="105">
        <f t="shared" si="74"/>
        <v>0</v>
      </c>
      <c r="AW107" s="105">
        <f t="shared" si="63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5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47296</v>
      </c>
      <c r="BK107" s="108">
        <f t="shared" si="64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0"/>
        <v>47326</v>
      </c>
      <c r="I108" s="176">
        <f t="shared" si="76"/>
        <v>0.129</v>
      </c>
      <c r="J108" s="24">
        <f t="shared" si="65"/>
        <v>0</v>
      </c>
      <c r="K108" s="24">
        <f t="shared" si="59"/>
        <v>0</v>
      </c>
      <c r="L108" s="24">
        <f t="shared" si="89"/>
        <v>0</v>
      </c>
      <c r="M108" s="24">
        <f t="shared" si="77"/>
        <v>0</v>
      </c>
      <c r="N108" s="24">
        <f t="shared" si="61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7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1"/>
        <v>0</v>
      </c>
      <c r="Y108" s="57">
        <f t="shared" si="47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3"/>
        <v>0</v>
      </c>
      <c r="AN108" s="57">
        <f t="shared" si="52"/>
        <v>66550</v>
      </c>
      <c r="AO108" s="130">
        <f t="shared" si="70"/>
        <v>0</v>
      </c>
      <c r="AP108" s="109">
        <f t="shared" si="85"/>
        <v>100</v>
      </c>
      <c r="AQ108" s="110">
        <f t="shared" si="62"/>
        <v>47326</v>
      </c>
      <c r="AR108" s="177">
        <f t="shared" si="54"/>
        <v>0.16900000000000001</v>
      </c>
      <c r="AS108" s="105">
        <f t="shared" si="71"/>
        <v>0</v>
      </c>
      <c r="AT108" s="105">
        <f t="shared" si="79"/>
        <v>0</v>
      </c>
      <c r="AU108" s="105">
        <f t="shared" si="80"/>
        <v>0</v>
      </c>
      <c r="AV108" s="105">
        <f t="shared" si="74"/>
        <v>0</v>
      </c>
      <c r="AW108" s="105">
        <f t="shared" si="63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5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47326</v>
      </c>
      <c r="BK108" s="108">
        <f t="shared" si="64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137265.42000000004</v>
      </c>
      <c r="K109" s="30">
        <f>(SUM(K9:K108)-IF(CODE(C12)=209,AI51,0))</f>
        <v>115665.42000000003</v>
      </c>
      <c r="L109" s="30">
        <f t="shared" ref="L109:R109" si="94">SUM(L9:L108)</f>
        <v>24915.419999999995</v>
      </c>
      <c r="M109" s="30">
        <f t="shared" si="94"/>
        <v>90750.000000000044</v>
      </c>
      <c r="N109" s="31">
        <f t="shared" si="94"/>
        <v>0</v>
      </c>
      <c r="O109" s="31">
        <f t="shared" si="94"/>
        <v>0</v>
      </c>
      <c r="P109" s="31">
        <f t="shared" si="94"/>
        <v>46515.42</v>
      </c>
      <c r="Q109" s="31">
        <f t="shared" si="94"/>
        <v>21600</v>
      </c>
      <c r="R109" s="31">
        <f t="shared" si="94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1"/>
        <v>0</v>
      </c>
      <c r="Y109" s="57">
        <f t="shared" ref="Y109:Y143" si="95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3"/>
        <v>0</v>
      </c>
      <c r="AN109" s="57">
        <f t="shared" si="52"/>
        <v>66915</v>
      </c>
      <c r="AO109" s="130"/>
      <c r="AP109" s="28"/>
      <c r="AQ109" s="29" t="s">
        <v>7</v>
      </c>
      <c r="AR109" s="29"/>
      <c r="AS109" s="30">
        <f>SUM(AS9:AS108)</f>
        <v>125250.31000000001</v>
      </c>
      <c r="AT109" s="30">
        <f>(SUM(AT9:AT108)-IF(CODE(C12)=209,BX57,0))</f>
        <v>125250.31000000001</v>
      </c>
      <c r="AU109" s="30">
        <f>SUM(AU9:AU108)</f>
        <v>34500.30999999999</v>
      </c>
      <c r="AV109" s="30">
        <f>SUM(AV9:AV108)</f>
        <v>90750.000000000029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4"/>
        <v>115665.42000000003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6">IF(K75 &gt; 0, K75, 0)</f>
        <v>0</v>
      </c>
      <c r="Y110" s="57">
        <f t="shared" si="95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3"/>
        <v>0</v>
      </c>
      <c r="AN110" s="57">
        <f t="shared" si="52"/>
        <v>67280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4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6"/>
        <v>0</v>
      </c>
      <c r="Y111" s="57">
        <f t="shared" si="95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3"/>
        <v>0</v>
      </c>
      <c r="AN111" s="57">
        <f t="shared" si="52"/>
        <v>67645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4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6"/>
        <v>0</v>
      </c>
      <c r="Y112" s="57">
        <f t="shared" si="95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3"/>
        <v>0</v>
      </c>
      <c r="AN112" s="57">
        <f t="shared" si="52"/>
        <v>68010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4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6"/>
        <v>0</v>
      </c>
      <c r="Y113" s="57">
        <f t="shared" si="95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3"/>
        <v>0</v>
      </c>
      <c r="AN113" s="57">
        <f t="shared" ref="AN113:AN147" si="97">AN112+365</f>
        <v>68375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4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6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8">AT75</f>
        <v>0</v>
      </c>
      <c r="AN114" s="57">
        <f t="shared" si="97"/>
        <v>68740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4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6"/>
        <v>0</v>
      </c>
      <c r="Y115" s="57">
        <f t="shared" si="95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8"/>
        <v>0</v>
      </c>
      <c r="AN115" s="57">
        <f t="shared" si="97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6"/>
        <v>0</v>
      </c>
      <c r="Y116" s="57">
        <f t="shared" si="95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8"/>
        <v>0</v>
      </c>
      <c r="AN116" s="57">
        <f t="shared" si="97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6"/>
        <v>0</v>
      </c>
      <c r="Y117" s="57">
        <f t="shared" si="95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8"/>
        <v>0</v>
      </c>
      <c r="AN117" s="57">
        <f t="shared" si="97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6"/>
        <v>0</v>
      </c>
      <c r="Y118" s="57">
        <f t="shared" si="95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8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6"/>
        <v>0</v>
      </c>
      <c r="Y119" s="57">
        <f t="shared" si="95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8"/>
        <v>0</v>
      </c>
      <c r="AN119" s="57">
        <f t="shared" si="97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6"/>
        <v>0</v>
      </c>
      <c r="Y120" s="57">
        <f t="shared" si="95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8"/>
        <v>0</v>
      </c>
      <c r="AN120" s="57">
        <f t="shared" si="97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6"/>
        <v>0</v>
      </c>
      <c r="Y121" s="57">
        <f t="shared" si="95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8"/>
        <v>0</v>
      </c>
      <c r="AN121" s="57">
        <f t="shared" si="97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6"/>
        <v>0</v>
      </c>
      <c r="Y122" s="57">
        <f t="shared" si="95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8"/>
        <v>0</v>
      </c>
      <c r="AN122" s="57">
        <f t="shared" si="97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6"/>
        <v>0</v>
      </c>
      <c r="Y123" s="57">
        <f t="shared" si="95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8"/>
        <v>0</v>
      </c>
      <c r="AN123" s="57">
        <f t="shared" si="97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6"/>
        <v>0</v>
      </c>
      <c r="Y124" s="57">
        <f t="shared" si="95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8"/>
        <v>0</v>
      </c>
      <c r="AN124" s="57">
        <f t="shared" si="97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6"/>
        <v>0</v>
      </c>
      <c r="Y125" s="57">
        <f t="shared" si="95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8"/>
        <v>0</v>
      </c>
      <c r="AN125" s="57">
        <f t="shared" si="97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6"/>
        <v>0</v>
      </c>
      <c r="Y126" s="57">
        <f t="shared" si="95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8"/>
        <v>0</v>
      </c>
      <c r="AN126" s="57">
        <f t="shared" si="97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6"/>
        <v>0</v>
      </c>
      <c r="Y127" s="57">
        <f t="shared" si="95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8"/>
        <v>0</v>
      </c>
      <c r="AN127" s="57">
        <f t="shared" si="97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6"/>
        <v>0</v>
      </c>
      <c r="Y128" s="57">
        <f t="shared" si="95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8"/>
        <v>0</v>
      </c>
      <c r="AN128" s="57">
        <f t="shared" si="97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6"/>
        <v>0</v>
      </c>
      <c r="Y129" s="57">
        <f t="shared" si="95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8"/>
        <v>0</v>
      </c>
      <c r="AN129" s="57">
        <f t="shared" si="97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6"/>
        <v>0</v>
      </c>
      <c r="Y130" s="57">
        <f t="shared" si="95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8"/>
        <v>0</v>
      </c>
      <c r="AN130" s="57">
        <f t="shared" si="97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6"/>
        <v>0</v>
      </c>
      <c r="Y131" s="57">
        <f t="shared" si="95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8"/>
        <v>0</v>
      </c>
      <c r="AN131" s="57">
        <f t="shared" si="97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6"/>
        <v>0</v>
      </c>
      <c r="Y132" s="57">
        <f t="shared" si="95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8"/>
        <v>0</v>
      </c>
      <c r="AN132" s="57">
        <f t="shared" si="97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6"/>
        <v>0</v>
      </c>
      <c r="Y133" s="57">
        <f t="shared" si="95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8"/>
        <v>0</v>
      </c>
      <c r="AN133" s="57">
        <f t="shared" si="97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6"/>
        <v>0</v>
      </c>
      <c r="Y134" s="57">
        <f t="shared" si="95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8"/>
        <v>0</v>
      </c>
      <c r="AN134" s="57">
        <f t="shared" si="97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6"/>
        <v>0</v>
      </c>
      <c r="Y135" s="57">
        <f t="shared" si="95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8"/>
        <v>0</v>
      </c>
      <c r="AN135" s="57">
        <f t="shared" si="97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6"/>
        <v>0</v>
      </c>
      <c r="Y136" s="57">
        <f t="shared" si="95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8"/>
        <v>0</v>
      </c>
      <c r="AN136" s="57">
        <f t="shared" si="97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6"/>
        <v>0</v>
      </c>
      <c r="Y137" s="57">
        <f t="shared" si="95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8"/>
        <v>0</v>
      </c>
      <c r="AN137" s="57">
        <f t="shared" si="97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6"/>
        <v>0</v>
      </c>
      <c r="Y138" s="57">
        <f t="shared" si="95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8"/>
        <v>0</v>
      </c>
      <c r="AN138" s="57">
        <f t="shared" si="97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6"/>
        <v>0</v>
      </c>
      <c r="Y139" s="57">
        <f t="shared" si="95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8"/>
        <v>0</v>
      </c>
      <c r="AN139" s="57">
        <f t="shared" si="97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6"/>
        <v>0</v>
      </c>
      <c r="Y140" s="57">
        <f t="shared" si="95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8"/>
        <v>0</v>
      </c>
      <c r="AN140" s="57">
        <f t="shared" si="97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6"/>
        <v>0</v>
      </c>
      <c r="Y141" s="57">
        <f t="shared" si="95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8"/>
        <v>0</v>
      </c>
      <c r="AN141" s="57">
        <f t="shared" si="97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6"/>
        <v>0</v>
      </c>
      <c r="Y142" s="57">
        <f t="shared" si="95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8"/>
        <v>0</v>
      </c>
      <c r="AN142" s="57">
        <f t="shared" si="97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5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8"/>
        <v>0</v>
      </c>
      <c r="AN143" s="57">
        <f t="shared" si="97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115665.42000000003</v>
      </c>
      <c r="Y144" s="154">
        <f>XIRR(X42:X143,Y42:Y143)*12</f>
        <v>0.10113712549209596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8"/>
        <v>0</v>
      </c>
      <c r="AN144" s="57">
        <f t="shared" si="97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8"/>
        <v>0</v>
      </c>
      <c r="AN145" s="57">
        <f t="shared" si="97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8"/>
        <v>0</v>
      </c>
      <c r="AN146" s="57">
        <f t="shared" si="97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8"/>
        <v>0</v>
      </c>
      <c r="AN147" s="57">
        <f t="shared" si="97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125250.31000000001</v>
      </c>
      <c r="AN148" s="154">
        <f>XIRR(AM46:AM147,AN46:AN147)*12</f>
        <v>0.168511426448822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3">
    <mergeCell ref="A50:E50"/>
    <mergeCell ref="A51:A52"/>
    <mergeCell ref="A53:B53"/>
    <mergeCell ref="A54:B54"/>
    <mergeCell ref="A43:A46"/>
    <mergeCell ref="A47:B47"/>
    <mergeCell ref="C47:E47"/>
    <mergeCell ref="A48:E48"/>
    <mergeCell ref="A49:B49"/>
    <mergeCell ref="C49:E49"/>
    <mergeCell ref="A36:B36"/>
    <mergeCell ref="D36:E36"/>
    <mergeCell ref="A37:B37"/>
    <mergeCell ref="A38:A41"/>
    <mergeCell ref="A42:B42"/>
    <mergeCell ref="C42:E42"/>
    <mergeCell ref="D37:E37"/>
    <mergeCell ref="A31:B31"/>
    <mergeCell ref="A32:B32"/>
    <mergeCell ref="A33:B33"/>
    <mergeCell ref="BN33:BN35"/>
    <mergeCell ref="A34:B34"/>
    <mergeCell ref="C34:E34"/>
    <mergeCell ref="A35:E35"/>
    <mergeCell ref="BN13:BN14"/>
    <mergeCell ref="BO13:BO14"/>
    <mergeCell ref="A14:A15"/>
    <mergeCell ref="A30:B30"/>
    <mergeCell ref="A19:E19"/>
    <mergeCell ref="A20:E20"/>
    <mergeCell ref="A21:B21"/>
    <mergeCell ref="A22:E22"/>
    <mergeCell ref="A23:B23"/>
    <mergeCell ref="A24:B24"/>
    <mergeCell ref="A25:B25"/>
    <mergeCell ref="A26:B26"/>
    <mergeCell ref="A27:B27"/>
    <mergeCell ref="A28:B28"/>
    <mergeCell ref="A29:B29"/>
    <mergeCell ref="A16:A18"/>
    <mergeCell ref="A9:B9"/>
    <mergeCell ref="C9:D9"/>
    <mergeCell ref="A10:B10"/>
    <mergeCell ref="C10:D10"/>
    <mergeCell ref="A12:B12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L6:L7"/>
    <mergeCell ref="M6:M7"/>
    <mergeCell ref="Q6:Q7"/>
    <mergeCell ref="S6:S7"/>
    <mergeCell ref="T6:T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</mergeCells>
  <conditionalFormatting sqref="D17">
    <cfRule type="cellIs" dxfId="6" priority="1" operator="notEqual">
      <formula>""</formula>
    </cfRule>
  </conditionalFormatting>
  <dataValidations count="5">
    <dataValidation type="list" allowBlank="1" showInputMessage="1" showErrorMessage="1" sqref="C37">
      <formula1>"Да,Нет"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11">
      <formula1>$Y$39:$AB$39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Перспективы'!$B$1:$D$1</xm:f>
          </x14:formula1>
          <xm:sqref>C10:D10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L6" sqref="L6"/>
    </sheetView>
  </sheetViews>
  <sheetFormatPr defaultColWidth="8.7109375" defaultRowHeight="12.75" x14ac:dyDescent="0.2"/>
  <sheetData>
    <row r="1" spans="1:12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12" x14ac:dyDescent="0.2">
      <c r="A2" s="174">
        <v>9.9000000000000005E-2</v>
      </c>
      <c r="B2" s="16">
        <v>3000</v>
      </c>
      <c r="C2">
        <v>3000</v>
      </c>
      <c r="D2">
        <v>4000</v>
      </c>
      <c r="E2">
        <v>4000</v>
      </c>
      <c r="F2">
        <v>4000</v>
      </c>
      <c r="L2" t="s">
        <v>360</v>
      </c>
    </row>
    <row r="3" spans="1:12" x14ac:dyDescent="0.2">
      <c r="B3" s="16">
        <v>194000</v>
      </c>
      <c r="C3" s="16">
        <v>152000</v>
      </c>
      <c r="D3" s="16">
        <v>128000</v>
      </c>
      <c r="E3" s="16">
        <v>111000</v>
      </c>
      <c r="F3" s="16">
        <v>128000</v>
      </c>
      <c r="L3" t="s">
        <v>111</v>
      </c>
    </row>
    <row r="4" spans="1:12" x14ac:dyDescent="0.2">
      <c r="A4" s="174">
        <v>0.109</v>
      </c>
      <c r="B4" s="16">
        <f>ROUND(B$6+(B$22-B$6)/($A$22-$A$6)*($A$8-$A$6),0)</f>
        <v>4313</v>
      </c>
      <c r="C4">
        <f>ROUND(C$6+(C$22-C$6)/($A$22-$A$6)*(A4-$A$6),-2)</f>
        <v>3300</v>
      </c>
      <c r="D4">
        <f>ROUND(D$6+(D$22-D$6)/($A$22-$A$6)*(A4-$A$6),-2)</f>
        <v>4800</v>
      </c>
      <c r="E4">
        <v>5400</v>
      </c>
      <c r="F4">
        <v>5400</v>
      </c>
      <c r="L4" t="s">
        <v>114</v>
      </c>
    </row>
    <row r="5" spans="1:12" x14ac:dyDescent="0.2">
      <c r="B5" s="16">
        <f>ROUND(B$9+(B$23-B$9)/($A$22-$A$6)*(A4-$A$6),-1)</f>
        <v>199390</v>
      </c>
      <c r="C5" s="16">
        <f>ROUND(C$9+(C$23-C$9)/($A$22-$A$6)*(A4-$A$6),-1)</f>
        <v>158090</v>
      </c>
      <c r="D5" s="16">
        <f>ROUND(D$9+(D$23-D$9)/($A$22-$A$6)*(A$4-$A$6),-1)</f>
        <v>133500</v>
      </c>
      <c r="E5" s="16">
        <v>114000</v>
      </c>
      <c r="F5" s="16">
        <v>133460</v>
      </c>
      <c r="L5" t="s">
        <v>361</v>
      </c>
    </row>
    <row r="6" spans="1:12" x14ac:dyDescent="0.2">
      <c r="A6" s="174">
        <v>0.11899999999999999</v>
      </c>
      <c r="B6">
        <v>4000</v>
      </c>
      <c r="C6">
        <v>4000</v>
      </c>
      <c r="D6" s="16">
        <v>5500</v>
      </c>
      <c r="E6" s="16">
        <v>5800</v>
      </c>
      <c r="F6" s="16">
        <v>5500</v>
      </c>
      <c r="L6" t="s">
        <v>380</v>
      </c>
    </row>
    <row r="7" spans="1:12" x14ac:dyDescent="0.2">
      <c r="B7">
        <v>200000</v>
      </c>
      <c r="C7">
        <v>158000</v>
      </c>
      <c r="D7" s="16">
        <v>134000</v>
      </c>
      <c r="E7" s="16">
        <v>117100</v>
      </c>
      <c r="F7" s="16">
        <v>118000</v>
      </c>
      <c r="L7" t="s">
        <v>29</v>
      </c>
    </row>
    <row r="8" spans="1:12" x14ac:dyDescent="0.2">
      <c r="A8" s="174">
        <v>0.129</v>
      </c>
      <c r="B8" s="497">
        <v>7000</v>
      </c>
      <c r="C8" s="497">
        <v>9000</v>
      </c>
      <c r="D8" s="497">
        <v>10000</v>
      </c>
      <c r="E8" s="497">
        <v>11000</v>
      </c>
      <c r="F8" s="497">
        <v>11500</v>
      </c>
    </row>
    <row r="9" spans="1:12" x14ac:dyDescent="0.2">
      <c r="B9" s="498">
        <v>202000</v>
      </c>
      <c r="C9" s="498">
        <v>160800</v>
      </c>
      <c r="D9" s="498">
        <v>136300</v>
      </c>
      <c r="E9" s="498">
        <v>120200</v>
      </c>
      <c r="F9" s="498">
        <v>108900</v>
      </c>
    </row>
    <row r="10" spans="1:12" x14ac:dyDescent="0.2">
      <c r="A10" s="174">
        <v>0.13900000000000001</v>
      </c>
      <c r="B10" s="497">
        <v>7000</v>
      </c>
      <c r="C10" s="497">
        <v>9000</v>
      </c>
      <c r="D10" s="497">
        <v>10000</v>
      </c>
      <c r="E10" s="497">
        <v>11000</v>
      </c>
      <c r="F10" s="497">
        <v>12000</v>
      </c>
    </row>
    <row r="11" spans="1:12" x14ac:dyDescent="0.2">
      <c r="B11" s="498">
        <v>204900</v>
      </c>
      <c r="C11" s="498">
        <v>163800</v>
      </c>
      <c r="D11" s="498">
        <v>139400</v>
      </c>
      <c r="E11" s="498">
        <v>123400</v>
      </c>
      <c r="F11" s="498">
        <v>112200</v>
      </c>
    </row>
    <row r="12" spans="1:12" x14ac:dyDescent="0.2">
      <c r="A12" s="174">
        <v>0.14899999999999999</v>
      </c>
      <c r="B12" s="497">
        <v>7000</v>
      </c>
      <c r="C12" s="497">
        <v>9000</v>
      </c>
      <c r="D12" s="497">
        <v>10000</v>
      </c>
      <c r="E12" s="497">
        <v>11000</v>
      </c>
      <c r="F12" s="497">
        <v>12000</v>
      </c>
    </row>
    <row r="13" spans="1:12" x14ac:dyDescent="0.2">
      <c r="B13" s="498">
        <v>207900</v>
      </c>
      <c r="C13" s="498">
        <v>166900</v>
      </c>
      <c r="D13" s="498">
        <v>142500</v>
      </c>
      <c r="E13" s="498">
        <v>126600</v>
      </c>
      <c r="F13" s="498">
        <v>115500</v>
      </c>
    </row>
    <row r="14" spans="1:12" x14ac:dyDescent="0.2">
      <c r="A14" s="174">
        <v>0.159</v>
      </c>
      <c r="B14" s="497">
        <v>7000</v>
      </c>
      <c r="C14" s="497">
        <v>9000</v>
      </c>
      <c r="D14" s="497">
        <v>11000</v>
      </c>
      <c r="E14" s="497">
        <v>11500</v>
      </c>
      <c r="F14" s="497">
        <v>12500</v>
      </c>
    </row>
    <row r="15" spans="1:12" x14ac:dyDescent="0.2">
      <c r="B15" s="498">
        <v>211000</v>
      </c>
      <c r="C15" s="498">
        <v>170200</v>
      </c>
      <c r="D15" s="498">
        <v>145800</v>
      </c>
      <c r="E15" s="498">
        <v>129900</v>
      </c>
      <c r="F15" s="498">
        <v>118900</v>
      </c>
    </row>
    <row r="16" spans="1:12" x14ac:dyDescent="0.2">
      <c r="A16" s="174">
        <v>0.16900000000000001</v>
      </c>
      <c r="B16" s="497">
        <v>6500</v>
      </c>
      <c r="C16" s="497">
        <v>9500</v>
      </c>
      <c r="D16" s="497">
        <v>11000</v>
      </c>
      <c r="E16">
        <v>7500</v>
      </c>
      <c r="F16">
        <v>7500</v>
      </c>
    </row>
    <row r="17" spans="1:6" x14ac:dyDescent="0.2">
      <c r="B17" s="498">
        <v>213800</v>
      </c>
      <c r="C17" s="498">
        <v>173000</v>
      </c>
      <c r="D17" s="498">
        <v>148900</v>
      </c>
      <c r="E17" s="16">
        <v>149850</v>
      </c>
      <c r="F17" s="16">
        <v>149850</v>
      </c>
    </row>
    <row r="18" spans="1:6" x14ac:dyDescent="0.2">
      <c r="A18" s="174">
        <v>0.17499999999999999</v>
      </c>
      <c r="B18">
        <v>6100</v>
      </c>
      <c r="C18">
        <v>7400</v>
      </c>
      <c r="D18">
        <v>8000</v>
      </c>
      <c r="E18">
        <v>8000</v>
      </c>
      <c r="F18">
        <v>8000</v>
      </c>
    </row>
    <row r="19" spans="1:6" x14ac:dyDescent="0.2">
      <c r="B19" s="16">
        <f>ROUND(B$7+(B$23-B$7)/($A$22-$A$6)*($A$18-$A$6),-1)</f>
        <v>216030</v>
      </c>
      <c r="C19" s="16">
        <f>ROUND(C$7+(C$23-C$7)/($A$22-$A$6)*($A$18-$A$6),-1)</f>
        <v>175150</v>
      </c>
      <c r="D19" s="16">
        <f>ROUND(D$9+(D$23-D$9)/($A$22-$A$6)*($A$18-$A$6),-1)</f>
        <v>151980</v>
      </c>
      <c r="E19" s="16">
        <v>151960</v>
      </c>
      <c r="F19" s="16">
        <v>151960</v>
      </c>
    </row>
    <row r="20" spans="1:6" x14ac:dyDescent="0.2">
      <c r="A20" s="174">
        <v>0.17899999999999999</v>
      </c>
      <c r="B20" s="497">
        <v>7000</v>
      </c>
      <c r="C20" s="497">
        <v>9500</v>
      </c>
      <c r="D20" s="497">
        <v>11000</v>
      </c>
      <c r="E20">
        <v>11000</v>
      </c>
      <c r="F20">
        <v>12000</v>
      </c>
    </row>
    <row r="21" spans="1:6" x14ac:dyDescent="0.2">
      <c r="B21" s="498">
        <v>216800</v>
      </c>
      <c r="C21" s="498">
        <v>176100</v>
      </c>
      <c r="D21" s="498">
        <v>152200</v>
      </c>
      <c r="E21" s="16">
        <v>153080</v>
      </c>
      <c r="F21" s="16">
        <v>153080</v>
      </c>
    </row>
    <row r="22" spans="1:6" x14ac:dyDescent="0.2">
      <c r="A22" s="174">
        <v>0.19900000000000001</v>
      </c>
      <c r="B22" s="497">
        <v>6500</v>
      </c>
      <c r="C22" s="497">
        <v>9500</v>
      </c>
      <c r="D22" s="497">
        <v>11000</v>
      </c>
      <c r="E22" s="16">
        <v>11000</v>
      </c>
      <c r="F22" s="16">
        <v>12000</v>
      </c>
    </row>
    <row r="23" spans="1:6" x14ac:dyDescent="0.2">
      <c r="B23" s="499">
        <v>222900</v>
      </c>
      <c r="C23" s="499">
        <v>182500</v>
      </c>
      <c r="D23" s="498">
        <v>158700</v>
      </c>
      <c r="E23" s="16">
        <v>158690</v>
      </c>
      <c r="F23" s="16">
        <v>158690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zoomScale="130" zoomScaleNormal="130" workbookViewId="0">
      <selection activeCell="H2" sqref="H2"/>
    </sheetView>
  </sheetViews>
  <sheetFormatPr defaultColWidth="8.7109375" defaultRowHeight="12.75" x14ac:dyDescent="0.2"/>
  <cols>
    <col min="2" max="2" width="11.28515625" bestFit="1" customWidth="1"/>
    <col min="3" max="3" width="10.28515625" bestFit="1" customWidth="1"/>
    <col min="4" max="4" width="11.7109375" bestFit="1" customWidth="1"/>
  </cols>
  <sheetData>
    <row r="1" spans="1:9" x14ac:dyDescent="0.2">
      <c r="B1">
        <v>36</v>
      </c>
      <c r="C1">
        <v>48</v>
      </c>
      <c r="D1">
        <v>60</v>
      </c>
      <c r="G1">
        <v>36</v>
      </c>
      <c r="H1">
        <v>48</v>
      </c>
      <c r="I1">
        <v>60</v>
      </c>
    </row>
    <row r="2" spans="1:9" x14ac:dyDescent="0.2">
      <c r="A2" s="174">
        <v>0.11899999999999999</v>
      </c>
      <c r="B2" s="16">
        <f>ROUND(B$4+(B$20-B$4)/($A$20-$A$4)*($A$2-$A$4),0)</f>
        <v>3571</v>
      </c>
      <c r="C2" s="16">
        <f t="shared" ref="C2:D2" si="0">ROUND(C$4+(C$20-C$4)/($A$20-$A$4)*($A$2-$A$4),0)</f>
        <v>5143</v>
      </c>
      <c r="D2" s="16">
        <f t="shared" si="0"/>
        <v>4571</v>
      </c>
      <c r="F2" s="174">
        <v>0.11899999999999999</v>
      </c>
      <c r="G2" s="16">
        <f>ROUND(G$12+(G$20-G$12)/($F$20-$F$12)*($F$2-$F$12),0)</f>
        <v>4000</v>
      </c>
      <c r="H2" s="16">
        <f t="shared" ref="H2:I2" si="1">ROUND(H$12+(H$20-H$12)/($F$20-$F$12)*($F$2-$F$12),0)</f>
        <v>5800</v>
      </c>
      <c r="I2" s="16">
        <f t="shared" si="1"/>
        <v>7633</v>
      </c>
    </row>
    <row r="3" spans="1:9" x14ac:dyDescent="0.2">
      <c r="B3" s="16">
        <f>ROUNDUP(PMT($A2/12,B$1,-6000000),-2)</f>
        <v>199000</v>
      </c>
      <c r="C3" s="16">
        <f t="shared" ref="C3" si="2">ROUNDUP(PMT($A2/12,C$1,-6000000),-2)</f>
        <v>157800</v>
      </c>
      <c r="D3" s="16">
        <f t="shared" ref="D3" si="3">ROUNDUP(PMT($A2/12,D$1,-6000000),-2)</f>
        <v>133200</v>
      </c>
      <c r="G3" s="16">
        <f>ROUNDUP(PMT($A2/12,G$1,-6000000),-2)</f>
        <v>199000</v>
      </c>
      <c r="H3" s="16">
        <f t="shared" ref="H3" si="4">ROUNDUP(PMT($A2/12,H$1,-6000000),-2)</f>
        <v>157800</v>
      </c>
      <c r="I3" s="16">
        <f t="shared" ref="I3" si="5">ROUNDUP(PMT($A2/12,I$1,-6000000),-2)</f>
        <v>133200</v>
      </c>
    </row>
    <row r="4" spans="1:9" x14ac:dyDescent="0.2">
      <c r="A4" s="174">
        <v>0.129</v>
      </c>
      <c r="B4" s="16">
        <v>4000</v>
      </c>
      <c r="C4" s="16">
        <v>5500</v>
      </c>
      <c r="D4" s="16">
        <v>5000</v>
      </c>
      <c r="F4" s="174">
        <v>0.129</v>
      </c>
      <c r="G4" s="485">
        <f ca="1">ROUND(G$8+(G$24-G$8)/($A$24-$A$8)*($A$10-$A$8),0)</f>
        <v>4375</v>
      </c>
      <c r="H4" s="485">
        <v>4400</v>
      </c>
      <c r="I4" s="485">
        <v>4600</v>
      </c>
    </row>
    <row r="5" spans="1:9" x14ac:dyDescent="0.2">
      <c r="B5" s="16">
        <f>ROUNDUP(PMT($A4/12,B$1,-6000000),-2)</f>
        <v>201900</v>
      </c>
      <c r="C5" s="16">
        <f t="shared" ref="C5" si="6">ROUNDUP(PMT($A4/12,C$1,-6000000),-2)</f>
        <v>160700</v>
      </c>
      <c r="D5" s="16">
        <f t="shared" ref="D5" si="7">ROUNDUP(PMT($A4/12,D$1,-6000000),-2)</f>
        <v>136300</v>
      </c>
      <c r="G5" s="16">
        <v>202080</v>
      </c>
      <c r="H5" s="16">
        <v>160900</v>
      </c>
      <c r="I5" s="16">
        <v>136300</v>
      </c>
    </row>
    <row r="6" spans="1:9" x14ac:dyDescent="0.2">
      <c r="A6" s="174">
        <v>0.13900000000000001</v>
      </c>
      <c r="B6" s="16">
        <f>ROUND(B$4+(B$20-B$4)/($A$20-$A$4)*($A$6-$A$4),0)</f>
        <v>4429</v>
      </c>
      <c r="C6" s="16">
        <f t="shared" ref="C6:D6" si="8">ROUND(C$4+(C$20-C$4)/($A$20-$A$4)*($A$6-$A$4),0)</f>
        <v>5857</v>
      </c>
      <c r="D6" s="16">
        <f t="shared" si="8"/>
        <v>5429</v>
      </c>
      <c r="F6" s="174">
        <v>0.13900000000000001</v>
      </c>
      <c r="G6" s="16">
        <f>ROUND(G$12+(G$20-G$12)/($F$20-$F$12)*($F$6-$F$12),0)</f>
        <v>4750</v>
      </c>
      <c r="H6" s="16">
        <f t="shared" ref="H6" si="9">ROUND(H$12+(H$20-H$12)/($F$20-$F$12)*($F$6-$F$12),0)</f>
        <v>6200</v>
      </c>
      <c r="I6" s="16">
        <f>ROUND(I$12+(I$20-I$12)/($F$20-$F$12)*($F$6-$F$12),0)</f>
        <v>7700</v>
      </c>
    </row>
    <row r="7" spans="1:9" x14ac:dyDescent="0.2">
      <c r="B7" s="16">
        <f>ROUNDUP(PMT($A6/12,B$1,-6000000),-2)</f>
        <v>204800</v>
      </c>
      <c r="C7" s="16">
        <f t="shared" ref="C7" si="10">ROUNDUP(PMT($A6/12,C$1,-6000000),-2)</f>
        <v>163700</v>
      </c>
      <c r="D7" s="16">
        <f t="shared" ref="D7" si="11">ROUNDUP(PMT($A6/12,D$1,-6000000),-2)</f>
        <v>139300</v>
      </c>
      <c r="G7" s="16">
        <f>ROUNDUP(PMT($A6/12,G$1,-6000000),-2)</f>
        <v>204800</v>
      </c>
      <c r="H7" s="16">
        <f t="shared" ref="H7" si="12">ROUNDUP(PMT($A6/12,H$1,-6000000),-2)</f>
        <v>163700</v>
      </c>
      <c r="I7" s="16">
        <f t="shared" ref="I7" si="13">ROUNDUP(PMT($A6/12,I$1,-6000000),-2)</f>
        <v>139300</v>
      </c>
    </row>
    <row r="8" spans="1:9" x14ac:dyDescent="0.2">
      <c r="A8" s="174">
        <v>0.14899999999999999</v>
      </c>
      <c r="B8" s="16">
        <v>4000</v>
      </c>
      <c r="C8" s="16">
        <v>5600</v>
      </c>
      <c r="D8" s="16">
        <v>7000</v>
      </c>
      <c r="F8" s="174">
        <v>0.14899999999999999</v>
      </c>
      <c r="G8" s="493">
        <f ca="1">ROUND(G$8+(G$24-G$8)/($A$24-$A$8)*($A$14-$A$8),0)</f>
        <v>5125</v>
      </c>
      <c r="H8" s="493">
        <v>5600</v>
      </c>
      <c r="I8" s="493">
        <v>5500</v>
      </c>
    </row>
    <row r="9" spans="1:9" x14ac:dyDescent="0.2">
      <c r="B9" s="16">
        <f>ROUNDUP(PMT($A8/12,B$1,-6000000),-2)</f>
        <v>207700</v>
      </c>
      <c r="C9" s="16">
        <f t="shared" ref="C9" si="14">ROUNDUP(PMT($A8/12,C$1,-6000000),-2)</f>
        <v>166700</v>
      </c>
      <c r="D9" s="16">
        <f t="shared" ref="D9" si="15">ROUNDUP(PMT($A8/12,D$1,-6000000),-2)</f>
        <v>142500</v>
      </c>
      <c r="G9" s="16">
        <v>208020</v>
      </c>
      <c r="H9" s="16">
        <v>167060</v>
      </c>
      <c r="I9" s="16">
        <v>143000</v>
      </c>
    </row>
    <row r="10" spans="1:9" x14ac:dyDescent="0.2">
      <c r="A10" s="174">
        <v>0.159</v>
      </c>
      <c r="B10" s="16">
        <f>ROUND(B$4+(B$20-B$4)/($A$20-$A$4)*($A$10-$A$4),0)</f>
        <v>5286</v>
      </c>
      <c r="C10" s="16">
        <f t="shared" ref="C10:D10" si="16">ROUND(C$4+(C$20-C$4)/($A$20-$A$4)*($A$10-$A$4),0)</f>
        <v>6571</v>
      </c>
      <c r="D10" s="16">
        <f t="shared" si="16"/>
        <v>6286</v>
      </c>
      <c r="F10" s="174">
        <v>0.159</v>
      </c>
      <c r="G10" s="16">
        <f>ROUND(G$12+(G$20-G$12)/($F$20-$F$12)*($F$10-$F$12),0)</f>
        <v>5500</v>
      </c>
      <c r="H10" s="16">
        <f t="shared" ref="H10:I10" si="17">ROUND(H$12+(H$20-H$12)/($F$20-$F$12)*($F$10-$F$12),0)</f>
        <v>6600</v>
      </c>
      <c r="I10" s="16">
        <f t="shared" si="17"/>
        <v>7767</v>
      </c>
    </row>
    <row r="11" spans="1:9" x14ac:dyDescent="0.2">
      <c r="B11" s="16">
        <f>ROUNDUP(PMT($A10/12,B$1,-6000000),-2)</f>
        <v>210700</v>
      </c>
      <c r="C11" s="16">
        <f t="shared" ref="C11" si="18">ROUNDUP(PMT($A10/12,C$1,-6000000),-2)</f>
        <v>169800</v>
      </c>
      <c r="D11" s="16">
        <f t="shared" ref="D11" si="19">ROUNDUP(PMT($A10/12,D$1,-6000000),-2)</f>
        <v>145600</v>
      </c>
      <c r="G11" s="16">
        <f>ROUNDUP(PMT($A10/12,G$1,-6000000),-2)</f>
        <v>210700</v>
      </c>
      <c r="H11" s="16">
        <f t="shared" ref="H11" si="20">ROUNDUP(PMT($A10/12,H$1,-6000000),-2)</f>
        <v>169800</v>
      </c>
      <c r="I11" s="16">
        <f t="shared" ref="I11" si="21">ROUNDUP(PMT($A10/12,I$1,-6000000),-2)</f>
        <v>145600</v>
      </c>
    </row>
    <row r="12" spans="1:9" x14ac:dyDescent="0.2">
      <c r="A12" s="174">
        <v>0.16900000000000001</v>
      </c>
      <c r="B12" s="16">
        <f>ROUND(B$4+(B$20-B$4)/($A$20-$A$4)*($A$12-$A$4),0)</f>
        <v>5714</v>
      </c>
      <c r="C12" s="16">
        <f t="shared" ref="C12:D12" si="22">ROUND(C$4+(C$20-C$4)/($A$20-$A$4)*($A$12-$A$4),0)</f>
        <v>6929</v>
      </c>
      <c r="D12" s="16">
        <f t="shared" si="22"/>
        <v>6714</v>
      </c>
      <c r="F12" s="174">
        <v>0.16900000000000001</v>
      </c>
      <c r="G12" s="493">
        <v>5875</v>
      </c>
      <c r="H12" s="493">
        <v>6800</v>
      </c>
      <c r="I12" s="485">
        <v>7800</v>
      </c>
    </row>
    <row r="13" spans="1:9" x14ac:dyDescent="0.2">
      <c r="B13" s="16">
        <f>ROUNDUP(PMT($A12/12,B$1,-6000000),-2)</f>
        <v>213700</v>
      </c>
      <c r="C13" s="16">
        <f t="shared" ref="C13" si="23">ROUNDUP(PMT($A12/12,C$1,-6000000),-2)</f>
        <v>172900</v>
      </c>
      <c r="D13" s="16">
        <f t="shared" ref="D13" si="24">ROUNDUP(PMT($A12/12,D$1,-6000000),-2)</f>
        <v>148800</v>
      </c>
      <c r="G13" s="16">
        <v>213960</v>
      </c>
      <c r="H13" s="16">
        <v>173220</v>
      </c>
      <c r="I13" s="16">
        <v>149000</v>
      </c>
    </row>
    <row r="14" spans="1:9" x14ac:dyDescent="0.2">
      <c r="A14" s="174">
        <v>0.17499999999999999</v>
      </c>
      <c r="B14" s="16">
        <f>ROUND(B$4+(B$20-B$4)/($A$20-$A$4)*($A$14-$A$4),0)</f>
        <v>5971</v>
      </c>
      <c r="C14" s="16">
        <f t="shared" ref="C14:D14" si="25">ROUND(C$4+(C$20-C$4)/($A$20-$A$4)*($A$14-$A$4),0)</f>
        <v>7143</v>
      </c>
      <c r="D14" s="16">
        <f t="shared" si="25"/>
        <v>6971</v>
      </c>
      <c r="F14" s="174">
        <v>0.17499999999999999</v>
      </c>
      <c r="G14" s="16">
        <f>ROUND(G$12+(G$20-G$12)/($F$20-$F$12)*($F$14-$F$12),0)</f>
        <v>6100</v>
      </c>
      <c r="H14" s="16">
        <f>ROUND(H$12+(H$20-H$12)/($F$20-$F$12)*($F$14-$F$12),0)</f>
        <v>6920</v>
      </c>
      <c r="I14" s="16">
        <f t="shared" ref="I14" si="26">ROUND(I$12+(I$20-I$12)/($F$20-$F$12)*($F$14-$F$12),0)</f>
        <v>7820</v>
      </c>
    </row>
    <row r="15" spans="1:9" x14ac:dyDescent="0.2">
      <c r="B15" s="16">
        <f>ROUNDUP(PMT($A14/12,B$1,-6000000),-2)</f>
        <v>215500</v>
      </c>
      <c r="C15" s="16">
        <f t="shared" ref="C15" si="27">ROUNDUP(PMT($A14/12,C$1,-6000000),-2)</f>
        <v>174700</v>
      </c>
      <c r="D15" s="16">
        <f t="shared" ref="D15" si="28">ROUNDUP(PMT($A14/12,D$1,-6000000),-2)</f>
        <v>150800</v>
      </c>
      <c r="G15" s="16">
        <f>ROUNDUP(PMT($A14/12,G$1,-6000000),-2)</f>
        <v>215500</v>
      </c>
      <c r="H15" s="16">
        <f t="shared" ref="H15" si="29">ROUNDUP(PMT($A14/12,H$1,-6000000),-2)</f>
        <v>174700</v>
      </c>
      <c r="I15" s="16">
        <f t="shared" ref="I15" si="30">ROUNDUP(PMT($A14/12,I$1,-6000000),-2)</f>
        <v>150800</v>
      </c>
    </row>
    <row r="16" spans="1:9" x14ac:dyDescent="0.2">
      <c r="A16" s="174">
        <v>0.17899999999999999</v>
      </c>
      <c r="B16" s="16">
        <f>ROUND(B$4+(B$20-B$4)/($A$20-$A$4)*($A$16-$A$4),0)</f>
        <v>6143</v>
      </c>
      <c r="C16" s="16">
        <f t="shared" ref="C16:D16" si="31">ROUND(C$4+(C$20-C$4)/($A$20-$A$4)*($A$16-$A$4),0)</f>
        <v>7286</v>
      </c>
      <c r="D16" s="16">
        <f t="shared" si="31"/>
        <v>7143</v>
      </c>
      <c r="F16" s="174">
        <v>0.17899999999999999</v>
      </c>
      <c r="G16" s="493">
        <v>6250</v>
      </c>
      <c r="H16" s="493">
        <v>7500</v>
      </c>
      <c r="I16" s="485">
        <v>8700</v>
      </c>
    </row>
    <row r="17" spans="1:9" x14ac:dyDescent="0.2">
      <c r="B17" s="16">
        <f>ROUNDUP(PMT($A16/12,B$1,-6000000),-2)</f>
        <v>216700</v>
      </c>
      <c r="C17" s="16">
        <f t="shared" ref="C17" si="32">ROUNDUP(PMT($A16/12,C$1,-6000000),-2)</f>
        <v>176000</v>
      </c>
      <c r="D17" s="16">
        <f t="shared" ref="D17" si="33">ROUNDUP(PMT($A16/12,D$1,-6000000),-2)</f>
        <v>152100</v>
      </c>
      <c r="G17" s="16">
        <v>216930</v>
      </c>
      <c r="H17" s="16">
        <v>176300</v>
      </c>
      <c r="I17" s="16">
        <v>153000</v>
      </c>
    </row>
    <row r="18" spans="1:9" x14ac:dyDescent="0.2">
      <c r="A18" s="174">
        <v>0.189</v>
      </c>
      <c r="B18" s="16">
        <f>ROUND(B$4+(B$20-B$4)/($A$20-$A$4)*($A$18-$A$4),0)</f>
        <v>6571</v>
      </c>
      <c r="C18" s="16">
        <f t="shared" ref="C18:D18" si="34">ROUND(C$4+(C$20-C$4)/($A$20-$A$4)*($A$18-$A$4),0)</f>
        <v>7643</v>
      </c>
      <c r="D18" s="16">
        <f t="shared" si="34"/>
        <v>7571</v>
      </c>
      <c r="F18" s="174">
        <v>0.189</v>
      </c>
      <c r="G18" s="16">
        <f>ROUND(G$16+(G$20-G$16)/($F$20-$F$16)*($F$18-$F$16),0)</f>
        <v>6625</v>
      </c>
      <c r="H18" s="16">
        <f>ROUND(H$16+(H$20-H$16)/($F$20-$F$16)*($F$18-$F$16),0)</f>
        <v>7450</v>
      </c>
      <c r="I18" s="16">
        <f>ROUND(I$16+(I$20-I$16)/($F$20-$F$16)*($F$18-$F$16),0)</f>
        <v>8300</v>
      </c>
    </row>
    <row r="19" spans="1:9" x14ac:dyDescent="0.2">
      <c r="B19" s="16">
        <f>ROUNDUP(PMT($A18/12,B$1,-6000000),-2)</f>
        <v>219700</v>
      </c>
      <c r="C19" s="16">
        <f t="shared" ref="C19:D19" si="35">ROUNDUP(PMT($A18/12,C$1,-6000000),-2)</f>
        <v>179100</v>
      </c>
      <c r="D19" s="16">
        <f t="shared" si="35"/>
        <v>155400</v>
      </c>
      <c r="G19" s="16">
        <f>ROUNDUP(PMT($A18/12,G$1,-6000000),-2)</f>
        <v>219700</v>
      </c>
      <c r="H19" s="16">
        <f t="shared" ref="H19" si="36">ROUNDUP(PMT($A18/12,H$1,-6000000),-2)</f>
        <v>179100</v>
      </c>
      <c r="I19" s="16">
        <f t="shared" ref="I19" si="37">ROUNDUP(PMT($A18/12,I$1,-6000000),-2)</f>
        <v>155400</v>
      </c>
    </row>
    <row r="20" spans="1:9" x14ac:dyDescent="0.2">
      <c r="A20" s="174">
        <v>0.19900000000000001</v>
      </c>
      <c r="B20" s="16">
        <v>7000</v>
      </c>
      <c r="C20" s="16">
        <v>8000</v>
      </c>
      <c r="D20" s="16">
        <v>8000</v>
      </c>
      <c r="F20" s="174">
        <v>0.19900000000000001</v>
      </c>
      <c r="G20" s="493">
        <v>7000</v>
      </c>
      <c r="H20" s="493">
        <v>7400</v>
      </c>
      <c r="I20" s="485">
        <v>7900</v>
      </c>
    </row>
    <row r="21" spans="1:9" x14ac:dyDescent="0.2">
      <c r="B21" s="16">
        <f t="shared" ref="B21:C21" si="38">ROUNDUP(PMT($A20/12,B$1,-6000000),-2)</f>
        <v>222700</v>
      </c>
      <c r="C21" s="16">
        <f t="shared" si="38"/>
        <v>182300</v>
      </c>
      <c r="D21" s="16">
        <f>ROUNDUP(PMT($A20/12,D$1,-6000000),-2)</f>
        <v>158700</v>
      </c>
      <c r="G21" s="492">
        <v>222860</v>
      </c>
      <c r="H21" s="492">
        <v>183000</v>
      </c>
      <c r="I21" s="16">
        <v>159000</v>
      </c>
    </row>
    <row r="23" spans="1:9" x14ac:dyDescent="0.2">
      <c r="B23" s="939" t="s">
        <v>291</v>
      </c>
      <c r="C23" s="939"/>
      <c r="D23" s="939"/>
      <c r="G23" s="939" t="s">
        <v>292</v>
      </c>
      <c r="H23" s="939"/>
      <c r="I23" s="939"/>
    </row>
  </sheetData>
  <sheetProtection sheet="1" objects="1" scenarios="1"/>
  <mergeCells count="2">
    <mergeCell ref="B23:D23"/>
    <mergeCell ref="G23:I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topLeftCell="A2" zoomScale="70" zoomScaleNormal="90" zoomScaleSheetLayoutView="70" workbookViewId="0">
      <selection activeCell="C10" sqref="C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66" t="s">
        <v>349</v>
      </c>
      <c r="B1" s="867"/>
      <c r="C1" s="867"/>
      <c r="D1" s="867"/>
      <c r="E1" s="868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69"/>
      <c r="B2" s="870"/>
      <c r="C2" s="870"/>
      <c r="D2" s="870"/>
      <c r="E2" s="871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70" t="s">
        <v>196</v>
      </c>
      <c r="B3" s="771"/>
      <c r="C3" s="771"/>
      <c r="D3" s="771"/>
      <c r="E3" s="772"/>
      <c r="F3" s="310"/>
      <c r="G3" s="865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65"/>
      <c r="I3" s="865"/>
      <c r="J3" s="865"/>
      <c r="K3" s="865"/>
      <c r="L3" s="865"/>
      <c r="M3" s="865"/>
      <c r="N3" s="865"/>
      <c r="O3" s="865"/>
      <c r="P3" s="865"/>
      <c r="Q3" s="865"/>
      <c r="R3" s="865"/>
      <c r="S3" s="865"/>
      <c r="T3" s="865"/>
      <c r="U3" s="865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26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26"/>
      <c r="AR3" s="826"/>
      <c r="AS3" s="826"/>
      <c r="AT3" s="826"/>
      <c r="AU3" s="826"/>
      <c r="AV3" s="826"/>
      <c r="AW3" s="826"/>
      <c r="AX3" s="826"/>
      <c r="AY3" s="826"/>
      <c r="AZ3" s="826"/>
      <c r="BA3" s="826"/>
      <c r="BB3" s="826"/>
      <c r="BC3" s="826"/>
      <c r="BD3" s="826"/>
      <c r="BE3" s="826"/>
      <c r="BF3" s="826"/>
      <c r="BG3" s="826"/>
      <c r="BH3" s="826"/>
      <c r="BI3" s="102"/>
      <c r="BJ3" s="102"/>
      <c r="BK3" s="102"/>
      <c r="BN3" s="794" t="s">
        <v>94</v>
      </c>
      <c r="BO3" s="794"/>
      <c r="BP3" s="794"/>
      <c r="BQ3" s="794"/>
      <c r="BR3" s="794"/>
      <c r="BS3" s="794"/>
      <c r="BT3" s="794"/>
    </row>
    <row r="4" spans="1:72" ht="13.5" hidden="1" customHeight="1" x14ac:dyDescent="0.2">
      <c r="A4" s="187"/>
      <c r="B4" s="185"/>
      <c r="C4" s="521"/>
      <c r="D4" s="185"/>
      <c r="E4" s="188"/>
      <c r="F4" s="228"/>
      <c r="G4" s="865"/>
      <c r="H4" s="865"/>
      <c r="I4" s="865"/>
      <c r="J4" s="865"/>
      <c r="K4" s="865"/>
      <c r="L4" s="865"/>
      <c r="M4" s="865"/>
      <c r="N4" s="865"/>
      <c r="O4" s="865"/>
      <c r="P4" s="865"/>
      <c r="Q4" s="865"/>
      <c r="R4" s="865"/>
      <c r="S4" s="865"/>
      <c r="T4" s="865"/>
      <c r="U4" s="865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26"/>
      <c r="AQ4" s="826"/>
      <c r="AR4" s="826"/>
      <c r="AS4" s="826"/>
      <c r="AT4" s="826"/>
      <c r="AU4" s="826"/>
      <c r="AV4" s="826"/>
      <c r="AW4" s="826"/>
      <c r="AX4" s="826"/>
      <c r="AY4" s="826"/>
      <c r="AZ4" s="826"/>
      <c r="BA4" s="826"/>
      <c r="BB4" s="826"/>
      <c r="BC4" s="826"/>
      <c r="BD4" s="826"/>
      <c r="BE4" s="826"/>
      <c r="BF4" s="826"/>
      <c r="BG4" s="826"/>
      <c r="BH4" s="826"/>
      <c r="BI4" s="102"/>
      <c r="BJ4" s="102"/>
      <c r="BK4" s="102"/>
      <c r="BL4" s="57"/>
    </row>
    <row r="5" spans="1:72" ht="13.5" hidden="1" customHeight="1" thickBot="1" x14ac:dyDescent="0.25">
      <c r="A5" s="827"/>
      <c r="B5" s="828"/>
      <c r="C5" s="828"/>
      <c r="D5" s="828"/>
      <c r="E5" s="82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75" t="s">
        <v>164</v>
      </c>
      <c r="B6" s="775"/>
      <c r="C6" s="775" t="s">
        <v>165</v>
      </c>
      <c r="D6" s="775"/>
      <c r="E6" s="189" t="s">
        <v>166</v>
      </c>
      <c r="F6" s="230"/>
      <c r="G6" s="776" t="s">
        <v>148</v>
      </c>
      <c r="H6" s="776" t="s">
        <v>187</v>
      </c>
      <c r="I6" s="776" t="s">
        <v>188</v>
      </c>
      <c r="J6" s="776" t="s">
        <v>189</v>
      </c>
      <c r="K6" s="776" t="s">
        <v>190</v>
      </c>
      <c r="L6" s="776" t="s">
        <v>191</v>
      </c>
      <c r="M6" s="776" t="s">
        <v>192</v>
      </c>
      <c r="N6" s="238"/>
      <c r="O6" s="238"/>
      <c r="P6" s="238"/>
      <c r="Q6" s="776" t="s">
        <v>195</v>
      </c>
      <c r="R6" s="238"/>
      <c r="S6" s="776" t="s">
        <v>193</v>
      </c>
      <c r="T6" s="776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22" t="s">
        <v>148</v>
      </c>
      <c r="AQ6" s="822" t="s">
        <v>187</v>
      </c>
      <c r="AR6" s="822" t="s">
        <v>188</v>
      </c>
      <c r="AS6" s="543"/>
      <c r="AT6" s="822" t="s">
        <v>194</v>
      </c>
      <c r="AU6" s="822" t="s">
        <v>191</v>
      </c>
      <c r="AV6" s="822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22" t="s">
        <v>193</v>
      </c>
      <c r="BH6" s="103"/>
      <c r="BI6" s="102"/>
      <c r="BJ6" s="117"/>
      <c r="BK6" s="102"/>
      <c r="BL6" s="57"/>
      <c r="BN6" s="795" t="s">
        <v>95</v>
      </c>
      <c r="BO6" s="795"/>
      <c r="BP6" s="795"/>
      <c r="BQ6" s="795"/>
      <c r="BR6" s="795"/>
      <c r="BS6" s="795"/>
      <c r="BT6" s="795"/>
    </row>
    <row r="7" spans="1:72" ht="28.9" customHeight="1" x14ac:dyDescent="0.5">
      <c r="A7" s="766" t="s">
        <v>200</v>
      </c>
      <c r="B7" s="766"/>
      <c r="C7" s="522">
        <v>300000</v>
      </c>
      <c r="D7" s="509"/>
      <c r="E7" s="510"/>
      <c r="F7" s="231"/>
      <c r="G7" s="776"/>
      <c r="H7" s="776"/>
      <c r="I7" s="776"/>
      <c r="J7" s="776"/>
      <c r="K7" s="776"/>
      <c r="L7" s="776"/>
      <c r="M7" s="776"/>
      <c r="N7" s="237" t="s">
        <v>36</v>
      </c>
      <c r="O7" s="237" t="s">
        <v>39</v>
      </c>
      <c r="P7" s="237" t="s">
        <v>38</v>
      </c>
      <c r="Q7" s="776"/>
      <c r="R7" s="326" t="s">
        <v>40</v>
      </c>
      <c r="S7" s="776"/>
      <c r="T7" s="776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36</v>
      </c>
      <c r="AP7" s="822"/>
      <c r="AQ7" s="822"/>
      <c r="AR7" s="822"/>
      <c r="AS7" s="544" t="s">
        <v>156</v>
      </c>
      <c r="AT7" s="822"/>
      <c r="AU7" s="822"/>
      <c r="AV7" s="822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22"/>
      <c r="BH7" s="163" t="s">
        <v>32</v>
      </c>
      <c r="BI7" s="104" t="s">
        <v>31</v>
      </c>
      <c r="BJ7" s="153">
        <f>BJ8</f>
        <v>44441</v>
      </c>
      <c r="BK7" s="108">
        <f>K8</f>
        <v>-335640</v>
      </c>
      <c r="BL7" s="61"/>
      <c r="BN7" s="784" t="s">
        <v>84</v>
      </c>
      <c r="BO7" s="777" t="s">
        <v>85</v>
      </c>
      <c r="BP7" s="127" t="s">
        <v>86</v>
      </c>
      <c r="BQ7" s="124" t="s">
        <v>88</v>
      </c>
      <c r="BR7" s="798" t="s">
        <v>9</v>
      </c>
      <c r="BS7" s="800" t="s">
        <v>89</v>
      </c>
      <c r="BT7" s="796">
        <v>1</v>
      </c>
    </row>
    <row r="8" spans="1:72" ht="18" customHeight="1" thickBot="1" x14ac:dyDescent="0.55000000000000004">
      <c r="A8" s="766" t="s">
        <v>276</v>
      </c>
      <c r="B8" s="766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-335640</v>
      </c>
      <c r="L8" s="242"/>
      <c r="M8" s="243"/>
      <c r="N8" s="243"/>
      <c r="O8" s="243"/>
      <c r="P8" s="243"/>
      <c r="Q8" s="243"/>
      <c r="R8" s="243"/>
      <c r="S8" s="239">
        <f>C22</f>
        <v>335640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-335640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335640</v>
      </c>
      <c r="BH8" s="106"/>
      <c r="BI8" s="108"/>
      <c r="BJ8" s="22">
        <f>H8</f>
        <v>44441</v>
      </c>
      <c r="BK8" s="104">
        <f>$C$24</f>
        <v>35640</v>
      </c>
      <c r="BN8" s="785"/>
      <c r="BO8" s="778"/>
      <c r="BP8" s="125" t="s">
        <v>87</v>
      </c>
      <c r="BQ8" s="126" t="s">
        <v>88</v>
      </c>
      <c r="BR8" s="799"/>
      <c r="BS8" s="801"/>
      <c r="BT8" s="797"/>
    </row>
    <row r="9" spans="1:72" ht="16.899999999999999" customHeight="1" thickBot="1" x14ac:dyDescent="0.25">
      <c r="A9" s="766" t="s">
        <v>199</v>
      </c>
      <c r="B9" s="766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335640</v>
      </c>
      <c r="T9" s="467"/>
      <c r="U9" s="198">
        <f>C10</f>
        <v>36</v>
      </c>
      <c r="V9" s="36">
        <f>U9</f>
        <v>36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0.14899999999999999</v>
      </c>
      <c r="AS9" s="258">
        <f>AT9+AZ9</f>
        <v>11630</v>
      </c>
      <c r="AT9" s="258">
        <f t="shared" ref="AT9:AT72" si="6">IF(AND(BG8+AW9+AU9&gt;AT8,AT8&lt;&gt;0),IF($D$16="Да",$AL$36,$D$23),IF(BG8=0,0,BG8+AW9+AU9+AU10))</f>
        <v>11630</v>
      </c>
      <c r="AU9" s="258">
        <f>IF($C$9&gt;$AF$51,ROUND(BG8*AR9*((AQ9-DATE(YEAR(AQ9),MONTH(AQ9),1)+1)/(DATE(YEAR(AQ9)+1,1,1)-DATE(YEAR(AQ9),1,1))+(EOMONTH(AQ8,0)-AQ8)/(DATE(YEAR(AQ8)+1,1,1)-DATE(YEAR(AQ8),1,1))),2),0)</f>
        <v>4521.4799999999996</v>
      </c>
      <c r="AV9" s="258">
        <f>IF(BI9=0,0,IF(BI9=1,BG8,IF(BG8+AW9+AU9&gt;AT8,AT9-AU9-AW9,BG8)))</f>
        <v>7108.52</v>
      </c>
      <c r="AW9" s="258">
        <f t="shared" ref="AW9:AW72" si="7">IF(AY9-AZ9&gt;$D$23,$D$23-AU9,IF(BI9=0,0,BA9)+BX57)</f>
        <v>0</v>
      </c>
      <c r="AX9" s="258"/>
      <c r="AY9" s="258">
        <f>AU9+AZ9</f>
        <v>4521.4799999999996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328531.48</v>
      </c>
      <c r="BH9" s="108">
        <f>C10</f>
        <v>36</v>
      </c>
      <c r="BI9" s="108">
        <f>BH9</f>
        <v>36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763" t="s">
        <v>198</v>
      </c>
      <c r="B10" s="763"/>
      <c r="C10" s="359">
        <v>36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335640</v>
      </c>
      <c r="T10" s="467"/>
      <c r="U10" s="198">
        <f>IF((U9-1)&lt;0,0,U9-1)</f>
        <v>35</v>
      </c>
      <c r="V10" s="36">
        <f t="shared" ref="V10:V73" si="17">U10</f>
        <v>35</v>
      </c>
      <c r="W10" s="54">
        <f>ROUND(S8*0%,-2)</f>
        <v>0</v>
      </c>
      <c r="X10" s="54">
        <f>ROUND(S8*0.5%,0)</f>
        <v>1678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0.14899999999999999</v>
      </c>
      <c r="AS10" s="258">
        <f t="shared" ref="AS10:AS73" si="19">AT10+AZ10</f>
        <v>11630</v>
      </c>
      <c r="AT10" s="258">
        <f t="shared" si="6"/>
        <v>11630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4157.5</v>
      </c>
      <c r="AV10" s="258">
        <f t="shared" ref="AV10:AV73" si="21">IF(BI10=0,0,IF(BI10=1,BG9,IF(BG9+AW10+AU10&gt;AT9,AT10-AU10-AW10,BG9)))</f>
        <v>7472.5</v>
      </c>
      <c r="AW10" s="258">
        <f t="shared" si="7"/>
        <v>0</v>
      </c>
      <c r="AX10" s="258">
        <v>0</v>
      </c>
      <c r="AY10" s="258">
        <f t="shared" ref="AY10:AY85" si="22">AU10+AZ10</f>
        <v>4157.5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321058.98</v>
      </c>
      <c r="BH10" s="108">
        <f>IF((BH9-1)&lt;0,0,BH9-1)</f>
        <v>35</v>
      </c>
      <c r="BI10" s="108">
        <f>BH10</f>
        <v>35</v>
      </c>
      <c r="BJ10" s="22">
        <f>H10</f>
        <v>44505</v>
      </c>
      <c r="BK10" s="108">
        <f t="shared" si="9"/>
        <v>0</v>
      </c>
      <c r="BN10" s="784" t="s">
        <v>90</v>
      </c>
      <c r="BO10" s="777" t="s">
        <v>85</v>
      </c>
      <c r="BP10" s="129" t="s">
        <v>84</v>
      </c>
    </row>
    <row r="11" spans="1:72" ht="18" customHeight="1" thickBot="1" x14ac:dyDescent="0.25">
      <c r="A11" s="805" t="s">
        <v>172</v>
      </c>
      <c r="B11" s="805"/>
      <c r="C11" s="503">
        <v>0.14899999999999999</v>
      </c>
      <c r="D11" s="271">
        <f>C11</f>
        <v>0.14899999999999999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335640</v>
      </c>
      <c r="T11" s="467"/>
      <c r="U11" s="198">
        <f>IF((U10-1)&lt;0,0,U10-1)</f>
        <v>34</v>
      </c>
      <c r="V11" s="36">
        <f t="shared" si="17"/>
        <v>34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0.14899999999999999</v>
      </c>
      <c r="AS11" s="258">
        <f t="shared" si="19"/>
        <v>11630</v>
      </c>
      <c r="AT11" s="258">
        <f t="shared" si="6"/>
        <v>11630</v>
      </c>
      <c r="AU11" s="258">
        <f t="shared" si="20"/>
        <v>3931.87</v>
      </c>
      <c r="AV11" s="258">
        <f>IF(BI11=0,0,IF(BI11=1,BG10,IF(BG10+AW11+AU11&gt;AT10,AT11-AU11-AW11,BG10)))</f>
        <v>7698.13</v>
      </c>
      <c r="AW11" s="258">
        <f t="shared" si="7"/>
        <v>0</v>
      </c>
      <c r="AX11" s="258">
        <v>0</v>
      </c>
      <c r="AY11" s="258">
        <f t="shared" si="22"/>
        <v>3931.87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313360.84999999998</v>
      </c>
      <c r="BH11" s="108">
        <f>IF((BH10-1)&lt;0,0,BH10-1)</f>
        <v>34</v>
      </c>
      <c r="BI11" s="108">
        <f t="shared" ref="BI11:BI74" si="26">BH11</f>
        <v>34</v>
      </c>
      <c r="BJ11" s="22">
        <f t="shared" ref="BJ11:BJ74" si="27">H11</f>
        <v>44535</v>
      </c>
      <c r="BK11" s="108">
        <f t="shared" si="9"/>
        <v>0</v>
      </c>
      <c r="BN11" s="785"/>
      <c r="BO11" s="778"/>
      <c r="BP11" s="128" t="s">
        <v>91</v>
      </c>
    </row>
    <row r="12" spans="1:72" ht="18" customHeight="1" thickBot="1" x14ac:dyDescent="0.25">
      <c r="A12" s="805" t="s">
        <v>173</v>
      </c>
      <c r="B12" s="805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335640</v>
      </c>
      <c r="T12" s="467"/>
      <c r="U12" s="198">
        <f t="shared" ref="U12:U75" si="29">IF((U11-1)&lt;0,0,U11-1)</f>
        <v>33</v>
      </c>
      <c r="V12" s="36">
        <f t="shared" si="17"/>
        <v>33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0.14899999999999999</v>
      </c>
      <c r="AS12" s="258">
        <f t="shared" si="19"/>
        <v>11630</v>
      </c>
      <c r="AT12" s="258">
        <f t="shared" si="6"/>
        <v>11630</v>
      </c>
      <c r="AU12" s="258">
        <f t="shared" si="20"/>
        <v>3965.52</v>
      </c>
      <c r="AV12" s="258">
        <f t="shared" si="21"/>
        <v>7664.48</v>
      </c>
      <c r="AW12" s="258">
        <f t="shared" si="7"/>
        <v>0</v>
      </c>
      <c r="AX12" s="258">
        <v>0</v>
      </c>
      <c r="AY12" s="258">
        <f t="shared" si="22"/>
        <v>3965.52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305696.37</v>
      </c>
      <c r="BH12" s="108">
        <f t="shared" ref="BH12:BH75" si="31">IF((BH11-1)&lt;0,0,BH11-1)</f>
        <v>33</v>
      </c>
      <c r="BI12" s="108">
        <f t="shared" si="26"/>
        <v>33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805" t="s">
        <v>171</v>
      </c>
      <c r="B13" s="805"/>
      <c r="C13" s="360">
        <f>IF(OR(C8="Гарантия стандарт",C8="Гарантия пакет",C12="Базовый"),C11,C11-2%)</f>
        <v>0.14899999999999999</v>
      </c>
      <c r="D13" s="271">
        <f>IF(OR(D8="Гарантия стандарт",D8="Гарантия пакет",D12="Базовый"),D11,D11-2%)</f>
        <v>0.14899999999999999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335640</v>
      </c>
      <c r="T13" s="467"/>
      <c r="U13" s="198">
        <f>IF((U12-1)&lt;0,0,U12-1)</f>
        <v>32</v>
      </c>
      <c r="V13" s="36">
        <f>U13</f>
        <v>32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0.14899999999999999</v>
      </c>
      <c r="AS13" s="258">
        <f t="shared" si="19"/>
        <v>11630</v>
      </c>
      <c r="AT13" s="258">
        <f t="shared" si="6"/>
        <v>11630</v>
      </c>
      <c r="AU13" s="258">
        <f t="shared" si="20"/>
        <v>3868.52</v>
      </c>
      <c r="AV13" s="258">
        <f t="shared" si="21"/>
        <v>7761.48</v>
      </c>
      <c r="AW13" s="258">
        <f t="shared" si="7"/>
        <v>0</v>
      </c>
      <c r="AX13" s="258">
        <v>0</v>
      </c>
      <c r="AY13" s="258">
        <f t="shared" si="22"/>
        <v>3868.52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297934.89</v>
      </c>
      <c r="BH13" s="108">
        <f t="shared" si="31"/>
        <v>32</v>
      </c>
      <c r="BI13" s="108">
        <f t="shared" si="26"/>
        <v>32</v>
      </c>
      <c r="BJ13" s="22">
        <f t="shared" si="27"/>
        <v>44597</v>
      </c>
      <c r="BK13" s="108">
        <f t="shared" si="9"/>
        <v>0</v>
      </c>
      <c r="BN13" s="784" t="s">
        <v>92</v>
      </c>
      <c r="BO13" s="777" t="s">
        <v>85</v>
      </c>
      <c r="BP13" s="129" t="s">
        <v>90</v>
      </c>
    </row>
    <row r="14" spans="1:72" ht="19.5" customHeight="1" thickBot="1" x14ac:dyDescent="0.25">
      <c r="A14" s="819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335640</v>
      </c>
      <c r="T14" s="468"/>
      <c r="U14" s="198">
        <f>IF((U13-1)&lt;0,0,U13-1)</f>
        <v>31</v>
      </c>
      <c r="V14" s="36">
        <f t="shared" si="17"/>
        <v>31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0.14899999999999999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0.14899999999999999</v>
      </c>
      <c r="AS14" s="258">
        <f t="shared" si="19"/>
        <v>11630</v>
      </c>
      <c r="AT14" s="258">
        <f t="shared" si="6"/>
        <v>11630</v>
      </c>
      <c r="AU14" s="258">
        <f t="shared" si="20"/>
        <v>3405.44</v>
      </c>
      <c r="AV14" s="258">
        <f t="shared" si="21"/>
        <v>8224.56</v>
      </c>
      <c r="AW14" s="258">
        <f t="shared" si="7"/>
        <v>0</v>
      </c>
      <c r="AX14" s="258">
        <v>0</v>
      </c>
      <c r="AY14" s="258">
        <f t="shared" si="22"/>
        <v>3405.44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289710.33</v>
      </c>
      <c r="BH14" s="108">
        <f t="shared" si="31"/>
        <v>31</v>
      </c>
      <c r="BI14" s="108">
        <f t="shared" si="26"/>
        <v>31</v>
      </c>
      <c r="BJ14" s="22">
        <f t="shared" si="27"/>
        <v>44625</v>
      </c>
      <c r="BK14" s="108">
        <f t="shared" si="9"/>
        <v>0</v>
      </c>
      <c r="BN14" s="785"/>
      <c r="BO14" s="778"/>
      <c r="BP14" s="128" t="s">
        <v>93</v>
      </c>
    </row>
    <row r="15" spans="1:72" ht="20.25" customHeight="1" x14ac:dyDescent="0.2">
      <c r="A15" s="820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0.10899999999999999</v>
      </c>
      <c r="J15" s="242">
        <f t="shared" si="11"/>
        <v>11280</v>
      </c>
      <c r="K15" s="242">
        <f>IF(AND(G15&gt;=$W$9,G15&lt;=$W$9+5),$W$10,IF(S14+N15+L15&gt;K14,IF(AND($C$16="Да",$C$8&lt;&gt;"Нет"),$AF$37,$C$23),IF(S14=0,0,S14+N15+L15+L16)))</f>
        <v>11280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3107.2</v>
      </c>
      <c r="M15" s="242">
        <f t="shared" si="13"/>
        <v>8172.8</v>
      </c>
      <c r="N15" s="242">
        <f t="shared" si="3"/>
        <v>0</v>
      </c>
      <c r="O15" s="242">
        <v>0</v>
      </c>
      <c r="P15" s="242">
        <f t="shared" si="25"/>
        <v>3107.2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327467.2</v>
      </c>
      <c r="T15" s="467"/>
      <c r="U15" s="198">
        <f t="shared" si="29"/>
        <v>30</v>
      </c>
      <c r="V15" s="36">
        <f t="shared" si="17"/>
        <v>30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0.14899999999999999</v>
      </c>
      <c r="AS15" s="258">
        <f t="shared" si="19"/>
        <v>11630</v>
      </c>
      <c r="AT15" s="258">
        <f t="shared" si="6"/>
        <v>11630</v>
      </c>
      <c r="AU15" s="258">
        <f t="shared" si="20"/>
        <v>3666.22</v>
      </c>
      <c r="AV15" s="258">
        <f t="shared" si="21"/>
        <v>7963.7800000000007</v>
      </c>
      <c r="AW15" s="258">
        <f t="shared" si="7"/>
        <v>0</v>
      </c>
      <c r="AX15" s="258">
        <v>0</v>
      </c>
      <c r="AY15" s="258">
        <f t="shared" si="22"/>
        <v>3666.22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281746.55</v>
      </c>
      <c r="BH15" s="108">
        <f t="shared" si="31"/>
        <v>30</v>
      </c>
      <c r="BI15" s="108">
        <f t="shared" si="26"/>
        <v>30</v>
      </c>
      <c r="BJ15" s="22">
        <f t="shared" si="27"/>
        <v>44656</v>
      </c>
      <c r="BK15" s="108">
        <f t="shared" si="9"/>
        <v>11280</v>
      </c>
    </row>
    <row r="16" spans="1:72" ht="19.149999999999999" customHeight="1" x14ac:dyDescent="0.2">
      <c r="A16" s="821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0.10899999999999999</v>
      </c>
      <c r="J16" s="242">
        <f t="shared" si="11"/>
        <v>11280</v>
      </c>
      <c r="K16" s="242">
        <f t="shared" ref="K16:K32" si="35">IF(AND(G16&gt;=$W$9,G16&lt;=$W$9+5),$W$10,IF(AND(S15+N16+L16&gt;K15,K15&lt;&gt;0),IF(AND($C$16="Да",$C$8&lt;&gt;"Нет"),$AF$37,$C$23),IF(S15=0,0,S15+N16+L16+L17)))</f>
        <v>11280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2933.75</v>
      </c>
      <c r="M16" s="242">
        <f>IF(S15=0,0,IF(S15+N16+L16&gt;K15,K16-L16-N16,S15))</f>
        <v>8346.25</v>
      </c>
      <c r="N16" s="242">
        <f t="shared" si="3"/>
        <v>0</v>
      </c>
      <c r="O16" s="242">
        <v>0</v>
      </c>
      <c r="P16" s="242">
        <f t="shared" si="25"/>
        <v>2933.75</v>
      </c>
      <c r="Q16" s="242">
        <f t="shared" si="33"/>
        <v>0</v>
      </c>
      <c r="R16" s="242">
        <f t="shared" si="15"/>
        <v>0</v>
      </c>
      <c r="S16" s="242">
        <f t="shared" si="16"/>
        <v>319120.95</v>
      </c>
      <c r="T16" s="467"/>
      <c r="U16" s="198">
        <f t="shared" si="29"/>
        <v>29</v>
      </c>
      <c r="V16" s="36">
        <f t="shared" si="17"/>
        <v>29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0.14899999999999999</v>
      </c>
      <c r="AS16" s="258">
        <f t="shared" si="19"/>
        <v>11630</v>
      </c>
      <c r="AT16" s="258">
        <f t="shared" si="6"/>
        <v>11630</v>
      </c>
      <c r="AU16" s="258">
        <f t="shared" si="20"/>
        <v>3450.43</v>
      </c>
      <c r="AV16" s="258">
        <f t="shared" si="21"/>
        <v>8179.57</v>
      </c>
      <c r="AW16" s="258">
        <f t="shared" si="7"/>
        <v>0</v>
      </c>
      <c r="AX16" s="258">
        <v>0</v>
      </c>
      <c r="AY16" s="258">
        <f t="shared" si="22"/>
        <v>3450.43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273566.98</v>
      </c>
      <c r="BH16" s="108">
        <f t="shared" si="31"/>
        <v>29</v>
      </c>
      <c r="BI16" s="108">
        <f t="shared" si="26"/>
        <v>29</v>
      </c>
      <c r="BJ16" s="22">
        <f t="shared" si="27"/>
        <v>44686</v>
      </c>
      <c r="BK16" s="108">
        <f t="shared" si="9"/>
        <v>11280</v>
      </c>
    </row>
    <row r="17" spans="1:393" ht="19.899999999999999" customHeight="1" x14ac:dyDescent="0.2">
      <c r="A17" s="821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0.10899999999999999</v>
      </c>
      <c r="J17" s="242">
        <f t="shared" si="11"/>
        <v>11280</v>
      </c>
      <c r="K17" s="242">
        <f t="shared" si="35"/>
        <v>11280</v>
      </c>
      <c r="L17" s="242">
        <f t="shared" si="36"/>
        <v>2954.27</v>
      </c>
      <c r="M17" s="242">
        <f t="shared" si="13"/>
        <v>8325.73</v>
      </c>
      <c r="N17" s="242">
        <f t="shared" si="3"/>
        <v>0</v>
      </c>
      <c r="O17" s="242">
        <v>0</v>
      </c>
      <c r="P17" s="242">
        <f t="shared" si="25"/>
        <v>2954.27</v>
      </c>
      <c r="Q17" s="242">
        <f t="shared" si="33"/>
        <v>0</v>
      </c>
      <c r="R17" s="242">
        <f t="shared" si="15"/>
        <v>0</v>
      </c>
      <c r="S17" s="242">
        <f t="shared" si="16"/>
        <v>310795.22000000003</v>
      </c>
      <c r="T17" s="467"/>
      <c r="U17" s="198">
        <f t="shared" si="29"/>
        <v>28</v>
      </c>
      <c r="V17" s="36">
        <f t="shared" si="17"/>
        <v>28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0.14899999999999999</v>
      </c>
      <c r="AS17" s="258">
        <f t="shared" si="19"/>
        <v>11630</v>
      </c>
      <c r="AT17" s="258">
        <f t="shared" si="6"/>
        <v>11630</v>
      </c>
      <c r="AU17" s="258">
        <f t="shared" si="20"/>
        <v>3461.93</v>
      </c>
      <c r="AV17" s="258">
        <f t="shared" si="21"/>
        <v>8168.07</v>
      </c>
      <c r="AW17" s="258">
        <f t="shared" si="7"/>
        <v>0</v>
      </c>
      <c r="AX17" s="258">
        <v>0</v>
      </c>
      <c r="AY17" s="258">
        <f t="shared" si="22"/>
        <v>3461.93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265398.90999999997</v>
      </c>
      <c r="BH17" s="108">
        <f t="shared" si="31"/>
        <v>28</v>
      </c>
      <c r="BI17" s="108">
        <f t="shared" si="26"/>
        <v>28</v>
      </c>
      <c r="BJ17" s="22">
        <f t="shared" si="27"/>
        <v>44717</v>
      </c>
      <c r="BK17" s="108">
        <f t="shared" si="9"/>
        <v>11280</v>
      </c>
    </row>
    <row r="18" spans="1:393" ht="19.899999999999999" customHeight="1" x14ac:dyDescent="0.2">
      <c r="A18" s="821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0.10899999999999999</v>
      </c>
      <c r="J18" s="242">
        <f t="shared" si="11"/>
        <v>11280</v>
      </c>
      <c r="K18" s="242">
        <f t="shared" si="35"/>
        <v>11280</v>
      </c>
      <c r="L18" s="242">
        <f t="shared" si="36"/>
        <v>2784.38</v>
      </c>
      <c r="M18" s="242">
        <f t="shared" si="13"/>
        <v>8495.619999999999</v>
      </c>
      <c r="N18" s="242">
        <f t="shared" si="3"/>
        <v>0</v>
      </c>
      <c r="O18" s="242">
        <v>0</v>
      </c>
      <c r="P18" s="242">
        <f t="shared" si="25"/>
        <v>2784.38</v>
      </c>
      <c r="Q18" s="242">
        <f t="shared" si="33"/>
        <v>0</v>
      </c>
      <c r="R18" s="242">
        <f t="shared" si="15"/>
        <v>0</v>
      </c>
      <c r="S18" s="242">
        <f t="shared" si="16"/>
        <v>302299.60000000003</v>
      </c>
      <c r="T18" s="467"/>
      <c r="U18" s="198">
        <f t="shared" si="29"/>
        <v>27</v>
      </c>
      <c r="V18" s="36">
        <f t="shared" si="17"/>
        <v>27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0.14899999999999999</v>
      </c>
      <c r="AS18" s="258">
        <f t="shared" si="19"/>
        <v>11630</v>
      </c>
      <c r="AT18" s="258">
        <f t="shared" si="6"/>
        <v>11630</v>
      </c>
      <c r="AU18" s="258">
        <f t="shared" si="20"/>
        <v>3250.23</v>
      </c>
      <c r="AV18" s="258">
        <f t="shared" si="21"/>
        <v>8379.77</v>
      </c>
      <c r="AW18" s="258">
        <f t="shared" si="7"/>
        <v>0</v>
      </c>
      <c r="AX18" s="258">
        <v>0</v>
      </c>
      <c r="AY18" s="258">
        <f t="shared" si="22"/>
        <v>3250.23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257019.13999999998</v>
      </c>
      <c r="BH18" s="108">
        <f t="shared" si="31"/>
        <v>27</v>
      </c>
      <c r="BI18" s="108">
        <f t="shared" si="26"/>
        <v>27</v>
      </c>
      <c r="BJ18" s="22">
        <f t="shared" si="27"/>
        <v>44747</v>
      </c>
      <c r="BK18" s="108">
        <f t="shared" si="9"/>
        <v>11280</v>
      </c>
    </row>
    <row r="19" spans="1:393" ht="28.15" customHeight="1" x14ac:dyDescent="0.2">
      <c r="A19" s="807" t="s">
        <v>303</v>
      </c>
      <c r="B19" s="807"/>
      <c r="C19" s="807"/>
      <c r="D19" s="807"/>
      <c r="E19" s="807"/>
      <c r="F19" s="233"/>
      <c r="G19" s="244">
        <f t="shared" si="28"/>
        <v>11</v>
      </c>
      <c r="H19" s="245">
        <f t="shared" si="1"/>
        <v>44778</v>
      </c>
      <c r="I19" s="246">
        <f t="shared" si="32"/>
        <v>0.10899999999999999</v>
      </c>
      <c r="J19" s="242">
        <f t="shared" si="11"/>
        <v>11280</v>
      </c>
      <c r="K19" s="242">
        <f t="shared" si="35"/>
        <v>11280</v>
      </c>
      <c r="L19" s="242">
        <f t="shared" si="36"/>
        <v>2798.55</v>
      </c>
      <c r="M19" s="242">
        <f t="shared" si="13"/>
        <v>8481.4500000000007</v>
      </c>
      <c r="N19" s="242">
        <f t="shared" si="3"/>
        <v>0</v>
      </c>
      <c r="O19" s="242">
        <v>0</v>
      </c>
      <c r="P19" s="242">
        <f t="shared" si="25"/>
        <v>2798.55</v>
      </c>
      <c r="Q19" s="242">
        <f t="shared" si="33"/>
        <v>0</v>
      </c>
      <c r="R19" s="242">
        <f t="shared" si="15"/>
        <v>0</v>
      </c>
      <c r="S19" s="242">
        <f t="shared" si="16"/>
        <v>293818.15000000002</v>
      </c>
      <c r="T19" s="467"/>
      <c r="U19" s="198">
        <f>IF((U18-1)&lt;0,0,U18-1)</f>
        <v>26</v>
      </c>
      <c r="V19" s="36">
        <f t="shared" si="17"/>
        <v>26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0.14899999999999999</v>
      </c>
      <c r="AS19" s="258">
        <f t="shared" si="19"/>
        <v>11630</v>
      </c>
      <c r="AT19" s="258">
        <f t="shared" si="6"/>
        <v>11630</v>
      </c>
      <c r="AU19" s="258">
        <f t="shared" si="20"/>
        <v>3252.52</v>
      </c>
      <c r="AV19" s="258">
        <f t="shared" si="21"/>
        <v>8377.48</v>
      </c>
      <c r="AW19" s="258">
        <f t="shared" si="7"/>
        <v>0</v>
      </c>
      <c r="AX19" s="258">
        <v>0</v>
      </c>
      <c r="AY19" s="258">
        <f t="shared" si="22"/>
        <v>3252.52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248641.65999999997</v>
      </c>
      <c r="BH19" s="108">
        <f t="shared" si="31"/>
        <v>26</v>
      </c>
      <c r="BI19" s="108">
        <f t="shared" si="26"/>
        <v>26</v>
      </c>
      <c r="BJ19" s="22">
        <f t="shared" si="27"/>
        <v>44778</v>
      </c>
      <c r="BK19" s="108">
        <f t="shared" si="9"/>
        <v>11280</v>
      </c>
    </row>
    <row r="20" spans="1:393" ht="16.899999999999999" customHeight="1" thickBot="1" x14ac:dyDescent="0.25">
      <c r="A20" s="817" t="s">
        <v>309</v>
      </c>
      <c r="B20" s="817"/>
      <c r="C20" s="817"/>
      <c r="D20" s="817"/>
      <c r="E20" s="817"/>
      <c r="F20" s="224"/>
      <c r="G20" s="248">
        <f t="shared" si="28"/>
        <v>12</v>
      </c>
      <c r="H20" s="249">
        <f t="shared" si="1"/>
        <v>44809</v>
      </c>
      <c r="I20" s="246">
        <f t="shared" si="32"/>
        <v>0.10899999999999999</v>
      </c>
      <c r="J20" s="252">
        <f t="shared" si="11"/>
        <v>11280</v>
      </c>
      <c r="K20" s="252">
        <f t="shared" si="35"/>
        <v>11280</v>
      </c>
      <c r="L20" s="252">
        <f t="shared" si="36"/>
        <v>2720.03</v>
      </c>
      <c r="M20" s="252">
        <f t="shared" si="13"/>
        <v>8559.9699999999993</v>
      </c>
      <c r="N20" s="252">
        <f t="shared" si="3"/>
        <v>0</v>
      </c>
      <c r="O20" s="252">
        <v>0</v>
      </c>
      <c r="P20" s="252">
        <f t="shared" si="25"/>
        <v>2720.03</v>
      </c>
      <c r="Q20" s="252">
        <f t="shared" si="33"/>
        <v>0</v>
      </c>
      <c r="R20" s="252">
        <f t="shared" si="15"/>
        <v>0</v>
      </c>
      <c r="S20" s="252">
        <f t="shared" si="16"/>
        <v>285258.18000000005</v>
      </c>
      <c r="T20" s="468"/>
      <c r="U20" s="198">
        <f>IF((U19-1)&lt;0,0,U19-1)</f>
        <v>25</v>
      </c>
      <c r="V20" s="36">
        <f t="shared" si="17"/>
        <v>25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0.14899999999999999</v>
      </c>
      <c r="AS20" s="258">
        <f t="shared" si="19"/>
        <v>11630</v>
      </c>
      <c r="AT20" s="258">
        <f t="shared" si="6"/>
        <v>11630</v>
      </c>
      <c r="AU20" s="258">
        <f t="shared" si="20"/>
        <v>3146.51</v>
      </c>
      <c r="AV20" s="258">
        <f t="shared" si="21"/>
        <v>8483.49</v>
      </c>
      <c r="AW20" s="258">
        <f t="shared" si="7"/>
        <v>0</v>
      </c>
      <c r="AX20" s="258">
        <v>0</v>
      </c>
      <c r="AY20" s="258">
        <f t="shared" si="22"/>
        <v>3146.51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240158.16999999998</v>
      </c>
      <c r="BH20" s="108">
        <f t="shared" si="31"/>
        <v>25</v>
      </c>
      <c r="BI20" s="108">
        <f t="shared" si="26"/>
        <v>25</v>
      </c>
      <c r="BJ20" s="22">
        <f t="shared" si="27"/>
        <v>44809</v>
      </c>
      <c r="BK20" s="108">
        <f t="shared" si="9"/>
        <v>11280</v>
      </c>
    </row>
    <row r="21" spans="1:393" ht="38.25" customHeight="1" x14ac:dyDescent="0.2">
      <c r="A21" s="872" t="s">
        <v>174</v>
      </c>
      <c r="B21" s="872"/>
      <c r="C21" s="873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0.10899999999999999</v>
      </c>
      <c r="J21" s="242">
        <f>K21+Q21</f>
        <v>11280</v>
      </c>
      <c r="K21" s="242">
        <f t="shared" si="35"/>
        <v>11280</v>
      </c>
      <c r="L21" s="242">
        <f t="shared" si="36"/>
        <v>2555.6</v>
      </c>
      <c r="M21" s="242">
        <f t="shared" si="13"/>
        <v>8724.4</v>
      </c>
      <c r="N21" s="242">
        <f t="shared" si="3"/>
        <v>0</v>
      </c>
      <c r="O21" s="242">
        <v>0</v>
      </c>
      <c r="P21" s="242">
        <f t="shared" si="25"/>
        <v>2555.6</v>
      </c>
      <c r="Q21" s="242">
        <f t="shared" si="33"/>
        <v>0</v>
      </c>
      <c r="R21" s="242">
        <f t="shared" si="15"/>
        <v>0</v>
      </c>
      <c r="S21" s="242">
        <f t="shared" si="16"/>
        <v>276533.78000000003</v>
      </c>
      <c r="T21" s="467"/>
      <c r="U21" s="198">
        <f>IF((U20-1)&lt;0,0,U20-1)</f>
        <v>24</v>
      </c>
      <c r="V21" s="36">
        <f t="shared" si="17"/>
        <v>24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0.14899999999999999</v>
      </c>
      <c r="AS21" s="258">
        <f t="shared" si="19"/>
        <v>11630</v>
      </c>
      <c r="AT21" s="258">
        <f t="shared" si="6"/>
        <v>11630</v>
      </c>
      <c r="AU21" s="258">
        <f t="shared" si="20"/>
        <v>2941.12</v>
      </c>
      <c r="AV21" s="258">
        <f t="shared" si="21"/>
        <v>8688.880000000001</v>
      </c>
      <c r="AW21" s="258">
        <f t="shared" si="7"/>
        <v>0</v>
      </c>
      <c r="AX21" s="258">
        <v>0</v>
      </c>
      <c r="AY21" s="258">
        <f t="shared" si="22"/>
        <v>2941.12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231469.28999999998</v>
      </c>
      <c r="BH21" s="108">
        <f t="shared" si="31"/>
        <v>24</v>
      </c>
      <c r="BI21" s="108">
        <f t="shared" si="26"/>
        <v>24</v>
      </c>
      <c r="BJ21" s="22">
        <f t="shared" si="27"/>
        <v>44839</v>
      </c>
      <c r="BK21" s="108">
        <f t="shared" si="9"/>
        <v>11280</v>
      </c>
    </row>
    <row r="22" spans="1:393" ht="34.15" customHeight="1" x14ac:dyDescent="0.2">
      <c r="A22" s="810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810"/>
      <c r="C22" s="516">
        <f>$C$7+(IF($C$8="Нет",0,IF($C$24&lt;&gt;"",$C$24,0))+IF(C14="Нет",0,IF(C14="Да",C15,0)))</f>
        <v>335640</v>
      </c>
      <c r="D22" s="473">
        <f>$C$7+(IF($D$8="Нет",0,IF($D$24&lt;&gt;"",$D$24,0))+IF(D14="Нет",0,IF(D14="Да",D15,0)))</f>
        <v>335640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0.10899999999999999</v>
      </c>
      <c r="J22" s="242">
        <f t="shared" si="11"/>
        <v>11280</v>
      </c>
      <c r="K22" s="242">
        <f t="shared" si="35"/>
        <v>11280</v>
      </c>
      <c r="L22" s="242">
        <f t="shared" si="36"/>
        <v>2560.02</v>
      </c>
      <c r="M22" s="242">
        <f t="shared" si="13"/>
        <v>8719.98</v>
      </c>
      <c r="N22" s="242">
        <f t="shared" si="3"/>
        <v>0</v>
      </c>
      <c r="O22" s="242">
        <v>0</v>
      </c>
      <c r="P22" s="242">
        <f t="shared" si="25"/>
        <v>2560.02</v>
      </c>
      <c r="Q22" s="242">
        <f t="shared" si="33"/>
        <v>0</v>
      </c>
      <c r="R22" s="242">
        <f t="shared" si="15"/>
        <v>0</v>
      </c>
      <c r="S22" s="242">
        <f t="shared" si="16"/>
        <v>267813.80000000005</v>
      </c>
      <c r="T22" s="467"/>
      <c r="U22" s="198">
        <f t="shared" si="29"/>
        <v>23</v>
      </c>
      <c r="V22" s="36">
        <f t="shared" si="17"/>
        <v>23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0.14899999999999999</v>
      </c>
      <c r="AS22" s="258">
        <f t="shared" si="19"/>
        <v>11630</v>
      </c>
      <c r="AT22" s="258">
        <f t="shared" si="6"/>
        <v>11630</v>
      </c>
      <c r="AU22" s="258">
        <f t="shared" si="20"/>
        <v>2929.2</v>
      </c>
      <c r="AV22" s="258">
        <f t="shared" si="21"/>
        <v>8700.7999999999993</v>
      </c>
      <c r="AW22" s="258">
        <f t="shared" si="7"/>
        <v>0</v>
      </c>
      <c r="AX22" s="258">
        <v>0</v>
      </c>
      <c r="AY22" s="258">
        <f t="shared" si="22"/>
        <v>2929.2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222768.49</v>
      </c>
      <c r="BH22" s="108">
        <f t="shared" si="31"/>
        <v>23</v>
      </c>
      <c r="BI22" s="108">
        <f t="shared" si="26"/>
        <v>23</v>
      </c>
      <c r="BJ22" s="22">
        <f t="shared" si="27"/>
        <v>44870</v>
      </c>
      <c r="BK22" s="108">
        <f t="shared" si="9"/>
        <v>11280</v>
      </c>
    </row>
    <row r="23" spans="1:393" ht="19.149999999999999" customHeight="1" x14ac:dyDescent="0.2">
      <c r="A23" s="769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769"/>
      <c r="C23" s="516">
        <f>ROUNDUP(AH36/AH33*C22/AG47,0)*AG47</f>
        <v>11630</v>
      </c>
      <c r="D23" s="473">
        <f>ROUNDUP(AI36/AH33*D22/AG47,0)*AG47</f>
        <v>11630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0.10899999999999999</v>
      </c>
      <c r="J23" s="242">
        <f t="shared" si="11"/>
        <v>11280</v>
      </c>
      <c r="K23" s="242">
        <f t="shared" si="35"/>
        <v>11280</v>
      </c>
      <c r="L23" s="242">
        <f t="shared" si="36"/>
        <v>2399.3200000000002</v>
      </c>
      <c r="M23" s="242">
        <f t="shared" si="13"/>
        <v>8880.68</v>
      </c>
      <c r="N23" s="242">
        <f t="shared" si="3"/>
        <v>0</v>
      </c>
      <c r="O23" s="242">
        <v>0</v>
      </c>
      <c r="P23" s="242">
        <f t="shared" si="25"/>
        <v>2399.3200000000002</v>
      </c>
      <c r="Q23" s="242">
        <f t="shared" si="33"/>
        <v>0</v>
      </c>
      <c r="R23" s="242">
        <f t="shared" si="15"/>
        <v>0</v>
      </c>
      <c r="S23" s="242">
        <f t="shared" si="16"/>
        <v>258933.12000000005</v>
      </c>
      <c r="T23" s="467"/>
      <c r="U23" s="198">
        <f t="shared" si="29"/>
        <v>22</v>
      </c>
      <c r="V23" s="36">
        <f t="shared" si="17"/>
        <v>22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0.14899999999999999</v>
      </c>
      <c r="AS23" s="258">
        <f t="shared" si="19"/>
        <v>11630</v>
      </c>
      <c r="AT23" s="258">
        <f t="shared" si="6"/>
        <v>11630</v>
      </c>
      <c r="AU23" s="258">
        <f t="shared" si="20"/>
        <v>2728.15</v>
      </c>
      <c r="AV23" s="258">
        <f t="shared" si="21"/>
        <v>8901.85</v>
      </c>
      <c r="AW23" s="258">
        <f t="shared" si="7"/>
        <v>0</v>
      </c>
      <c r="AX23" s="258">
        <v>0</v>
      </c>
      <c r="AY23" s="258">
        <f t="shared" si="22"/>
        <v>2728.15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213866.63999999998</v>
      </c>
      <c r="BH23" s="108">
        <f t="shared" si="31"/>
        <v>22</v>
      </c>
      <c r="BI23" s="108">
        <f t="shared" si="26"/>
        <v>22</v>
      </c>
      <c r="BJ23" s="22">
        <f t="shared" si="27"/>
        <v>44900</v>
      </c>
      <c r="BK23" s="108">
        <f t="shared" si="9"/>
        <v>11280</v>
      </c>
    </row>
    <row r="24" spans="1:393" ht="18" customHeight="1" x14ac:dyDescent="0.2">
      <c r="A24" s="763" t="s">
        <v>285</v>
      </c>
      <c r="B24" s="763"/>
      <c r="C24" s="508">
        <f>IF(C8="Гарантия пакет",(AH65*AH79+AI65*AI79),INDEX($AC$79:$AI$79,MATCH(C$8,$AC$59:$AJ$59,0))*C25)*$C$10</f>
        <v>35640</v>
      </c>
      <c r="D24" s="473">
        <f>IF(D8="Гарантия пакет",(AH65*AH79+AI65*AI79),INDEX($AC$79:$AI$79,MATCH(D$8,$AC$59:$AJ$59,0))*D25)*$C$10</f>
        <v>35640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0.10899999999999999</v>
      </c>
      <c r="J24" s="242">
        <f t="shared" si="11"/>
        <v>11280</v>
      </c>
      <c r="K24" s="242">
        <f t="shared" si="35"/>
        <v>11280</v>
      </c>
      <c r="L24" s="242">
        <f t="shared" si="36"/>
        <v>2397.08</v>
      </c>
      <c r="M24" s="242">
        <f t="shared" si="13"/>
        <v>8882.92</v>
      </c>
      <c r="N24" s="242">
        <f t="shared" si="3"/>
        <v>0</v>
      </c>
      <c r="O24" s="242">
        <v>0</v>
      </c>
      <c r="P24" s="242">
        <f t="shared" si="25"/>
        <v>2397.08</v>
      </c>
      <c r="Q24" s="242">
        <f t="shared" si="33"/>
        <v>0</v>
      </c>
      <c r="R24" s="242">
        <f t="shared" si="15"/>
        <v>0</v>
      </c>
      <c r="S24" s="242">
        <f t="shared" si="16"/>
        <v>250050.20000000004</v>
      </c>
      <c r="T24" s="467"/>
      <c r="U24" s="198">
        <f t="shared" si="29"/>
        <v>21</v>
      </c>
      <c r="V24" s="36">
        <f t="shared" si="17"/>
        <v>21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0.14899999999999999</v>
      </c>
      <c r="AS24" s="258">
        <f t="shared" si="19"/>
        <v>11630</v>
      </c>
      <c r="AT24" s="258">
        <f t="shared" si="6"/>
        <v>11630</v>
      </c>
      <c r="AU24" s="258">
        <f t="shared" si="20"/>
        <v>2706.44</v>
      </c>
      <c r="AV24" s="258">
        <f t="shared" si="21"/>
        <v>8923.56</v>
      </c>
      <c r="AW24" s="258">
        <f t="shared" si="7"/>
        <v>0</v>
      </c>
      <c r="AX24" s="258">
        <v>0</v>
      </c>
      <c r="AY24" s="258">
        <f t="shared" si="22"/>
        <v>2706.44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204943.08</v>
      </c>
      <c r="BH24" s="108">
        <f t="shared" si="31"/>
        <v>21</v>
      </c>
      <c r="BI24" s="108">
        <f t="shared" si="26"/>
        <v>21</v>
      </c>
      <c r="BJ24" s="22">
        <f t="shared" si="27"/>
        <v>44931</v>
      </c>
      <c r="BK24" s="108">
        <f t="shared" si="9"/>
        <v>11280</v>
      </c>
    </row>
    <row r="25" spans="1:393" ht="18" customHeight="1" x14ac:dyDescent="0.2">
      <c r="A25" s="763" t="s">
        <v>100</v>
      </c>
      <c r="B25" s="804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0.10899999999999999</v>
      </c>
      <c r="J25" s="242">
        <f t="shared" si="11"/>
        <v>11280</v>
      </c>
      <c r="K25" s="242">
        <f t="shared" si="35"/>
        <v>11280</v>
      </c>
      <c r="L25" s="242">
        <f t="shared" si="36"/>
        <v>2314.85</v>
      </c>
      <c r="M25" s="242">
        <f t="shared" si="13"/>
        <v>8965.15</v>
      </c>
      <c r="N25" s="242">
        <f t="shared" si="3"/>
        <v>0</v>
      </c>
      <c r="O25" s="242">
        <v>0</v>
      </c>
      <c r="P25" s="242">
        <f t="shared" si="25"/>
        <v>2314.85</v>
      </c>
      <c r="Q25" s="242">
        <f t="shared" si="33"/>
        <v>0</v>
      </c>
      <c r="R25" s="242">
        <f t="shared" si="15"/>
        <v>0</v>
      </c>
      <c r="S25" s="242">
        <f t="shared" si="16"/>
        <v>241085.05000000005</v>
      </c>
      <c r="T25" s="467"/>
      <c r="U25" s="198">
        <f t="shared" si="29"/>
        <v>20</v>
      </c>
      <c r="V25" s="36">
        <f t="shared" si="17"/>
        <v>20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0.14899999999999999</v>
      </c>
      <c r="AS25" s="258">
        <f t="shared" si="19"/>
        <v>11630</v>
      </c>
      <c r="AT25" s="258">
        <f t="shared" si="6"/>
        <v>11630</v>
      </c>
      <c r="AU25" s="258">
        <f t="shared" si="20"/>
        <v>2593.5100000000002</v>
      </c>
      <c r="AV25" s="258">
        <f t="shared" si="21"/>
        <v>9036.49</v>
      </c>
      <c r="AW25" s="258">
        <f t="shared" si="7"/>
        <v>0</v>
      </c>
      <c r="AX25" s="258">
        <v>0</v>
      </c>
      <c r="AY25" s="258">
        <f t="shared" si="22"/>
        <v>2593.5100000000002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195906.59</v>
      </c>
      <c r="BH25" s="108">
        <f t="shared" si="31"/>
        <v>20</v>
      </c>
      <c r="BI25" s="108">
        <f t="shared" si="26"/>
        <v>20</v>
      </c>
      <c r="BJ25" s="22">
        <f t="shared" si="27"/>
        <v>44962</v>
      </c>
      <c r="BK25" s="108">
        <f t="shared" si="9"/>
        <v>11280</v>
      </c>
    </row>
    <row r="26" spans="1:393" ht="18" customHeight="1" x14ac:dyDescent="0.2">
      <c r="A26" s="763" t="s">
        <v>325</v>
      </c>
      <c r="B26" s="763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0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0.10899999999999999</v>
      </c>
      <c r="J26" s="242">
        <f t="shared" si="11"/>
        <v>11280</v>
      </c>
      <c r="K26" s="242">
        <f t="shared" si="35"/>
        <v>11280</v>
      </c>
      <c r="L26" s="242">
        <f t="shared" si="36"/>
        <v>2015.87</v>
      </c>
      <c r="M26" s="242">
        <f t="shared" si="13"/>
        <v>9264.130000000001</v>
      </c>
      <c r="N26" s="242">
        <f t="shared" si="3"/>
        <v>0</v>
      </c>
      <c r="O26" s="242">
        <v>0</v>
      </c>
      <c r="P26" s="242">
        <f t="shared" si="25"/>
        <v>2015.87</v>
      </c>
      <c r="Q26" s="242">
        <f t="shared" si="33"/>
        <v>0</v>
      </c>
      <c r="R26" s="242">
        <f t="shared" si="15"/>
        <v>0</v>
      </c>
      <c r="S26" s="242">
        <f t="shared" si="16"/>
        <v>231820.92000000004</v>
      </c>
      <c r="T26" s="467"/>
      <c r="U26" s="198">
        <f t="shared" si="29"/>
        <v>19</v>
      </c>
      <c r="V26" s="36">
        <f t="shared" si="17"/>
        <v>19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0.14899999999999999</v>
      </c>
      <c r="AS26" s="258">
        <f t="shared" si="19"/>
        <v>11630</v>
      </c>
      <c r="AT26" s="258">
        <f t="shared" si="6"/>
        <v>11630</v>
      </c>
      <c r="AU26" s="258">
        <f t="shared" si="20"/>
        <v>2239.2399999999998</v>
      </c>
      <c r="AV26" s="258">
        <f t="shared" si="21"/>
        <v>9390.76</v>
      </c>
      <c r="AW26" s="258">
        <f t="shared" si="7"/>
        <v>0</v>
      </c>
      <c r="AX26" s="258">
        <v>0</v>
      </c>
      <c r="AY26" s="258">
        <f t="shared" si="22"/>
        <v>2239.2399999999998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186515.83</v>
      </c>
      <c r="BH26" s="108">
        <f t="shared" si="31"/>
        <v>19</v>
      </c>
      <c r="BI26" s="108">
        <f t="shared" si="26"/>
        <v>19</v>
      </c>
      <c r="BJ26" s="22">
        <f t="shared" si="27"/>
        <v>44990</v>
      </c>
      <c r="BK26" s="108">
        <f t="shared" si="9"/>
        <v>11280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63" t="s">
        <v>310</v>
      </c>
      <c r="B27" s="763"/>
      <c r="C27" s="508">
        <f>C24/$C$10</f>
        <v>990</v>
      </c>
      <c r="D27" s="473">
        <f>D24/$C$10</f>
        <v>990</v>
      </c>
      <c r="E27" s="226">
        <f t="shared" si="40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0.10899999999999999</v>
      </c>
      <c r="J27" s="242">
        <f t="shared" si="11"/>
        <v>11280</v>
      </c>
      <c r="K27" s="242">
        <f t="shared" si="35"/>
        <v>11280</v>
      </c>
      <c r="L27" s="242">
        <f t="shared" si="36"/>
        <v>2146.09</v>
      </c>
      <c r="M27" s="242">
        <f t="shared" si="13"/>
        <v>9133.91</v>
      </c>
      <c r="N27" s="242">
        <f t="shared" si="3"/>
        <v>0</v>
      </c>
      <c r="O27" s="242">
        <v>0</v>
      </c>
      <c r="P27" s="242">
        <f t="shared" si="25"/>
        <v>2146.09</v>
      </c>
      <c r="Q27" s="242">
        <f t="shared" si="33"/>
        <v>0</v>
      </c>
      <c r="R27" s="242">
        <f t="shared" si="15"/>
        <v>0</v>
      </c>
      <c r="S27" s="242">
        <f t="shared" si="16"/>
        <v>222687.01000000004</v>
      </c>
      <c r="T27" s="467"/>
      <c r="U27" s="198">
        <f t="shared" si="29"/>
        <v>18</v>
      </c>
      <c r="V27" s="36">
        <f t="shared" si="17"/>
        <v>18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0.14899999999999999</v>
      </c>
      <c r="AS27" s="258">
        <f t="shared" si="19"/>
        <v>11630</v>
      </c>
      <c r="AT27" s="258">
        <f t="shared" si="6"/>
        <v>11630</v>
      </c>
      <c r="AU27" s="258">
        <f t="shared" si="20"/>
        <v>2360.3200000000002</v>
      </c>
      <c r="AV27" s="258">
        <f t="shared" si="21"/>
        <v>9269.68</v>
      </c>
      <c r="AW27" s="258">
        <f t="shared" si="7"/>
        <v>0</v>
      </c>
      <c r="AX27" s="258">
        <v>0</v>
      </c>
      <c r="AY27" s="258">
        <f t="shared" si="22"/>
        <v>2360.3200000000002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177246.15</v>
      </c>
      <c r="BH27" s="108">
        <f t="shared" si="31"/>
        <v>18</v>
      </c>
      <c r="BI27" s="108">
        <f t="shared" si="26"/>
        <v>18</v>
      </c>
      <c r="BJ27" s="22">
        <f t="shared" si="27"/>
        <v>45021</v>
      </c>
      <c r="BK27" s="108">
        <f t="shared" si="9"/>
        <v>11280</v>
      </c>
    </row>
    <row r="28" spans="1:393" ht="22.5" customHeight="1" x14ac:dyDescent="0.2">
      <c r="A28" s="763" t="s">
        <v>311</v>
      </c>
      <c r="B28" s="763"/>
      <c r="C28" s="354">
        <f>ROUND($C$27/30.4,2)</f>
        <v>32.57</v>
      </c>
      <c r="D28" s="473">
        <f>ROUND($D$27/30.4,2)</f>
        <v>32.57</v>
      </c>
      <c r="E28" s="226">
        <f t="shared" si="40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0.10899999999999999</v>
      </c>
      <c r="J28" s="242">
        <f t="shared" si="11"/>
        <v>11280</v>
      </c>
      <c r="K28" s="242">
        <f t="shared" si="35"/>
        <v>11280</v>
      </c>
      <c r="L28" s="242">
        <f t="shared" si="36"/>
        <v>1995.03</v>
      </c>
      <c r="M28" s="242">
        <f t="shared" si="13"/>
        <v>9284.9699999999993</v>
      </c>
      <c r="N28" s="242">
        <f t="shared" si="3"/>
        <v>0</v>
      </c>
      <c r="O28" s="242">
        <v>0</v>
      </c>
      <c r="P28" s="242">
        <f t="shared" si="25"/>
        <v>1995.03</v>
      </c>
      <c r="Q28" s="242">
        <f t="shared" si="33"/>
        <v>0</v>
      </c>
      <c r="R28" s="242">
        <f t="shared" si="15"/>
        <v>0</v>
      </c>
      <c r="S28" s="242">
        <f t="shared" si="16"/>
        <v>213402.04000000004</v>
      </c>
      <c r="T28" s="467"/>
      <c r="U28" s="198">
        <f t="shared" si="29"/>
        <v>17</v>
      </c>
      <c r="V28" s="36">
        <f t="shared" si="17"/>
        <v>17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0.14899999999999999</v>
      </c>
      <c r="AS28" s="258">
        <f t="shared" si="19"/>
        <v>11630</v>
      </c>
      <c r="AT28" s="258">
        <f t="shared" si="6"/>
        <v>11630</v>
      </c>
      <c r="AU28" s="258">
        <f t="shared" si="20"/>
        <v>2170.66</v>
      </c>
      <c r="AV28" s="258">
        <f t="shared" si="21"/>
        <v>9459.34</v>
      </c>
      <c r="AW28" s="258">
        <f t="shared" si="7"/>
        <v>0</v>
      </c>
      <c r="AX28" s="258">
        <v>0</v>
      </c>
      <c r="AY28" s="258">
        <f t="shared" si="22"/>
        <v>2170.66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167786.81</v>
      </c>
      <c r="BH28" s="108">
        <f t="shared" si="31"/>
        <v>17</v>
      </c>
      <c r="BI28" s="108">
        <f t="shared" si="26"/>
        <v>17</v>
      </c>
      <c r="BJ28" s="22">
        <f t="shared" si="27"/>
        <v>45051</v>
      </c>
      <c r="BK28" s="108">
        <f t="shared" si="9"/>
        <v>11280</v>
      </c>
    </row>
    <row r="29" spans="1:393" ht="19.5" customHeight="1" x14ac:dyDescent="0.25">
      <c r="A29" s="763" t="s">
        <v>75</v>
      </c>
      <c r="B29" s="763"/>
      <c r="C29" s="194">
        <f>L109</f>
        <v>57590.689999999988</v>
      </c>
      <c r="D29" s="473">
        <f>AU109</f>
        <v>83085.429999999993</v>
      </c>
      <c r="E29" s="274">
        <f t="shared" si="40"/>
        <v>-25494.740000000005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0.10899999999999999</v>
      </c>
      <c r="J29" s="242">
        <f t="shared" si="11"/>
        <v>11280</v>
      </c>
      <c r="K29" s="242">
        <f t="shared" si="35"/>
        <v>11280</v>
      </c>
      <c r="L29" s="242">
        <f t="shared" si="36"/>
        <v>1975.58</v>
      </c>
      <c r="M29" s="242">
        <f t="shared" si="13"/>
        <v>9304.42</v>
      </c>
      <c r="N29" s="242">
        <f t="shared" si="3"/>
        <v>0</v>
      </c>
      <c r="O29" s="242">
        <v>0</v>
      </c>
      <c r="P29" s="242">
        <f t="shared" si="25"/>
        <v>1975.58</v>
      </c>
      <c r="Q29" s="242">
        <f t="shared" si="33"/>
        <v>0</v>
      </c>
      <c r="R29" s="242">
        <f t="shared" si="15"/>
        <v>0</v>
      </c>
      <c r="S29" s="242">
        <f t="shared" si="16"/>
        <v>204097.62000000002</v>
      </c>
      <c r="T29" s="467"/>
      <c r="U29" s="198">
        <f t="shared" si="29"/>
        <v>16</v>
      </c>
      <c r="V29" s="36">
        <f t="shared" si="17"/>
        <v>16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0.14899999999999999</v>
      </c>
      <c r="AS29" s="258">
        <f t="shared" si="19"/>
        <v>11630</v>
      </c>
      <c r="AT29" s="258">
        <f t="shared" si="6"/>
        <v>11630</v>
      </c>
      <c r="AU29" s="258">
        <f t="shared" si="20"/>
        <v>2123.31</v>
      </c>
      <c r="AV29" s="258">
        <f t="shared" si="21"/>
        <v>9506.69</v>
      </c>
      <c r="AW29" s="258">
        <f t="shared" si="7"/>
        <v>0</v>
      </c>
      <c r="AX29" s="258">
        <v>0</v>
      </c>
      <c r="AY29" s="258">
        <f t="shared" si="22"/>
        <v>2123.31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158280.12</v>
      </c>
      <c r="BH29" s="108">
        <f t="shared" si="31"/>
        <v>16</v>
      </c>
      <c r="BI29" s="108">
        <f t="shared" si="26"/>
        <v>16</v>
      </c>
      <c r="BJ29" s="22">
        <f t="shared" si="27"/>
        <v>45082</v>
      </c>
      <c r="BK29" s="108">
        <f t="shared" si="9"/>
        <v>11280</v>
      </c>
    </row>
    <row r="30" spans="1:393" ht="17.25" customHeight="1" x14ac:dyDescent="0.25">
      <c r="A30" s="763" t="s">
        <v>290</v>
      </c>
      <c r="B30" s="763"/>
      <c r="C30" s="194">
        <f>IF(C18="",0,C18*6)</f>
        <v>42000</v>
      </c>
      <c r="D30" s="473">
        <f>IF(D18="",0,D18*12)</f>
        <v>0</v>
      </c>
      <c r="E30" s="274">
        <f t="shared" si="40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0.10899999999999999</v>
      </c>
      <c r="J30" s="242">
        <f t="shared" si="11"/>
        <v>11280</v>
      </c>
      <c r="K30" s="242">
        <f t="shared" si="35"/>
        <v>11280</v>
      </c>
      <c r="L30" s="242">
        <f t="shared" si="36"/>
        <v>1828.49</v>
      </c>
      <c r="M30" s="242">
        <f t="shared" si="13"/>
        <v>9451.51</v>
      </c>
      <c r="N30" s="242">
        <f t="shared" si="3"/>
        <v>0</v>
      </c>
      <c r="O30" s="242">
        <v>0</v>
      </c>
      <c r="P30" s="242">
        <f t="shared" si="25"/>
        <v>1828.49</v>
      </c>
      <c r="Q30" s="242">
        <f t="shared" si="33"/>
        <v>0</v>
      </c>
      <c r="R30" s="242">
        <f t="shared" si="15"/>
        <v>0</v>
      </c>
      <c r="S30" s="242">
        <f t="shared" si="16"/>
        <v>194646.11000000002</v>
      </c>
      <c r="T30" s="467"/>
      <c r="U30" s="198">
        <f>IF((U29-1)&lt;0,0,U29-1)</f>
        <v>15</v>
      </c>
      <c r="V30" s="36">
        <f t="shared" si="17"/>
        <v>15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0.14899999999999999</v>
      </c>
      <c r="AS30" s="258">
        <f t="shared" si="19"/>
        <v>11630</v>
      </c>
      <c r="AT30" s="258">
        <f t="shared" si="6"/>
        <v>11630</v>
      </c>
      <c r="AU30" s="258">
        <f t="shared" si="20"/>
        <v>1938.39</v>
      </c>
      <c r="AV30" s="258">
        <f>IF(BI30=0,0,IF(BI30=1,BG29,IF(BG29+AW30+AU30&gt;AT29,AT30-AU30-AW30,BG29)))</f>
        <v>9691.61</v>
      </c>
      <c r="AW30" s="258">
        <f t="shared" si="7"/>
        <v>0</v>
      </c>
      <c r="AX30" s="258">
        <v>0</v>
      </c>
      <c r="AY30" s="258">
        <f t="shared" si="22"/>
        <v>1938.39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148588.51</v>
      </c>
      <c r="BH30" s="108">
        <f>IF((BH29-1)&lt;0,0,BH29-1)</f>
        <v>15</v>
      </c>
      <c r="BI30" s="108">
        <f t="shared" si="26"/>
        <v>15</v>
      </c>
      <c r="BJ30" s="22">
        <f t="shared" si="27"/>
        <v>45112</v>
      </c>
      <c r="BK30" s="108">
        <f t="shared" si="9"/>
        <v>11280</v>
      </c>
    </row>
    <row r="31" spans="1:393" ht="16.5" customHeight="1" x14ac:dyDescent="0.2">
      <c r="A31" s="763" t="s">
        <v>157</v>
      </c>
      <c r="B31" s="763"/>
      <c r="C31" s="199">
        <f>J109</f>
        <v>435230.69000000006</v>
      </c>
      <c r="D31" s="473">
        <f>AT109</f>
        <v>418680</v>
      </c>
      <c r="E31" s="473">
        <f t="shared" si="40"/>
        <v>16550.690000000061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0.10899999999999999</v>
      </c>
      <c r="J31" s="242">
        <f t="shared" si="11"/>
        <v>11280</v>
      </c>
      <c r="K31" s="242">
        <f t="shared" si="35"/>
        <v>11280</v>
      </c>
      <c r="L31" s="242">
        <f t="shared" si="36"/>
        <v>1801.94</v>
      </c>
      <c r="M31" s="242">
        <f t="shared" si="13"/>
        <v>9478.06</v>
      </c>
      <c r="N31" s="242">
        <f t="shared" si="3"/>
        <v>0</v>
      </c>
      <c r="O31" s="242">
        <v>0</v>
      </c>
      <c r="P31" s="242">
        <f t="shared" si="25"/>
        <v>1801.94</v>
      </c>
      <c r="Q31" s="242">
        <f t="shared" si="33"/>
        <v>0</v>
      </c>
      <c r="R31" s="242">
        <f t="shared" si="15"/>
        <v>0</v>
      </c>
      <c r="S31" s="242">
        <f t="shared" si="16"/>
        <v>185168.05000000002</v>
      </c>
      <c r="T31" s="467"/>
      <c r="U31" s="198">
        <f t="shared" si="29"/>
        <v>14</v>
      </c>
      <c r="V31" s="36">
        <f t="shared" si="17"/>
        <v>14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0.14899999999999999</v>
      </c>
      <c r="AS31" s="258">
        <f t="shared" si="19"/>
        <v>11630</v>
      </c>
      <c r="AT31" s="258">
        <f t="shared" si="6"/>
        <v>11630</v>
      </c>
      <c r="AU31" s="258">
        <f t="shared" si="20"/>
        <v>1880.36</v>
      </c>
      <c r="AV31" s="258">
        <f t="shared" si="21"/>
        <v>9749.64</v>
      </c>
      <c r="AW31" s="258">
        <f t="shared" si="7"/>
        <v>0</v>
      </c>
      <c r="AX31" s="258">
        <v>0</v>
      </c>
      <c r="AY31" s="258">
        <f t="shared" si="22"/>
        <v>1880.36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138838.87</v>
      </c>
      <c r="BH31" s="108">
        <f t="shared" si="31"/>
        <v>14</v>
      </c>
      <c r="BI31" s="108">
        <f t="shared" si="26"/>
        <v>14</v>
      </c>
      <c r="BJ31" s="22">
        <f t="shared" si="27"/>
        <v>45143</v>
      </c>
      <c r="BK31" s="108">
        <f t="shared" si="9"/>
        <v>11280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815" t="s">
        <v>302</v>
      </c>
      <c r="B32" s="815"/>
      <c r="C32" s="518">
        <f>C29+C30</f>
        <v>99590.689999999988</v>
      </c>
      <c r="D32" s="519">
        <f>D29+D30</f>
        <v>83085.429999999993</v>
      </c>
      <c r="E32" s="520">
        <f t="shared" si="40"/>
        <v>16505.259999999995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0.10899999999999999</v>
      </c>
      <c r="J32" s="252">
        <f t="shared" si="11"/>
        <v>11280</v>
      </c>
      <c r="K32" s="252">
        <f t="shared" si="35"/>
        <v>11280</v>
      </c>
      <c r="L32" s="252">
        <f t="shared" si="36"/>
        <v>1714.2</v>
      </c>
      <c r="M32" s="252">
        <f t="shared" si="13"/>
        <v>9565.7999999999993</v>
      </c>
      <c r="N32" s="252">
        <f t="shared" si="3"/>
        <v>0</v>
      </c>
      <c r="O32" s="252">
        <v>0</v>
      </c>
      <c r="P32" s="252">
        <f t="shared" si="25"/>
        <v>1714.2</v>
      </c>
      <c r="Q32" s="252">
        <f t="shared" si="33"/>
        <v>0</v>
      </c>
      <c r="R32" s="252">
        <f t="shared" si="15"/>
        <v>0</v>
      </c>
      <c r="S32" s="252">
        <f t="shared" si="16"/>
        <v>175602.25000000003</v>
      </c>
      <c r="T32" s="468"/>
      <c r="U32" s="198">
        <f t="shared" si="29"/>
        <v>13</v>
      </c>
      <c r="V32" s="36">
        <f t="shared" si="17"/>
        <v>13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0.14899999999999999</v>
      </c>
      <c r="AS32" s="258">
        <f t="shared" si="19"/>
        <v>11630</v>
      </c>
      <c r="AT32" s="258">
        <f t="shared" si="6"/>
        <v>11630</v>
      </c>
      <c r="AU32" s="258">
        <f t="shared" si="20"/>
        <v>1756.98</v>
      </c>
      <c r="AV32" s="258">
        <f t="shared" si="21"/>
        <v>9873.02</v>
      </c>
      <c r="AW32" s="258">
        <f t="shared" si="7"/>
        <v>0</v>
      </c>
      <c r="AX32" s="258">
        <v>0</v>
      </c>
      <c r="AY32" s="258">
        <f t="shared" si="22"/>
        <v>1756.98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128965.84999999999</v>
      </c>
      <c r="BH32" s="108">
        <f t="shared" si="31"/>
        <v>13</v>
      </c>
      <c r="BI32" s="108">
        <f t="shared" si="26"/>
        <v>13</v>
      </c>
      <c r="BJ32" s="22">
        <f t="shared" si="27"/>
        <v>45174</v>
      </c>
      <c r="BK32" s="108">
        <f t="shared" si="9"/>
        <v>11280</v>
      </c>
    </row>
    <row r="33" spans="1:1217" ht="51.75" customHeight="1" x14ac:dyDescent="0.2">
      <c r="A33" s="909" t="s">
        <v>293</v>
      </c>
      <c r="B33" s="909"/>
      <c r="C33" s="918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3" s="918"/>
      <c r="E33" s="918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0.10899999999999999</v>
      </c>
      <c r="J33" s="242">
        <f t="shared" si="11"/>
        <v>11280</v>
      </c>
      <c r="K33" s="242">
        <f t="shared" ref="K33:K44" si="41">IF(AND(G33&gt;=$W$9,G33&lt;=$W$9+5),$W$10,IF(AND(S32+N33+L33&gt;K32,K32&lt;&gt;0),IF(AND($C$16="Да",$C$8&lt;&gt;"Нет"),$AF$38,$C$23),IF(S32=0,0,S32+N33+L33+L34)))</f>
        <v>11280</v>
      </c>
      <c r="L33" s="242">
        <f t="shared" si="36"/>
        <v>1573.2</v>
      </c>
      <c r="M33" s="242">
        <f t="shared" si="13"/>
        <v>9706.7999999999993</v>
      </c>
      <c r="N33" s="242">
        <f t="shared" si="3"/>
        <v>0</v>
      </c>
      <c r="O33" s="242">
        <v>0</v>
      </c>
      <c r="P33" s="242">
        <f t="shared" si="25"/>
        <v>1573.2</v>
      </c>
      <c r="Q33" s="242">
        <f t="shared" si="33"/>
        <v>0</v>
      </c>
      <c r="R33" s="242">
        <f t="shared" si="15"/>
        <v>0</v>
      </c>
      <c r="S33" s="242">
        <f t="shared" si="16"/>
        <v>165895.45000000004</v>
      </c>
      <c r="T33" s="467"/>
      <c r="U33" s="198">
        <f t="shared" si="29"/>
        <v>12</v>
      </c>
      <c r="V33" s="36">
        <f t="shared" si="17"/>
        <v>12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-1670</v>
      </c>
      <c r="AG33" s="2">
        <f>ROUNDUP(((S20)*AG37/12*(1+AG37/12)^(U21)/((1+AG37/12)^(U21)-1)+S20/10000*IF(U21&lt;11,20,IF(U21&lt;34,0.7,IF(U21&lt;58,0.3,0.1)))*IF(AG37&lt;0.3,AG37/0.2,AG37/0.1))/AG47,0)*AG47</f>
        <v>13300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2">IF($D$16="Да",$AM$38,$D$13)</f>
        <v>0.14899999999999999</v>
      </c>
      <c r="AS33" s="258">
        <f t="shared" si="19"/>
        <v>11630</v>
      </c>
      <c r="AT33" s="258">
        <f t="shared" si="6"/>
        <v>11630</v>
      </c>
      <c r="AU33" s="258">
        <f t="shared" si="20"/>
        <v>1579.39</v>
      </c>
      <c r="AV33" s="258">
        <f t="shared" si="21"/>
        <v>10050.61</v>
      </c>
      <c r="AW33" s="258">
        <f t="shared" si="7"/>
        <v>0</v>
      </c>
      <c r="AX33" s="258">
        <v>0</v>
      </c>
      <c r="AY33" s="258">
        <f t="shared" si="22"/>
        <v>1579.39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118915.23999999999</v>
      </c>
      <c r="BH33" s="108">
        <f t="shared" si="31"/>
        <v>12</v>
      </c>
      <c r="BI33" s="108">
        <f t="shared" si="26"/>
        <v>12</v>
      </c>
      <c r="BJ33" s="22">
        <f t="shared" si="27"/>
        <v>45204</v>
      </c>
      <c r="BK33" s="108">
        <f t="shared" si="9"/>
        <v>11280</v>
      </c>
      <c r="BN33" s="782"/>
      <c r="BP33" s="131"/>
    </row>
    <row r="34" spans="1:1217" ht="13.5" customHeight="1" thickBot="1" x14ac:dyDescent="0.25">
      <c r="A34" s="911" t="s">
        <v>312</v>
      </c>
      <c r="B34" s="911"/>
      <c r="C34" s="911"/>
      <c r="D34" s="911"/>
      <c r="E34" s="911"/>
      <c r="F34" s="191"/>
      <c r="G34" s="244">
        <f t="shared" si="28"/>
        <v>26</v>
      </c>
      <c r="H34" s="245">
        <f t="shared" si="1"/>
        <v>45235</v>
      </c>
      <c r="I34" s="246">
        <f t="shared" ref="I34:I44" si="43">IF(AND($C$16="Да",$C$8&lt;&gt;"Нет"),$AG$38,$C$13)</f>
        <v>0.10899999999999999</v>
      </c>
      <c r="J34" s="242">
        <f t="shared" si="11"/>
        <v>11280</v>
      </c>
      <c r="K34" s="242">
        <f t="shared" si="41"/>
        <v>11280</v>
      </c>
      <c r="L34" s="242">
        <f t="shared" si="36"/>
        <v>1535.78</v>
      </c>
      <c r="M34" s="242">
        <f t="shared" si="13"/>
        <v>9744.2199999999993</v>
      </c>
      <c r="N34" s="242">
        <f t="shared" si="3"/>
        <v>0</v>
      </c>
      <c r="O34" s="242">
        <v>0</v>
      </c>
      <c r="P34" s="242">
        <f t="shared" si="25"/>
        <v>1535.78</v>
      </c>
      <c r="Q34" s="242">
        <f t="shared" si="33"/>
        <v>0</v>
      </c>
      <c r="R34" s="242">
        <f t="shared" si="15"/>
        <v>0</v>
      </c>
      <c r="S34" s="242">
        <f t="shared" si="16"/>
        <v>156151.23000000004</v>
      </c>
      <c r="T34" s="467"/>
      <c r="U34" s="198">
        <f t="shared" si="29"/>
        <v>11</v>
      </c>
      <c r="V34" s="36">
        <f t="shared" si="17"/>
        <v>11</v>
      </c>
      <c r="AB34" s="2">
        <f>IF(C10 &lt;=W31,W33,IF(C10 &lt;=X31,X33,IF(C10 &lt;=Y31,Y33,IF(C10 &lt;=Z31,Z33,AA33))))</f>
        <v>2900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2"/>
        <v>0.14899999999999999</v>
      </c>
      <c r="AS34" s="258">
        <f t="shared" si="19"/>
        <v>11630</v>
      </c>
      <c r="AT34" s="258">
        <f t="shared" si="6"/>
        <v>11630</v>
      </c>
      <c r="AU34" s="258">
        <f t="shared" si="20"/>
        <v>1504.85</v>
      </c>
      <c r="AV34" s="258">
        <f t="shared" si="21"/>
        <v>10125.15</v>
      </c>
      <c r="AW34" s="258">
        <f t="shared" si="7"/>
        <v>0</v>
      </c>
      <c r="AX34" s="258">
        <v>0</v>
      </c>
      <c r="AY34" s="258">
        <f t="shared" si="22"/>
        <v>1504.85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108790.09</v>
      </c>
      <c r="BH34" s="108">
        <f t="shared" si="31"/>
        <v>11</v>
      </c>
      <c r="BI34" s="108">
        <f t="shared" si="26"/>
        <v>11</v>
      </c>
      <c r="BJ34" s="22">
        <f t="shared" si="27"/>
        <v>45235</v>
      </c>
      <c r="BK34" s="108">
        <f t="shared" si="9"/>
        <v>11280</v>
      </c>
      <c r="BN34" s="782"/>
    </row>
    <row r="35" spans="1:1217" ht="18.75" customHeight="1" x14ac:dyDescent="0.2">
      <c r="A35" s="894" t="s">
        <v>294</v>
      </c>
      <c r="B35" s="878"/>
      <c r="C35" s="487" t="s">
        <v>179</v>
      </c>
      <c r="D35" s="907" t="s">
        <v>304</v>
      </c>
      <c r="E35" s="908"/>
      <c r="F35" s="191"/>
      <c r="G35" s="244">
        <f t="shared" si="28"/>
        <v>27</v>
      </c>
      <c r="H35" s="245">
        <f t="shared" si="1"/>
        <v>45265</v>
      </c>
      <c r="I35" s="246">
        <f t="shared" si="43"/>
        <v>0.10899999999999999</v>
      </c>
      <c r="J35" s="242">
        <f t="shared" si="11"/>
        <v>11280</v>
      </c>
      <c r="K35" s="242">
        <f t="shared" si="41"/>
        <v>11280</v>
      </c>
      <c r="L35" s="242">
        <f t="shared" si="36"/>
        <v>1398.94</v>
      </c>
      <c r="M35" s="242">
        <f t="shared" si="13"/>
        <v>9881.06</v>
      </c>
      <c r="N35" s="242">
        <f t="shared" si="3"/>
        <v>0</v>
      </c>
      <c r="O35" s="242">
        <v>0</v>
      </c>
      <c r="P35" s="242">
        <f t="shared" si="25"/>
        <v>1398.94</v>
      </c>
      <c r="Q35" s="242">
        <f t="shared" si="33"/>
        <v>0</v>
      </c>
      <c r="R35" s="242">
        <f t="shared" si="15"/>
        <v>0</v>
      </c>
      <c r="S35" s="242">
        <f t="shared" si="16"/>
        <v>146270.17000000004</v>
      </c>
      <c r="T35" s="467"/>
      <c r="U35" s="198">
        <f t="shared" si="29"/>
        <v>10</v>
      </c>
      <c r="V35" s="36">
        <f t="shared" si="17"/>
        <v>10</v>
      </c>
      <c r="AE35" s="15"/>
      <c r="AF35" s="47">
        <f>ROUNDUP(AH35/AH33*C7/1,0)*1</f>
        <v>350</v>
      </c>
      <c r="AG35" s="169">
        <v>0.04</v>
      </c>
      <c r="AH35" s="16">
        <f>IF(AG35=3%,INDEX(W40:AE40,MATCH($C$11,$W$39:$AE$39,0)),IF(AG35=4%,INDEX(W37:AE37,MATCH($C$11,$W$36:$AE$36,0)),0))</f>
        <v>7000</v>
      </c>
      <c r="AL35" s="47">
        <f>ROUNDUP(AH35/AH33*C7/1,0)*1</f>
        <v>350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2"/>
        <v>0.14899999999999999</v>
      </c>
      <c r="AS35" s="258">
        <f t="shared" si="19"/>
        <v>11630</v>
      </c>
      <c r="AT35" s="258">
        <f t="shared" si="6"/>
        <v>11630</v>
      </c>
      <c r="AU35" s="258">
        <f t="shared" si="20"/>
        <v>1332.31</v>
      </c>
      <c r="AV35" s="258">
        <f t="shared" si="21"/>
        <v>10297.69</v>
      </c>
      <c r="AW35" s="258">
        <f t="shared" si="7"/>
        <v>0</v>
      </c>
      <c r="AX35" s="258">
        <v>0</v>
      </c>
      <c r="AY35" s="258">
        <f t="shared" si="22"/>
        <v>1332.31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98492.4</v>
      </c>
      <c r="BH35" s="108">
        <f t="shared" si="31"/>
        <v>10</v>
      </c>
      <c r="BI35" s="108">
        <f t="shared" si="26"/>
        <v>10</v>
      </c>
      <c r="BJ35" s="22">
        <f t="shared" si="27"/>
        <v>45265</v>
      </c>
      <c r="BK35" s="108">
        <f t="shared" si="9"/>
        <v>11280</v>
      </c>
      <c r="BN35" s="782"/>
    </row>
    <row r="36" spans="1:1217" ht="16.5" customHeight="1" x14ac:dyDescent="0.3">
      <c r="A36" s="894" t="s">
        <v>295</v>
      </c>
      <c r="B36" s="878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3"/>
        <v>0.10899999999999999</v>
      </c>
      <c r="J36" s="242">
        <f t="shared" si="11"/>
        <v>11280</v>
      </c>
      <c r="K36" s="242">
        <f t="shared" si="41"/>
        <v>11280</v>
      </c>
      <c r="L36" s="242">
        <f t="shared" si="36"/>
        <v>1353.5</v>
      </c>
      <c r="M36" s="242">
        <f t="shared" si="13"/>
        <v>9926.5</v>
      </c>
      <c r="N36" s="242">
        <f t="shared" si="3"/>
        <v>0</v>
      </c>
      <c r="O36" s="242">
        <v>0</v>
      </c>
      <c r="P36" s="242">
        <f t="shared" si="25"/>
        <v>1353.5</v>
      </c>
      <c r="Q36" s="242">
        <f t="shared" si="33"/>
        <v>0</v>
      </c>
      <c r="R36" s="242">
        <f t="shared" si="15"/>
        <v>0</v>
      </c>
      <c r="S36" s="242">
        <f t="shared" si="16"/>
        <v>136343.67000000004</v>
      </c>
      <c r="T36" s="467"/>
      <c r="U36" s="198">
        <f t="shared" si="29"/>
        <v>9</v>
      </c>
      <c r="V36" s="36">
        <f t="shared" si="17"/>
        <v>9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0.17899999999999999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11630</v>
      </c>
      <c r="AG36" s="15">
        <f>IF(OR(C$8="Гарантия стандарт",C$8="Гарантия пакет"),AD13,C11)</f>
        <v>0.14899999999999999</v>
      </c>
      <c r="AH36" s="16">
        <f>IF(AG35=3%,INDEX(W41:AE41,MATCH($C$11,$W$39:$AE$39,0)),IF(AG35=4%,INDEX(W38:AE38,MATCH($C$11,$W$36:$AE$36,0)),0))</f>
        <v>207900</v>
      </c>
      <c r="AI36" s="2">
        <f>INDEX(W41:AE41,MATCH($D$11,$W$39:$AE$39,0))</f>
        <v>207900</v>
      </c>
      <c r="AL36" s="47">
        <f>D23</f>
        <v>11630</v>
      </c>
      <c r="AM36" s="15">
        <f>IF(OR(D$8="Гарантия стандарт",D$8="Гарантия пакет"),AD13,D11)</f>
        <v>0.14899999999999999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2"/>
        <v>0.14899999999999999</v>
      </c>
      <c r="AS36" s="258">
        <f t="shared" si="19"/>
        <v>11630</v>
      </c>
      <c r="AT36" s="258">
        <f t="shared" si="6"/>
        <v>11630</v>
      </c>
      <c r="AU36" s="258">
        <f t="shared" si="20"/>
        <v>1245.8499999999999</v>
      </c>
      <c r="AV36" s="258">
        <f t="shared" si="21"/>
        <v>10384.15</v>
      </c>
      <c r="AW36" s="258">
        <f t="shared" si="7"/>
        <v>0</v>
      </c>
      <c r="AX36" s="258">
        <v>0</v>
      </c>
      <c r="AY36" s="258">
        <f t="shared" si="22"/>
        <v>1245.8499999999999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88108.25</v>
      </c>
      <c r="BH36" s="108">
        <f t="shared" si="31"/>
        <v>9</v>
      </c>
      <c r="BI36" s="108">
        <f t="shared" si="26"/>
        <v>9</v>
      </c>
      <c r="BJ36" s="22">
        <f t="shared" si="27"/>
        <v>45296</v>
      </c>
      <c r="BK36" s="108">
        <f t="shared" si="9"/>
        <v>11280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10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3"/>
        <v>0.10899999999999999</v>
      </c>
      <c r="J37" s="242">
        <f t="shared" si="11"/>
        <v>11280</v>
      </c>
      <c r="K37" s="242">
        <f t="shared" si="41"/>
        <v>11280</v>
      </c>
      <c r="L37" s="242">
        <f t="shared" si="36"/>
        <v>1258.76</v>
      </c>
      <c r="M37" s="242">
        <f t="shared" si="13"/>
        <v>10021.24</v>
      </c>
      <c r="N37" s="242">
        <f t="shared" si="3"/>
        <v>0</v>
      </c>
      <c r="O37" s="242">
        <v>0</v>
      </c>
      <c r="P37" s="242">
        <f t="shared" si="25"/>
        <v>1258.76</v>
      </c>
      <c r="Q37" s="242">
        <f t="shared" si="33"/>
        <v>0</v>
      </c>
      <c r="R37" s="242">
        <f t="shared" si="15"/>
        <v>0</v>
      </c>
      <c r="S37" s="242">
        <f t="shared" si="16"/>
        <v>126322.43000000004</v>
      </c>
      <c r="T37" s="467"/>
      <c r="U37" s="198">
        <f t="shared" si="29"/>
        <v>8</v>
      </c>
      <c r="V37" s="36">
        <f t="shared" si="17"/>
        <v>8</v>
      </c>
      <c r="W37" s="16">
        <f>INDEX('Для Перспективы'!$B$6:$D$6,MATCH($C$10,'Для Перспективы'!$B$1:$D$1,0))</f>
        <v>4000</v>
      </c>
      <c r="X37" s="16">
        <f>INDEX('Для Перспективы'!$B$8:$F$8,MATCH($C$10,'Для Перспективы'!$B$1:$F$1,0))</f>
        <v>7000</v>
      </c>
      <c r="Y37" s="16">
        <f>INDEX('Для Перспективы'!$B$10:$F$10,MATCH($C$10,'Для Перспективы'!$B$1:$F$1,0))</f>
        <v>7000</v>
      </c>
      <c r="Z37" s="16">
        <f>INDEX('Для Перспективы'!$B$12:$D$12,MATCH($C$10,'Для Перспективы'!$B$1:$D$1,0))</f>
        <v>7000</v>
      </c>
      <c r="AA37" s="16">
        <f>INDEX('Для Перспективы'!$B$20:$D$20,MATCH($C$10,'Для Перспективы'!$B$1:$D$1,0))</f>
        <v>7000</v>
      </c>
      <c r="AB37" s="16">
        <f>INDEX('Для Перспективы'!$B$22:$D$22,MATCH($C$10,'Для Перспективы'!$B$1:$D$1,0))</f>
        <v>6500</v>
      </c>
      <c r="AC37" s="16">
        <f>INDEX('Для Перспективы'!$B$20:$F$20,MATCH($C$10,'Для Перспективы'!$B$1:$F$1,0))</f>
        <v>7000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11280</v>
      </c>
      <c r="AG37" s="169">
        <f>AG36-$AG$35</f>
        <v>0.10899999999999999</v>
      </c>
      <c r="AI37" s="2"/>
      <c r="AJ37" s="2"/>
      <c r="AK37" s="57"/>
      <c r="AL37" s="47">
        <f>AL36-$AL$35</f>
        <v>11280</v>
      </c>
      <c r="AM37" s="169">
        <f>AM36-$AM$35</f>
        <v>0.10899999999999999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2"/>
        <v>0.14899999999999999</v>
      </c>
      <c r="AS37" s="258">
        <f t="shared" si="19"/>
        <v>11630</v>
      </c>
      <c r="AT37" s="258">
        <f t="shared" si="6"/>
        <v>11630</v>
      </c>
      <c r="AU37" s="258">
        <f t="shared" si="20"/>
        <v>1111.95</v>
      </c>
      <c r="AV37" s="258">
        <f t="shared" si="21"/>
        <v>10518.05</v>
      </c>
      <c r="AW37" s="258">
        <f t="shared" si="7"/>
        <v>0</v>
      </c>
      <c r="AX37" s="258">
        <v>0</v>
      </c>
      <c r="AY37" s="258">
        <f t="shared" si="22"/>
        <v>1111.95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77590.2</v>
      </c>
      <c r="BH37" s="108">
        <f t="shared" si="31"/>
        <v>8</v>
      </c>
      <c r="BI37" s="108">
        <f t="shared" si="26"/>
        <v>8</v>
      </c>
      <c r="BJ37" s="22">
        <f t="shared" si="27"/>
        <v>45327</v>
      </c>
      <c r="BK37" s="108">
        <f t="shared" si="9"/>
        <v>11280</v>
      </c>
    </row>
    <row r="38" spans="1:1217" s="16" customFormat="1" ht="16.5" customHeight="1" x14ac:dyDescent="0.3">
      <c r="A38" s="910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3"/>
        <v>0.10899999999999999</v>
      </c>
      <c r="J38" s="242">
        <f t="shared" si="11"/>
        <v>11280</v>
      </c>
      <c r="K38" s="242">
        <f t="shared" si="41"/>
        <v>11280</v>
      </c>
      <c r="L38" s="242">
        <f t="shared" si="36"/>
        <v>1091</v>
      </c>
      <c r="M38" s="242">
        <f t="shared" si="13"/>
        <v>10189</v>
      </c>
      <c r="N38" s="242">
        <f t="shared" si="3"/>
        <v>0</v>
      </c>
      <c r="O38" s="242">
        <v>0</v>
      </c>
      <c r="P38" s="242">
        <f t="shared" si="25"/>
        <v>1091</v>
      </c>
      <c r="Q38" s="242">
        <f t="shared" si="33"/>
        <v>0</v>
      </c>
      <c r="R38" s="242">
        <f t="shared" si="15"/>
        <v>0</v>
      </c>
      <c r="S38" s="242">
        <f t="shared" si="16"/>
        <v>116133.43000000004</v>
      </c>
      <c r="T38" s="467"/>
      <c r="U38" s="198">
        <f t="shared" si="29"/>
        <v>7</v>
      </c>
      <c r="V38" s="36">
        <f t="shared" si="17"/>
        <v>7</v>
      </c>
      <c r="W38" s="16">
        <f>INDEX('Для Перспективы'!B7:D7,MATCH($C$10,'Для Перспективы'!$B$1:$D$1,0))</f>
        <v>200000</v>
      </c>
      <c r="X38" s="16">
        <f>INDEX('Для Перспективы'!$B$9:$F$9,MATCH($C$10,'Для Перспективы'!$B$1:$F$1,0))</f>
        <v>202000</v>
      </c>
      <c r="Y38" s="16">
        <f>INDEX('Для Перспективы'!$B$11:$F$11,MATCH($C$10,'Для Перспективы'!$B$1:$F$1,0))</f>
        <v>204900</v>
      </c>
      <c r="Z38" s="16">
        <f>INDEX('Для Перспективы'!$B$13:$D$13,MATCH($C$10,'Для Перспективы'!$B$1:$D$1,0))</f>
        <v>207900</v>
      </c>
      <c r="AA38" s="16">
        <f>INDEX('Для Перспективы'!$B$21:$D$21,MATCH($C$10,'Для Перспективы'!$B$1:$D$1,0))</f>
        <v>216800</v>
      </c>
      <c r="AB38" s="16">
        <f>INDEX('Для Перспективы'!$B$23:$D$23,MATCH($C$10,'Для Перспективы'!$B$1:$D$1,0))</f>
        <v>222900</v>
      </c>
      <c r="AC38" s="16">
        <f>INDEX('Для Перспективы'!$B$11:$D$11,MATCH($C$10,'Для Перспективы'!$B$1:$D$1,0))</f>
        <v>204900</v>
      </c>
      <c r="AD38" s="16">
        <f>INDEX('Для Перспективы'!$B$11:$D$11,MATCH($C$10,'Для Перспективы'!$B$1:$D$1,0))</f>
        <v>204900</v>
      </c>
      <c r="AE38" s="16" t="e">
        <f>INDEX('Для Перспективы'!$G21:$I21,MATCH($C$10,'Для Перспективы'!$G$1:$I$1,0))</f>
        <v>#N/A</v>
      </c>
      <c r="AF38" s="47">
        <f t="shared" ref="AF38:AF40" si="44">IF(AG38=AG37,AF37,AF37-$AF$35)</f>
        <v>11280</v>
      </c>
      <c r="AG38" s="169">
        <f>AG36-$AG$35</f>
        <v>0.10899999999999999</v>
      </c>
      <c r="AI38" s="2"/>
      <c r="AJ38" s="2"/>
      <c r="AK38" s="57"/>
      <c r="AL38" s="47">
        <f>AL36-$AL$35</f>
        <v>11280</v>
      </c>
      <c r="AM38" s="169">
        <f>AM36-$AM$35</f>
        <v>0.10899999999999999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2"/>
        <v>0.14899999999999999</v>
      </c>
      <c r="AS38" s="258">
        <f t="shared" si="19"/>
        <v>11630</v>
      </c>
      <c r="AT38" s="258">
        <f t="shared" si="6"/>
        <v>11630</v>
      </c>
      <c r="AU38" s="258">
        <f t="shared" si="20"/>
        <v>916.03</v>
      </c>
      <c r="AV38" s="258">
        <f t="shared" si="21"/>
        <v>10713.97</v>
      </c>
      <c r="AW38" s="258">
        <f t="shared" si="7"/>
        <v>0</v>
      </c>
      <c r="AX38" s="258">
        <v>0</v>
      </c>
      <c r="AY38" s="258">
        <f t="shared" si="22"/>
        <v>916.03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66876.23</v>
      </c>
      <c r="BH38" s="108">
        <f t="shared" si="31"/>
        <v>7</v>
      </c>
      <c r="BI38" s="108">
        <f t="shared" si="26"/>
        <v>7</v>
      </c>
      <c r="BJ38" s="22">
        <f t="shared" si="27"/>
        <v>45356</v>
      </c>
      <c r="BK38" s="108">
        <f t="shared" si="9"/>
        <v>11280</v>
      </c>
    </row>
    <row r="39" spans="1:1217" s="16" customFormat="1" ht="12" customHeight="1" x14ac:dyDescent="0.3">
      <c r="A39" s="910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3"/>
        <v>0.10899999999999999</v>
      </c>
      <c r="J39" s="242">
        <f t="shared" si="11"/>
        <v>11280</v>
      </c>
      <c r="K39" s="242">
        <f t="shared" si="41"/>
        <v>11280</v>
      </c>
      <c r="L39" s="242">
        <f t="shared" si="36"/>
        <v>1072.17</v>
      </c>
      <c r="M39" s="242">
        <f t="shared" si="13"/>
        <v>10207.83</v>
      </c>
      <c r="N39" s="242">
        <f t="shared" si="3"/>
        <v>0</v>
      </c>
      <c r="O39" s="242">
        <v>0</v>
      </c>
      <c r="P39" s="242">
        <f t="shared" si="25"/>
        <v>1072.17</v>
      </c>
      <c r="Q39" s="242">
        <f t="shared" si="33"/>
        <v>0</v>
      </c>
      <c r="R39" s="242">
        <f t="shared" si="15"/>
        <v>0</v>
      </c>
      <c r="S39" s="242">
        <f t="shared" si="16"/>
        <v>105925.60000000003</v>
      </c>
      <c r="T39" s="467"/>
      <c r="U39" s="198">
        <f t="shared" si="29"/>
        <v>6</v>
      </c>
      <c r="V39" s="36">
        <f t="shared" si="17"/>
        <v>6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0.17899999999999999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4"/>
        <v>11280</v>
      </c>
      <c r="AG39" s="169">
        <f>AG36-$AG$35</f>
        <v>0.10899999999999999</v>
      </c>
      <c r="AI39" s="2"/>
      <c r="AJ39" s="2"/>
      <c r="AK39" s="57"/>
      <c r="AL39" s="47">
        <f>AL36-$AL$35</f>
        <v>11280</v>
      </c>
      <c r="AM39" s="169">
        <f>AM36-$AM$35</f>
        <v>0.10899999999999999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2"/>
        <v>0.14899999999999999</v>
      </c>
      <c r="AS39" s="258">
        <f t="shared" si="19"/>
        <v>11630</v>
      </c>
      <c r="AT39" s="258">
        <f t="shared" si="6"/>
        <v>11630</v>
      </c>
      <c r="AU39" s="258">
        <f t="shared" si="20"/>
        <v>843.99</v>
      </c>
      <c r="AV39" s="258">
        <f t="shared" si="21"/>
        <v>10786.01</v>
      </c>
      <c r="AW39" s="258">
        <f t="shared" si="7"/>
        <v>0</v>
      </c>
      <c r="AX39" s="258">
        <v>0</v>
      </c>
      <c r="AY39" s="258">
        <f t="shared" si="22"/>
        <v>843.99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56090.219999999994</v>
      </c>
      <c r="BH39" s="108">
        <f t="shared" si="31"/>
        <v>6</v>
      </c>
      <c r="BI39" s="108">
        <f t="shared" si="26"/>
        <v>6</v>
      </c>
      <c r="BJ39" s="22">
        <f t="shared" si="27"/>
        <v>45387</v>
      </c>
      <c r="BK39" s="108">
        <f t="shared" si="9"/>
        <v>11280</v>
      </c>
    </row>
    <row r="40" spans="1:1217" s="16" customFormat="1" ht="13.9" customHeight="1" x14ac:dyDescent="0.3">
      <c r="A40" s="910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3"/>
        <v>0.10899999999999999</v>
      </c>
      <c r="J40" s="242">
        <f t="shared" si="11"/>
        <v>11280</v>
      </c>
      <c r="K40" s="242">
        <f t="shared" si="41"/>
        <v>11280</v>
      </c>
      <c r="L40" s="242">
        <f t="shared" si="36"/>
        <v>946.38</v>
      </c>
      <c r="M40" s="242">
        <f t="shared" si="13"/>
        <v>10333.620000000001</v>
      </c>
      <c r="N40" s="242">
        <f t="shared" si="3"/>
        <v>0</v>
      </c>
      <c r="O40" s="242">
        <v>0</v>
      </c>
      <c r="P40" s="242">
        <f t="shared" si="25"/>
        <v>946.38</v>
      </c>
      <c r="Q40" s="242">
        <f t="shared" si="33"/>
        <v>0</v>
      </c>
      <c r="R40" s="242">
        <f t="shared" si="15"/>
        <v>0</v>
      </c>
      <c r="S40" s="242">
        <f t="shared" si="16"/>
        <v>95591.98000000004</v>
      </c>
      <c r="T40" s="467"/>
      <c r="U40" s="198">
        <f t="shared" si="29"/>
        <v>5</v>
      </c>
      <c r="V40" s="36">
        <f t="shared" si="17"/>
        <v>5</v>
      </c>
      <c r="W40" s="16">
        <f>INDEX('Для Перспективы'!B2:D2,MATCH($C$10,'Для Перспективы'!$B$1:$D$1,0))</f>
        <v>3000</v>
      </c>
      <c r="X40" s="16">
        <f>INDEX('Для Перспективы'!B8:F8,MATCH($C$10,'Для Перспективы'!$B$1:$F$1,0))</f>
        <v>7000</v>
      </c>
      <c r="Y40" s="16">
        <f>INDEX('Для Перспективы'!B10:F10,MATCH($C$10,'Для Перспективы'!$B$1:$F$1,0))</f>
        <v>7000</v>
      </c>
      <c r="Z40" s="16">
        <f>INDEX('Для Перспективы'!B12:D12,MATCH($C$10,'Для Перспективы'!$B$1:$D$1,0))</f>
        <v>7000</v>
      </c>
      <c r="AA40" s="16">
        <f>INDEX('Для Перспективы'!B20:FD20,MATCH($C$10,'Для Перспективы'!$B$1:$D$1,0))</f>
        <v>7000</v>
      </c>
      <c r="AB40" s="16">
        <f>INDEX('Для Перспективы'!B22:D22,MATCH($C$10,'Для Перспективы'!$B$1:$D$1,0))</f>
        <v>6500</v>
      </c>
      <c r="AC40" s="16">
        <f>INDEX('Для Перспективы'!B16:D16,MATCH($C$10,'Для Перспективы'!$B$1:$D$1,0))</f>
        <v>6500</v>
      </c>
      <c r="AD40" s="16">
        <f>INDEX('Для Перспективы'!B18:D18,MATCH($C$10,'Для Перспективы'!$B$1:$D$1,0))</f>
        <v>6100</v>
      </c>
      <c r="AE40" s="16">
        <f>INDEX('Для Перспективы'!B20:D20,MATCH($C$10,'Для Перспективы'!$B$1:$D$1,0))</f>
        <v>7000</v>
      </c>
      <c r="AF40" s="47">
        <f t="shared" si="44"/>
        <v>11280</v>
      </c>
      <c r="AG40" s="169">
        <f>AG36-$AG$35</f>
        <v>0.10899999999999999</v>
      </c>
      <c r="AI40" s="2"/>
      <c r="AJ40" s="2"/>
      <c r="AK40" s="57"/>
      <c r="AL40" s="47">
        <f>AL36-$AL$35</f>
        <v>11280</v>
      </c>
      <c r="AM40" s="169">
        <f>AM36-$AM$35</f>
        <v>0.10899999999999999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2"/>
        <v>0.14899999999999999</v>
      </c>
      <c r="AS40" s="258">
        <f t="shared" si="19"/>
        <v>11630</v>
      </c>
      <c r="AT40" s="258">
        <f t="shared" si="6"/>
        <v>11630</v>
      </c>
      <c r="AU40" s="258">
        <f t="shared" si="20"/>
        <v>685.04</v>
      </c>
      <c r="AV40" s="258">
        <f t="shared" si="21"/>
        <v>10944.96</v>
      </c>
      <c r="AW40" s="258">
        <f t="shared" si="7"/>
        <v>0</v>
      </c>
      <c r="AX40" s="258">
        <v>0</v>
      </c>
      <c r="AY40" s="258">
        <f t="shared" si="22"/>
        <v>685.04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45145.259999999995</v>
      </c>
      <c r="BH40" s="108">
        <f t="shared" si="31"/>
        <v>5</v>
      </c>
      <c r="BI40" s="108">
        <f t="shared" si="26"/>
        <v>5</v>
      </c>
      <c r="BJ40" s="22">
        <f t="shared" si="27"/>
        <v>45417</v>
      </c>
      <c r="BK40" s="108">
        <f t="shared" si="9"/>
        <v>11280</v>
      </c>
    </row>
    <row r="41" spans="1:1217" s="16" customFormat="1" ht="39" customHeight="1" x14ac:dyDescent="0.3">
      <c r="A41" s="897" t="s">
        <v>313</v>
      </c>
      <c r="B41" s="793"/>
      <c r="C41" s="898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898"/>
      <c r="E41" s="917"/>
      <c r="F41" s="178"/>
      <c r="G41" s="244">
        <f t="shared" si="28"/>
        <v>33</v>
      </c>
      <c r="H41" s="245">
        <f t="shared" si="1"/>
        <v>45448</v>
      </c>
      <c r="I41" s="246">
        <f t="shared" si="43"/>
        <v>0.10899999999999999</v>
      </c>
      <c r="J41" s="242">
        <f t="shared" si="11"/>
        <v>11280</v>
      </c>
      <c r="K41" s="242">
        <f t="shared" si="41"/>
        <v>11280</v>
      </c>
      <c r="L41" s="242">
        <f t="shared" si="36"/>
        <v>882.53</v>
      </c>
      <c r="M41" s="242">
        <f t="shared" si="13"/>
        <v>10397.469999999999</v>
      </c>
      <c r="N41" s="242">
        <f t="shared" si="3"/>
        <v>0</v>
      </c>
      <c r="O41" s="242">
        <v>0</v>
      </c>
      <c r="P41" s="242">
        <f t="shared" si="25"/>
        <v>882.53</v>
      </c>
      <c r="Q41" s="242">
        <f t="shared" si="33"/>
        <v>0</v>
      </c>
      <c r="R41" s="242">
        <f t="shared" si="15"/>
        <v>0</v>
      </c>
      <c r="S41" s="242">
        <f t="shared" si="16"/>
        <v>85194.510000000038</v>
      </c>
      <c r="T41" s="467"/>
      <c r="U41" s="198">
        <f t="shared" si="29"/>
        <v>4</v>
      </c>
      <c r="V41" s="36">
        <f t="shared" si="17"/>
        <v>4</v>
      </c>
      <c r="W41" s="16">
        <f>INDEX('Для Перспективы'!B3:D3,MATCH($C$10,'Для Перспективы'!$B$1:$D$1,0))</f>
        <v>194000</v>
      </c>
      <c r="X41" s="16">
        <f>INDEX('Для Перспективы'!B9:F9,MATCH($C$10,'Для Перспективы'!$B$1:$F$1,0))</f>
        <v>202000</v>
      </c>
      <c r="Y41" s="16">
        <f>INDEX('Для Перспективы'!B11:F11,MATCH($C$10,'Для Перспективы'!$B$1:$F$1,0))</f>
        <v>204900</v>
      </c>
      <c r="Z41" s="16">
        <f>INDEX('Для Перспективы'!B13:D13,MATCH($C$10,'Для Перспективы'!$B$1:$D$1,0))</f>
        <v>207900</v>
      </c>
      <c r="AA41" s="16">
        <f>INDEX('Для Перспективы'!B21:D21,MATCH($C$10,'Для Перспективы'!$B$1:$D$1,0))</f>
        <v>216800</v>
      </c>
      <c r="AB41" s="16">
        <f>INDEX('Для Перспективы'!B23:D23,MATCH($C$10,'Для Перспективы'!$B$1:$D$1,0))</f>
        <v>222900</v>
      </c>
      <c r="AC41" s="16">
        <f>INDEX('Для Перспективы'!B17:D17,MATCH($C$10,'Для Перспективы'!$B$1:$D$1,0))</f>
        <v>213800</v>
      </c>
      <c r="AD41" s="16">
        <f>INDEX('Для Перспективы'!B19:D19,MATCH($C$10,'Для Перспективы'!$B$1:$D$1,0))</f>
        <v>216030</v>
      </c>
      <c r="AE41" s="16">
        <f>INDEX('Для Перспективы'!B21:D21,MATCH($C$10,'Для Перспективы'!$B$1:$D$1,0))</f>
        <v>216800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2"/>
        <v>0.14899999999999999</v>
      </c>
      <c r="AS41" s="258">
        <f t="shared" si="19"/>
        <v>11630</v>
      </c>
      <c r="AT41" s="258">
        <f t="shared" si="6"/>
        <v>11630</v>
      </c>
      <c r="AU41" s="258">
        <f t="shared" si="20"/>
        <v>569.74</v>
      </c>
      <c r="AV41" s="258">
        <f t="shared" si="21"/>
        <v>11060.26</v>
      </c>
      <c r="AW41" s="258">
        <f t="shared" si="7"/>
        <v>0</v>
      </c>
      <c r="AX41" s="258">
        <v>0</v>
      </c>
      <c r="AY41" s="258">
        <f t="shared" si="22"/>
        <v>569.74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34084.999999999993</v>
      </c>
      <c r="BH41" s="108">
        <f t="shared" si="31"/>
        <v>4</v>
      </c>
      <c r="BI41" s="108">
        <f t="shared" si="26"/>
        <v>4</v>
      </c>
      <c r="BJ41" s="22">
        <f t="shared" si="27"/>
        <v>45448</v>
      </c>
      <c r="BK41" s="108">
        <f t="shared" si="9"/>
        <v>11280</v>
      </c>
    </row>
    <row r="42" spans="1:1217" s="16" customFormat="1" ht="18.75" customHeight="1" x14ac:dyDescent="0.3">
      <c r="A42" s="895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3"/>
        <v>0.10899999999999999</v>
      </c>
      <c r="J42" s="242">
        <f t="shared" si="11"/>
        <v>11280</v>
      </c>
      <c r="K42" s="242">
        <f t="shared" si="41"/>
        <v>11280</v>
      </c>
      <c r="L42" s="242">
        <f t="shared" si="36"/>
        <v>761.16</v>
      </c>
      <c r="M42" s="242">
        <f t="shared" si="13"/>
        <v>10518.84</v>
      </c>
      <c r="N42" s="242">
        <f t="shared" si="3"/>
        <v>0</v>
      </c>
      <c r="O42" s="242">
        <v>0</v>
      </c>
      <c r="P42" s="242">
        <f t="shared" si="25"/>
        <v>761.16</v>
      </c>
      <c r="Q42" s="242">
        <f t="shared" si="33"/>
        <v>0</v>
      </c>
      <c r="R42" s="242">
        <f t="shared" si="15"/>
        <v>0</v>
      </c>
      <c r="S42" s="242">
        <f t="shared" si="16"/>
        <v>74675.670000000042</v>
      </c>
      <c r="T42" s="467"/>
      <c r="U42" s="198">
        <f t="shared" si="29"/>
        <v>3</v>
      </c>
      <c r="V42" s="36">
        <f t="shared" si="17"/>
        <v>3</v>
      </c>
      <c r="W42" s="2"/>
      <c r="X42" s="18">
        <f>K8</f>
        <v>-335640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2"/>
        <v>0.14899999999999999</v>
      </c>
      <c r="AS42" s="258">
        <f t="shared" si="19"/>
        <v>11630</v>
      </c>
      <c r="AT42" s="258">
        <f t="shared" si="6"/>
        <v>11630</v>
      </c>
      <c r="AU42" s="258">
        <f t="shared" si="20"/>
        <v>416.28</v>
      </c>
      <c r="AV42" s="258">
        <f t="shared" si="21"/>
        <v>11213.72</v>
      </c>
      <c r="AW42" s="258">
        <f t="shared" si="7"/>
        <v>0</v>
      </c>
      <c r="AX42" s="258">
        <v>0</v>
      </c>
      <c r="AY42" s="258">
        <f t="shared" si="22"/>
        <v>416.28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22871.279999999992</v>
      </c>
      <c r="BH42" s="108">
        <f t="shared" si="31"/>
        <v>3</v>
      </c>
      <c r="BI42" s="108">
        <f t="shared" si="26"/>
        <v>3</v>
      </c>
      <c r="BJ42" s="22">
        <f t="shared" si="27"/>
        <v>45478</v>
      </c>
      <c r="BK42" s="108">
        <f t="shared" si="9"/>
        <v>11280</v>
      </c>
    </row>
    <row r="43" spans="1:1217" s="16" customFormat="1" ht="14.25" x14ac:dyDescent="0.3">
      <c r="A43" s="896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3"/>
        <v>0.10899999999999999</v>
      </c>
      <c r="J43" s="242">
        <f t="shared" si="11"/>
        <v>11280</v>
      </c>
      <c r="K43" s="242">
        <f t="shared" si="41"/>
        <v>11280</v>
      </c>
      <c r="L43" s="242">
        <f t="shared" si="36"/>
        <v>689.42</v>
      </c>
      <c r="M43" s="242">
        <f t="shared" si="13"/>
        <v>10590.58</v>
      </c>
      <c r="N43" s="242">
        <f t="shared" si="3"/>
        <v>0</v>
      </c>
      <c r="O43" s="242">
        <v>0</v>
      </c>
      <c r="P43" s="242">
        <f t="shared" si="25"/>
        <v>689.42</v>
      </c>
      <c r="Q43" s="242">
        <f t="shared" si="33"/>
        <v>0</v>
      </c>
      <c r="R43" s="242">
        <f t="shared" si="15"/>
        <v>0</v>
      </c>
      <c r="S43" s="242">
        <f t="shared" si="16"/>
        <v>64085.09000000004</v>
      </c>
      <c r="T43" s="467"/>
      <c r="U43" s="198">
        <f t="shared" si="29"/>
        <v>2</v>
      </c>
      <c r="V43" s="36">
        <f t="shared" si="17"/>
        <v>2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2"/>
        <v>0.14899999999999999</v>
      </c>
      <c r="AS43" s="258">
        <f t="shared" si="19"/>
        <v>11630</v>
      </c>
      <c r="AT43" s="258">
        <f t="shared" si="6"/>
        <v>11630</v>
      </c>
      <c r="AU43" s="258">
        <f t="shared" si="20"/>
        <v>288.64</v>
      </c>
      <c r="AV43" s="258">
        <f t="shared" si="21"/>
        <v>11341.36</v>
      </c>
      <c r="AW43" s="258">
        <f t="shared" si="7"/>
        <v>0</v>
      </c>
      <c r="AX43" s="258">
        <v>0</v>
      </c>
      <c r="AY43" s="258">
        <f t="shared" si="22"/>
        <v>288.64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11529.919999999991</v>
      </c>
      <c r="BH43" s="108">
        <f t="shared" si="31"/>
        <v>2</v>
      </c>
      <c r="BI43" s="108">
        <f t="shared" si="26"/>
        <v>2</v>
      </c>
      <c r="BJ43" s="22">
        <f t="shared" si="27"/>
        <v>45509</v>
      </c>
      <c r="BK43" s="108">
        <f t="shared" si="9"/>
        <v>11280</v>
      </c>
    </row>
    <row r="44" spans="1:1217" s="16" customFormat="1" ht="15.75" customHeight="1" thickBot="1" x14ac:dyDescent="0.35">
      <c r="A44" s="896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3"/>
        <v>0.10899999999999999</v>
      </c>
      <c r="J44" s="252">
        <f t="shared" si="11"/>
        <v>11280</v>
      </c>
      <c r="K44" s="252">
        <f t="shared" si="41"/>
        <v>11280</v>
      </c>
      <c r="L44" s="252">
        <f t="shared" si="36"/>
        <v>591.65</v>
      </c>
      <c r="M44" s="252">
        <f t="shared" si="13"/>
        <v>10688.35</v>
      </c>
      <c r="N44" s="252">
        <f t="shared" si="3"/>
        <v>0</v>
      </c>
      <c r="O44" s="252">
        <v>0</v>
      </c>
      <c r="P44" s="252">
        <f t="shared" si="25"/>
        <v>591.65</v>
      </c>
      <c r="Q44" s="252">
        <f t="shared" si="33"/>
        <v>0</v>
      </c>
      <c r="R44" s="252">
        <f t="shared" si="15"/>
        <v>0</v>
      </c>
      <c r="S44" s="252">
        <f t="shared" si="16"/>
        <v>53396.740000000042</v>
      </c>
      <c r="T44" s="468"/>
      <c r="U44" s="198">
        <f t="shared" si="29"/>
        <v>1</v>
      </c>
      <c r="V44" s="36">
        <f t="shared" si="17"/>
        <v>1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2"/>
        <v>0.14899999999999999</v>
      </c>
      <c r="AS44" s="258">
        <f t="shared" si="19"/>
        <v>11630</v>
      </c>
      <c r="AT44" s="258">
        <f t="shared" si="6"/>
        <v>11630</v>
      </c>
      <c r="AU44" s="258">
        <f t="shared" si="20"/>
        <v>145.51</v>
      </c>
      <c r="AV44" s="258">
        <f t="shared" si="21"/>
        <v>11529.919999999991</v>
      </c>
      <c r="AW44" s="258">
        <f t="shared" si="7"/>
        <v>0</v>
      </c>
      <c r="AX44" s="258">
        <v>0</v>
      </c>
      <c r="AY44" s="258">
        <f t="shared" si="22"/>
        <v>145.51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0</v>
      </c>
      <c r="BH44" s="108">
        <f t="shared" si="31"/>
        <v>1</v>
      </c>
      <c r="BI44" s="108">
        <f t="shared" si="26"/>
        <v>1</v>
      </c>
      <c r="BJ44" s="22">
        <f t="shared" si="27"/>
        <v>45540</v>
      </c>
      <c r="BK44" s="108">
        <f t="shared" si="9"/>
        <v>11280</v>
      </c>
    </row>
    <row r="45" spans="1:1217" s="16" customFormat="1" ht="16.899999999999999" customHeight="1" x14ac:dyDescent="0.3">
      <c r="A45" s="896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0.10899999999999999</v>
      </c>
      <c r="J45" s="242">
        <f t="shared" si="11"/>
        <v>11280</v>
      </c>
      <c r="K45" s="242">
        <f t="shared" ref="K45:K56" si="45">IF(AND(G45&gt;=$W$9,G45&lt;=$W$9+5),$W$10,IF(AND(S44+N45+L45&gt;K44,K44&lt;&gt;0),IF(AND($C$16="Да",$C$8&lt;&gt;"Нет"),$AF$39,$C$23),IF(S44=0,0,S44+N45+L45+L46)))</f>
        <v>11280</v>
      </c>
      <c r="L45" s="242">
        <f t="shared" si="36"/>
        <v>477.07</v>
      </c>
      <c r="M45" s="242">
        <f t="shared" si="13"/>
        <v>10802.93</v>
      </c>
      <c r="N45" s="242">
        <f t="shared" si="3"/>
        <v>0</v>
      </c>
      <c r="O45" s="242">
        <v>0</v>
      </c>
      <c r="P45" s="242">
        <f t="shared" si="25"/>
        <v>477.07</v>
      </c>
      <c r="Q45" s="242">
        <f t="shared" si="33"/>
        <v>0</v>
      </c>
      <c r="R45" s="242">
        <f t="shared" si="15"/>
        <v>0</v>
      </c>
      <c r="S45" s="242">
        <f t="shared" si="16"/>
        <v>42593.810000000041</v>
      </c>
      <c r="T45" s="467"/>
      <c r="U45" s="198">
        <f t="shared" si="29"/>
        <v>0</v>
      </c>
      <c r="V45" s="36">
        <f t="shared" si="17"/>
        <v>0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6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0</v>
      </c>
      <c r="AP45" s="261">
        <f t="shared" si="30"/>
        <v>37</v>
      </c>
      <c r="AQ45" s="262">
        <f t="shared" si="4"/>
        <v>45570</v>
      </c>
      <c r="AR45" s="263">
        <f t="shared" ref="AR45:AR56" si="47">IF($D$16="Да",$AM$39,$D$13)</f>
        <v>0.14899999999999999</v>
      </c>
      <c r="AS45" s="258">
        <f t="shared" si="19"/>
        <v>0</v>
      </c>
      <c r="AT45" s="258">
        <f t="shared" si="6"/>
        <v>0</v>
      </c>
      <c r="AU45" s="258">
        <f t="shared" si="20"/>
        <v>0</v>
      </c>
      <c r="AV45" s="258">
        <f t="shared" si="21"/>
        <v>0</v>
      </c>
      <c r="AW45" s="258">
        <f t="shared" si="7"/>
        <v>0</v>
      </c>
      <c r="AX45" s="258">
        <v>0</v>
      </c>
      <c r="AY45" s="258">
        <f t="shared" si="22"/>
        <v>0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0</v>
      </c>
      <c r="BH45" s="108">
        <f t="shared" si="31"/>
        <v>0</v>
      </c>
      <c r="BI45" s="108">
        <f t="shared" si="26"/>
        <v>0</v>
      </c>
      <c r="BJ45" s="22">
        <f t="shared" si="27"/>
        <v>45570</v>
      </c>
      <c r="BK45" s="108">
        <f t="shared" si="9"/>
        <v>11280</v>
      </c>
    </row>
    <row r="46" spans="1:1217" s="16" customFormat="1" ht="41.25" customHeight="1" x14ac:dyDescent="0.3">
      <c r="A46" s="897" t="s">
        <v>314</v>
      </c>
      <c r="B46" s="793"/>
      <c r="C46" s="898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898"/>
      <c r="E46" s="917"/>
      <c r="F46" s="178"/>
      <c r="G46" s="244">
        <f t="shared" si="28"/>
        <v>38</v>
      </c>
      <c r="H46" s="245">
        <f t="shared" si="1"/>
        <v>45601</v>
      </c>
      <c r="I46" s="246">
        <f t="shared" ref="I46:I56" si="48">IF(AND($C$16="Да",$C$8&lt;&gt;"Нет"),$AG$39,$C$13)</f>
        <v>0.10899999999999999</v>
      </c>
      <c r="J46" s="242">
        <f t="shared" si="11"/>
        <v>11280</v>
      </c>
      <c r="K46" s="242">
        <f t="shared" si="45"/>
        <v>11280</v>
      </c>
      <c r="L46" s="242">
        <f t="shared" si="36"/>
        <v>393.24</v>
      </c>
      <c r="M46" s="242">
        <f t="shared" si="13"/>
        <v>10886.76</v>
      </c>
      <c r="N46" s="242">
        <f t="shared" si="3"/>
        <v>0</v>
      </c>
      <c r="O46" s="242">
        <v>0</v>
      </c>
      <c r="P46" s="242">
        <f t="shared" si="25"/>
        <v>393.24</v>
      </c>
      <c r="Q46" s="242">
        <f t="shared" si="33"/>
        <v>0</v>
      </c>
      <c r="R46" s="242">
        <f t="shared" si="15"/>
        <v>0</v>
      </c>
      <c r="S46" s="242">
        <f t="shared" si="16"/>
        <v>31707.050000000039</v>
      </c>
      <c r="T46" s="467"/>
      <c r="U46" s="198">
        <f t="shared" si="29"/>
        <v>0</v>
      </c>
      <c r="V46" s="36">
        <f t="shared" si="17"/>
        <v>0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49">IF(K11 &gt; 0, K11, 0)</f>
        <v>0</v>
      </c>
      <c r="Y46" s="57">
        <f t="shared" si="46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-335640</v>
      </c>
      <c r="AN46" s="57">
        <f>AQ8</f>
        <v>44441</v>
      </c>
      <c r="AO46" s="130">
        <f t="shared" si="18"/>
        <v>0</v>
      </c>
      <c r="AP46" s="261">
        <f t="shared" si="30"/>
        <v>38</v>
      </c>
      <c r="AQ46" s="262">
        <f t="shared" si="4"/>
        <v>45601</v>
      </c>
      <c r="AR46" s="263">
        <f t="shared" si="47"/>
        <v>0.14899999999999999</v>
      </c>
      <c r="AS46" s="258">
        <f t="shared" si="19"/>
        <v>0</v>
      </c>
      <c r="AT46" s="258">
        <f t="shared" si="6"/>
        <v>0</v>
      </c>
      <c r="AU46" s="258">
        <f t="shared" si="20"/>
        <v>0</v>
      </c>
      <c r="AV46" s="258">
        <f t="shared" si="21"/>
        <v>0</v>
      </c>
      <c r="AW46" s="258">
        <f t="shared" si="7"/>
        <v>0</v>
      </c>
      <c r="AX46" s="258">
        <v>0</v>
      </c>
      <c r="AY46" s="258">
        <f t="shared" si="22"/>
        <v>0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0</v>
      </c>
      <c r="BH46" s="108">
        <f t="shared" si="31"/>
        <v>0</v>
      </c>
      <c r="BI46" s="108">
        <f t="shared" si="26"/>
        <v>0</v>
      </c>
      <c r="BJ46" s="22">
        <f t="shared" si="27"/>
        <v>45601</v>
      </c>
      <c r="BK46" s="108">
        <f t="shared" si="9"/>
        <v>11280</v>
      </c>
    </row>
    <row r="47" spans="1:1217" s="16" customFormat="1" ht="30.75" customHeight="1" x14ac:dyDescent="0.3">
      <c r="A47" s="915" t="s">
        <v>301</v>
      </c>
      <c r="B47" s="915"/>
      <c r="C47" s="915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48"/>
        <v>0.10899999999999999</v>
      </c>
      <c r="J47" s="242">
        <f t="shared" si="11"/>
        <v>11280</v>
      </c>
      <c r="K47" s="242">
        <f t="shared" si="45"/>
        <v>11280</v>
      </c>
      <c r="L47" s="242">
        <f t="shared" si="36"/>
        <v>283.27999999999997</v>
      </c>
      <c r="M47" s="242">
        <f t="shared" si="13"/>
        <v>10996.72</v>
      </c>
      <c r="N47" s="242">
        <f t="shared" si="3"/>
        <v>0</v>
      </c>
      <c r="O47" s="242">
        <v>0</v>
      </c>
      <c r="P47" s="242">
        <f t="shared" si="25"/>
        <v>283.27999999999997</v>
      </c>
      <c r="Q47" s="242">
        <f t="shared" si="33"/>
        <v>0</v>
      </c>
      <c r="R47" s="242">
        <f t="shared" si="15"/>
        <v>0</v>
      </c>
      <c r="S47" s="242">
        <f t="shared" si="16"/>
        <v>20710.330000000038</v>
      </c>
      <c r="T47" s="467"/>
      <c r="U47" s="198">
        <f t="shared" si="29"/>
        <v>0</v>
      </c>
      <c r="V47" s="36">
        <f t="shared" si="17"/>
        <v>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49"/>
        <v>0</v>
      </c>
      <c r="Y47" s="57">
        <f t="shared" si="46"/>
        <v>45901</v>
      </c>
      <c r="Z47" s="5" t="s">
        <v>42</v>
      </c>
      <c r="AA47" s="8"/>
      <c r="AB47" s="17">
        <f>AC51/C7</f>
        <v>0.39560000000000001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0</v>
      </c>
      <c r="AP47" s="261">
        <f t="shared" si="30"/>
        <v>39</v>
      </c>
      <c r="AQ47" s="262">
        <f t="shared" si="4"/>
        <v>45631</v>
      </c>
      <c r="AR47" s="263">
        <f t="shared" si="47"/>
        <v>0.14899999999999999</v>
      </c>
      <c r="AS47" s="258">
        <f t="shared" si="19"/>
        <v>0</v>
      </c>
      <c r="AT47" s="258">
        <f t="shared" si="6"/>
        <v>0</v>
      </c>
      <c r="AU47" s="258">
        <f t="shared" si="20"/>
        <v>0</v>
      </c>
      <c r="AV47" s="258">
        <f t="shared" si="21"/>
        <v>0</v>
      </c>
      <c r="AW47" s="258">
        <f t="shared" si="7"/>
        <v>0</v>
      </c>
      <c r="AX47" s="258">
        <v>0</v>
      </c>
      <c r="AY47" s="258">
        <f t="shared" si="22"/>
        <v>0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0</v>
      </c>
      <c r="BH47" s="108">
        <f t="shared" si="31"/>
        <v>0</v>
      </c>
      <c r="BI47" s="108">
        <f t="shared" si="26"/>
        <v>0</v>
      </c>
      <c r="BJ47" s="22">
        <f t="shared" si="27"/>
        <v>45631</v>
      </c>
      <c r="BK47" s="108">
        <f t="shared" si="9"/>
        <v>11280</v>
      </c>
    </row>
    <row r="48" spans="1:1217" s="16" customFormat="1" ht="44.25" customHeight="1" x14ac:dyDescent="0.3">
      <c r="A48" s="902" t="s">
        <v>308</v>
      </c>
      <c r="B48" s="903"/>
      <c r="C48" s="904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5895 рублей</v>
      </c>
      <c r="D48" s="904"/>
      <c r="E48" s="916"/>
      <c r="F48" s="178"/>
      <c r="G48" s="244">
        <f t="shared" si="28"/>
        <v>40</v>
      </c>
      <c r="H48" s="245">
        <f t="shared" si="1"/>
        <v>45662</v>
      </c>
      <c r="I48" s="246">
        <f t="shared" si="48"/>
        <v>0.10899999999999999</v>
      </c>
      <c r="J48" s="242">
        <f t="shared" si="11"/>
        <v>11280</v>
      </c>
      <c r="K48" s="242">
        <f t="shared" si="45"/>
        <v>11280</v>
      </c>
      <c r="L48" s="242">
        <f t="shared" si="36"/>
        <v>191.29</v>
      </c>
      <c r="M48" s="242">
        <f t="shared" si="13"/>
        <v>11088.71</v>
      </c>
      <c r="N48" s="242">
        <f t="shared" si="3"/>
        <v>0</v>
      </c>
      <c r="O48" s="242">
        <v>0</v>
      </c>
      <c r="P48" s="242">
        <f t="shared" si="25"/>
        <v>191.29</v>
      </c>
      <c r="Q48" s="242">
        <f t="shared" si="33"/>
        <v>0</v>
      </c>
      <c r="R48" s="242">
        <f t="shared" si="15"/>
        <v>0</v>
      </c>
      <c r="S48" s="242">
        <f t="shared" si="16"/>
        <v>9621.620000000039</v>
      </c>
      <c r="T48" s="467"/>
      <c r="U48" s="198">
        <f t="shared" si="29"/>
        <v>0</v>
      </c>
      <c r="V48" s="36">
        <f t="shared" si="17"/>
        <v>0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49"/>
        <v>0</v>
      </c>
      <c r="Y48" s="57">
        <f t="shared" si="46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11630</v>
      </c>
      <c r="AN48" s="57">
        <f>AN47+365</f>
        <v>44806</v>
      </c>
      <c r="AO48" s="130">
        <f t="shared" si="18"/>
        <v>0</v>
      </c>
      <c r="AP48" s="261">
        <f t="shared" si="30"/>
        <v>40</v>
      </c>
      <c r="AQ48" s="262">
        <f t="shared" si="4"/>
        <v>45662</v>
      </c>
      <c r="AR48" s="263">
        <f t="shared" si="47"/>
        <v>0.14899999999999999</v>
      </c>
      <c r="AS48" s="258">
        <f t="shared" si="19"/>
        <v>0</v>
      </c>
      <c r="AT48" s="258">
        <f t="shared" si="6"/>
        <v>0</v>
      </c>
      <c r="AU48" s="258">
        <f t="shared" si="20"/>
        <v>0</v>
      </c>
      <c r="AV48" s="258">
        <f t="shared" si="21"/>
        <v>0</v>
      </c>
      <c r="AW48" s="258">
        <f t="shared" si="7"/>
        <v>0</v>
      </c>
      <c r="AX48" s="258">
        <v>0</v>
      </c>
      <c r="AY48" s="258">
        <f t="shared" si="22"/>
        <v>0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0</v>
      </c>
      <c r="BH48" s="108">
        <f t="shared" si="31"/>
        <v>0</v>
      </c>
      <c r="BI48" s="108">
        <f t="shared" si="26"/>
        <v>0</v>
      </c>
      <c r="BJ48" s="22">
        <f t="shared" si="27"/>
        <v>45662</v>
      </c>
      <c r="BK48" s="108">
        <f t="shared" si="9"/>
        <v>11280</v>
      </c>
    </row>
    <row r="49" spans="1:64" s="16" customFormat="1" ht="55.15" customHeight="1" x14ac:dyDescent="0.25">
      <c r="A49" s="812" t="s">
        <v>175</v>
      </c>
      <c r="B49" s="813"/>
      <c r="C49" s="813"/>
      <c r="D49" s="813"/>
      <c r="E49" s="814"/>
      <c r="F49" s="180"/>
      <c r="G49" s="244">
        <f t="shared" si="28"/>
        <v>41</v>
      </c>
      <c r="H49" s="245">
        <f t="shared" si="1"/>
        <v>45693</v>
      </c>
      <c r="I49" s="246">
        <f t="shared" si="48"/>
        <v>0.10899999999999999</v>
      </c>
      <c r="J49" s="242">
        <f t="shared" si="11"/>
        <v>9710.6900000000387</v>
      </c>
      <c r="K49" s="242">
        <f t="shared" si="45"/>
        <v>9710.6900000000387</v>
      </c>
      <c r="L49" s="242">
        <f t="shared" si="36"/>
        <v>89.07</v>
      </c>
      <c r="M49" s="242">
        <f t="shared" si="13"/>
        <v>9621.620000000039</v>
      </c>
      <c r="N49" s="242">
        <f t="shared" si="3"/>
        <v>0</v>
      </c>
      <c r="O49" s="242">
        <v>0</v>
      </c>
      <c r="P49" s="242">
        <f t="shared" si="25"/>
        <v>89.07</v>
      </c>
      <c r="Q49" s="242">
        <f t="shared" si="33"/>
        <v>0</v>
      </c>
      <c r="R49" s="242">
        <f t="shared" si="15"/>
        <v>0</v>
      </c>
      <c r="S49" s="242">
        <f t="shared" si="16"/>
        <v>0</v>
      </c>
      <c r="T49" s="467"/>
      <c r="U49" s="198">
        <f t="shared" si="29"/>
        <v>0</v>
      </c>
      <c r="V49" s="36">
        <f t="shared" si="17"/>
        <v>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49"/>
        <v>0</v>
      </c>
      <c r="Y49" s="57">
        <f t="shared" si="46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11660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11630</v>
      </c>
      <c r="AN49" s="57">
        <f t="shared" ref="AN49:AN112" si="50">AN48+365</f>
        <v>45171</v>
      </c>
      <c r="AO49" s="130">
        <f t="shared" si="18"/>
        <v>0</v>
      </c>
      <c r="AP49" s="261">
        <f t="shared" si="30"/>
        <v>41</v>
      </c>
      <c r="AQ49" s="262">
        <f t="shared" si="4"/>
        <v>45693</v>
      </c>
      <c r="AR49" s="263">
        <f t="shared" si="47"/>
        <v>0.14899999999999999</v>
      </c>
      <c r="AS49" s="258">
        <f t="shared" si="19"/>
        <v>0</v>
      </c>
      <c r="AT49" s="258">
        <f t="shared" si="6"/>
        <v>0</v>
      </c>
      <c r="AU49" s="258">
        <f t="shared" si="20"/>
        <v>0</v>
      </c>
      <c r="AV49" s="258">
        <f t="shared" si="21"/>
        <v>0</v>
      </c>
      <c r="AW49" s="258">
        <f t="shared" si="7"/>
        <v>0</v>
      </c>
      <c r="AX49" s="258">
        <v>0</v>
      </c>
      <c r="AY49" s="258">
        <f t="shared" si="22"/>
        <v>0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0</v>
      </c>
      <c r="BH49" s="108">
        <f t="shared" si="31"/>
        <v>0</v>
      </c>
      <c r="BI49" s="108">
        <f t="shared" si="26"/>
        <v>0</v>
      </c>
      <c r="BJ49" s="22">
        <f t="shared" si="27"/>
        <v>45693</v>
      </c>
      <c r="BK49" s="108">
        <f t="shared" si="9"/>
        <v>9710.6900000000387</v>
      </c>
    </row>
    <row r="50" spans="1:64" s="16" customFormat="1" ht="55.5" customHeight="1" thickBot="1" x14ac:dyDescent="0.3">
      <c r="A50" s="792" t="s">
        <v>186</v>
      </c>
      <c r="B50" s="213" t="s">
        <v>180</v>
      </c>
      <c r="C50" s="191">
        <f>C32/($C$10/12)</f>
        <v>33196.89666666666</v>
      </c>
      <c r="D50" s="191">
        <f>D32/($C$10/12)</f>
        <v>27695.14333333333</v>
      </c>
      <c r="E50" s="191">
        <f>C50-D50</f>
        <v>5501.7533333333304</v>
      </c>
      <c r="F50" s="180"/>
      <c r="G50" s="244">
        <f t="shared" si="28"/>
        <v>42</v>
      </c>
      <c r="H50" s="245">
        <f t="shared" si="1"/>
        <v>45721</v>
      </c>
      <c r="I50" s="246">
        <f t="shared" si="48"/>
        <v>0.10899999999999999</v>
      </c>
      <c r="J50" s="242">
        <f t="shared" si="11"/>
        <v>0</v>
      </c>
      <c r="K50" s="242">
        <f t="shared" si="45"/>
        <v>0</v>
      </c>
      <c r="L50" s="242">
        <f t="shared" si="36"/>
        <v>0</v>
      </c>
      <c r="M50" s="242">
        <f t="shared" si="13"/>
        <v>0</v>
      </c>
      <c r="N50" s="242">
        <f t="shared" si="3"/>
        <v>0</v>
      </c>
      <c r="O50" s="242">
        <v>0</v>
      </c>
      <c r="P50" s="242">
        <f t="shared" si="25"/>
        <v>0</v>
      </c>
      <c r="Q50" s="242">
        <f t="shared" si="33"/>
        <v>0</v>
      </c>
      <c r="R50" s="242">
        <f t="shared" si="15"/>
        <v>0</v>
      </c>
      <c r="S50" s="242">
        <f t="shared" si="16"/>
        <v>0</v>
      </c>
      <c r="T50" s="467"/>
      <c r="U50" s="198">
        <f t="shared" si="29"/>
        <v>0</v>
      </c>
      <c r="V50" s="36">
        <f t="shared" si="17"/>
        <v>0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49"/>
        <v>11280</v>
      </c>
      <c r="Y50" s="57">
        <f t="shared" si="46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1">AT11</f>
        <v>11630</v>
      </c>
      <c r="AN50" s="57">
        <f t="shared" si="50"/>
        <v>45536</v>
      </c>
      <c r="AO50" s="130">
        <f t="shared" si="18"/>
        <v>0</v>
      </c>
      <c r="AP50" s="261">
        <f t="shared" si="30"/>
        <v>42</v>
      </c>
      <c r="AQ50" s="262">
        <f t="shared" si="4"/>
        <v>45721</v>
      </c>
      <c r="AR50" s="263">
        <f t="shared" si="47"/>
        <v>0.14899999999999999</v>
      </c>
      <c r="AS50" s="258">
        <f t="shared" si="19"/>
        <v>0</v>
      </c>
      <c r="AT50" s="258">
        <f t="shared" si="6"/>
        <v>0</v>
      </c>
      <c r="AU50" s="258">
        <f t="shared" si="20"/>
        <v>0</v>
      </c>
      <c r="AV50" s="258">
        <f t="shared" si="21"/>
        <v>0</v>
      </c>
      <c r="AW50" s="258">
        <f t="shared" si="7"/>
        <v>0</v>
      </c>
      <c r="AX50" s="258">
        <v>0</v>
      </c>
      <c r="AY50" s="258">
        <f t="shared" si="22"/>
        <v>0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0</v>
      </c>
      <c r="BH50" s="108">
        <f t="shared" si="31"/>
        <v>0</v>
      </c>
      <c r="BI50" s="108">
        <f t="shared" si="26"/>
        <v>0</v>
      </c>
      <c r="BJ50" s="22">
        <f t="shared" si="27"/>
        <v>45721</v>
      </c>
      <c r="BK50" s="108">
        <f t="shared" si="9"/>
        <v>0</v>
      </c>
    </row>
    <row r="51" spans="1:64" s="16" customFormat="1" ht="19.5" customHeight="1" x14ac:dyDescent="0.3">
      <c r="A51" s="792"/>
      <c r="B51" s="213" t="s">
        <v>181</v>
      </c>
      <c r="C51" s="201">
        <f>C50/C22</f>
        <v>9.8906258689866106E-2</v>
      </c>
      <c r="D51" s="201">
        <f>D50/D22</f>
        <v>8.2514430143407605E-2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48"/>
        <v>0.10899999999999999</v>
      </c>
      <c r="J51" s="242">
        <f t="shared" si="11"/>
        <v>0</v>
      </c>
      <c r="K51" s="242">
        <f t="shared" si="45"/>
        <v>0</v>
      </c>
      <c r="L51" s="242">
        <f t="shared" si="36"/>
        <v>0</v>
      </c>
      <c r="M51" s="242">
        <f t="shared" si="13"/>
        <v>0</v>
      </c>
      <c r="N51" s="242">
        <f t="shared" si="3"/>
        <v>0</v>
      </c>
      <c r="O51" s="242">
        <v>0</v>
      </c>
      <c r="P51" s="242">
        <f t="shared" si="25"/>
        <v>0</v>
      </c>
      <c r="Q51" s="242">
        <f t="shared" si="33"/>
        <v>0</v>
      </c>
      <c r="R51" s="242">
        <f t="shared" si="15"/>
        <v>0</v>
      </c>
      <c r="S51" s="242">
        <f t="shared" si="16"/>
        <v>0</v>
      </c>
      <c r="T51" s="467"/>
      <c r="U51" s="198">
        <f t="shared" si="29"/>
        <v>0</v>
      </c>
      <c r="V51" s="36">
        <f t="shared" si="17"/>
        <v>0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49"/>
        <v>11280</v>
      </c>
      <c r="Y51" s="57">
        <f t="shared" si="46"/>
        <v>47361</v>
      </c>
      <c r="Z51" s="11" t="s">
        <v>18</v>
      </c>
      <c r="AA51" s="11"/>
      <c r="AB51" s="11"/>
      <c r="AC51" s="42">
        <f>(D31-C7)</f>
        <v>118680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1"/>
        <v>11630</v>
      </c>
      <c r="AN51" s="57">
        <f t="shared" si="50"/>
        <v>45901</v>
      </c>
      <c r="AO51" s="130">
        <f t="shared" si="18"/>
        <v>0</v>
      </c>
      <c r="AP51" s="261">
        <f t="shared" si="30"/>
        <v>43</v>
      </c>
      <c r="AQ51" s="262">
        <f t="shared" si="4"/>
        <v>45752</v>
      </c>
      <c r="AR51" s="263">
        <f t="shared" si="47"/>
        <v>0.14899999999999999</v>
      </c>
      <c r="AS51" s="258">
        <f t="shared" si="19"/>
        <v>0</v>
      </c>
      <c r="AT51" s="258">
        <f t="shared" si="6"/>
        <v>0</v>
      </c>
      <c r="AU51" s="258">
        <f t="shared" si="20"/>
        <v>0</v>
      </c>
      <c r="AV51" s="258">
        <f t="shared" si="21"/>
        <v>0</v>
      </c>
      <c r="AW51" s="258">
        <f t="shared" si="7"/>
        <v>0</v>
      </c>
      <c r="AX51" s="258">
        <v>0</v>
      </c>
      <c r="AY51" s="258">
        <f t="shared" si="22"/>
        <v>0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0</v>
      </c>
      <c r="BH51" s="108">
        <f t="shared" si="31"/>
        <v>0</v>
      </c>
      <c r="BI51" s="108">
        <f t="shared" si="26"/>
        <v>0</v>
      </c>
      <c r="BJ51" s="22">
        <f t="shared" si="27"/>
        <v>45752</v>
      </c>
      <c r="BK51" s="108">
        <f t="shared" si="9"/>
        <v>0</v>
      </c>
    </row>
    <row r="52" spans="1:64" s="16" customFormat="1" ht="24" customHeight="1" x14ac:dyDescent="0.3">
      <c r="A52" s="763" t="s">
        <v>177</v>
      </c>
      <c r="B52" s="763"/>
      <c r="C52" s="190">
        <f>C50/12</f>
        <v>2766.4080555555552</v>
      </c>
      <c r="D52" s="191">
        <f>D50/12</f>
        <v>2307.928611111111</v>
      </c>
      <c r="E52" s="191">
        <f>C52-D52</f>
        <v>458.4794444444442</v>
      </c>
      <c r="F52" s="178"/>
      <c r="G52" s="244">
        <f t="shared" si="28"/>
        <v>44</v>
      </c>
      <c r="H52" s="245">
        <f t="shared" si="1"/>
        <v>45782</v>
      </c>
      <c r="I52" s="246">
        <f t="shared" si="48"/>
        <v>0.10899999999999999</v>
      </c>
      <c r="J52" s="242">
        <f t="shared" si="11"/>
        <v>0</v>
      </c>
      <c r="K52" s="242">
        <f t="shared" si="45"/>
        <v>0</v>
      </c>
      <c r="L52" s="242">
        <f t="shared" si="36"/>
        <v>0</v>
      </c>
      <c r="M52" s="242">
        <f t="shared" si="13"/>
        <v>0</v>
      </c>
      <c r="N52" s="242">
        <f t="shared" si="3"/>
        <v>0</v>
      </c>
      <c r="O52" s="242">
        <v>0</v>
      </c>
      <c r="P52" s="242">
        <f t="shared" si="25"/>
        <v>0</v>
      </c>
      <c r="Q52" s="242">
        <f t="shared" si="33"/>
        <v>0</v>
      </c>
      <c r="R52" s="242">
        <f t="shared" si="15"/>
        <v>0</v>
      </c>
      <c r="S52" s="242">
        <f t="shared" si="16"/>
        <v>0</v>
      </c>
      <c r="T52" s="467"/>
      <c r="U52" s="198">
        <f t="shared" si="29"/>
        <v>0</v>
      </c>
      <c r="V52" s="36">
        <f t="shared" si="17"/>
        <v>0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49"/>
        <v>11280</v>
      </c>
      <c r="Y52" s="57">
        <f t="shared" si="46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1"/>
        <v>11630</v>
      </c>
      <c r="AN52" s="57">
        <f t="shared" si="50"/>
        <v>46266</v>
      </c>
      <c r="AO52" s="130">
        <f t="shared" si="18"/>
        <v>0</v>
      </c>
      <c r="AP52" s="261">
        <f t="shared" si="30"/>
        <v>44</v>
      </c>
      <c r="AQ52" s="262">
        <f t="shared" si="4"/>
        <v>45782</v>
      </c>
      <c r="AR52" s="263">
        <f t="shared" si="47"/>
        <v>0.14899999999999999</v>
      </c>
      <c r="AS52" s="258">
        <f t="shared" si="19"/>
        <v>0</v>
      </c>
      <c r="AT52" s="258">
        <f t="shared" si="6"/>
        <v>0</v>
      </c>
      <c r="AU52" s="258">
        <f t="shared" si="20"/>
        <v>0</v>
      </c>
      <c r="AV52" s="258">
        <f t="shared" si="21"/>
        <v>0</v>
      </c>
      <c r="AW52" s="258">
        <f t="shared" si="7"/>
        <v>0</v>
      </c>
      <c r="AX52" s="258">
        <v>0</v>
      </c>
      <c r="AY52" s="258">
        <f t="shared" si="22"/>
        <v>0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0</v>
      </c>
      <c r="BH52" s="108">
        <f t="shared" si="31"/>
        <v>0</v>
      </c>
      <c r="BI52" s="108">
        <f t="shared" si="26"/>
        <v>0</v>
      </c>
      <c r="BJ52" s="22">
        <f t="shared" si="27"/>
        <v>45782</v>
      </c>
      <c r="BK52" s="108">
        <f t="shared" si="9"/>
        <v>0</v>
      </c>
    </row>
    <row r="53" spans="1:64" s="16" customFormat="1" ht="24" customHeight="1" thickBot="1" x14ac:dyDescent="0.35">
      <c r="A53" s="789" t="s">
        <v>176</v>
      </c>
      <c r="B53" s="789"/>
      <c r="C53" s="203">
        <f>C52/30</f>
        <v>92.213601851851834</v>
      </c>
      <c r="D53" s="202">
        <f>D52/30</f>
        <v>76.930953703703693</v>
      </c>
      <c r="E53" s="202">
        <f>C53-D53</f>
        <v>15.282648148148141</v>
      </c>
      <c r="F53" s="178"/>
      <c r="G53" s="244">
        <f t="shared" si="28"/>
        <v>45</v>
      </c>
      <c r="H53" s="245">
        <f t="shared" si="1"/>
        <v>45813</v>
      </c>
      <c r="I53" s="246">
        <f t="shared" si="48"/>
        <v>0.10899999999999999</v>
      </c>
      <c r="J53" s="242">
        <f t="shared" si="11"/>
        <v>0</v>
      </c>
      <c r="K53" s="242">
        <f t="shared" si="45"/>
        <v>0</v>
      </c>
      <c r="L53" s="242">
        <f t="shared" si="36"/>
        <v>0</v>
      </c>
      <c r="M53" s="242">
        <f t="shared" si="13"/>
        <v>0</v>
      </c>
      <c r="N53" s="242">
        <f t="shared" si="3"/>
        <v>0</v>
      </c>
      <c r="O53" s="242">
        <v>0</v>
      </c>
      <c r="P53" s="242">
        <f t="shared" si="25"/>
        <v>0</v>
      </c>
      <c r="Q53" s="242">
        <f t="shared" si="33"/>
        <v>0</v>
      </c>
      <c r="R53" s="242">
        <f t="shared" si="15"/>
        <v>0</v>
      </c>
      <c r="S53" s="242">
        <f t="shared" si="16"/>
        <v>0</v>
      </c>
      <c r="T53" s="467"/>
      <c r="U53" s="198">
        <f t="shared" si="29"/>
        <v>0</v>
      </c>
      <c r="V53" s="36">
        <f t="shared" si="17"/>
        <v>0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49"/>
        <v>11280</v>
      </c>
      <c r="Y53" s="57">
        <f t="shared" si="46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1"/>
        <v>11630</v>
      </c>
      <c r="AN53" s="57">
        <f t="shared" si="50"/>
        <v>46631</v>
      </c>
      <c r="AO53" s="130">
        <f t="shared" si="18"/>
        <v>0</v>
      </c>
      <c r="AP53" s="261">
        <f t="shared" si="30"/>
        <v>45</v>
      </c>
      <c r="AQ53" s="262">
        <f t="shared" si="4"/>
        <v>45813</v>
      </c>
      <c r="AR53" s="263">
        <f t="shared" si="47"/>
        <v>0.14899999999999999</v>
      </c>
      <c r="AS53" s="258">
        <f t="shared" si="19"/>
        <v>0</v>
      </c>
      <c r="AT53" s="258">
        <f t="shared" si="6"/>
        <v>0</v>
      </c>
      <c r="AU53" s="258">
        <f t="shared" si="20"/>
        <v>0</v>
      </c>
      <c r="AV53" s="258">
        <f t="shared" si="21"/>
        <v>0</v>
      </c>
      <c r="AW53" s="258">
        <f t="shared" si="7"/>
        <v>0</v>
      </c>
      <c r="AX53" s="258">
        <v>0</v>
      </c>
      <c r="AY53" s="258">
        <f t="shared" si="22"/>
        <v>0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0</v>
      </c>
      <c r="BH53" s="108">
        <f t="shared" si="31"/>
        <v>0</v>
      </c>
      <c r="BI53" s="108">
        <f t="shared" si="26"/>
        <v>0</v>
      </c>
      <c r="BJ53" s="22">
        <f t="shared" si="27"/>
        <v>45813</v>
      </c>
      <c r="BK53" s="108">
        <f t="shared" si="9"/>
        <v>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48"/>
        <v>0.10899999999999999</v>
      </c>
      <c r="J54" s="242">
        <f t="shared" si="11"/>
        <v>0</v>
      </c>
      <c r="K54" s="242">
        <f t="shared" si="45"/>
        <v>0</v>
      </c>
      <c r="L54" s="242">
        <f t="shared" si="36"/>
        <v>0</v>
      </c>
      <c r="M54" s="242">
        <f t="shared" si="13"/>
        <v>0</v>
      </c>
      <c r="N54" s="242">
        <f t="shared" si="3"/>
        <v>0</v>
      </c>
      <c r="O54" s="242">
        <v>0</v>
      </c>
      <c r="P54" s="242">
        <f t="shared" si="25"/>
        <v>0</v>
      </c>
      <c r="Q54" s="242">
        <f t="shared" si="33"/>
        <v>0</v>
      </c>
      <c r="R54" s="242">
        <f t="shared" si="15"/>
        <v>0</v>
      </c>
      <c r="S54" s="242">
        <f t="shared" si="16"/>
        <v>0</v>
      </c>
      <c r="T54" s="467"/>
      <c r="U54" s="198">
        <f t="shared" si="29"/>
        <v>0</v>
      </c>
      <c r="V54" s="36">
        <f t="shared" si="17"/>
        <v>0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49"/>
        <v>11280</v>
      </c>
      <c r="Y54" s="57">
        <f t="shared" si="46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11656.148919983676</v>
      </c>
      <c r="AF54" s="2"/>
      <c r="AG54" s="47">
        <f>(D22+AI51)*AE14/12*(1+AE14/12)^(C10)/((1+AE14/12)^(C10)-1)+D22/10000*IF(C10&lt;11,20,IF(C10&lt;20,2.5,IF(C10&lt;37,1.5,IF(C10&lt;60,0.7,0.5))))*IF(AE14&lt;0.3,AE14/0.2,AE14/0.1)</f>
        <v>11656.148919983676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1"/>
        <v>11630</v>
      </c>
      <c r="AN54" s="57">
        <f t="shared" si="50"/>
        <v>46996</v>
      </c>
      <c r="AO54" s="130">
        <f t="shared" si="18"/>
        <v>0</v>
      </c>
      <c r="AP54" s="261">
        <f t="shared" si="30"/>
        <v>46</v>
      </c>
      <c r="AQ54" s="262">
        <f t="shared" si="4"/>
        <v>45843</v>
      </c>
      <c r="AR54" s="263">
        <f t="shared" si="47"/>
        <v>0.14899999999999999</v>
      </c>
      <c r="AS54" s="258">
        <f t="shared" si="19"/>
        <v>0</v>
      </c>
      <c r="AT54" s="258">
        <f t="shared" si="6"/>
        <v>0</v>
      </c>
      <c r="AU54" s="258">
        <f t="shared" si="20"/>
        <v>0</v>
      </c>
      <c r="AV54" s="258">
        <f t="shared" si="21"/>
        <v>0</v>
      </c>
      <c r="AW54" s="258">
        <f t="shared" si="7"/>
        <v>0</v>
      </c>
      <c r="AX54" s="258">
        <v>0</v>
      </c>
      <c r="AY54" s="258">
        <f t="shared" si="22"/>
        <v>0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0</v>
      </c>
      <c r="BH54" s="108">
        <f t="shared" si="31"/>
        <v>0</v>
      </c>
      <c r="BI54" s="108">
        <f t="shared" si="26"/>
        <v>0</v>
      </c>
      <c r="BJ54" s="22">
        <f t="shared" si="27"/>
        <v>45843</v>
      </c>
      <c r="BK54" s="108">
        <f t="shared" si="9"/>
        <v>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48"/>
        <v>0.10899999999999999</v>
      </c>
      <c r="J55" s="242">
        <f t="shared" si="11"/>
        <v>0</v>
      </c>
      <c r="K55" s="242">
        <f t="shared" si="45"/>
        <v>0</v>
      </c>
      <c r="L55" s="242">
        <f t="shared" si="36"/>
        <v>0</v>
      </c>
      <c r="M55" s="242">
        <f t="shared" si="13"/>
        <v>0</v>
      </c>
      <c r="N55" s="242">
        <f t="shared" si="3"/>
        <v>0</v>
      </c>
      <c r="O55" s="242">
        <v>0</v>
      </c>
      <c r="P55" s="242">
        <f t="shared" si="25"/>
        <v>0</v>
      </c>
      <c r="Q55" s="242">
        <f t="shared" si="33"/>
        <v>0</v>
      </c>
      <c r="R55" s="242">
        <f t="shared" si="15"/>
        <v>0</v>
      </c>
      <c r="S55" s="242">
        <f t="shared" si="16"/>
        <v>0</v>
      </c>
      <c r="T55" s="467"/>
      <c r="U55" s="198">
        <f t="shared" si="29"/>
        <v>0</v>
      </c>
      <c r="V55" s="36">
        <f t="shared" si="17"/>
        <v>0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49"/>
        <v>11280</v>
      </c>
      <c r="Y55" s="57">
        <f t="shared" si="46"/>
        <v>48821</v>
      </c>
      <c r="AA55" s="170" t="s">
        <v>134</v>
      </c>
      <c r="AD55" s="47">
        <f>IF(DAY(C9)&lt;4,AE54,IF(DAY(C9)&gt;28,AE56,AE55))</f>
        <v>11656.148919983676</v>
      </c>
      <c r="AE55" s="47">
        <f>(C22+AI51)*AG36/12*(1+AG36/12)^(C10)/((1+AG36/12)^(C10)-1)+C22/10000*IF(C10&lt;11,20,IF(C10&lt;34,0.7,IF(C10&lt;58,0.3,0.1)))*IF(AG36&lt;0.3,AG36/0.2,AG36/0.1)</f>
        <v>11626.142703983676</v>
      </c>
      <c r="AF55" s="13">
        <f>IF(DAY(C9)&lt;4,AG54,IF(DAY(C9)&gt;28,AG56,AG55))</f>
        <v>11656.148919983676</v>
      </c>
      <c r="AG55" s="156">
        <f>(D22+AI51)*AE14/12*(1+AE14/12)^(C10)/((1+AE14/12)^(C10)-1)+D22/10000*IF(C10&lt;11,20,IF(C10&lt;34,0.7,IF(C10&lt;58,0.3,0.1)))*IF(AE14&lt;0.3,AE14/0.2,AE14/0.1)</f>
        <v>11626.142703983676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1"/>
        <v>11630</v>
      </c>
      <c r="AN55" s="57">
        <f t="shared" si="50"/>
        <v>47361</v>
      </c>
      <c r="AO55" s="130">
        <f t="shared" si="18"/>
        <v>0</v>
      </c>
      <c r="AP55" s="261">
        <f t="shared" si="30"/>
        <v>47</v>
      </c>
      <c r="AQ55" s="262">
        <f t="shared" si="4"/>
        <v>45874</v>
      </c>
      <c r="AR55" s="263">
        <f t="shared" si="47"/>
        <v>0.14899999999999999</v>
      </c>
      <c r="AS55" s="258">
        <f t="shared" si="19"/>
        <v>0</v>
      </c>
      <c r="AT55" s="258">
        <f t="shared" si="6"/>
        <v>0</v>
      </c>
      <c r="AU55" s="258">
        <f t="shared" si="20"/>
        <v>0</v>
      </c>
      <c r="AV55" s="258">
        <f t="shared" si="21"/>
        <v>0</v>
      </c>
      <c r="AW55" s="258">
        <f t="shared" si="7"/>
        <v>0</v>
      </c>
      <c r="AX55" s="258">
        <v>0</v>
      </c>
      <c r="AY55" s="258">
        <f t="shared" si="22"/>
        <v>0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0</v>
      </c>
      <c r="BH55" s="108">
        <f t="shared" si="31"/>
        <v>0</v>
      </c>
      <c r="BI55" s="108">
        <f t="shared" si="26"/>
        <v>0</v>
      </c>
      <c r="BJ55" s="22">
        <f t="shared" si="27"/>
        <v>45874</v>
      </c>
      <c r="BK55" s="108">
        <f t="shared" si="9"/>
        <v>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48"/>
        <v>0.10899999999999999</v>
      </c>
      <c r="J56" s="252">
        <f t="shared" si="11"/>
        <v>0</v>
      </c>
      <c r="K56" s="252">
        <f t="shared" si="45"/>
        <v>0</v>
      </c>
      <c r="L56" s="252">
        <f t="shared" si="36"/>
        <v>0</v>
      </c>
      <c r="M56" s="252">
        <f t="shared" si="13"/>
        <v>0</v>
      </c>
      <c r="N56" s="252">
        <f t="shared" si="3"/>
        <v>0</v>
      </c>
      <c r="O56" s="252">
        <v>0</v>
      </c>
      <c r="P56" s="252">
        <f t="shared" si="25"/>
        <v>0</v>
      </c>
      <c r="Q56" s="252">
        <f t="shared" si="33"/>
        <v>0</v>
      </c>
      <c r="R56" s="252">
        <f t="shared" si="15"/>
        <v>0</v>
      </c>
      <c r="S56" s="252">
        <f t="shared" si="16"/>
        <v>0</v>
      </c>
      <c r="T56" s="468"/>
      <c r="U56" s="198">
        <f t="shared" si="29"/>
        <v>0</v>
      </c>
      <c r="V56" s="36">
        <f t="shared" si="17"/>
        <v>0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49"/>
        <v>11280</v>
      </c>
      <c r="Y56" s="57">
        <f t="shared" si="46"/>
        <v>49186</v>
      </c>
      <c r="AA56" s="171">
        <v>20000</v>
      </c>
      <c r="AB56" s="133" t="s">
        <v>135</v>
      </c>
      <c r="AC56" s="118">
        <f>ROUNDUP(AD56/AG47,0)*AG47</f>
        <v>7110</v>
      </c>
      <c r="AD56" s="13">
        <f>(C22+AI51)*AC57/12*(1+AC57/12)^(C10+AD57)/((1+AC57/12)^(C10+AD57)-1)+10*C22/100000*IF(C10+AD57&lt;24,4,IF(C10+AD57&lt;36,3,IF(C10+AD57&lt;48,2,IF(C10+AD57&lt;60,1.5,1))))*AC57/0.2</f>
        <v>7103.9026952196973</v>
      </c>
      <c r="AE56" s="47">
        <f>(C22+AI51)*AG36/12*(1+AG36/12)^(C10)/((1+AG36/12)^(C10)-1)+C22/10000*IF(C10&lt;11,20,IF(C10&lt;34,0.7,IF(C10&lt;48,0.3,0)))*IF(AG36&lt;0.3,AG36/0.2,AG36/0.1)</f>
        <v>11626.142703983676</v>
      </c>
      <c r="AF56" s="13">
        <f>(D22+AI51)*AF57/12*(1+AF57/12)^(C10+AD57)/((1+AF57/12)^(C10+AD57)-1)+10*D22/100000*IF(C10+AD57&lt;24,4,IF(C10+AD57&lt;36,3,IF(C10+AD57&lt;48,2,IF(C10+AD57&lt;60,1.5,1))))*AF57/0.2</f>
        <v>7103.9026952196973</v>
      </c>
      <c r="AG56" s="157">
        <f>(D22+AI51)*AE14/12*(1+AE14/12)^(C10)/((1+AE14/12)^(C10)-1)+D22/10000*IF(C10&lt;11,20,IF(C10&lt;34,0.7,IF(C10&lt;48,0.3,0)))*IF(AE14&lt;0.3,AE14/0.2,AE14/0.1)</f>
        <v>11626.142703983676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1"/>
        <v>11630</v>
      </c>
      <c r="AN56" s="57">
        <f t="shared" si="50"/>
        <v>47726</v>
      </c>
      <c r="AO56" s="130">
        <f t="shared" si="18"/>
        <v>0</v>
      </c>
      <c r="AP56" s="261">
        <f t="shared" si="30"/>
        <v>48</v>
      </c>
      <c r="AQ56" s="262">
        <f t="shared" si="4"/>
        <v>45905</v>
      </c>
      <c r="AR56" s="263">
        <f t="shared" si="47"/>
        <v>0.14899999999999999</v>
      </c>
      <c r="AS56" s="258">
        <f t="shared" si="19"/>
        <v>0</v>
      </c>
      <c r="AT56" s="258">
        <f t="shared" si="6"/>
        <v>0</v>
      </c>
      <c r="AU56" s="258">
        <f t="shared" si="20"/>
        <v>0</v>
      </c>
      <c r="AV56" s="258">
        <f t="shared" si="21"/>
        <v>0</v>
      </c>
      <c r="AW56" s="258">
        <f t="shared" si="7"/>
        <v>0</v>
      </c>
      <c r="AX56" s="258">
        <v>0</v>
      </c>
      <c r="AY56" s="258">
        <f t="shared" si="22"/>
        <v>0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0</v>
      </c>
      <c r="BI56" s="108">
        <f t="shared" si="26"/>
        <v>0</v>
      </c>
      <c r="BJ56" s="22">
        <f t="shared" si="27"/>
        <v>45905</v>
      </c>
      <c r="BK56" s="108">
        <f t="shared" si="9"/>
        <v>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0.10899999999999999</v>
      </c>
      <c r="J57" s="242">
        <f t="shared" si="11"/>
        <v>0</v>
      </c>
      <c r="K57" s="242">
        <f t="shared" ref="K57:K108" si="52">IF(AND(G57&gt;=$W$9,G57&lt;=$W$9+5),$W$10,IF(AND(S56+N57+L57&gt;K56,K56&lt;&gt;0),IF(AND($C$16="Да",$C$8&lt;&gt;"Нет"),$AF$40,$C$23),IF(S56=0,0,S56+N57+L57+L58)))</f>
        <v>0</v>
      </c>
      <c r="L57" s="242">
        <f t="shared" si="36"/>
        <v>0</v>
      </c>
      <c r="M57" s="242">
        <f t="shared" si="13"/>
        <v>0</v>
      </c>
      <c r="N57" s="242">
        <f t="shared" si="3"/>
        <v>0</v>
      </c>
      <c r="O57" s="242">
        <v>0</v>
      </c>
      <c r="P57" s="242">
        <f t="shared" si="25"/>
        <v>0</v>
      </c>
      <c r="Q57" s="242">
        <f t="shared" si="33"/>
        <v>0</v>
      </c>
      <c r="R57" s="242">
        <f t="shared" si="15"/>
        <v>0</v>
      </c>
      <c r="S57" s="242">
        <f t="shared" si="16"/>
        <v>0</v>
      </c>
      <c r="T57" s="467"/>
      <c r="U57" s="198">
        <f t="shared" si="29"/>
        <v>0</v>
      </c>
      <c r="V57" s="36">
        <f t="shared" si="17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49"/>
        <v>11280</v>
      </c>
      <c r="Y57" s="57">
        <f t="shared" si="46"/>
        <v>49551</v>
      </c>
      <c r="AA57" s="171">
        <v>200000</v>
      </c>
      <c r="AB57" s="171">
        <v>200000</v>
      </c>
      <c r="AC57" s="15">
        <f>IF(C9&gt;AH48,C11,C11+0.05)</f>
        <v>0.14899999999999999</v>
      </c>
      <c r="AD57" s="2">
        <f xml:space="preserve"> IF(C9&gt;AH48,36,24)</f>
        <v>36</v>
      </c>
      <c r="AE57" s="44">
        <f>(C22+AI51)*AG36/12*(1+AG36/12)^(C10)/((1+AG36/12)^(C10)-1)</f>
        <v>11618.641149983676</v>
      </c>
      <c r="AF57" s="15">
        <f>IF(C9&gt;AH48,D13,D13+0.05)</f>
        <v>0.14899999999999999</v>
      </c>
      <c r="AG57" s="118">
        <f>(D22+AI51)*AE14/12*(1+AE14/12)^(C10)/((1+AE14/12)^(C10)-1)</f>
        <v>11618.641149983676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1"/>
        <v>11630</v>
      </c>
      <c r="AN57" s="57">
        <f t="shared" si="50"/>
        <v>48091</v>
      </c>
      <c r="AO57" s="130">
        <f t="shared" si="18"/>
        <v>0</v>
      </c>
      <c r="AP57" s="261">
        <f t="shared" si="30"/>
        <v>49</v>
      </c>
      <c r="AQ57" s="262">
        <f t="shared" si="4"/>
        <v>45935</v>
      </c>
      <c r="AR57" s="263">
        <f t="shared" ref="AR57:AR108" si="53">IF($D$16="Да",$AM$40,$D$13)</f>
        <v>0.14899999999999999</v>
      </c>
      <c r="AS57" s="258">
        <f t="shared" si="19"/>
        <v>0</v>
      </c>
      <c r="AT57" s="258">
        <f t="shared" si="6"/>
        <v>0</v>
      </c>
      <c r="AU57" s="258">
        <f t="shared" si="20"/>
        <v>0</v>
      </c>
      <c r="AV57" s="258">
        <f t="shared" si="21"/>
        <v>0</v>
      </c>
      <c r="AW57" s="258">
        <f t="shared" si="7"/>
        <v>0</v>
      </c>
      <c r="AX57" s="258">
        <v>0</v>
      </c>
      <c r="AY57" s="258">
        <f t="shared" si="22"/>
        <v>0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45935</v>
      </c>
      <c r="BK57" s="108">
        <f t="shared" si="9"/>
        <v>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4">IF(AND($C$16="Да",$C$8&lt;&gt;"Нет"),$AG$40,$C$13)</f>
        <v>0.10899999999999999</v>
      </c>
      <c r="J58" s="242">
        <f t="shared" si="11"/>
        <v>0</v>
      </c>
      <c r="K58" s="242">
        <f t="shared" si="52"/>
        <v>0</v>
      </c>
      <c r="L58" s="242">
        <f t="shared" si="36"/>
        <v>0</v>
      </c>
      <c r="M58" s="242">
        <f t="shared" si="13"/>
        <v>0</v>
      </c>
      <c r="N58" s="242">
        <f t="shared" si="3"/>
        <v>0</v>
      </c>
      <c r="O58" s="242">
        <v>0</v>
      </c>
      <c r="P58" s="242">
        <f t="shared" si="25"/>
        <v>0</v>
      </c>
      <c r="Q58" s="242">
        <f t="shared" si="33"/>
        <v>0</v>
      </c>
      <c r="R58" s="242">
        <f t="shared" si="15"/>
        <v>0</v>
      </c>
      <c r="S58" s="242">
        <f t="shared" si="16"/>
        <v>0</v>
      </c>
      <c r="T58" s="467"/>
      <c r="U58" s="198">
        <f t="shared" si="29"/>
        <v>0</v>
      </c>
      <c r="V58" s="36">
        <f t="shared" si="17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49"/>
        <v>11280</v>
      </c>
      <c r="Y58" s="57">
        <f t="shared" si="46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1"/>
        <v>11630</v>
      </c>
      <c r="AN58" s="57">
        <f t="shared" si="50"/>
        <v>48456</v>
      </c>
      <c r="AO58" s="130">
        <f t="shared" si="18"/>
        <v>0</v>
      </c>
      <c r="AP58" s="261">
        <f t="shared" si="30"/>
        <v>50</v>
      </c>
      <c r="AQ58" s="262">
        <f t="shared" si="4"/>
        <v>45966</v>
      </c>
      <c r="AR58" s="263">
        <f t="shared" si="53"/>
        <v>0.14899999999999999</v>
      </c>
      <c r="AS58" s="258">
        <f t="shared" si="19"/>
        <v>0</v>
      </c>
      <c r="AT58" s="258">
        <f t="shared" si="6"/>
        <v>0</v>
      </c>
      <c r="AU58" s="258">
        <f t="shared" si="20"/>
        <v>0</v>
      </c>
      <c r="AV58" s="258">
        <f t="shared" si="21"/>
        <v>0</v>
      </c>
      <c r="AW58" s="258">
        <f t="shared" si="7"/>
        <v>0</v>
      </c>
      <c r="AX58" s="258">
        <v>0</v>
      </c>
      <c r="AY58" s="258">
        <f t="shared" si="22"/>
        <v>0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45966</v>
      </c>
      <c r="BK58" s="108">
        <f t="shared" si="9"/>
        <v>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4"/>
        <v>0.10899999999999999</v>
      </c>
      <c r="J59" s="242">
        <f t="shared" si="11"/>
        <v>0</v>
      </c>
      <c r="K59" s="242">
        <f t="shared" si="52"/>
        <v>0</v>
      </c>
      <c r="L59" s="242">
        <f t="shared" si="36"/>
        <v>0</v>
      </c>
      <c r="M59" s="242">
        <f t="shared" si="13"/>
        <v>0</v>
      </c>
      <c r="N59" s="242">
        <f t="shared" si="3"/>
        <v>0</v>
      </c>
      <c r="O59" s="242">
        <v>0</v>
      </c>
      <c r="P59" s="242">
        <f t="shared" si="25"/>
        <v>0</v>
      </c>
      <c r="Q59" s="242">
        <f t="shared" si="33"/>
        <v>0</v>
      </c>
      <c r="R59" s="242">
        <f t="shared" si="15"/>
        <v>0</v>
      </c>
      <c r="S59" s="242">
        <f t="shared" si="16"/>
        <v>0</v>
      </c>
      <c r="T59" s="467"/>
      <c r="U59" s="198">
        <f t="shared" si="29"/>
        <v>0</v>
      </c>
      <c r="V59" s="36">
        <f t="shared" si="17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49"/>
        <v>11280</v>
      </c>
      <c r="Y59" s="57">
        <f t="shared" si="46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1"/>
        <v>11630</v>
      </c>
      <c r="AN59" s="57">
        <f t="shared" si="50"/>
        <v>48821</v>
      </c>
      <c r="AO59" s="130">
        <f t="shared" si="18"/>
        <v>0</v>
      </c>
      <c r="AP59" s="261">
        <f t="shared" si="30"/>
        <v>51</v>
      </c>
      <c r="AQ59" s="262">
        <f t="shared" si="4"/>
        <v>45996</v>
      </c>
      <c r="AR59" s="263">
        <f t="shared" si="53"/>
        <v>0.14899999999999999</v>
      </c>
      <c r="AS59" s="258">
        <f t="shared" si="19"/>
        <v>0</v>
      </c>
      <c r="AT59" s="258">
        <f t="shared" si="6"/>
        <v>0</v>
      </c>
      <c r="AU59" s="258">
        <f t="shared" si="20"/>
        <v>0</v>
      </c>
      <c r="AV59" s="258">
        <f t="shared" si="21"/>
        <v>0</v>
      </c>
      <c r="AW59" s="258">
        <f t="shared" si="7"/>
        <v>0</v>
      </c>
      <c r="AX59" s="258">
        <v>0</v>
      </c>
      <c r="AY59" s="258">
        <f t="shared" si="22"/>
        <v>0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45996</v>
      </c>
      <c r="BK59" s="108">
        <f t="shared" si="9"/>
        <v>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4"/>
        <v>0.10899999999999999</v>
      </c>
      <c r="J60" s="242">
        <f t="shared" si="11"/>
        <v>0</v>
      </c>
      <c r="K60" s="242">
        <f t="shared" si="52"/>
        <v>0</v>
      </c>
      <c r="L60" s="242">
        <f t="shared" si="36"/>
        <v>0</v>
      </c>
      <c r="M60" s="242">
        <f t="shared" si="13"/>
        <v>0</v>
      </c>
      <c r="N60" s="242">
        <f t="shared" si="3"/>
        <v>0</v>
      </c>
      <c r="O60" s="242">
        <v>0</v>
      </c>
      <c r="P60" s="242">
        <f t="shared" si="25"/>
        <v>0</v>
      </c>
      <c r="Q60" s="242">
        <f t="shared" si="33"/>
        <v>0</v>
      </c>
      <c r="R60" s="242">
        <f t="shared" si="15"/>
        <v>0</v>
      </c>
      <c r="S60" s="242">
        <f t="shared" si="16"/>
        <v>0</v>
      </c>
      <c r="T60" s="467"/>
      <c r="U60" s="198">
        <f t="shared" si="29"/>
        <v>0</v>
      </c>
      <c r="V60" s="36">
        <f t="shared" si="17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49"/>
        <v>11280</v>
      </c>
      <c r="Y60" s="57">
        <f t="shared" si="46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1"/>
        <v>11630</v>
      </c>
      <c r="AN60" s="57">
        <f t="shared" si="50"/>
        <v>49186</v>
      </c>
      <c r="AO60" s="130">
        <f t="shared" si="18"/>
        <v>0</v>
      </c>
      <c r="AP60" s="261">
        <f t="shared" si="30"/>
        <v>52</v>
      </c>
      <c r="AQ60" s="262">
        <f t="shared" si="4"/>
        <v>46027</v>
      </c>
      <c r="AR60" s="263">
        <f t="shared" si="53"/>
        <v>0.14899999999999999</v>
      </c>
      <c r="AS60" s="258">
        <f t="shared" si="19"/>
        <v>0</v>
      </c>
      <c r="AT60" s="258">
        <f t="shared" si="6"/>
        <v>0</v>
      </c>
      <c r="AU60" s="258">
        <f t="shared" si="20"/>
        <v>0</v>
      </c>
      <c r="AV60" s="258">
        <f t="shared" si="21"/>
        <v>0</v>
      </c>
      <c r="AW60" s="258">
        <f t="shared" si="7"/>
        <v>0</v>
      </c>
      <c r="AX60" s="258">
        <v>0</v>
      </c>
      <c r="AY60" s="258">
        <f t="shared" si="22"/>
        <v>0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46027</v>
      </c>
      <c r="BK60" s="108">
        <f t="shared" si="9"/>
        <v>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4"/>
        <v>0.10899999999999999</v>
      </c>
      <c r="J61" s="242">
        <f t="shared" si="11"/>
        <v>0</v>
      </c>
      <c r="K61" s="242">
        <f t="shared" si="52"/>
        <v>0</v>
      </c>
      <c r="L61" s="242">
        <f t="shared" si="36"/>
        <v>0</v>
      </c>
      <c r="M61" s="242">
        <f t="shared" si="13"/>
        <v>0</v>
      </c>
      <c r="N61" s="242">
        <f t="shared" si="3"/>
        <v>0</v>
      </c>
      <c r="O61" s="242">
        <v>0</v>
      </c>
      <c r="P61" s="242">
        <f t="shared" si="25"/>
        <v>0</v>
      </c>
      <c r="Q61" s="242">
        <f t="shared" si="33"/>
        <v>0</v>
      </c>
      <c r="R61" s="242">
        <f t="shared" si="15"/>
        <v>0</v>
      </c>
      <c r="S61" s="242">
        <f t="shared" si="16"/>
        <v>0</v>
      </c>
      <c r="T61" s="467"/>
      <c r="U61" s="198">
        <f t="shared" si="29"/>
        <v>0</v>
      </c>
      <c r="V61" s="36">
        <f t="shared" si="17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49"/>
        <v>11280</v>
      </c>
      <c r="Y61" s="57">
        <f t="shared" si="46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1"/>
        <v>11630</v>
      </c>
      <c r="AN61" s="57">
        <f t="shared" si="50"/>
        <v>49551</v>
      </c>
      <c r="AO61" s="130">
        <f t="shared" si="18"/>
        <v>0</v>
      </c>
      <c r="AP61" s="261">
        <f t="shared" si="30"/>
        <v>53</v>
      </c>
      <c r="AQ61" s="262">
        <f t="shared" si="4"/>
        <v>46058</v>
      </c>
      <c r="AR61" s="263">
        <f t="shared" si="53"/>
        <v>0.14899999999999999</v>
      </c>
      <c r="AS61" s="258">
        <f t="shared" si="19"/>
        <v>0</v>
      </c>
      <c r="AT61" s="258">
        <f t="shared" si="6"/>
        <v>0</v>
      </c>
      <c r="AU61" s="258">
        <f t="shared" si="20"/>
        <v>0</v>
      </c>
      <c r="AV61" s="258">
        <f t="shared" si="21"/>
        <v>0</v>
      </c>
      <c r="AW61" s="258">
        <f t="shared" si="7"/>
        <v>0</v>
      </c>
      <c r="AX61" s="258">
        <v>0</v>
      </c>
      <c r="AY61" s="258">
        <f t="shared" si="22"/>
        <v>0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46058</v>
      </c>
      <c r="BK61" s="108">
        <f t="shared" si="9"/>
        <v>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4"/>
        <v>0.10899999999999999</v>
      </c>
      <c r="J62" s="242">
        <f t="shared" si="11"/>
        <v>0</v>
      </c>
      <c r="K62" s="242">
        <f t="shared" si="52"/>
        <v>0</v>
      </c>
      <c r="L62" s="242">
        <f t="shared" si="36"/>
        <v>0</v>
      </c>
      <c r="M62" s="242">
        <f t="shared" si="13"/>
        <v>0</v>
      </c>
      <c r="N62" s="242">
        <f t="shared" si="3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5"/>
        <v>0</v>
      </c>
      <c r="S62" s="242">
        <f t="shared" si="16"/>
        <v>0</v>
      </c>
      <c r="T62" s="467"/>
      <c r="U62" s="198">
        <f t="shared" si="29"/>
        <v>0</v>
      </c>
      <c r="V62" s="36">
        <f t="shared" si="17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49"/>
        <v>11280</v>
      </c>
      <c r="Y62" s="57">
        <f t="shared" si="46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1"/>
        <v>11630</v>
      </c>
      <c r="AN62" s="57">
        <f t="shared" si="50"/>
        <v>49916</v>
      </c>
      <c r="AO62" s="130">
        <f t="shared" si="18"/>
        <v>0</v>
      </c>
      <c r="AP62" s="261">
        <f t="shared" si="30"/>
        <v>54</v>
      </c>
      <c r="AQ62" s="262">
        <f t="shared" si="4"/>
        <v>46086</v>
      </c>
      <c r="AR62" s="263">
        <f t="shared" si="53"/>
        <v>0.14899999999999999</v>
      </c>
      <c r="AS62" s="258">
        <f t="shared" si="19"/>
        <v>0</v>
      </c>
      <c r="AT62" s="258">
        <f t="shared" si="6"/>
        <v>0</v>
      </c>
      <c r="AU62" s="258">
        <f t="shared" si="20"/>
        <v>0</v>
      </c>
      <c r="AV62" s="258">
        <f t="shared" si="21"/>
        <v>0</v>
      </c>
      <c r="AW62" s="258">
        <f t="shared" si="7"/>
        <v>0</v>
      </c>
      <c r="AX62" s="258">
        <v>0</v>
      </c>
      <c r="AY62" s="258">
        <f t="shared" si="22"/>
        <v>0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46086</v>
      </c>
      <c r="BK62" s="108">
        <f t="shared" si="9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4"/>
        <v>0.10899999999999999</v>
      </c>
      <c r="J63" s="242">
        <f t="shared" si="11"/>
        <v>0</v>
      </c>
      <c r="K63" s="242">
        <f t="shared" si="52"/>
        <v>0</v>
      </c>
      <c r="L63" s="242">
        <f t="shared" si="36"/>
        <v>0</v>
      </c>
      <c r="M63" s="242">
        <f t="shared" si="13"/>
        <v>0</v>
      </c>
      <c r="N63" s="242">
        <f t="shared" si="3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5"/>
        <v>0</v>
      </c>
      <c r="S63" s="242">
        <f t="shared" si="16"/>
        <v>0</v>
      </c>
      <c r="T63" s="467"/>
      <c r="U63" s="198">
        <f t="shared" si="29"/>
        <v>0</v>
      </c>
      <c r="V63" s="36">
        <f t="shared" si="17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49"/>
        <v>11280</v>
      </c>
      <c r="Y63" s="57">
        <f t="shared" si="46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1"/>
        <v>11630</v>
      </c>
      <c r="AN63" s="57">
        <f t="shared" si="50"/>
        <v>50281</v>
      </c>
      <c r="AO63" s="130">
        <f t="shared" si="18"/>
        <v>0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0.14899999999999999</v>
      </c>
      <c r="AS63" s="258">
        <f t="shared" si="19"/>
        <v>0</v>
      </c>
      <c r="AT63" s="258">
        <f t="shared" si="6"/>
        <v>0</v>
      </c>
      <c r="AU63" s="258">
        <f t="shared" si="20"/>
        <v>0</v>
      </c>
      <c r="AV63" s="258">
        <f t="shared" si="21"/>
        <v>0</v>
      </c>
      <c r="AW63" s="258">
        <f t="shared" si="7"/>
        <v>0</v>
      </c>
      <c r="AX63" s="258">
        <v>0</v>
      </c>
      <c r="AY63" s="258">
        <f t="shared" si="22"/>
        <v>0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46117</v>
      </c>
      <c r="BK63" s="108">
        <f t="shared" si="9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4"/>
        <v>0.10899999999999999</v>
      </c>
      <c r="J64" s="242">
        <f t="shared" si="11"/>
        <v>0</v>
      </c>
      <c r="K64" s="242">
        <f t="shared" si="52"/>
        <v>0</v>
      </c>
      <c r="L64" s="242">
        <f t="shared" si="36"/>
        <v>0</v>
      </c>
      <c r="M64" s="242">
        <f t="shared" si="13"/>
        <v>0</v>
      </c>
      <c r="N64" s="242">
        <f t="shared" si="3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5"/>
        <v>0</v>
      </c>
      <c r="S64" s="242">
        <f t="shared" si="16"/>
        <v>0</v>
      </c>
      <c r="T64" s="467"/>
      <c r="U64" s="198">
        <f t="shared" si="29"/>
        <v>0</v>
      </c>
      <c r="V64" s="36">
        <f t="shared" si="17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49"/>
        <v>11280</v>
      </c>
      <c r="Y64" s="57">
        <f t="shared" si="46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1"/>
        <v>11630</v>
      </c>
      <c r="AN64" s="57">
        <f t="shared" si="50"/>
        <v>50646</v>
      </c>
      <c r="AO64" s="130">
        <f t="shared" si="18"/>
        <v>0</v>
      </c>
      <c r="AP64" s="261">
        <f t="shared" si="30"/>
        <v>56</v>
      </c>
      <c r="AQ64" s="262">
        <f t="shared" si="4"/>
        <v>46147</v>
      </c>
      <c r="AR64" s="263">
        <f t="shared" si="53"/>
        <v>0.14899999999999999</v>
      </c>
      <c r="AS64" s="258">
        <f t="shared" si="19"/>
        <v>0</v>
      </c>
      <c r="AT64" s="258">
        <f t="shared" si="6"/>
        <v>0</v>
      </c>
      <c r="AU64" s="258">
        <f t="shared" si="20"/>
        <v>0</v>
      </c>
      <c r="AV64" s="258">
        <f t="shared" si="21"/>
        <v>0</v>
      </c>
      <c r="AW64" s="258">
        <f t="shared" si="7"/>
        <v>0</v>
      </c>
      <c r="AX64" s="258">
        <v>0</v>
      </c>
      <c r="AY64" s="258">
        <f t="shared" si="22"/>
        <v>0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46147</v>
      </c>
      <c r="BK64" s="108">
        <f t="shared" si="9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4"/>
        <v>0.10899999999999999</v>
      </c>
      <c r="J65" s="242">
        <f t="shared" si="11"/>
        <v>0</v>
      </c>
      <c r="K65" s="242">
        <f t="shared" si="52"/>
        <v>0</v>
      </c>
      <c r="L65" s="242">
        <f t="shared" si="36"/>
        <v>0</v>
      </c>
      <c r="M65" s="242">
        <f t="shared" si="13"/>
        <v>0</v>
      </c>
      <c r="N65" s="242">
        <f t="shared" si="3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5"/>
        <v>0</v>
      </c>
      <c r="S65" s="242">
        <f t="shared" si="16"/>
        <v>0</v>
      </c>
      <c r="T65" s="467"/>
      <c r="U65" s="198">
        <f t="shared" si="29"/>
        <v>0</v>
      </c>
      <c r="V65" s="36">
        <f t="shared" si="17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49"/>
        <v>11280</v>
      </c>
      <c r="Y65" s="57">
        <f t="shared" si="46"/>
        <v>52471</v>
      </c>
      <c r="AB65" s="2"/>
      <c r="AC65" s="66">
        <f t="shared" ref="AC65:AI65" si="55">IF(AC79&gt;$AA$59,AC64,IF(AC79&gt;$AA$58,AC63,IF(AC79&gt;$AA$57,AC62,AC61)))</f>
        <v>3.0000000000000001E-3</v>
      </c>
      <c r="AD65" s="66">
        <f t="shared" si="55"/>
        <v>3.0000000000000001E-3</v>
      </c>
      <c r="AE65" s="66">
        <f t="shared" si="55"/>
        <v>2.5000000000000001E-3</v>
      </c>
      <c r="AF65" s="66">
        <f t="shared" si="55"/>
        <v>3.0000000000000001E-3</v>
      </c>
      <c r="AG65" s="66">
        <f t="shared" si="55"/>
        <v>0</v>
      </c>
      <c r="AH65" s="66">
        <f t="shared" si="55"/>
        <v>1E-3</v>
      </c>
      <c r="AI65" s="66">
        <f t="shared" si="55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1"/>
        <v>11630</v>
      </c>
      <c r="AN65" s="57">
        <f t="shared" si="50"/>
        <v>51011</v>
      </c>
      <c r="AO65" s="130">
        <f t="shared" si="18"/>
        <v>0</v>
      </c>
      <c r="AP65" s="261">
        <f t="shared" si="30"/>
        <v>57</v>
      </c>
      <c r="AQ65" s="262">
        <f t="shared" si="4"/>
        <v>46178</v>
      </c>
      <c r="AR65" s="263">
        <f t="shared" si="53"/>
        <v>0.14899999999999999</v>
      </c>
      <c r="AS65" s="258">
        <f t="shared" si="19"/>
        <v>0</v>
      </c>
      <c r="AT65" s="258">
        <f t="shared" si="6"/>
        <v>0</v>
      </c>
      <c r="AU65" s="258">
        <f t="shared" si="20"/>
        <v>0</v>
      </c>
      <c r="AV65" s="258">
        <f t="shared" si="21"/>
        <v>0</v>
      </c>
      <c r="AW65" s="258">
        <f t="shared" si="7"/>
        <v>0</v>
      </c>
      <c r="AX65" s="258">
        <v>0</v>
      </c>
      <c r="AY65" s="258">
        <f t="shared" si="22"/>
        <v>0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46178</v>
      </c>
      <c r="BK65" s="108">
        <f t="shared" si="9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4"/>
        <v>0.10899999999999999</v>
      </c>
      <c r="J66" s="242">
        <f t="shared" si="11"/>
        <v>0</v>
      </c>
      <c r="K66" s="242">
        <f t="shared" si="52"/>
        <v>0</v>
      </c>
      <c r="L66" s="242">
        <f t="shared" si="36"/>
        <v>0</v>
      </c>
      <c r="M66" s="242">
        <f t="shared" si="13"/>
        <v>0</v>
      </c>
      <c r="N66" s="242">
        <f t="shared" si="3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5"/>
        <v>0</v>
      </c>
      <c r="S66" s="242">
        <f t="shared" si="16"/>
        <v>0</v>
      </c>
      <c r="T66" s="467"/>
      <c r="U66" s="198">
        <f t="shared" si="29"/>
        <v>0</v>
      </c>
      <c r="V66" s="36">
        <f t="shared" si="17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49"/>
        <v>11280</v>
      </c>
      <c r="Y66" s="57">
        <f t="shared" si="46"/>
        <v>52836</v>
      </c>
      <c r="AA66" s="133" t="s">
        <v>96</v>
      </c>
      <c r="AB66" s="15"/>
      <c r="AC66" s="143">
        <f>AC65*AC79*IF($C$10&gt;60,60,$C$10)</f>
        <v>35640</v>
      </c>
      <c r="AD66" s="143">
        <f>AD65*AD79*IF($C$10&gt;60,60,$C$10)</f>
        <v>35640</v>
      </c>
      <c r="AE66" s="143">
        <f>AE65*AE79*IF($C$10&gt;60,60,$C$10)</f>
        <v>40500</v>
      </c>
      <c r="AF66" s="143">
        <f>AF65*AF79*IF($C$10&gt;60,60,$C$10)</f>
        <v>42120</v>
      </c>
      <c r="AG66" s="143">
        <f t="shared" ref="AG66:AH66" si="56">AG65*AG79*$C$10</f>
        <v>0</v>
      </c>
      <c r="AH66" s="143">
        <f t="shared" si="56"/>
        <v>10800</v>
      </c>
      <c r="AI66" s="143">
        <f>AI65*AI79*$C$10</f>
        <v>86400</v>
      </c>
      <c r="AJ66" s="143">
        <f>AI66+AH66</f>
        <v>97200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1"/>
        <v>11630</v>
      </c>
      <c r="AN66" s="57">
        <f t="shared" si="50"/>
        <v>51376</v>
      </c>
      <c r="AO66" s="130">
        <f t="shared" si="18"/>
        <v>0</v>
      </c>
      <c r="AP66" s="261">
        <f t="shared" si="30"/>
        <v>58</v>
      </c>
      <c r="AQ66" s="262">
        <f t="shared" si="4"/>
        <v>46208</v>
      </c>
      <c r="AR66" s="263">
        <f t="shared" si="53"/>
        <v>0.14899999999999999</v>
      </c>
      <c r="AS66" s="258">
        <f t="shared" si="19"/>
        <v>0</v>
      </c>
      <c r="AT66" s="258">
        <f t="shared" si="6"/>
        <v>0</v>
      </c>
      <c r="AU66" s="258">
        <f t="shared" si="20"/>
        <v>0</v>
      </c>
      <c r="AV66" s="258">
        <f t="shared" si="21"/>
        <v>0</v>
      </c>
      <c r="AW66" s="258">
        <f t="shared" si="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46208</v>
      </c>
      <c r="BK66" s="108">
        <f t="shared" si="9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4"/>
        <v>0.10899999999999999</v>
      </c>
      <c r="J67" s="242">
        <f t="shared" si="11"/>
        <v>0</v>
      </c>
      <c r="K67" s="242">
        <f t="shared" si="52"/>
        <v>0</v>
      </c>
      <c r="L67" s="242">
        <f t="shared" si="36"/>
        <v>0</v>
      </c>
      <c r="M67" s="242">
        <f t="shared" si="13"/>
        <v>0</v>
      </c>
      <c r="N67" s="242">
        <f t="shared" si="3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5"/>
        <v>0</v>
      </c>
      <c r="S67" s="242">
        <f t="shared" si="16"/>
        <v>0</v>
      </c>
      <c r="T67" s="467"/>
      <c r="U67" s="198">
        <f t="shared" si="29"/>
        <v>0</v>
      </c>
      <c r="V67" s="36">
        <f t="shared" si="17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49"/>
        <v>11280</v>
      </c>
      <c r="Y67" s="57">
        <f t="shared" si="46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1"/>
        <v>11630</v>
      </c>
      <c r="AN67" s="57">
        <f t="shared" si="50"/>
        <v>51741</v>
      </c>
      <c r="AO67" s="130">
        <f t="shared" si="18"/>
        <v>0</v>
      </c>
      <c r="AP67" s="261">
        <f t="shared" si="30"/>
        <v>59</v>
      </c>
      <c r="AQ67" s="262">
        <f t="shared" si="4"/>
        <v>46239</v>
      </c>
      <c r="AR67" s="263">
        <f t="shared" si="53"/>
        <v>0.14899999999999999</v>
      </c>
      <c r="AS67" s="258">
        <f t="shared" si="19"/>
        <v>0</v>
      </c>
      <c r="AT67" s="258">
        <f t="shared" si="6"/>
        <v>0</v>
      </c>
      <c r="AU67" s="258">
        <f t="shared" si="20"/>
        <v>0</v>
      </c>
      <c r="AV67" s="258">
        <f t="shared" si="21"/>
        <v>0</v>
      </c>
      <c r="AW67" s="258">
        <f t="shared" si="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46239</v>
      </c>
      <c r="BK67" s="108">
        <f t="shared" si="9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4"/>
        <v>0.10899999999999999</v>
      </c>
      <c r="J68" s="242">
        <f t="shared" si="11"/>
        <v>0</v>
      </c>
      <c r="K68" s="242">
        <f t="shared" si="52"/>
        <v>0</v>
      </c>
      <c r="L68" s="242">
        <f t="shared" si="36"/>
        <v>0</v>
      </c>
      <c r="M68" s="242">
        <f t="shared" si="13"/>
        <v>0</v>
      </c>
      <c r="N68" s="242">
        <f t="shared" si="3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5"/>
        <v>0</v>
      </c>
      <c r="S68" s="242">
        <f t="shared" si="16"/>
        <v>0</v>
      </c>
      <c r="T68" s="467"/>
      <c r="U68" s="198">
        <f t="shared" si="29"/>
        <v>0</v>
      </c>
      <c r="V68" s="36">
        <f t="shared" si="17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49"/>
        <v>11280</v>
      </c>
      <c r="Y68" s="57">
        <f t="shared" si="46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1"/>
        <v>11630</v>
      </c>
      <c r="AN68" s="57">
        <f t="shared" si="50"/>
        <v>52106</v>
      </c>
      <c r="AO68" s="130">
        <f t="shared" si="18"/>
        <v>0</v>
      </c>
      <c r="AP68" s="261">
        <f t="shared" si="30"/>
        <v>60</v>
      </c>
      <c r="AQ68" s="262">
        <f t="shared" si="4"/>
        <v>46270</v>
      </c>
      <c r="AR68" s="263">
        <f t="shared" si="53"/>
        <v>0.14899999999999999</v>
      </c>
      <c r="AS68" s="258">
        <f t="shared" si="19"/>
        <v>0</v>
      </c>
      <c r="AT68" s="258">
        <f t="shared" si="6"/>
        <v>0</v>
      </c>
      <c r="AU68" s="258">
        <f t="shared" si="20"/>
        <v>0</v>
      </c>
      <c r="AV68" s="258">
        <f t="shared" si="21"/>
        <v>0</v>
      </c>
      <c r="AW68" s="258">
        <f t="shared" si="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46270</v>
      </c>
      <c r="BK68" s="108">
        <f t="shared" si="9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4"/>
        <v>0.10899999999999999</v>
      </c>
      <c r="J69" s="242">
        <f t="shared" si="11"/>
        <v>0</v>
      </c>
      <c r="K69" s="242">
        <f t="shared" si="52"/>
        <v>0</v>
      </c>
      <c r="L69" s="242">
        <f t="shared" si="36"/>
        <v>0</v>
      </c>
      <c r="M69" s="242">
        <f t="shared" si="13"/>
        <v>0</v>
      </c>
      <c r="N69" s="242">
        <f t="shared" si="3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5"/>
        <v>0</v>
      </c>
      <c r="S69" s="242">
        <f t="shared" si="16"/>
        <v>0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49"/>
        <v>11280</v>
      </c>
      <c r="Y69" s="57">
        <f t="shared" si="46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1"/>
        <v>11630</v>
      </c>
      <c r="AN69" s="57">
        <f t="shared" si="50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3"/>
        <v>0.14899999999999999</v>
      </c>
      <c r="AS69" s="258">
        <f t="shared" si="19"/>
        <v>0</v>
      </c>
      <c r="AT69" s="258">
        <f t="shared" si="6"/>
        <v>0</v>
      </c>
      <c r="AU69" s="258">
        <f t="shared" si="20"/>
        <v>0</v>
      </c>
      <c r="AV69" s="258">
        <f t="shared" si="21"/>
        <v>0</v>
      </c>
      <c r="AW69" s="258">
        <f t="shared" si="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4"/>
        <v>0.10899999999999999</v>
      </c>
      <c r="J70" s="242">
        <f t="shared" si="11"/>
        <v>0</v>
      </c>
      <c r="K70" s="242">
        <f t="shared" si="52"/>
        <v>0</v>
      </c>
      <c r="L70" s="242">
        <f t="shared" si="36"/>
        <v>0</v>
      </c>
      <c r="M70" s="242">
        <f t="shared" si="13"/>
        <v>0</v>
      </c>
      <c r="N70" s="242">
        <f t="shared" si="3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5"/>
        <v>0</v>
      </c>
      <c r="S70" s="242">
        <f t="shared" si="16"/>
        <v>0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49"/>
        <v>11280</v>
      </c>
      <c r="Y70" s="57">
        <f t="shared" si="46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1"/>
        <v>11630</v>
      </c>
      <c r="AN70" s="57">
        <f t="shared" si="50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3"/>
        <v>0.14899999999999999</v>
      </c>
      <c r="AS70" s="258">
        <f t="shared" si="19"/>
        <v>0</v>
      </c>
      <c r="AT70" s="258">
        <f t="shared" si="6"/>
        <v>0</v>
      </c>
      <c r="AU70" s="258">
        <f t="shared" si="20"/>
        <v>0</v>
      </c>
      <c r="AV70" s="258">
        <f t="shared" si="21"/>
        <v>0</v>
      </c>
      <c r="AW70" s="258">
        <f t="shared" si="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4"/>
        <v>0.10899999999999999</v>
      </c>
      <c r="J71" s="242">
        <f t="shared" si="11"/>
        <v>0</v>
      </c>
      <c r="K71" s="242">
        <f t="shared" si="52"/>
        <v>0</v>
      </c>
      <c r="L71" s="242">
        <f t="shared" si="36"/>
        <v>0</v>
      </c>
      <c r="M71" s="242">
        <f t="shared" si="13"/>
        <v>0</v>
      </c>
      <c r="N71" s="242">
        <f t="shared" si="3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5"/>
        <v>0</v>
      </c>
      <c r="S71" s="242">
        <f t="shared" si="16"/>
        <v>0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49"/>
        <v>11280</v>
      </c>
      <c r="Y71" s="57">
        <f t="shared" si="46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1"/>
        <v>11630</v>
      </c>
      <c r="AN71" s="57">
        <f t="shared" si="50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3"/>
        <v>0.14899999999999999</v>
      </c>
      <c r="AS71" s="258">
        <f t="shared" si="19"/>
        <v>0</v>
      </c>
      <c r="AT71" s="258">
        <f t="shared" si="6"/>
        <v>0</v>
      </c>
      <c r="AU71" s="258">
        <f t="shared" si="20"/>
        <v>0</v>
      </c>
      <c r="AV71" s="258">
        <f t="shared" si="21"/>
        <v>0</v>
      </c>
      <c r="AW71" s="258">
        <f t="shared" si="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4"/>
        <v>0.10899999999999999</v>
      </c>
      <c r="J72" s="242">
        <f t="shared" si="11"/>
        <v>0</v>
      </c>
      <c r="K72" s="242">
        <f t="shared" si="52"/>
        <v>0</v>
      </c>
      <c r="L72" s="242">
        <f t="shared" si="36"/>
        <v>0</v>
      </c>
      <c r="M72" s="242">
        <f t="shared" si="13"/>
        <v>0</v>
      </c>
      <c r="N72" s="242">
        <f t="shared" si="3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49"/>
        <v>11280</v>
      </c>
      <c r="Y72" s="57">
        <f t="shared" si="46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1"/>
        <v>11630</v>
      </c>
      <c r="AN72" s="57">
        <f t="shared" si="50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3"/>
        <v>0.14899999999999999</v>
      </c>
      <c r="AS72" s="258">
        <f t="shared" si="19"/>
        <v>0</v>
      </c>
      <c r="AT72" s="258">
        <f t="shared" si="6"/>
        <v>0</v>
      </c>
      <c r="AU72" s="258">
        <f t="shared" si="20"/>
        <v>0</v>
      </c>
      <c r="AV72" s="258">
        <f t="shared" si="21"/>
        <v>0</v>
      </c>
      <c r="AW72" s="258">
        <f t="shared" si="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57">IF((OR(DAY($AD$54)=29,DAY($AD$54)=30,DAY($AD$54)=31)),(EDATE($C$9-3,G73)),(IF((OR(DAY($AD$54)=1,DAY($AD$54)=2,DAY($AD$54)=3)),(EDATE($C$9,G73)+3),EDATE($C$9,G73))))</f>
        <v>46423</v>
      </c>
      <c r="I73" s="246">
        <f t="shared" si="54"/>
        <v>0.10899999999999999</v>
      </c>
      <c r="J73" s="242">
        <f t="shared" si="11"/>
        <v>0</v>
      </c>
      <c r="K73" s="242">
        <f t="shared" si="52"/>
        <v>0</v>
      </c>
      <c r="L73" s="242">
        <f t="shared" si="36"/>
        <v>0</v>
      </c>
      <c r="M73" s="242">
        <f t="shared" si="13"/>
        <v>0</v>
      </c>
      <c r="N73" s="242">
        <f t="shared" ref="N73:N108" si="58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49"/>
        <v>11280</v>
      </c>
      <c r="Y73" s="57">
        <f t="shared" si="46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1"/>
        <v>11630</v>
      </c>
      <c r="AN73" s="57">
        <f t="shared" si="50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59">IF((OR(DAY($AD$54)=29,DAY($AD$54)=30,DAY($AD$54)=31)),(EDATE($C$9-3,AP73)),(IF((OR(DAY($AD$54)=1,DAY($AD$54)=2,DAY($AD$54)=3)),(EDATE($C$9,AP73)+3),EDATE($C$9,AP73))))</f>
        <v>46423</v>
      </c>
      <c r="AR73" s="263">
        <f t="shared" si="53"/>
        <v>0.14899999999999999</v>
      </c>
      <c r="AS73" s="258">
        <f t="shared" si="19"/>
        <v>0</v>
      </c>
      <c r="AT73" s="258">
        <f t="shared" ref="AT73:AT74" si="60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8" si="61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7"/>
        <v>46451</v>
      </c>
      <c r="I74" s="246">
        <f t="shared" si="54"/>
        <v>0.10899999999999999</v>
      </c>
      <c r="J74" s="242">
        <f t="shared" ref="J74:J108" si="63">K74+Q74</f>
        <v>0</v>
      </c>
      <c r="K74" s="242">
        <f t="shared" si="52"/>
        <v>0</v>
      </c>
      <c r="L74" s="242">
        <f t="shared" si="36"/>
        <v>0</v>
      </c>
      <c r="M74" s="242">
        <f t="shared" ref="M74" si="64">IF(S73=0,0,IF(S73+N74+L74&gt;K73,K74-L74-N74,S73))</f>
        <v>0</v>
      </c>
      <c r="N74" s="242">
        <f t="shared" si="58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5">IF(V74=0,0,0)</f>
        <v>0</v>
      </c>
      <c r="S74" s="242">
        <f t="shared" ref="S74" si="66">S73-M74-T74</f>
        <v>0</v>
      </c>
      <c r="T74" s="467"/>
      <c r="U74" s="36">
        <f t="shared" si="29"/>
        <v>0</v>
      </c>
      <c r="V74" s="36">
        <f t="shared" ref="V74:V107" si="67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49"/>
        <v>11280</v>
      </c>
      <c r="Y74" s="57">
        <f t="shared" si="46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1"/>
        <v>11630</v>
      </c>
      <c r="AN74" s="57">
        <f t="shared" si="50"/>
        <v>54296</v>
      </c>
      <c r="AO74" s="130">
        <f t="shared" ref="AO74:AO108" si="68">IF(OR(AT74="",AT74=0),0,1)</f>
        <v>0</v>
      </c>
      <c r="AP74" s="261">
        <f t="shared" si="30"/>
        <v>66</v>
      </c>
      <c r="AQ74" s="262">
        <f t="shared" si="59"/>
        <v>46451</v>
      </c>
      <c r="AR74" s="263">
        <f t="shared" si="53"/>
        <v>0.14899999999999999</v>
      </c>
      <c r="AS74" s="258">
        <f t="shared" ref="AS74:AS108" si="69">AT74+AZ74</f>
        <v>0</v>
      </c>
      <c r="AT74" s="258">
        <f t="shared" si="60"/>
        <v>0</v>
      </c>
      <c r="AU74" s="258">
        <f t="shared" ref="AU74" si="70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1">IF(BI74=0,0,IF(BI74=1,BG73,IF(BG73+AW74+AU74&gt;AT73,AT74-AU74-AW74,BG73)))</f>
        <v>0</v>
      </c>
      <c r="AW74" s="258">
        <f t="shared" si="61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2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57"/>
        <v>46482</v>
      </c>
      <c r="I75" s="176">
        <f t="shared" si="54"/>
        <v>0.10899999999999999</v>
      </c>
      <c r="J75" s="24">
        <f t="shared" si="63"/>
        <v>0</v>
      </c>
      <c r="K75" s="242">
        <f t="shared" si="52"/>
        <v>0</v>
      </c>
      <c r="L75" s="24">
        <f t="shared" si="36"/>
        <v>0</v>
      </c>
      <c r="M75" s="24">
        <f t="shared" ref="M75:M108" si="73">IF(V75=0,0,IF(V75=1,S74,IF(S74+N75+L75&gt;K74,K75-L75-N75,S74)))</f>
        <v>0</v>
      </c>
      <c r="N75" s="24">
        <f t="shared" si="58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5"/>
        <v>0</v>
      </c>
      <c r="S75" s="24">
        <f t="shared" ref="S75:S108" si="74">IF(OR(V75=1,S74=0),0,S74-M75)</f>
        <v>0</v>
      </c>
      <c r="T75" s="24"/>
      <c r="U75" s="36">
        <f t="shared" si="29"/>
        <v>0</v>
      </c>
      <c r="V75" s="36">
        <f t="shared" si="67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49"/>
        <v>11280</v>
      </c>
      <c r="Y75" s="57">
        <f t="shared" si="46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1"/>
        <v>11630</v>
      </c>
      <c r="AN75" s="57">
        <f t="shared" si="50"/>
        <v>54661</v>
      </c>
      <c r="AO75" s="130">
        <f t="shared" si="68"/>
        <v>0</v>
      </c>
      <c r="AP75" s="109">
        <f t="shared" si="30"/>
        <v>67</v>
      </c>
      <c r="AQ75" s="110">
        <f t="shared" si="59"/>
        <v>46482</v>
      </c>
      <c r="AR75" s="177">
        <f t="shared" si="53"/>
        <v>0.14899999999999999</v>
      </c>
      <c r="AS75" s="105">
        <f t="shared" si="69"/>
        <v>0</v>
      </c>
      <c r="AT75" s="105">
        <f t="shared" ref="AT75:AT108" si="75">IF(AND(G75&gt;=$W$9,G75&lt;=$W$9+5),$W$10,IF(AND(BG74+AW75+AU75&gt;AT74,AT74&lt;&gt;0),IF($D$16="Да",$AL$40,$D$23),IF(BG74=0,0,BG74+AW75+AU75+AU76)))</f>
        <v>0</v>
      </c>
      <c r="AU75" s="105">
        <f t="shared" ref="AU75:AU108" si="76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1"/>
        <v>0</v>
      </c>
      <c r="AW75" s="105">
        <f t="shared" si="61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2"/>
        <v>0</v>
      </c>
      <c r="BH75" s="108">
        <f t="shared" si="31"/>
        <v>0</v>
      </c>
      <c r="BI75" s="108">
        <f t="shared" ref="BI75:BI114" si="77">BH75</f>
        <v>0</v>
      </c>
      <c r="BJ75" s="22">
        <f t="shared" ref="BJ75:BJ114" si="78">H75</f>
        <v>46482</v>
      </c>
      <c r="BK75" s="108">
        <f t="shared" si="6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79">G75+1</f>
        <v>68</v>
      </c>
      <c r="H76" s="111">
        <f t="shared" si="57"/>
        <v>46512</v>
      </c>
      <c r="I76" s="176">
        <f t="shared" si="54"/>
        <v>0.10899999999999999</v>
      </c>
      <c r="J76" s="24">
        <f t="shared" si="63"/>
        <v>0</v>
      </c>
      <c r="K76" s="242">
        <f t="shared" si="52"/>
        <v>0</v>
      </c>
      <c r="L76" s="24">
        <f t="shared" si="36"/>
        <v>0</v>
      </c>
      <c r="M76" s="24">
        <f t="shared" si="73"/>
        <v>0</v>
      </c>
      <c r="N76" s="24">
        <f t="shared" si="58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5"/>
        <v>0</v>
      </c>
      <c r="S76" s="24">
        <f t="shared" si="74"/>
        <v>0</v>
      </c>
      <c r="T76" s="24"/>
      <c r="U76" s="36">
        <f t="shared" ref="U76:U108" si="80">IF((U75-1)&lt;0,0,U75-1)</f>
        <v>0</v>
      </c>
      <c r="V76" s="36">
        <f t="shared" si="67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49"/>
        <v>11280</v>
      </c>
      <c r="Y76" s="57">
        <f t="shared" si="46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1"/>
        <v>11630</v>
      </c>
      <c r="AN76" s="57">
        <f t="shared" si="50"/>
        <v>55026</v>
      </c>
      <c r="AO76" s="130">
        <f t="shared" si="68"/>
        <v>0</v>
      </c>
      <c r="AP76" s="109">
        <f t="shared" ref="AP76:AP108" si="81">AP75+1</f>
        <v>68</v>
      </c>
      <c r="AQ76" s="110">
        <f t="shared" si="59"/>
        <v>46512</v>
      </c>
      <c r="AR76" s="177">
        <f t="shared" si="53"/>
        <v>0.14899999999999999</v>
      </c>
      <c r="AS76" s="105">
        <f t="shared" si="69"/>
        <v>0</v>
      </c>
      <c r="AT76" s="105">
        <f t="shared" si="75"/>
        <v>0</v>
      </c>
      <c r="AU76" s="105">
        <f t="shared" si="76"/>
        <v>0</v>
      </c>
      <c r="AV76" s="105">
        <f t="shared" si="71"/>
        <v>0</v>
      </c>
      <c r="AW76" s="105">
        <f t="shared" si="61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2"/>
        <v>0</v>
      </c>
      <c r="BH76" s="108">
        <f t="shared" ref="BH76:BH114" si="82">IF((BH75-1)&lt;0,0,BH75-1)</f>
        <v>0</v>
      </c>
      <c r="BI76" s="108">
        <f t="shared" si="77"/>
        <v>0</v>
      </c>
      <c r="BJ76" s="22">
        <f t="shared" si="78"/>
        <v>46512</v>
      </c>
      <c r="BK76" s="108">
        <f t="shared" si="6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79"/>
        <v>69</v>
      </c>
      <c r="H77" s="111">
        <f t="shared" si="57"/>
        <v>46543</v>
      </c>
      <c r="I77" s="176">
        <f t="shared" si="54"/>
        <v>0.10899999999999999</v>
      </c>
      <c r="J77" s="24">
        <f t="shared" si="63"/>
        <v>0</v>
      </c>
      <c r="K77" s="242">
        <f t="shared" si="52"/>
        <v>0</v>
      </c>
      <c r="L77" s="24">
        <f t="shared" si="36"/>
        <v>0</v>
      </c>
      <c r="M77" s="24">
        <f t="shared" si="73"/>
        <v>0</v>
      </c>
      <c r="N77" s="24">
        <f t="shared" si="58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5"/>
        <v>0</v>
      </c>
      <c r="S77" s="24">
        <f t="shared" si="74"/>
        <v>0</v>
      </c>
      <c r="T77" s="24"/>
      <c r="U77" s="36">
        <f t="shared" si="80"/>
        <v>0</v>
      </c>
      <c r="V77" s="36">
        <f t="shared" si="67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49"/>
        <v>11280</v>
      </c>
      <c r="Y77" s="57">
        <f t="shared" si="46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3">IF($C$7&gt;=$AA$71,AE76,IF($C$7&gt;=$AA$70,AE75,IF($C$7&gt;=$AA$69,AE74,IF($C$7&gt;=$AA$68,AE73,AE72))))</f>
        <v>1.5</v>
      </c>
      <c r="AF77" s="16">
        <f t="shared" si="83"/>
        <v>1.3</v>
      </c>
      <c r="AG77" s="16">
        <f t="shared" si="83"/>
        <v>0</v>
      </c>
      <c r="AH77" s="16">
        <f t="shared" si="83"/>
        <v>1</v>
      </c>
      <c r="AI77" s="16">
        <f t="shared" si="83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1"/>
        <v>11630</v>
      </c>
      <c r="AN77" s="57">
        <f t="shared" si="50"/>
        <v>55391</v>
      </c>
      <c r="AO77" s="130">
        <f t="shared" si="68"/>
        <v>0</v>
      </c>
      <c r="AP77" s="109">
        <f t="shared" si="81"/>
        <v>69</v>
      </c>
      <c r="AQ77" s="110">
        <f t="shared" si="59"/>
        <v>46543</v>
      </c>
      <c r="AR77" s="177">
        <f t="shared" si="53"/>
        <v>0.14899999999999999</v>
      </c>
      <c r="AS77" s="105">
        <f t="shared" si="69"/>
        <v>0</v>
      </c>
      <c r="AT77" s="105">
        <f t="shared" si="75"/>
        <v>0</v>
      </c>
      <c r="AU77" s="105">
        <f t="shared" si="76"/>
        <v>0</v>
      </c>
      <c r="AV77" s="105">
        <f t="shared" si="71"/>
        <v>0</v>
      </c>
      <c r="AW77" s="105">
        <f t="shared" si="61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2"/>
        <v>0</v>
      </c>
      <c r="BH77" s="108">
        <f t="shared" si="82"/>
        <v>0</v>
      </c>
      <c r="BI77" s="108">
        <f t="shared" si="77"/>
        <v>0</v>
      </c>
      <c r="BJ77" s="22">
        <f t="shared" si="78"/>
        <v>46543</v>
      </c>
      <c r="BK77" s="108">
        <f t="shared" si="6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79"/>
        <v>70</v>
      </c>
      <c r="H78" s="111">
        <f t="shared" si="57"/>
        <v>46573</v>
      </c>
      <c r="I78" s="176">
        <f t="shared" si="54"/>
        <v>0.10899999999999999</v>
      </c>
      <c r="J78" s="24">
        <f t="shared" si="63"/>
        <v>0</v>
      </c>
      <c r="K78" s="242">
        <f t="shared" si="52"/>
        <v>0</v>
      </c>
      <c r="L78" s="24">
        <f t="shared" si="36"/>
        <v>0</v>
      </c>
      <c r="M78" s="24">
        <f t="shared" si="73"/>
        <v>0</v>
      </c>
      <c r="N78" s="24">
        <f t="shared" si="58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5"/>
        <v>0</v>
      </c>
      <c r="S78" s="24">
        <f t="shared" si="74"/>
        <v>0</v>
      </c>
      <c r="T78" s="24"/>
      <c r="U78" s="36">
        <f t="shared" si="80"/>
        <v>0</v>
      </c>
      <c r="V78" s="36">
        <f t="shared" si="67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49"/>
        <v>11280</v>
      </c>
      <c r="Y78" s="57">
        <f t="shared" si="46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1"/>
        <v>11630</v>
      </c>
      <c r="AN78" s="57">
        <f t="shared" si="50"/>
        <v>55756</v>
      </c>
      <c r="AO78" s="130">
        <f t="shared" si="68"/>
        <v>0</v>
      </c>
      <c r="AP78" s="109">
        <f t="shared" si="81"/>
        <v>70</v>
      </c>
      <c r="AQ78" s="110">
        <f t="shared" si="59"/>
        <v>46573</v>
      </c>
      <c r="AR78" s="177">
        <f t="shared" si="53"/>
        <v>0.14899999999999999</v>
      </c>
      <c r="AS78" s="105">
        <f t="shared" si="69"/>
        <v>0</v>
      </c>
      <c r="AT78" s="105">
        <f t="shared" si="75"/>
        <v>0</v>
      </c>
      <c r="AU78" s="105">
        <f t="shared" si="76"/>
        <v>0</v>
      </c>
      <c r="AV78" s="105">
        <f t="shared" si="71"/>
        <v>0</v>
      </c>
      <c r="AW78" s="105">
        <f t="shared" si="61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2"/>
        <v>0</v>
      </c>
      <c r="BH78" s="108">
        <f t="shared" si="82"/>
        <v>0</v>
      </c>
      <c r="BI78" s="108">
        <f t="shared" si="77"/>
        <v>0</v>
      </c>
      <c r="BJ78" s="22">
        <f t="shared" si="78"/>
        <v>46573</v>
      </c>
      <c r="BK78" s="108">
        <f t="shared" si="6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79"/>
        <v>71</v>
      </c>
      <c r="H79" s="111">
        <f t="shared" si="57"/>
        <v>46604</v>
      </c>
      <c r="I79" s="176">
        <f t="shared" si="54"/>
        <v>0.10899999999999999</v>
      </c>
      <c r="J79" s="24">
        <f t="shared" si="63"/>
        <v>0</v>
      </c>
      <c r="K79" s="242">
        <f t="shared" si="52"/>
        <v>0</v>
      </c>
      <c r="L79" s="24">
        <f t="shared" si="36"/>
        <v>0</v>
      </c>
      <c r="M79" s="24">
        <f t="shared" si="73"/>
        <v>0</v>
      </c>
      <c r="N79" s="24">
        <f t="shared" si="58"/>
        <v>0</v>
      </c>
      <c r="O79" s="24">
        <v>0</v>
      </c>
      <c r="P79" s="24">
        <f t="shared" si="25"/>
        <v>0</v>
      </c>
      <c r="Q79" s="24">
        <f t="shared" ref="Q79:Q108" si="84">IF(V79=0,0,0)</f>
        <v>0</v>
      </c>
      <c r="R79" s="24">
        <f t="shared" si="65"/>
        <v>0</v>
      </c>
      <c r="S79" s="24">
        <f t="shared" si="74"/>
        <v>0</v>
      </c>
      <c r="T79" s="24"/>
      <c r="U79" s="36">
        <f t="shared" si="80"/>
        <v>0</v>
      </c>
      <c r="V79" s="36">
        <f t="shared" si="67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49"/>
        <v>11280</v>
      </c>
      <c r="Y79" s="57">
        <f t="shared" si="46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1"/>
        <v>11630</v>
      </c>
      <c r="AN79" s="57">
        <f t="shared" si="50"/>
        <v>56121</v>
      </c>
      <c r="AO79" s="130">
        <f t="shared" si="68"/>
        <v>0</v>
      </c>
      <c r="AP79" s="109">
        <f t="shared" si="81"/>
        <v>71</v>
      </c>
      <c r="AQ79" s="110">
        <f t="shared" si="59"/>
        <v>46604</v>
      </c>
      <c r="AR79" s="177">
        <f t="shared" si="53"/>
        <v>0.14899999999999999</v>
      </c>
      <c r="AS79" s="105">
        <f t="shared" si="69"/>
        <v>0</v>
      </c>
      <c r="AT79" s="105">
        <f t="shared" si="75"/>
        <v>0</v>
      </c>
      <c r="AU79" s="105">
        <f t="shared" si="76"/>
        <v>0</v>
      </c>
      <c r="AV79" s="105">
        <f t="shared" si="71"/>
        <v>0</v>
      </c>
      <c r="AW79" s="105">
        <f t="shared" si="61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2"/>
        <v>0</v>
      </c>
      <c r="BH79" s="108">
        <f t="shared" si="82"/>
        <v>0</v>
      </c>
      <c r="BI79" s="108">
        <f t="shared" si="77"/>
        <v>0</v>
      </c>
      <c r="BJ79" s="22">
        <f t="shared" si="78"/>
        <v>46604</v>
      </c>
      <c r="BK79" s="108">
        <f t="shared" si="6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79"/>
        <v>72</v>
      </c>
      <c r="H80" s="111">
        <f t="shared" si="57"/>
        <v>46635</v>
      </c>
      <c r="I80" s="176">
        <f t="shared" si="54"/>
        <v>0.10899999999999999</v>
      </c>
      <c r="J80" s="24">
        <f t="shared" si="63"/>
        <v>0</v>
      </c>
      <c r="K80" s="242">
        <f t="shared" si="52"/>
        <v>0</v>
      </c>
      <c r="L80" s="24">
        <f t="shared" ref="L80:L108" si="85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3"/>
        <v>0</v>
      </c>
      <c r="N80" s="24">
        <f t="shared" si="58"/>
        <v>0</v>
      </c>
      <c r="O80" s="24">
        <v>0</v>
      </c>
      <c r="P80" s="24">
        <f t="shared" si="25"/>
        <v>0</v>
      </c>
      <c r="Q80" s="24">
        <f t="shared" si="84"/>
        <v>0</v>
      </c>
      <c r="R80" s="24">
        <f t="shared" si="65"/>
        <v>0</v>
      </c>
      <c r="S80" s="24">
        <f t="shared" si="74"/>
        <v>0</v>
      </c>
      <c r="T80" s="24"/>
      <c r="U80" s="36">
        <f t="shared" si="80"/>
        <v>0</v>
      </c>
      <c r="V80" s="36">
        <f t="shared" si="67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49"/>
        <v>11280</v>
      </c>
      <c r="Y80" s="57">
        <f t="shared" si="46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1"/>
        <v>11630</v>
      </c>
      <c r="AN80" s="57">
        <f t="shared" si="50"/>
        <v>56486</v>
      </c>
      <c r="AO80" s="130">
        <f t="shared" si="68"/>
        <v>0</v>
      </c>
      <c r="AP80" s="109">
        <f t="shared" si="81"/>
        <v>72</v>
      </c>
      <c r="AQ80" s="110">
        <f t="shared" si="59"/>
        <v>46635</v>
      </c>
      <c r="AR80" s="177">
        <f t="shared" si="53"/>
        <v>0.14899999999999999</v>
      </c>
      <c r="AS80" s="105">
        <f t="shared" si="69"/>
        <v>0</v>
      </c>
      <c r="AT80" s="105">
        <f t="shared" si="75"/>
        <v>0</v>
      </c>
      <c r="AU80" s="105">
        <f t="shared" si="76"/>
        <v>0</v>
      </c>
      <c r="AV80" s="105">
        <f t="shared" si="71"/>
        <v>0</v>
      </c>
      <c r="AW80" s="105">
        <f t="shared" si="61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2"/>
        <v>0</v>
      </c>
      <c r="BH80" s="108">
        <f t="shared" si="82"/>
        <v>0</v>
      </c>
      <c r="BI80" s="108">
        <f t="shared" si="77"/>
        <v>0</v>
      </c>
      <c r="BJ80" s="22">
        <f t="shared" si="78"/>
        <v>46635</v>
      </c>
      <c r="BK80" s="108">
        <f t="shared" si="6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79"/>
        <v>73</v>
      </c>
      <c r="H81" s="111">
        <f t="shared" si="57"/>
        <v>46665</v>
      </c>
      <c r="I81" s="176">
        <f t="shared" si="54"/>
        <v>0.10899999999999999</v>
      </c>
      <c r="J81" s="24">
        <f t="shared" si="63"/>
        <v>0</v>
      </c>
      <c r="K81" s="242">
        <f t="shared" si="52"/>
        <v>0</v>
      </c>
      <c r="L81" s="24">
        <f t="shared" si="85"/>
        <v>0</v>
      </c>
      <c r="M81" s="24">
        <f t="shared" si="73"/>
        <v>0</v>
      </c>
      <c r="N81" s="24">
        <f t="shared" si="58"/>
        <v>0</v>
      </c>
      <c r="O81" s="24">
        <v>0</v>
      </c>
      <c r="P81" s="24">
        <f t="shared" si="25"/>
        <v>0</v>
      </c>
      <c r="Q81" s="24">
        <f t="shared" si="84"/>
        <v>0</v>
      </c>
      <c r="R81" s="24">
        <f t="shared" si="65"/>
        <v>0</v>
      </c>
      <c r="S81" s="24">
        <f t="shared" si="74"/>
        <v>0</v>
      </c>
      <c r="T81" s="24"/>
      <c r="U81" s="36">
        <f t="shared" si="80"/>
        <v>0</v>
      </c>
      <c r="V81" s="36">
        <f t="shared" si="67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49"/>
        <v>11280</v>
      </c>
      <c r="Y81" s="57">
        <f t="shared" si="46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1"/>
        <v>11630</v>
      </c>
      <c r="AN81" s="57">
        <f t="shared" si="50"/>
        <v>56851</v>
      </c>
      <c r="AO81" s="130">
        <f t="shared" si="68"/>
        <v>0</v>
      </c>
      <c r="AP81" s="109">
        <f t="shared" si="81"/>
        <v>73</v>
      </c>
      <c r="AQ81" s="110">
        <f t="shared" si="59"/>
        <v>46665</v>
      </c>
      <c r="AR81" s="177">
        <f t="shared" si="53"/>
        <v>0.14899999999999999</v>
      </c>
      <c r="AS81" s="105">
        <f t="shared" si="69"/>
        <v>0</v>
      </c>
      <c r="AT81" s="105">
        <f t="shared" si="75"/>
        <v>0</v>
      </c>
      <c r="AU81" s="105">
        <f t="shared" si="76"/>
        <v>0</v>
      </c>
      <c r="AV81" s="105">
        <f t="shared" si="71"/>
        <v>0</v>
      </c>
      <c r="AW81" s="105">
        <f t="shared" si="61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2"/>
        <v>0</v>
      </c>
      <c r="BH81" s="108">
        <f t="shared" si="82"/>
        <v>0</v>
      </c>
      <c r="BI81" s="108">
        <f t="shared" si="77"/>
        <v>0</v>
      </c>
      <c r="BJ81" s="22">
        <f t="shared" si="78"/>
        <v>46665</v>
      </c>
      <c r="BK81" s="108">
        <f t="shared" si="6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79"/>
        <v>74</v>
      </c>
      <c r="H82" s="111">
        <f t="shared" si="57"/>
        <v>46696</v>
      </c>
      <c r="I82" s="176">
        <f t="shared" si="54"/>
        <v>0.10899999999999999</v>
      </c>
      <c r="J82" s="24">
        <f t="shared" si="63"/>
        <v>0</v>
      </c>
      <c r="K82" s="242">
        <f t="shared" si="52"/>
        <v>0</v>
      </c>
      <c r="L82" s="24">
        <f t="shared" si="85"/>
        <v>0</v>
      </c>
      <c r="M82" s="24">
        <f t="shared" si="73"/>
        <v>0</v>
      </c>
      <c r="N82" s="24">
        <f t="shared" si="58"/>
        <v>0</v>
      </c>
      <c r="O82" s="24">
        <v>0</v>
      </c>
      <c r="P82" s="24">
        <f t="shared" si="25"/>
        <v>0</v>
      </c>
      <c r="Q82" s="24">
        <f t="shared" si="84"/>
        <v>0</v>
      </c>
      <c r="R82" s="24">
        <f t="shared" si="65"/>
        <v>0</v>
      </c>
      <c r="S82" s="24">
        <f t="shared" si="74"/>
        <v>0</v>
      </c>
      <c r="T82" s="24"/>
      <c r="U82" s="36">
        <f t="shared" si="80"/>
        <v>0</v>
      </c>
      <c r="V82" s="36">
        <f t="shared" si="67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49"/>
        <v>11280</v>
      </c>
      <c r="Y82" s="57">
        <f t="shared" si="46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1"/>
        <v>11630</v>
      </c>
      <c r="AN82" s="57">
        <f t="shared" si="50"/>
        <v>57216</v>
      </c>
      <c r="AO82" s="130">
        <f t="shared" si="68"/>
        <v>0</v>
      </c>
      <c r="AP82" s="109">
        <f t="shared" si="81"/>
        <v>74</v>
      </c>
      <c r="AQ82" s="110">
        <f t="shared" si="59"/>
        <v>46696</v>
      </c>
      <c r="AR82" s="177">
        <f t="shared" si="53"/>
        <v>0.14899999999999999</v>
      </c>
      <c r="AS82" s="105">
        <f t="shared" si="69"/>
        <v>0</v>
      </c>
      <c r="AT82" s="105">
        <f t="shared" si="75"/>
        <v>0</v>
      </c>
      <c r="AU82" s="105">
        <f t="shared" si="76"/>
        <v>0</v>
      </c>
      <c r="AV82" s="105">
        <f t="shared" si="71"/>
        <v>0</v>
      </c>
      <c r="AW82" s="105">
        <f t="shared" si="61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2"/>
        <v>0</v>
      </c>
      <c r="BH82" s="108">
        <f t="shared" si="82"/>
        <v>0</v>
      </c>
      <c r="BI82" s="108">
        <f t="shared" si="77"/>
        <v>0</v>
      </c>
      <c r="BJ82" s="22">
        <f t="shared" si="78"/>
        <v>46696</v>
      </c>
      <c r="BK82" s="108">
        <f t="shared" si="6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79"/>
        <v>75</v>
      </c>
      <c r="H83" s="111">
        <f t="shared" si="57"/>
        <v>46726</v>
      </c>
      <c r="I83" s="176">
        <f t="shared" si="54"/>
        <v>0.10899999999999999</v>
      </c>
      <c r="J83" s="24">
        <f t="shared" si="63"/>
        <v>0</v>
      </c>
      <c r="K83" s="242">
        <f t="shared" si="52"/>
        <v>0</v>
      </c>
      <c r="L83" s="24">
        <f t="shared" si="85"/>
        <v>0</v>
      </c>
      <c r="M83" s="24">
        <f t="shared" si="73"/>
        <v>0</v>
      </c>
      <c r="N83" s="24">
        <f t="shared" si="58"/>
        <v>0</v>
      </c>
      <c r="O83" s="24">
        <v>0</v>
      </c>
      <c r="P83" s="24">
        <f t="shared" si="25"/>
        <v>0</v>
      </c>
      <c r="Q83" s="24">
        <f t="shared" si="84"/>
        <v>0</v>
      </c>
      <c r="R83" s="24">
        <f t="shared" si="65"/>
        <v>0</v>
      </c>
      <c r="S83" s="24">
        <f t="shared" si="74"/>
        <v>0</v>
      </c>
      <c r="T83" s="24"/>
      <c r="U83" s="36">
        <f t="shared" si="80"/>
        <v>0</v>
      </c>
      <c r="V83" s="36">
        <f t="shared" si="67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49"/>
        <v>11280</v>
      </c>
      <c r="Y83" s="57">
        <f t="shared" si="46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1"/>
        <v>11630</v>
      </c>
      <c r="AN83" s="57">
        <f t="shared" si="50"/>
        <v>57581</v>
      </c>
      <c r="AO83" s="130">
        <f t="shared" si="68"/>
        <v>0</v>
      </c>
      <c r="AP83" s="109">
        <f t="shared" si="81"/>
        <v>75</v>
      </c>
      <c r="AQ83" s="110">
        <f t="shared" si="59"/>
        <v>46726</v>
      </c>
      <c r="AR83" s="177">
        <f t="shared" si="53"/>
        <v>0.14899999999999999</v>
      </c>
      <c r="AS83" s="105">
        <f t="shared" si="69"/>
        <v>0</v>
      </c>
      <c r="AT83" s="105">
        <f t="shared" si="75"/>
        <v>0</v>
      </c>
      <c r="AU83" s="105">
        <f t="shared" si="76"/>
        <v>0</v>
      </c>
      <c r="AV83" s="105">
        <f t="shared" si="71"/>
        <v>0</v>
      </c>
      <c r="AW83" s="105">
        <f t="shared" si="61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2"/>
        <v>0</v>
      </c>
      <c r="BH83" s="108">
        <f t="shared" si="82"/>
        <v>0</v>
      </c>
      <c r="BI83" s="108">
        <f t="shared" si="77"/>
        <v>0</v>
      </c>
      <c r="BJ83" s="22">
        <f t="shared" si="78"/>
        <v>46726</v>
      </c>
      <c r="BK83" s="108">
        <f t="shared" si="6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79"/>
        <v>76</v>
      </c>
      <c r="H84" s="111">
        <f t="shared" si="57"/>
        <v>46757</v>
      </c>
      <c r="I84" s="176">
        <f t="shared" si="54"/>
        <v>0.10899999999999999</v>
      </c>
      <c r="J84" s="24">
        <f t="shared" si="63"/>
        <v>0</v>
      </c>
      <c r="K84" s="242">
        <f t="shared" si="52"/>
        <v>0</v>
      </c>
      <c r="L84" s="24">
        <f t="shared" si="85"/>
        <v>0</v>
      </c>
      <c r="M84" s="24">
        <f t="shared" si="73"/>
        <v>0</v>
      </c>
      <c r="N84" s="24">
        <f t="shared" si="58"/>
        <v>0</v>
      </c>
      <c r="O84" s="24">
        <v>0</v>
      </c>
      <c r="P84" s="24">
        <f t="shared" si="25"/>
        <v>0</v>
      </c>
      <c r="Q84" s="24">
        <f t="shared" si="84"/>
        <v>0</v>
      </c>
      <c r="R84" s="24">
        <f t="shared" si="65"/>
        <v>0</v>
      </c>
      <c r="S84" s="24">
        <f t="shared" si="74"/>
        <v>0</v>
      </c>
      <c r="T84" s="24"/>
      <c r="U84" s="36">
        <f t="shared" si="80"/>
        <v>0</v>
      </c>
      <c r="V84" s="36">
        <f t="shared" si="67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49"/>
        <v>9710.6900000000387</v>
      </c>
      <c r="Y84" s="57">
        <f t="shared" si="46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1"/>
        <v>0</v>
      </c>
      <c r="AN84" s="57">
        <f t="shared" si="50"/>
        <v>57946</v>
      </c>
      <c r="AO84" s="130">
        <f t="shared" si="68"/>
        <v>0</v>
      </c>
      <c r="AP84" s="109">
        <f t="shared" si="81"/>
        <v>76</v>
      </c>
      <c r="AQ84" s="110">
        <f t="shared" si="59"/>
        <v>46757</v>
      </c>
      <c r="AR84" s="177">
        <f t="shared" si="53"/>
        <v>0.14899999999999999</v>
      </c>
      <c r="AS84" s="105">
        <f t="shared" si="69"/>
        <v>0</v>
      </c>
      <c r="AT84" s="105">
        <f t="shared" si="75"/>
        <v>0</v>
      </c>
      <c r="AU84" s="105">
        <f t="shared" si="76"/>
        <v>0</v>
      </c>
      <c r="AV84" s="105">
        <f t="shared" si="71"/>
        <v>0</v>
      </c>
      <c r="AW84" s="105">
        <f t="shared" si="61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86">IF(BI90=0,0,0)</f>
        <v>0</v>
      </c>
      <c r="BB84" s="105"/>
      <c r="BC84" s="105"/>
      <c r="BD84" s="105"/>
      <c r="BE84" s="105"/>
      <c r="BF84" s="105"/>
      <c r="BG84" s="105">
        <f t="shared" si="72"/>
        <v>0</v>
      </c>
      <c r="BH84" s="108">
        <f t="shared" si="82"/>
        <v>0</v>
      </c>
      <c r="BI84" s="108">
        <f t="shared" si="77"/>
        <v>0</v>
      </c>
      <c r="BJ84" s="22">
        <f t="shared" si="78"/>
        <v>46757</v>
      </c>
      <c r="BK84" s="108">
        <f t="shared" si="6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79"/>
        <v>77</v>
      </c>
      <c r="H85" s="111">
        <f t="shared" si="57"/>
        <v>46788</v>
      </c>
      <c r="I85" s="176">
        <f t="shared" si="54"/>
        <v>0.10899999999999999</v>
      </c>
      <c r="J85" s="24">
        <f t="shared" si="63"/>
        <v>0</v>
      </c>
      <c r="K85" s="242">
        <f t="shared" si="52"/>
        <v>0</v>
      </c>
      <c r="L85" s="24">
        <f t="shared" si="85"/>
        <v>0</v>
      </c>
      <c r="M85" s="24">
        <f t="shared" si="73"/>
        <v>0</v>
      </c>
      <c r="N85" s="24">
        <f t="shared" si="58"/>
        <v>0</v>
      </c>
      <c r="O85" s="24">
        <v>0</v>
      </c>
      <c r="P85" s="24">
        <f t="shared" si="25"/>
        <v>0</v>
      </c>
      <c r="Q85" s="24">
        <f t="shared" si="84"/>
        <v>0</v>
      </c>
      <c r="R85" s="24">
        <f t="shared" si="65"/>
        <v>0</v>
      </c>
      <c r="S85" s="24">
        <f t="shared" si="74"/>
        <v>0</v>
      </c>
      <c r="T85" s="24"/>
      <c r="U85" s="36">
        <f t="shared" si="80"/>
        <v>0</v>
      </c>
      <c r="V85" s="36">
        <f t="shared" si="67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49"/>
        <v>0</v>
      </c>
      <c r="Y85" s="57">
        <f t="shared" si="46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1"/>
        <v>0</v>
      </c>
      <c r="AN85" s="57">
        <f t="shared" si="50"/>
        <v>58311</v>
      </c>
      <c r="AO85" s="130">
        <f t="shared" si="68"/>
        <v>0</v>
      </c>
      <c r="AP85" s="109">
        <f t="shared" si="81"/>
        <v>77</v>
      </c>
      <c r="AQ85" s="110">
        <f t="shared" si="59"/>
        <v>46788</v>
      </c>
      <c r="AR85" s="177">
        <f t="shared" si="53"/>
        <v>0.14899999999999999</v>
      </c>
      <c r="AS85" s="105">
        <f t="shared" si="69"/>
        <v>0</v>
      </c>
      <c r="AT85" s="105">
        <f t="shared" si="75"/>
        <v>0</v>
      </c>
      <c r="AU85" s="105">
        <f t="shared" si="76"/>
        <v>0</v>
      </c>
      <c r="AV85" s="105">
        <f t="shared" si="71"/>
        <v>0</v>
      </c>
      <c r="AW85" s="105">
        <f t="shared" si="61"/>
        <v>0</v>
      </c>
      <c r="AX85" s="105">
        <v>0</v>
      </c>
      <c r="AY85" s="105">
        <f t="shared" si="22"/>
        <v>0</v>
      </c>
      <c r="AZ85" s="105">
        <f t="shared" ref="AZ85:AZ108" si="87">IF(BI91=0,0,0)</f>
        <v>0</v>
      </c>
      <c r="BA85" s="105">
        <f t="shared" si="86"/>
        <v>0</v>
      </c>
      <c r="BB85" s="105"/>
      <c r="BC85" s="105"/>
      <c r="BD85" s="105"/>
      <c r="BE85" s="105"/>
      <c r="BF85" s="105"/>
      <c r="BG85" s="105">
        <f t="shared" si="72"/>
        <v>0</v>
      </c>
      <c r="BH85" s="108">
        <f t="shared" si="82"/>
        <v>0</v>
      </c>
      <c r="BI85" s="108">
        <f t="shared" si="77"/>
        <v>0</v>
      </c>
      <c r="BJ85" s="22">
        <f t="shared" si="78"/>
        <v>46788</v>
      </c>
      <c r="BK85" s="108">
        <f t="shared" si="6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79"/>
        <v>78</v>
      </c>
      <c r="H86" s="111">
        <f t="shared" si="57"/>
        <v>46817</v>
      </c>
      <c r="I86" s="176">
        <f t="shared" si="54"/>
        <v>0.10899999999999999</v>
      </c>
      <c r="J86" s="24">
        <f t="shared" si="63"/>
        <v>0</v>
      </c>
      <c r="K86" s="242">
        <f t="shared" si="52"/>
        <v>0</v>
      </c>
      <c r="L86" s="24">
        <f t="shared" si="85"/>
        <v>0</v>
      </c>
      <c r="M86" s="24">
        <f t="shared" si="73"/>
        <v>0</v>
      </c>
      <c r="N86" s="24">
        <f t="shared" si="58"/>
        <v>0</v>
      </c>
      <c r="O86" s="24">
        <v>0</v>
      </c>
      <c r="P86" s="24">
        <f t="shared" ref="P86:P108" si="88">L86+Q86</f>
        <v>0</v>
      </c>
      <c r="Q86" s="24">
        <f t="shared" si="84"/>
        <v>0</v>
      </c>
      <c r="R86" s="24">
        <f t="shared" si="65"/>
        <v>0</v>
      </c>
      <c r="S86" s="24">
        <f t="shared" si="74"/>
        <v>0</v>
      </c>
      <c r="T86" s="24"/>
      <c r="U86" s="36">
        <f t="shared" si="80"/>
        <v>0</v>
      </c>
      <c r="V86" s="36">
        <f t="shared" si="67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49"/>
        <v>0</v>
      </c>
      <c r="Y86" s="57">
        <f t="shared" si="46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1"/>
        <v>0</v>
      </c>
      <c r="AN86" s="57">
        <f t="shared" si="50"/>
        <v>58676</v>
      </c>
      <c r="AO86" s="130">
        <f t="shared" si="68"/>
        <v>0</v>
      </c>
      <c r="AP86" s="109">
        <f t="shared" si="81"/>
        <v>78</v>
      </c>
      <c r="AQ86" s="110">
        <f t="shared" si="59"/>
        <v>46817</v>
      </c>
      <c r="AR86" s="177">
        <f t="shared" si="53"/>
        <v>0.14899999999999999</v>
      </c>
      <c r="AS86" s="105">
        <f t="shared" si="69"/>
        <v>0</v>
      </c>
      <c r="AT86" s="105">
        <f t="shared" si="75"/>
        <v>0</v>
      </c>
      <c r="AU86" s="105">
        <f t="shared" si="76"/>
        <v>0</v>
      </c>
      <c r="AV86" s="105">
        <f t="shared" si="71"/>
        <v>0</v>
      </c>
      <c r="AW86" s="105">
        <f t="shared" si="61"/>
        <v>0</v>
      </c>
      <c r="AX86" s="105">
        <v>0</v>
      </c>
      <c r="AY86" s="105">
        <f t="shared" ref="AY86:AY108" si="89">AU86+AZ86</f>
        <v>0</v>
      </c>
      <c r="AZ86" s="105">
        <f t="shared" si="87"/>
        <v>0</v>
      </c>
      <c r="BA86" s="105">
        <f t="shared" si="86"/>
        <v>0</v>
      </c>
      <c r="BB86" s="105"/>
      <c r="BC86" s="105"/>
      <c r="BD86" s="105"/>
      <c r="BE86" s="105"/>
      <c r="BF86" s="105"/>
      <c r="BG86" s="105">
        <f t="shared" si="72"/>
        <v>0</v>
      </c>
      <c r="BH86" s="108">
        <f t="shared" si="82"/>
        <v>0</v>
      </c>
      <c r="BI86" s="108">
        <f t="shared" si="77"/>
        <v>0</v>
      </c>
      <c r="BJ86" s="22">
        <f t="shared" si="78"/>
        <v>46817</v>
      </c>
      <c r="BK86" s="108">
        <f t="shared" si="6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79"/>
        <v>79</v>
      </c>
      <c r="H87" s="111">
        <f t="shared" si="57"/>
        <v>46848</v>
      </c>
      <c r="I87" s="176">
        <f t="shared" si="54"/>
        <v>0.10899999999999999</v>
      </c>
      <c r="J87" s="24">
        <f t="shared" si="63"/>
        <v>0</v>
      </c>
      <c r="K87" s="242">
        <f t="shared" si="52"/>
        <v>0</v>
      </c>
      <c r="L87" s="24">
        <f t="shared" si="85"/>
        <v>0</v>
      </c>
      <c r="M87" s="24">
        <f t="shared" si="73"/>
        <v>0</v>
      </c>
      <c r="N87" s="24">
        <f t="shared" si="58"/>
        <v>0</v>
      </c>
      <c r="O87" s="24">
        <v>0</v>
      </c>
      <c r="P87" s="24">
        <f t="shared" si="88"/>
        <v>0</v>
      </c>
      <c r="Q87" s="24">
        <f t="shared" si="84"/>
        <v>0</v>
      </c>
      <c r="R87" s="24">
        <f t="shared" si="65"/>
        <v>0</v>
      </c>
      <c r="S87" s="24">
        <f t="shared" si="74"/>
        <v>0</v>
      </c>
      <c r="T87" s="24"/>
      <c r="U87" s="36">
        <f t="shared" si="80"/>
        <v>0</v>
      </c>
      <c r="V87" s="36">
        <f t="shared" si="67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49"/>
        <v>0</v>
      </c>
      <c r="Y87" s="57">
        <f t="shared" si="46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1"/>
        <v>0</v>
      </c>
      <c r="AN87" s="57">
        <f t="shared" si="50"/>
        <v>59041</v>
      </c>
      <c r="AO87" s="130">
        <f t="shared" si="68"/>
        <v>0</v>
      </c>
      <c r="AP87" s="109">
        <f t="shared" si="81"/>
        <v>79</v>
      </c>
      <c r="AQ87" s="110">
        <f t="shared" si="59"/>
        <v>46848</v>
      </c>
      <c r="AR87" s="177">
        <f t="shared" si="53"/>
        <v>0.14899999999999999</v>
      </c>
      <c r="AS87" s="105">
        <f t="shared" si="69"/>
        <v>0</v>
      </c>
      <c r="AT87" s="105">
        <f t="shared" si="75"/>
        <v>0</v>
      </c>
      <c r="AU87" s="105">
        <f t="shared" si="76"/>
        <v>0</v>
      </c>
      <c r="AV87" s="105">
        <f t="shared" si="71"/>
        <v>0</v>
      </c>
      <c r="AW87" s="105">
        <f t="shared" si="61"/>
        <v>0</v>
      </c>
      <c r="AX87" s="105">
        <v>0</v>
      </c>
      <c r="AY87" s="105">
        <f t="shared" si="89"/>
        <v>0</v>
      </c>
      <c r="AZ87" s="105">
        <f t="shared" si="87"/>
        <v>0</v>
      </c>
      <c r="BA87" s="105">
        <f t="shared" si="86"/>
        <v>0</v>
      </c>
      <c r="BB87" s="105"/>
      <c r="BC87" s="105"/>
      <c r="BD87" s="105"/>
      <c r="BE87" s="105"/>
      <c r="BF87" s="105"/>
      <c r="BG87" s="105">
        <f t="shared" si="72"/>
        <v>0</v>
      </c>
      <c r="BH87" s="108">
        <f t="shared" si="82"/>
        <v>0</v>
      </c>
      <c r="BI87" s="108">
        <f t="shared" si="77"/>
        <v>0</v>
      </c>
      <c r="BJ87" s="22">
        <f t="shared" si="78"/>
        <v>46848</v>
      </c>
      <c r="BK87" s="108">
        <f t="shared" si="6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79"/>
        <v>80</v>
      </c>
      <c r="H88" s="111">
        <f t="shared" si="57"/>
        <v>46878</v>
      </c>
      <c r="I88" s="176">
        <f t="shared" si="54"/>
        <v>0.10899999999999999</v>
      </c>
      <c r="J88" s="24">
        <f t="shared" si="63"/>
        <v>0</v>
      </c>
      <c r="K88" s="242">
        <f t="shared" si="52"/>
        <v>0</v>
      </c>
      <c r="L88" s="24">
        <f t="shared" si="85"/>
        <v>0</v>
      </c>
      <c r="M88" s="24">
        <f t="shared" si="73"/>
        <v>0</v>
      </c>
      <c r="N88" s="24">
        <f t="shared" si="58"/>
        <v>0</v>
      </c>
      <c r="O88" s="24">
        <v>0</v>
      </c>
      <c r="P88" s="24">
        <f t="shared" si="88"/>
        <v>0</v>
      </c>
      <c r="Q88" s="24">
        <f t="shared" si="84"/>
        <v>0</v>
      </c>
      <c r="R88" s="24">
        <f t="shared" si="65"/>
        <v>0</v>
      </c>
      <c r="S88" s="24">
        <f t="shared" si="74"/>
        <v>0</v>
      </c>
      <c r="T88" s="24"/>
      <c r="U88" s="36">
        <f t="shared" si="80"/>
        <v>0</v>
      </c>
      <c r="V88" s="36">
        <f t="shared" si="67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49"/>
        <v>0</v>
      </c>
      <c r="Y88" s="57">
        <f t="shared" si="46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1"/>
        <v>0</v>
      </c>
      <c r="AN88" s="57">
        <f t="shared" si="50"/>
        <v>59406</v>
      </c>
      <c r="AO88" s="130">
        <f t="shared" si="68"/>
        <v>0</v>
      </c>
      <c r="AP88" s="109">
        <f t="shared" si="81"/>
        <v>80</v>
      </c>
      <c r="AQ88" s="110">
        <f t="shared" si="59"/>
        <v>46878</v>
      </c>
      <c r="AR88" s="177">
        <f t="shared" si="53"/>
        <v>0.14899999999999999</v>
      </c>
      <c r="AS88" s="105">
        <f t="shared" si="69"/>
        <v>0</v>
      </c>
      <c r="AT88" s="105">
        <f t="shared" si="75"/>
        <v>0</v>
      </c>
      <c r="AU88" s="105">
        <f t="shared" si="76"/>
        <v>0</v>
      </c>
      <c r="AV88" s="105">
        <f t="shared" si="71"/>
        <v>0</v>
      </c>
      <c r="AW88" s="105">
        <f t="shared" si="61"/>
        <v>0</v>
      </c>
      <c r="AX88" s="105">
        <v>0</v>
      </c>
      <c r="AY88" s="105">
        <f t="shared" si="89"/>
        <v>0</v>
      </c>
      <c r="AZ88" s="105">
        <f t="shared" si="87"/>
        <v>0</v>
      </c>
      <c r="BA88" s="105">
        <f t="shared" si="86"/>
        <v>0</v>
      </c>
      <c r="BB88" s="105"/>
      <c r="BC88" s="105"/>
      <c r="BD88" s="105"/>
      <c r="BE88" s="105"/>
      <c r="BF88" s="105"/>
      <c r="BG88" s="105">
        <f t="shared" si="72"/>
        <v>0</v>
      </c>
      <c r="BH88" s="108">
        <f t="shared" si="82"/>
        <v>0</v>
      </c>
      <c r="BI88" s="108">
        <f t="shared" si="77"/>
        <v>0</v>
      </c>
      <c r="BJ88" s="22">
        <f t="shared" si="78"/>
        <v>46878</v>
      </c>
      <c r="BK88" s="108">
        <f t="shared" si="6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79"/>
        <v>81</v>
      </c>
      <c r="H89" s="111">
        <f t="shared" si="57"/>
        <v>46909</v>
      </c>
      <c r="I89" s="176">
        <f t="shared" si="54"/>
        <v>0.10899999999999999</v>
      </c>
      <c r="J89" s="24">
        <f t="shared" si="63"/>
        <v>0</v>
      </c>
      <c r="K89" s="242">
        <f t="shared" si="52"/>
        <v>0</v>
      </c>
      <c r="L89" s="24">
        <f t="shared" si="85"/>
        <v>0</v>
      </c>
      <c r="M89" s="24">
        <f t="shared" si="73"/>
        <v>0</v>
      </c>
      <c r="N89" s="24">
        <f t="shared" si="58"/>
        <v>0</v>
      </c>
      <c r="O89" s="24">
        <v>0</v>
      </c>
      <c r="P89" s="24">
        <f t="shared" si="88"/>
        <v>0</v>
      </c>
      <c r="Q89" s="24">
        <f t="shared" si="84"/>
        <v>0</v>
      </c>
      <c r="R89" s="24">
        <f t="shared" si="65"/>
        <v>0</v>
      </c>
      <c r="S89" s="24">
        <f t="shared" si="74"/>
        <v>0</v>
      </c>
      <c r="T89" s="24"/>
      <c r="U89" s="36">
        <f t="shared" si="80"/>
        <v>0</v>
      </c>
      <c r="V89" s="36">
        <f t="shared" si="67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49"/>
        <v>0</v>
      </c>
      <c r="Y89" s="57">
        <f t="shared" si="46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1"/>
        <v>0</v>
      </c>
      <c r="AN89" s="57">
        <f t="shared" si="50"/>
        <v>59771</v>
      </c>
      <c r="AO89" s="130">
        <f t="shared" si="68"/>
        <v>0</v>
      </c>
      <c r="AP89" s="109">
        <f t="shared" si="81"/>
        <v>81</v>
      </c>
      <c r="AQ89" s="110">
        <f t="shared" si="59"/>
        <v>46909</v>
      </c>
      <c r="AR89" s="177">
        <f t="shared" si="53"/>
        <v>0.14899999999999999</v>
      </c>
      <c r="AS89" s="105">
        <f t="shared" si="69"/>
        <v>0</v>
      </c>
      <c r="AT89" s="105">
        <f t="shared" si="75"/>
        <v>0</v>
      </c>
      <c r="AU89" s="105">
        <f t="shared" si="76"/>
        <v>0</v>
      </c>
      <c r="AV89" s="105">
        <f t="shared" si="71"/>
        <v>0</v>
      </c>
      <c r="AW89" s="105">
        <f t="shared" si="61"/>
        <v>0</v>
      </c>
      <c r="AX89" s="105">
        <v>0</v>
      </c>
      <c r="AY89" s="105">
        <f t="shared" si="89"/>
        <v>0</v>
      </c>
      <c r="AZ89" s="105">
        <f t="shared" si="87"/>
        <v>0</v>
      </c>
      <c r="BA89" s="105">
        <f t="shared" si="86"/>
        <v>0</v>
      </c>
      <c r="BB89" s="105"/>
      <c r="BC89" s="105"/>
      <c r="BD89" s="105"/>
      <c r="BE89" s="105"/>
      <c r="BF89" s="105"/>
      <c r="BG89" s="105">
        <f t="shared" si="72"/>
        <v>0</v>
      </c>
      <c r="BH89" s="108">
        <f t="shared" si="82"/>
        <v>0</v>
      </c>
      <c r="BI89" s="108">
        <f t="shared" si="77"/>
        <v>0</v>
      </c>
      <c r="BJ89" s="22">
        <f t="shared" si="78"/>
        <v>46909</v>
      </c>
      <c r="BK89" s="108">
        <f t="shared" si="6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79"/>
        <v>82</v>
      </c>
      <c r="H90" s="111">
        <f t="shared" si="57"/>
        <v>46939</v>
      </c>
      <c r="I90" s="176">
        <f t="shared" si="54"/>
        <v>0.10899999999999999</v>
      </c>
      <c r="J90" s="24">
        <f t="shared" si="63"/>
        <v>0</v>
      </c>
      <c r="K90" s="242">
        <f t="shared" si="52"/>
        <v>0</v>
      </c>
      <c r="L90" s="24">
        <f t="shared" si="85"/>
        <v>0</v>
      </c>
      <c r="M90" s="24">
        <f t="shared" si="73"/>
        <v>0</v>
      </c>
      <c r="N90" s="24">
        <f t="shared" si="58"/>
        <v>0</v>
      </c>
      <c r="O90" s="24">
        <v>0</v>
      </c>
      <c r="P90" s="24">
        <f t="shared" si="88"/>
        <v>0</v>
      </c>
      <c r="Q90" s="24">
        <f t="shared" si="84"/>
        <v>0</v>
      </c>
      <c r="R90" s="24">
        <f t="shared" si="65"/>
        <v>0</v>
      </c>
      <c r="S90" s="24">
        <f t="shared" si="74"/>
        <v>0</v>
      </c>
      <c r="T90" s="24"/>
      <c r="U90" s="36">
        <f t="shared" si="80"/>
        <v>0</v>
      </c>
      <c r="V90" s="36">
        <f t="shared" si="67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49"/>
        <v>0</v>
      </c>
      <c r="Y90" s="57">
        <f t="shared" si="46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1"/>
        <v>0</v>
      </c>
      <c r="AN90" s="57">
        <f t="shared" si="50"/>
        <v>60136</v>
      </c>
      <c r="AO90" s="130">
        <f t="shared" si="68"/>
        <v>0</v>
      </c>
      <c r="AP90" s="109">
        <f t="shared" si="81"/>
        <v>82</v>
      </c>
      <c r="AQ90" s="110">
        <f t="shared" si="59"/>
        <v>46939</v>
      </c>
      <c r="AR90" s="177">
        <f t="shared" si="53"/>
        <v>0.14899999999999999</v>
      </c>
      <c r="AS90" s="105">
        <f t="shared" si="69"/>
        <v>0</v>
      </c>
      <c r="AT90" s="105">
        <f t="shared" si="75"/>
        <v>0</v>
      </c>
      <c r="AU90" s="105">
        <f t="shared" si="76"/>
        <v>0</v>
      </c>
      <c r="AV90" s="105">
        <f t="shared" si="71"/>
        <v>0</v>
      </c>
      <c r="AW90" s="105">
        <f t="shared" si="61"/>
        <v>0</v>
      </c>
      <c r="AX90" s="105">
        <v>0</v>
      </c>
      <c r="AY90" s="105">
        <f t="shared" si="89"/>
        <v>0</v>
      </c>
      <c r="AZ90" s="105">
        <f t="shared" si="87"/>
        <v>0</v>
      </c>
      <c r="BA90" s="105">
        <f t="shared" si="86"/>
        <v>0</v>
      </c>
      <c r="BB90" s="105"/>
      <c r="BC90" s="105"/>
      <c r="BD90" s="105"/>
      <c r="BE90" s="105"/>
      <c r="BF90" s="105"/>
      <c r="BG90" s="105">
        <f t="shared" si="72"/>
        <v>0</v>
      </c>
      <c r="BH90" s="108">
        <f t="shared" si="82"/>
        <v>0</v>
      </c>
      <c r="BI90" s="108">
        <f t="shared" si="77"/>
        <v>0</v>
      </c>
      <c r="BJ90" s="22">
        <f t="shared" si="78"/>
        <v>46939</v>
      </c>
      <c r="BK90" s="108">
        <f t="shared" si="6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79"/>
        <v>83</v>
      </c>
      <c r="H91" s="111">
        <f t="shared" si="57"/>
        <v>46970</v>
      </c>
      <c r="I91" s="176">
        <f t="shared" si="54"/>
        <v>0.10899999999999999</v>
      </c>
      <c r="J91" s="24">
        <f t="shared" si="63"/>
        <v>0</v>
      </c>
      <c r="K91" s="242">
        <f t="shared" si="52"/>
        <v>0</v>
      </c>
      <c r="L91" s="24">
        <f t="shared" si="85"/>
        <v>0</v>
      </c>
      <c r="M91" s="24">
        <f t="shared" si="73"/>
        <v>0</v>
      </c>
      <c r="N91" s="24">
        <f t="shared" si="58"/>
        <v>0</v>
      </c>
      <c r="O91" s="24">
        <v>0</v>
      </c>
      <c r="P91" s="24">
        <f t="shared" si="88"/>
        <v>0</v>
      </c>
      <c r="Q91" s="24">
        <f t="shared" si="84"/>
        <v>0</v>
      </c>
      <c r="R91" s="24">
        <f t="shared" si="65"/>
        <v>0</v>
      </c>
      <c r="S91" s="24">
        <f t="shared" si="74"/>
        <v>0</v>
      </c>
      <c r="T91" s="24"/>
      <c r="U91" s="36">
        <f t="shared" si="80"/>
        <v>0</v>
      </c>
      <c r="V91" s="36">
        <f t="shared" si="67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49"/>
        <v>0</v>
      </c>
      <c r="Y91" s="57">
        <f t="shared" si="46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1"/>
        <v>0</v>
      </c>
      <c r="AN91" s="57">
        <f t="shared" si="50"/>
        <v>60501</v>
      </c>
      <c r="AO91" s="130">
        <f t="shared" si="68"/>
        <v>0</v>
      </c>
      <c r="AP91" s="109">
        <f t="shared" si="81"/>
        <v>83</v>
      </c>
      <c r="AQ91" s="110">
        <f t="shared" si="59"/>
        <v>46970</v>
      </c>
      <c r="AR91" s="177">
        <f t="shared" si="53"/>
        <v>0.14899999999999999</v>
      </c>
      <c r="AS91" s="105">
        <f t="shared" si="69"/>
        <v>0</v>
      </c>
      <c r="AT91" s="105">
        <f t="shared" si="75"/>
        <v>0</v>
      </c>
      <c r="AU91" s="105">
        <f t="shared" si="76"/>
        <v>0</v>
      </c>
      <c r="AV91" s="105">
        <f t="shared" si="71"/>
        <v>0</v>
      </c>
      <c r="AW91" s="105">
        <f t="shared" si="61"/>
        <v>0</v>
      </c>
      <c r="AX91" s="105">
        <v>0</v>
      </c>
      <c r="AY91" s="105">
        <f t="shared" si="89"/>
        <v>0</v>
      </c>
      <c r="AZ91" s="105">
        <f t="shared" si="87"/>
        <v>0</v>
      </c>
      <c r="BA91" s="105">
        <f t="shared" si="86"/>
        <v>0</v>
      </c>
      <c r="BB91" s="105"/>
      <c r="BC91" s="105"/>
      <c r="BD91" s="105"/>
      <c r="BE91" s="105"/>
      <c r="BF91" s="105"/>
      <c r="BG91" s="105">
        <f t="shared" si="72"/>
        <v>0</v>
      </c>
      <c r="BH91" s="108">
        <f t="shared" si="82"/>
        <v>0</v>
      </c>
      <c r="BI91" s="108">
        <f t="shared" si="77"/>
        <v>0</v>
      </c>
      <c r="BJ91" s="22">
        <f t="shared" si="78"/>
        <v>46970</v>
      </c>
      <c r="BK91" s="108">
        <f t="shared" si="6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79"/>
        <v>84</v>
      </c>
      <c r="H92" s="111">
        <f t="shared" si="57"/>
        <v>47001</v>
      </c>
      <c r="I92" s="176">
        <f t="shared" si="54"/>
        <v>0.10899999999999999</v>
      </c>
      <c r="J92" s="24">
        <f t="shared" si="63"/>
        <v>0</v>
      </c>
      <c r="K92" s="242">
        <f t="shared" si="52"/>
        <v>0</v>
      </c>
      <c r="L92" s="24">
        <f t="shared" si="85"/>
        <v>0</v>
      </c>
      <c r="M92" s="24">
        <f t="shared" si="73"/>
        <v>0</v>
      </c>
      <c r="N92" s="24">
        <f t="shared" si="58"/>
        <v>0</v>
      </c>
      <c r="O92" s="24">
        <v>0</v>
      </c>
      <c r="P92" s="24">
        <f t="shared" si="88"/>
        <v>0</v>
      </c>
      <c r="Q92" s="24">
        <f t="shared" si="84"/>
        <v>0</v>
      </c>
      <c r="R92" s="24">
        <f t="shared" si="65"/>
        <v>0</v>
      </c>
      <c r="S92" s="24">
        <f t="shared" si="74"/>
        <v>0</v>
      </c>
      <c r="T92" s="24"/>
      <c r="U92" s="36">
        <f t="shared" si="80"/>
        <v>0</v>
      </c>
      <c r="V92" s="36">
        <f t="shared" si="67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49"/>
        <v>0</v>
      </c>
      <c r="Y92" s="57">
        <f t="shared" si="46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1"/>
        <v>0</v>
      </c>
      <c r="AN92" s="57">
        <f t="shared" si="50"/>
        <v>60866</v>
      </c>
      <c r="AO92" s="130">
        <f t="shared" si="68"/>
        <v>0</v>
      </c>
      <c r="AP92" s="109">
        <f t="shared" si="81"/>
        <v>84</v>
      </c>
      <c r="AQ92" s="110">
        <f t="shared" si="59"/>
        <v>47001</v>
      </c>
      <c r="AR92" s="177">
        <f t="shared" si="53"/>
        <v>0.14899999999999999</v>
      </c>
      <c r="AS92" s="105">
        <f t="shared" si="69"/>
        <v>0</v>
      </c>
      <c r="AT92" s="105">
        <f t="shared" si="75"/>
        <v>0</v>
      </c>
      <c r="AU92" s="105">
        <f t="shared" si="76"/>
        <v>0</v>
      </c>
      <c r="AV92" s="105">
        <f t="shared" si="71"/>
        <v>0</v>
      </c>
      <c r="AW92" s="105">
        <f t="shared" si="61"/>
        <v>0</v>
      </c>
      <c r="AX92" s="105">
        <v>0</v>
      </c>
      <c r="AY92" s="105">
        <f t="shared" si="89"/>
        <v>0</v>
      </c>
      <c r="AZ92" s="105">
        <f t="shared" si="87"/>
        <v>0</v>
      </c>
      <c r="BA92" s="105">
        <f t="shared" si="86"/>
        <v>0</v>
      </c>
      <c r="BB92" s="105"/>
      <c r="BC92" s="105"/>
      <c r="BD92" s="105"/>
      <c r="BE92" s="105"/>
      <c r="BF92" s="105"/>
      <c r="BG92" s="105">
        <f t="shared" si="72"/>
        <v>0</v>
      </c>
      <c r="BH92" s="108">
        <f t="shared" si="82"/>
        <v>0</v>
      </c>
      <c r="BI92" s="108">
        <f t="shared" si="77"/>
        <v>0</v>
      </c>
      <c r="BJ92" s="22">
        <f t="shared" si="78"/>
        <v>47001</v>
      </c>
      <c r="BK92" s="108">
        <f t="shared" si="6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79"/>
        <v>85</v>
      </c>
      <c r="H93" s="111">
        <f t="shared" si="57"/>
        <v>47031</v>
      </c>
      <c r="I93" s="176">
        <f t="shared" si="54"/>
        <v>0.10899999999999999</v>
      </c>
      <c r="J93" s="24">
        <f t="shared" si="63"/>
        <v>0</v>
      </c>
      <c r="K93" s="242">
        <f t="shared" si="52"/>
        <v>0</v>
      </c>
      <c r="L93" s="24">
        <f t="shared" si="85"/>
        <v>0</v>
      </c>
      <c r="M93" s="24">
        <f t="shared" si="73"/>
        <v>0</v>
      </c>
      <c r="N93" s="24">
        <f t="shared" si="58"/>
        <v>0</v>
      </c>
      <c r="O93" s="24">
        <v>0</v>
      </c>
      <c r="P93" s="24">
        <f t="shared" si="88"/>
        <v>0</v>
      </c>
      <c r="Q93" s="24">
        <f t="shared" si="84"/>
        <v>0</v>
      </c>
      <c r="R93" s="24">
        <f t="shared" si="65"/>
        <v>0</v>
      </c>
      <c r="S93" s="24">
        <f t="shared" si="74"/>
        <v>0</v>
      </c>
      <c r="T93" s="24"/>
      <c r="U93" s="36">
        <f t="shared" si="80"/>
        <v>0</v>
      </c>
      <c r="V93" s="36">
        <f t="shared" si="67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49"/>
        <v>0</v>
      </c>
      <c r="Y93" s="57">
        <f t="shared" si="46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1"/>
        <v>0</v>
      </c>
      <c r="AN93" s="57">
        <f t="shared" si="50"/>
        <v>61231</v>
      </c>
      <c r="AO93" s="130">
        <f t="shared" si="68"/>
        <v>0</v>
      </c>
      <c r="AP93" s="109">
        <f t="shared" si="81"/>
        <v>85</v>
      </c>
      <c r="AQ93" s="110">
        <f t="shared" si="59"/>
        <v>47031</v>
      </c>
      <c r="AR93" s="177">
        <f t="shared" si="53"/>
        <v>0.14899999999999999</v>
      </c>
      <c r="AS93" s="105">
        <f t="shared" si="69"/>
        <v>0</v>
      </c>
      <c r="AT93" s="105">
        <f t="shared" si="75"/>
        <v>0</v>
      </c>
      <c r="AU93" s="105">
        <f t="shared" si="76"/>
        <v>0</v>
      </c>
      <c r="AV93" s="105">
        <f t="shared" si="71"/>
        <v>0</v>
      </c>
      <c r="AW93" s="105">
        <f t="shared" si="61"/>
        <v>0</v>
      </c>
      <c r="AX93" s="105">
        <v>0</v>
      </c>
      <c r="AY93" s="105">
        <f t="shared" si="89"/>
        <v>0</v>
      </c>
      <c r="AZ93" s="105">
        <f t="shared" si="87"/>
        <v>0</v>
      </c>
      <c r="BA93" s="105">
        <f t="shared" si="86"/>
        <v>0</v>
      </c>
      <c r="BB93" s="105"/>
      <c r="BC93" s="105"/>
      <c r="BD93" s="105"/>
      <c r="BE93" s="105"/>
      <c r="BF93" s="105"/>
      <c r="BG93" s="105">
        <f t="shared" si="72"/>
        <v>0</v>
      </c>
      <c r="BH93" s="108">
        <f t="shared" si="82"/>
        <v>0</v>
      </c>
      <c r="BI93" s="108">
        <f t="shared" si="77"/>
        <v>0</v>
      </c>
      <c r="BJ93" s="22">
        <f t="shared" si="78"/>
        <v>47031</v>
      </c>
      <c r="BK93" s="108">
        <f t="shared" si="6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79"/>
        <v>86</v>
      </c>
      <c r="H94" s="111">
        <f t="shared" si="57"/>
        <v>47062</v>
      </c>
      <c r="I94" s="176">
        <f t="shared" si="54"/>
        <v>0.10899999999999999</v>
      </c>
      <c r="J94" s="24">
        <f t="shared" si="63"/>
        <v>0</v>
      </c>
      <c r="K94" s="242">
        <f t="shared" si="52"/>
        <v>0</v>
      </c>
      <c r="L94" s="24">
        <f t="shared" si="85"/>
        <v>0</v>
      </c>
      <c r="M94" s="24">
        <f t="shared" si="73"/>
        <v>0</v>
      </c>
      <c r="N94" s="24">
        <f t="shared" si="58"/>
        <v>0</v>
      </c>
      <c r="O94" s="24">
        <v>0</v>
      </c>
      <c r="P94" s="24">
        <f t="shared" si="88"/>
        <v>0</v>
      </c>
      <c r="Q94" s="24">
        <f t="shared" si="84"/>
        <v>0</v>
      </c>
      <c r="R94" s="24">
        <f t="shared" si="65"/>
        <v>0</v>
      </c>
      <c r="S94" s="24">
        <f t="shared" si="74"/>
        <v>0</v>
      </c>
      <c r="T94" s="24"/>
      <c r="U94" s="36">
        <f t="shared" si="80"/>
        <v>0</v>
      </c>
      <c r="V94" s="36">
        <f t="shared" si="67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49"/>
        <v>0</v>
      </c>
      <c r="Y94" s="57">
        <f t="shared" si="46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1"/>
        <v>0</v>
      </c>
      <c r="AN94" s="57">
        <f t="shared" si="50"/>
        <v>61596</v>
      </c>
      <c r="AO94" s="130">
        <f t="shared" si="68"/>
        <v>0</v>
      </c>
      <c r="AP94" s="109">
        <f t="shared" si="81"/>
        <v>86</v>
      </c>
      <c r="AQ94" s="110">
        <f t="shared" si="59"/>
        <v>47062</v>
      </c>
      <c r="AR94" s="177">
        <f t="shared" si="53"/>
        <v>0.14899999999999999</v>
      </c>
      <c r="AS94" s="105">
        <f t="shared" si="69"/>
        <v>0</v>
      </c>
      <c r="AT94" s="105">
        <f t="shared" si="75"/>
        <v>0</v>
      </c>
      <c r="AU94" s="105">
        <f t="shared" si="76"/>
        <v>0</v>
      </c>
      <c r="AV94" s="105">
        <f t="shared" si="71"/>
        <v>0</v>
      </c>
      <c r="AW94" s="105">
        <f t="shared" si="61"/>
        <v>0</v>
      </c>
      <c r="AX94" s="105">
        <v>0</v>
      </c>
      <c r="AY94" s="105">
        <f t="shared" si="89"/>
        <v>0</v>
      </c>
      <c r="AZ94" s="105">
        <f t="shared" si="87"/>
        <v>0</v>
      </c>
      <c r="BA94" s="105">
        <f t="shared" si="86"/>
        <v>0</v>
      </c>
      <c r="BB94" s="105"/>
      <c r="BC94" s="105"/>
      <c r="BD94" s="105"/>
      <c r="BE94" s="105"/>
      <c r="BF94" s="105"/>
      <c r="BG94" s="105">
        <f t="shared" si="72"/>
        <v>0</v>
      </c>
      <c r="BH94" s="108">
        <f t="shared" si="82"/>
        <v>0</v>
      </c>
      <c r="BI94" s="108">
        <f t="shared" si="77"/>
        <v>0</v>
      </c>
      <c r="BJ94" s="22">
        <f t="shared" si="78"/>
        <v>47062</v>
      </c>
      <c r="BK94" s="108">
        <f t="shared" si="6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79"/>
        <v>87</v>
      </c>
      <c r="H95" s="111">
        <f t="shared" si="57"/>
        <v>47092</v>
      </c>
      <c r="I95" s="176">
        <f t="shared" si="54"/>
        <v>0.10899999999999999</v>
      </c>
      <c r="J95" s="24">
        <f t="shared" si="63"/>
        <v>0</v>
      </c>
      <c r="K95" s="242">
        <f t="shared" si="52"/>
        <v>0</v>
      </c>
      <c r="L95" s="24">
        <f t="shared" si="85"/>
        <v>0</v>
      </c>
      <c r="M95" s="24">
        <f t="shared" si="73"/>
        <v>0</v>
      </c>
      <c r="N95" s="24">
        <f t="shared" si="58"/>
        <v>0</v>
      </c>
      <c r="O95" s="24">
        <v>0</v>
      </c>
      <c r="P95" s="24">
        <f t="shared" si="88"/>
        <v>0</v>
      </c>
      <c r="Q95" s="24">
        <f t="shared" si="84"/>
        <v>0</v>
      </c>
      <c r="R95" s="24">
        <f t="shared" si="65"/>
        <v>0</v>
      </c>
      <c r="S95" s="24">
        <f t="shared" si="74"/>
        <v>0</v>
      </c>
      <c r="T95" s="24"/>
      <c r="U95" s="36">
        <f t="shared" si="80"/>
        <v>0</v>
      </c>
      <c r="V95" s="36">
        <f t="shared" si="67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49"/>
        <v>0</v>
      </c>
      <c r="Y95" s="57">
        <f t="shared" si="46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1"/>
        <v>0</v>
      </c>
      <c r="AN95" s="57">
        <f t="shared" si="50"/>
        <v>61961</v>
      </c>
      <c r="AO95" s="130">
        <f t="shared" si="68"/>
        <v>0</v>
      </c>
      <c r="AP95" s="109">
        <f t="shared" si="81"/>
        <v>87</v>
      </c>
      <c r="AQ95" s="110">
        <f t="shared" si="59"/>
        <v>47092</v>
      </c>
      <c r="AR95" s="177">
        <f t="shared" si="53"/>
        <v>0.14899999999999999</v>
      </c>
      <c r="AS95" s="105">
        <f t="shared" si="69"/>
        <v>0</v>
      </c>
      <c r="AT95" s="105">
        <f t="shared" si="75"/>
        <v>0</v>
      </c>
      <c r="AU95" s="105">
        <f t="shared" si="76"/>
        <v>0</v>
      </c>
      <c r="AV95" s="105">
        <f t="shared" si="71"/>
        <v>0</v>
      </c>
      <c r="AW95" s="105">
        <f t="shared" si="61"/>
        <v>0</v>
      </c>
      <c r="AX95" s="105">
        <v>0</v>
      </c>
      <c r="AY95" s="105">
        <f t="shared" si="89"/>
        <v>0</v>
      </c>
      <c r="AZ95" s="105">
        <f t="shared" si="87"/>
        <v>0</v>
      </c>
      <c r="BA95" s="105">
        <f t="shared" si="86"/>
        <v>0</v>
      </c>
      <c r="BB95" s="105"/>
      <c r="BC95" s="105"/>
      <c r="BD95" s="105"/>
      <c r="BE95" s="105"/>
      <c r="BF95" s="105"/>
      <c r="BG95" s="105">
        <f t="shared" si="72"/>
        <v>0</v>
      </c>
      <c r="BH95" s="108">
        <f t="shared" si="82"/>
        <v>0</v>
      </c>
      <c r="BI95" s="108">
        <f t="shared" si="77"/>
        <v>0</v>
      </c>
      <c r="BJ95" s="22">
        <f t="shared" si="78"/>
        <v>47092</v>
      </c>
      <c r="BK95" s="108">
        <f t="shared" si="6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79"/>
        <v>88</v>
      </c>
      <c r="H96" s="111">
        <f t="shared" si="57"/>
        <v>47123</v>
      </c>
      <c r="I96" s="176">
        <f t="shared" si="54"/>
        <v>0.10899999999999999</v>
      </c>
      <c r="J96" s="24">
        <f t="shared" si="63"/>
        <v>0</v>
      </c>
      <c r="K96" s="242">
        <f t="shared" si="52"/>
        <v>0</v>
      </c>
      <c r="L96" s="24">
        <f t="shared" si="85"/>
        <v>0</v>
      </c>
      <c r="M96" s="24">
        <f t="shared" si="73"/>
        <v>0</v>
      </c>
      <c r="N96" s="24">
        <f t="shared" si="58"/>
        <v>0</v>
      </c>
      <c r="O96" s="24">
        <v>0</v>
      </c>
      <c r="P96" s="24">
        <f t="shared" si="88"/>
        <v>0</v>
      </c>
      <c r="Q96" s="24">
        <f t="shared" si="84"/>
        <v>0</v>
      </c>
      <c r="R96" s="24">
        <f t="shared" si="65"/>
        <v>0</v>
      </c>
      <c r="S96" s="24">
        <f t="shared" si="74"/>
        <v>0</v>
      </c>
      <c r="T96" s="24"/>
      <c r="U96" s="36">
        <f t="shared" si="80"/>
        <v>0</v>
      </c>
      <c r="V96" s="36">
        <f t="shared" si="67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49"/>
        <v>0</v>
      </c>
      <c r="Y96" s="57">
        <f t="shared" si="46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1"/>
        <v>0</v>
      </c>
      <c r="AN96" s="57">
        <f t="shared" si="50"/>
        <v>62326</v>
      </c>
      <c r="AO96" s="130">
        <f t="shared" si="68"/>
        <v>0</v>
      </c>
      <c r="AP96" s="109">
        <f t="shared" si="81"/>
        <v>88</v>
      </c>
      <c r="AQ96" s="110">
        <f t="shared" si="59"/>
        <v>47123</v>
      </c>
      <c r="AR96" s="177">
        <f t="shared" si="53"/>
        <v>0.14899999999999999</v>
      </c>
      <c r="AS96" s="105">
        <f t="shared" si="69"/>
        <v>0</v>
      </c>
      <c r="AT96" s="105">
        <f t="shared" si="75"/>
        <v>0</v>
      </c>
      <c r="AU96" s="105">
        <f t="shared" si="76"/>
        <v>0</v>
      </c>
      <c r="AV96" s="105">
        <f t="shared" si="71"/>
        <v>0</v>
      </c>
      <c r="AW96" s="105">
        <f t="shared" si="61"/>
        <v>0</v>
      </c>
      <c r="AX96" s="105">
        <v>0</v>
      </c>
      <c r="AY96" s="105">
        <f t="shared" si="89"/>
        <v>0</v>
      </c>
      <c r="AZ96" s="105">
        <f t="shared" si="87"/>
        <v>0</v>
      </c>
      <c r="BA96" s="105">
        <f t="shared" si="86"/>
        <v>0</v>
      </c>
      <c r="BB96" s="105"/>
      <c r="BC96" s="105"/>
      <c r="BD96" s="105"/>
      <c r="BE96" s="105"/>
      <c r="BF96" s="105"/>
      <c r="BG96" s="105">
        <f t="shared" si="72"/>
        <v>0</v>
      </c>
      <c r="BH96" s="108">
        <f t="shared" si="82"/>
        <v>0</v>
      </c>
      <c r="BI96" s="108">
        <f t="shared" si="77"/>
        <v>0</v>
      </c>
      <c r="BJ96" s="22">
        <f t="shared" si="78"/>
        <v>47123</v>
      </c>
      <c r="BK96" s="108">
        <f t="shared" si="6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79"/>
        <v>89</v>
      </c>
      <c r="H97" s="111">
        <f t="shared" si="57"/>
        <v>47154</v>
      </c>
      <c r="I97" s="176">
        <f t="shared" si="54"/>
        <v>0.10899999999999999</v>
      </c>
      <c r="J97" s="24">
        <f t="shared" si="63"/>
        <v>0</v>
      </c>
      <c r="K97" s="242">
        <f t="shared" si="52"/>
        <v>0</v>
      </c>
      <c r="L97" s="24">
        <f t="shared" si="85"/>
        <v>0</v>
      </c>
      <c r="M97" s="24">
        <f t="shared" si="73"/>
        <v>0</v>
      </c>
      <c r="N97" s="24">
        <f t="shared" si="58"/>
        <v>0</v>
      </c>
      <c r="O97" s="24">
        <v>0</v>
      </c>
      <c r="P97" s="24">
        <f t="shared" si="88"/>
        <v>0</v>
      </c>
      <c r="Q97" s="24">
        <f t="shared" si="84"/>
        <v>0</v>
      </c>
      <c r="R97" s="24">
        <f t="shared" si="65"/>
        <v>0</v>
      </c>
      <c r="S97" s="24">
        <f t="shared" si="74"/>
        <v>0</v>
      </c>
      <c r="T97" s="24"/>
      <c r="U97" s="36">
        <f t="shared" si="80"/>
        <v>0</v>
      </c>
      <c r="V97" s="36">
        <f t="shared" si="67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49"/>
        <v>0</v>
      </c>
      <c r="Y97" s="57">
        <f t="shared" si="46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1"/>
        <v>0</v>
      </c>
      <c r="AN97" s="57">
        <f t="shared" si="50"/>
        <v>62691</v>
      </c>
      <c r="AO97" s="130">
        <f t="shared" si="68"/>
        <v>0</v>
      </c>
      <c r="AP97" s="109">
        <f t="shared" si="81"/>
        <v>89</v>
      </c>
      <c r="AQ97" s="110">
        <f t="shared" si="59"/>
        <v>47154</v>
      </c>
      <c r="AR97" s="177">
        <f t="shared" si="53"/>
        <v>0.14899999999999999</v>
      </c>
      <c r="AS97" s="105">
        <f t="shared" si="69"/>
        <v>0</v>
      </c>
      <c r="AT97" s="105">
        <f t="shared" si="75"/>
        <v>0</v>
      </c>
      <c r="AU97" s="105">
        <f t="shared" si="76"/>
        <v>0</v>
      </c>
      <c r="AV97" s="105">
        <f t="shared" si="71"/>
        <v>0</v>
      </c>
      <c r="AW97" s="105">
        <f t="shared" si="61"/>
        <v>0</v>
      </c>
      <c r="AX97" s="105">
        <v>0</v>
      </c>
      <c r="AY97" s="105">
        <f t="shared" si="89"/>
        <v>0</v>
      </c>
      <c r="AZ97" s="105">
        <f t="shared" si="87"/>
        <v>0</v>
      </c>
      <c r="BA97" s="105">
        <f t="shared" si="86"/>
        <v>0</v>
      </c>
      <c r="BB97" s="105"/>
      <c r="BC97" s="105"/>
      <c r="BD97" s="105"/>
      <c r="BE97" s="105"/>
      <c r="BF97" s="105"/>
      <c r="BG97" s="105">
        <f t="shared" si="72"/>
        <v>0</v>
      </c>
      <c r="BH97" s="108">
        <f t="shared" si="82"/>
        <v>0</v>
      </c>
      <c r="BI97" s="108">
        <f t="shared" si="77"/>
        <v>0</v>
      </c>
      <c r="BJ97" s="22">
        <f t="shared" si="78"/>
        <v>47154</v>
      </c>
      <c r="BK97" s="108">
        <f t="shared" si="6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79"/>
        <v>90</v>
      </c>
      <c r="H98" s="111">
        <f t="shared" si="57"/>
        <v>47182</v>
      </c>
      <c r="I98" s="176">
        <f t="shared" si="54"/>
        <v>0.10899999999999999</v>
      </c>
      <c r="J98" s="24">
        <f t="shared" si="63"/>
        <v>0</v>
      </c>
      <c r="K98" s="242">
        <f t="shared" si="52"/>
        <v>0</v>
      </c>
      <c r="L98" s="24">
        <f t="shared" si="85"/>
        <v>0</v>
      </c>
      <c r="M98" s="24">
        <f t="shared" si="73"/>
        <v>0</v>
      </c>
      <c r="N98" s="24">
        <f t="shared" si="58"/>
        <v>0</v>
      </c>
      <c r="O98" s="24">
        <v>0</v>
      </c>
      <c r="P98" s="24">
        <f t="shared" si="88"/>
        <v>0</v>
      </c>
      <c r="Q98" s="24">
        <f t="shared" si="84"/>
        <v>0</v>
      </c>
      <c r="R98" s="24">
        <f t="shared" si="65"/>
        <v>0</v>
      </c>
      <c r="S98" s="24">
        <f t="shared" si="74"/>
        <v>0</v>
      </c>
      <c r="T98" s="24"/>
      <c r="U98" s="36">
        <f t="shared" si="80"/>
        <v>0</v>
      </c>
      <c r="V98" s="36">
        <f t="shared" si="67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49"/>
        <v>0</v>
      </c>
      <c r="Y98" s="57">
        <f t="shared" si="46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1"/>
        <v>0</v>
      </c>
      <c r="AN98" s="57">
        <f t="shared" si="50"/>
        <v>63056</v>
      </c>
      <c r="AO98" s="130">
        <f t="shared" si="68"/>
        <v>0</v>
      </c>
      <c r="AP98" s="109">
        <f t="shared" si="81"/>
        <v>90</v>
      </c>
      <c r="AQ98" s="110">
        <f t="shared" si="59"/>
        <v>47182</v>
      </c>
      <c r="AR98" s="177">
        <f t="shared" si="53"/>
        <v>0.14899999999999999</v>
      </c>
      <c r="AS98" s="105">
        <f t="shared" si="69"/>
        <v>0</v>
      </c>
      <c r="AT98" s="105">
        <f t="shared" si="75"/>
        <v>0</v>
      </c>
      <c r="AU98" s="105">
        <f t="shared" si="76"/>
        <v>0</v>
      </c>
      <c r="AV98" s="105">
        <f t="shared" si="71"/>
        <v>0</v>
      </c>
      <c r="AW98" s="105">
        <f t="shared" si="61"/>
        <v>0</v>
      </c>
      <c r="AX98" s="105">
        <v>0</v>
      </c>
      <c r="AY98" s="105">
        <f t="shared" si="89"/>
        <v>0</v>
      </c>
      <c r="AZ98" s="105">
        <f t="shared" si="87"/>
        <v>0</v>
      </c>
      <c r="BA98" s="105">
        <f t="shared" si="86"/>
        <v>0</v>
      </c>
      <c r="BB98" s="105"/>
      <c r="BC98" s="105"/>
      <c r="BD98" s="105"/>
      <c r="BE98" s="105"/>
      <c r="BF98" s="105"/>
      <c r="BG98" s="105">
        <f t="shared" si="72"/>
        <v>0</v>
      </c>
      <c r="BH98" s="108">
        <f t="shared" si="82"/>
        <v>0</v>
      </c>
      <c r="BI98" s="108">
        <f t="shared" si="77"/>
        <v>0</v>
      </c>
      <c r="BJ98" s="22">
        <f t="shared" si="78"/>
        <v>47182</v>
      </c>
      <c r="BK98" s="108">
        <f t="shared" si="6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79"/>
        <v>91</v>
      </c>
      <c r="H99" s="111">
        <f t="shared" si="57"/>
        <v>47213</v>
      </c>
      <c r="I99" s="176">
        <f t="shared" si="54"/>
        <v>0.10899999999999999</v>
      </c>
      <c r="J99" s="24">
        <f t="shared" si="63"/>
        <v>0</v>
      </c>
      <c r="K99" s="242">
        <f t="shared" si="52"/>
        <v>0</v>
      </c>
      <c r="L99" s="24">
        <f t="shared" si="85"/>
        <v>0</v>
      </c>
      <c r="M99" s="24">
        <f t="shared" si="73"/>
        <v>0</v>
      </c>
      <c r="N99" s="24">
        <f t="shared" si="58"/>
        <v>0</v>
      </c>
      <c r="O99" s="24">
        <v>0</v>
      </c>
      <c r="P99" s="24">
        <f t="shared" si="88"/>
        <v>0</v>
      </c>
      <c r="Q99" s="24">
        <f t="shared" si="84"/>
        <v>0</v>
      </c>
      <c r="R99" s="24">
        <f t="shared" si="65"/>
        <v>0</v>
      </c>
      <c r="S99" s="24">
        <f t="shared" si="74"/>
        <v>0</v>
      </c>
      <c r="T99" s="24"/>
      <c r="U99" s="36">
        <f t="shared" si="80"/>
        <v>0</v>
      </c>
      <c r="V99" s="36">
        <f t="shared" si="67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49"/>
        <v>0</v>
      </c>
      <c r="Y99" s="57">
        <f t="shared" si="46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1"/>
        <v>0</v>
      </c>
      <c r="AN99" s="57">
        <f t="shared" si="50"/>
        <v>63421</v>
      </c>
      <c r="AO99" s="130">
        <f t="shared" si="68"/>
        <v>0</v>
      </c>
      <c r="AP99" s="109">
        <f t="shared" si="81"/>
        <v>91</v>
      </c>
      <c r="AQ99" s="110">
        <f t="shared" si="59"/>
        <v>47213</v>
      </c>
      <c r="AR99" s="177">
        <f t="shared" si="53"/>
        <v>0.14899999999999999</v>
      </c>
      <c r="AS99" s="105">
        <f t="shared" si="69"/>
        <v>0</v>
      </c>
      <c r="AT99" s="105">
        <f t="shared" si="75"/>
        <v>0</v>
      </c>
      <c r="AU99" s="105">
        <f t="shared" si="76"/>
        <v>0</v>
      </c>
      <c r="AV99" s="105">
        <f t="shared" si="71"/>
        <v>0</v>
      </c>
      <c r="AW99" s="105">
        <f t="shared" si="61"/>
        <v>0</v>
      </c>
      <c r="AX99" s="105">
        <v>0</v>
      </c>
      <c r="AY99" s="105">
        <f t="shared" si="89"/>
        <v>0</v>
      </c>
      <c r="AZ99" s="105">
        <f t="shared" si="87"/>
        <v>0</v>
      </c>
      <c r="BA99" s="105">
        <f t="shared" si="86"/>
        <v>0</v>
      </c>
      <c r="BB99" s="105"/>
      <c r="BC99" s="105"/>
      <c r="BD99" s="105"/>
      <c r="BE99" s="105"/>
      <c r="BF99" s="105"/>
      <c r="BG99" s="105">
        <f t="shared" si="72"/>
        <v>0</v>
      </c>
      <c r="BH99" s="108">
        <f t="shared" si="82"/>
        <v>0</v>
      </c>
      <c r="BI99" s="108">
        <f t="shared" si="77"/>
        <v>0</v>
      </c>
      <c r="BJ99" s="22">
        <f t="shared" si="78"/>
        <v>47213</v>
      </c>
      <c r="BK99" s="108">
        <f t="shared" si="6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79"/>
        <v>92</v>
      </c>
      <c r="H100" s="111">
        <f t="shared" si="57"/>
        <v>47243</v>
      </c>
      <c r="I100" s="176">
        <f t="shared" si="54"/>
        <v>0.10899999999999999</v>
      </c>
      <c r="J100" s="24">
        <f t="shared" si="63"/>
        <v>0</v>
      </c>
      <c r="K100" s="242">
        <f t="shared" si="52"/>
        <v>0</v>
      </c>
      <c r="L100" s="24">
        <f t="shared" si="85"/>
        <v>0</v>
      </c>
      <c r="M100" s="24">
        <f t="shared" si="73"/>
        <v>0</v>
      </c>
      <c r="N100" s="24">
        <f t="shared" si="58"/>
        <v>0</v>
      </c>
      <c r="O100" s="24">
        <v>0</v>
      </c>
      <c r="P100" s="24">
        <f t="shared" si="88"/>
        <v>0</v>
      </c>
      <c r="Q100" s="24">
        <f t="shared" si="84"/>
        <v>0</v>
      </c>
      <c r="R100" s="24">
        <f t="shared" si="65"/>
        <v>0</v>
      </c>
      <c r="S100" s="24">
        <f t="shared" si="74"/>
        <v>0</v>
      </c>
      <c r="T100" s="24"/>
      <c r="U100" s="36">
        <f t="shared" si="80"/>
        <v>0</v>
      </c>
      <c r="V100" s="36">
        <f t="shared" si="67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49"/>
        <v>0</v>
      </c>
      <c r="Y100" s="57">
        <f t="shared" si="46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1"/>
        <v>0</v>
      </c>
      <c r="AN100" s="57">
        <f t="shared" si="50"/>
        <v>63786</v>
      </c>
      <c r="AO100" s="130">
        <f t="shared" si="68"/>
        <v>0</v>
      </c>
      <c r="AP100" s="109">
        <f t="shared" si="81"/>
        <v>92</v>
      </c>
      <c r="AQ100" s="110">
        <f t="shared" si="59"/>
        <v>47243</v>
      </c>
      <c r="AR100" s="177">
        <f t="shared" si="53"/>
        <v>0.14899999999999999</v>
      </c>
      <c r="AS100" s="105">
        <f t="shared" si="69"/>
        <v>0</v>
      </c>
      <c r="AT100" s="105">
        <f t="shared" si="75"/>
        <v>0</v>
      </c>
      <c r="AU100" s="105">
        <f t="shared" si="76"/>
        <v>0</v>
      </c>
      <c r="AV100" s="105">
        <f t="shared" si="71"/>
        <v>0</v>
      </c>
      <c r="AW100" s="105">
        <f t="shared" si="61"/>
        <v>0</v>
      </c>
      <c r="AX100" s="105">
        <v>0</v>
      </c>
      <c r="AY100" s="105">
        <f t="shared" si="89"/>
        <v>0</v>
      </c>
      <c r="AZ100" s="105">
        <f t="shared" si="87"/>
        <v>0</v>
      </c>
      <c r="BA100" s="105">
        <f t="shared" si="86"/>
        <v>0</v>
      </c>
      <c r="BB100" s="105"/>
      <c r="BC100" s="105"/>
      <c r="BD100" s="105"/>
      <c r="BE100" s="105"/>
      <c r="BF100" s="105"/>
      <c r="BG100" s="105">
        <f t="shared" si="72"/>
        <v>0</v>
      </c>
      <c r="BH100" s="108">
        <f t="shared" si="82"/>
        <v>0</v>
      </c>
      <c r="BI100" s="108">
        <f t="shared" si="77"/>
        <v>0</v>
      </c>
      <c r="BJ100" s="22">
        <f t="shared" si="78"/>
        <v>47243</v>
      </c>
      <c r="BK100" s="108">
        <f t="shared" si="6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79"/>
        <v>93</v>
      </c>
      <c r="H101" s="111">
        <f t="shared" si="57"/>
        <v>47274</v>
      </c>
      <c r="I101" s="176">
        <f t="shared" si="54"/>
        <v>0.10899999999999999</v>
      </c>
      <c r="J101" s="24">
        <f t="shared" si="63"/>
        <v>0</v>
      </c>
      <c r="K101" s="242">
        <f t="shared" si="52"/>
        <v>0</v>
      </c>
      <c r="L101" s="24">
        <f t="shared" si="85"/>
        <v>0</v>
      </c>
      <c r="M101" s="24">
        <f t="shared" si="73"/>
        <v>0</v>
      </c>
      <c r="N101" s="24">
        <f t="shared" si="58"/>
        <v>0</v>
      </c>
      <c r="O101" s="24">
        <v>0</v>
      </c>
      <c r="P101" s="24">
        <f t="shared" si="88"/>
        <v>0</v>
      </c>
      <c r="Q101" s="24">
        <f t="shared" si="84"/>
        <v>0</v>
      </c>
      <c r="R101" s="24">
        <f t="shared" si="65"/>
        <v>0</v>
      </c>
      <c r="S101" s="24">
        <f t="shared" si="74"/>
        <v>0</v>
      </c>
      <c r="T101" s="24"/>
      <c r="U101" s="36">
        <f t="shared" si="80"/>
        <v>0</v>
      </c>
      <c r="V101" s="36">
        <f t="shared" si="67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49"/>
        <v>0</v>
      </c>
      <c r="Y101" s="57">
        <f t="shared" si="46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1"/>
        <v>0</v>
      </c>
      <c r="AN101" s="57">
        <f t="shared" si="50"/>
        <v>64151</v>
      </c>
      <c r="AO101" s="130">
        <f t="shared" si="68"/>
        <v>0</v>
      </c>
      <c r="AP101" s="109">
        <f t="shared" si="81"/>
        <v>93</v>
      </c>
      <c r="AQ101" s="110">
        <f t="shared" si="59"/>
        <v>47274</v>
      </c>
      <c r="AR101" s="177">
        <f t="shared" si="53"/>
        <v>0.14899999999999999</v>
      </c>
      <c r="AS101" s="105">
        <f t="shared" si="69"/>
        <v>0</v>
      </c>
      <c r="AT101" s="105">
        <f t="shared" si="75"/>
        <v>0</v>
      </c>
      <c r="AU101" s="105">
        <f t="shared" si="76"/>
        <v>0</v>
      </c>
      <c r="AV101" s="105">
        <f t="shared" si="71"/>
        <v>0</v>
      </c>
      <c r="AW101" s="105">
        <f t="shared" si="61"/>
        <v>0</v>
      </c>
      <c r="AX101" s="105">
        <v>0</v>
      </c>
      <c r="AY101" s="105">
        <f t="shared" si="89"/>
        <v>0</v>
      </c>
      <c r="AZ101" s="105">
        <f t="shared" si="87"/>
        <v>0</v>
      </c>
      <c r="BA101" s="105">
        <f t="shared" si="86"/>
        <v>0</v>
      </c>
      <c r="BB101" s="105"/>
      <c r="BC101" s="105"/>
      <c r="BD101" s="105"/>
      <c r="BE101" s="105"/>
      <c r="BF101" s="105"/>
      <c r="BG101" s="105">
        <f t="shared" si="72"/>
        <v>0</v>
      </c>
      <c r="BH101" s="108">
        <f t="shared" si="82"/>
        <v>0</v>
      </c>
      <c r="BI101" s="108">
        <f t="shared" si="77"/>
        <v>0</v>
      </c>
      <c r="BJ101" s="22">
        <f t="shared" si="78"/>
        <v>47274</v>
      </c>
      <c r="BK101" s="108">
        <f t="shared" si="6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79"/>
        <v>94</v>
      </c>
      <c r="H102" s="111">
        <f t="shared" si="57"/>
        <v>47304</v>
      </c>
      <c r="I102" s="176">
        <f t="shared" si="54"/>
        <v>0.10899999999999999</v>
      </c>
      <c r="J102" s="24">
        <f t="shared" si="63"/>
        <v>0</v>
      </c>
      <c r="K102" s="242">
        <f t="shared" si="52"/>
        <v>0</v>
      </c>
      <c r="L102" s="24">
        <f t="shared" si="85"/>
        <v>0</v>
      </c>
      <c r="M102" s="24">
        <f t="shared" si="73"/>
        <v>0</v>
      </c>
      <c r="N102" s="24">
        <f t="shared" si="58"/>
        <v>0</v>
      </c>
      <c r="O102" s="24">
        <v>0</v>
      </c>
      <c r="P102" s="24">
        <f t="shared" si="88"/>
        <v>0</v>
      </c>
      <c r="Q102" s="24">
        <f t="shared" si="84"/>
        <v>0</v>
      </c>
      <c r="R102" s="24">
        <f t="shared" si="65"/>
        <v>0</v>
      </c>
      <c r="S102" s="24">
        <f t="shared" si="74"/>
        <v>0</v>
      </c>
      <c r="T102" s="24"/>
      <c r="U102" s="36">
        <f t="shared" si="80"/>
        <v>0</v>
      </c>
      <c r="V102" s="36">
        <f t="shared" si="67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49"/>
        <v>0</v>
      </c>
      <c r="Y102" s="57">
        <f t="shared" si="46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1"/>
        <v>0</v>
      </c>
      <c r="AN102" s="57">
        <f t="shared" si="50"/>
        <v>64516</v>
      </c>
      <c r="AO102" s="130">
        <f t="shared" si="68"/>
        <v>0</v>
      </c>
      <c r="AP102" s="109">
        <f t="shared" si="81"/>
        <v>94</v>
      </c>
      <c r="AQ102" s="110">
        <f t="shared" si="59"/>
        <v>47304</v>
      </c>
      <c r="AR102" s="177">
        <f t="shared" si="53"/>
        <v>0.14899999999999999</v>
      </c>
      <c r="AS102" s="105">
        <f t="shared" si="69"/>
        <v>0</v>
      </c>
      <c r="AT102" s="105">
        <f t="shared" si="75"/>
        <v>0</v>
      </c>
      <c r="AU102" s="105">
        <f t="shared" si="76"/>
        <v>0</v>
      </c>
      <c r="AV102" s="105">
        <f t="shared" si="71"/>
        <v>0</v>
      </c>
      <c r="AW102" s="105">
        <f t="shared" si="61"/>
        <v>0</v>
      </c>
      <c r="AX102" s="105">
        <v>0</v>
      </c>
      <c r="AY102" s="105">
        <f t="shared" si="89"/>
        <v>0</v>
      </c>
      <c r="AZ102" s="105">
        <f t="shared" si="87"/>
        <v>0</v>
      </c>
      <c r="BA102" s="105">
        <f t="shared" si="86"/>
        <v>0</v>
      </c>
      <c r="BB102" s="105"/>
      <c r="BC102" s="105"/>
      <c r="BD102" s="105"/>
      <c r="BE102" s="105"/>
      <c r="BF102" s="105"/>
      <c r="BG102" s="105">
        <f t="shared" si="72"/>
        <v>0</v>
      </c>
      <c r="BH102" s="108">
        <f t="shared" si="82"/>
        <v>0</v>
      </c>
      <c r="BI102" s="108">
        <f t="shared" si="77"/>
        <v>0</v>
      </c>
      <c r="BJ102" s="22">
        <f t="shared" si="78"/>
        <v>47304</v>
      </c>
      <c r="BK102" s="108">
        <f t="shared" si="6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79"/>
        <v>95</v>
      </c>
      <c r="H103" s="111">
        <f t="shared" si="57"/>
        <v>47335</v>
      </c>
      <c r="I103" s="176">
        <f t="shared" si="54"/>
        <v>0.10899999999999999</v>
      </c>
      <c r="J103" s="24">
        <f t="shared" si="63"/>
        <v>0</v>
      </c>
      <c r="K103" s="242">
        <f t="shared" si="52"/>
        <v>0</v>
      </c>
      <c r="L103" s="24">
        <f t="shared" si="85"/>
        <v>0</v>
      </c>
      <c r="M103" s="24">
        <f t="shared" si="73"/>
        <v>0</v>
      </c>
      <c r="N103" s="24">
        <f t="shared" si="58"/>
        <v>0</v>
      </c>
      <c r="O103" s="24">
        <v>0</v>
      </c>
      <c r="P103" s="24">
        <f t="shared" si="88"/>
        <v>0</v>
      </c>
      <c r="Q103" s="24">
        <f t="shared" si="84"/>
        <v>0</v>
      </c>
      <c r="R103" s="24">
        <f t="shared" si="65"/>
        <v>0</v>
      </c>
      <c r="S103" s="24">
        <f t="shared" si="74"/>
        <v>0</v>
      </c>
      <c r="T103" s="24"/>
      <c r="U103" s="36">
        <f t="shared" si="80"/>
        <v>0</v>
      </c>
      <c r="V103" s="36">
        <f t="shared" si="67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49"/>
        <v>0</v>
      </c>
      <c r="Y103" s="57">
        <f t="shared" si="46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1"/>
        <v>0</v>
      </c>
      <c r="AN103" s="57">
        <f t="shared" si="50"/>
        <v>64881</v>
      </c>
      <c r="AO103" s="130">
        <f t="shared" si="68"/>
        <v>0</v>
      </c>
      <c r="AP103" s="109">
        <f t="shared" si="81"/>
        <v>95</v>
      </c>
      <c r="AQ103" s="110">
        <f t="shared" si="59"/>
        <v>47335</v>
      </c>
      <c r="AR103" s="177">
        <f t="shared" si="53"/>
        <v>0.14899999999999999</v>
      </c>
      <c r="AS103" s="105">
        <f t="shared" si="69"/>
        <v>0</v>
      </c>
      <c r="AT103" s="105">
        <f t="shared" si="75"/>
        <v>0</v>
      </c>
      <c r="AU103" s="105">
        <f t="shared" si="76"/>
        <v>0</v>
      </c>
      <c r="AV103" s="105">
        <f t="shared" si="71"/>
        <v>0</v>
      </c>
      <c r="AW103" s="105">
        <f t="shared" si="61"/>
        <v>0</v>
      </c>
      <c r="AX103" s="105">
        <v>0</v>
      </c>
      <c r="AY103" s="105">
        <f t="shared" si="89"/>
        <v>0</v>
      </c>
      <c r="AZ103" s="105">
        <f t="shared" si="87"/>
        <v>0</v>
      </c>
      <c r="BA103" s="105">
        <f t="shared" si="86"/>
        <v>0</v>
      </c>
      <c r="BB103" s="105"/>
      <c r="BC103" s="105"/>
      <c r="BD103" s="105"/>
      <c r="BE103" s="105"/>
      <c r="BF103" s="105"/>
      <c r="BG103" s="105">
        <f t="shared" si="72"/>
        <v>0</v>
      </c>
      <c r="BH103" s="108">
        <f t="shared" si="82"/>
        <v>0</v>
      </c>
      <c r="BI103" s="108">
        <f t="shared" si="77"/>
        <v>0</v>
      </c>
      <c r="BJ103" s="22">
        <f t="shared" si="78"/>
        <v>47335</v>
      </c>
      <c r="BK103" s="108">
        <f t="shared" si="6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79"/>
        <v>96</v>
      </c>
      <c r="H104" s="111">
        <f t="shared" si="57"/>
        <v>47366</v>
      </c>
      <c r="I104" s="176">
        <f t="shared" si="54"/>
        <v>0.10899999999999999</v>
      </c>
      <c r="J104" s="24">
        <f t="shared" si="63"/>
        <v>0</v>
      </c>
      <c r="K104" s="242">
        <f t="shared" si="52"/>
        <v>0</v>
      </c>
      <c r="L104" s="24">
        <f t="shared" si="85"/>
        <v>0</v>
      </c>
      <c r="M104" s="24">
        <f t="shared" si="73"/>
        <v>0</v>
      </c>
      <c r="N104" s="24">
        <f t="shared" si="58"/>
        <v>0</v>
      </c>
      <c r="O104" s="24">
        <v>0</v>
      </c>
      <c r="P104" s="24">
        <f t="shared" si="88"/>
        <v>0</v>
      </c>
      <c r="Q104" s="24">
        <f t="shared" si="84"/>
        <v>0</v>
      </c>
      <c r="R104" s="24">
        <f t="shared" si="65"/>
        <v>0</v>
      </c>
      <c r="S104" s="24">
        <f t="shared" si="74"/>
        <v>0</v>
      </c>
      <c r="T104" s="24"/>
      <c r="U104" s="36">
        <f t="shared" si="80"/>
        <v>0</v>
      </c>
      <c r="V104" s="36">
        <f t="shared" si="67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49"/>
        <v>0</v>
      </c>
      <c r="Y104" s="57">
        <f t="shared" si="46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1"/>
        <v>0</v>
      </c>
      <c r="AN104" s="57">
        <f t="shared" si="50"/>
        <v>65246</v>
      </c>
      <c r="AO104" s="130">
        <f t="shared" si="68"/>
        <v>0</v>
      </c>
      <c r="AP104" s="109">
        <f t="shared" si="81"/>
        <v>96</v>
      </c>
      <c r="AQ104" s="110">
        <f t="shared" si="59"/>
        <v>47366</v>
      </c>
      <c r="AR104" s="177">
        <f t="shared" si="53"/>
        <v>0.14899999999999999</v>
      </c>
      <c r="AS104" s="105">
        <f t="shared" si="69"/>
        <v>0</v>
      </c>
      <c r="AT104" s="105">
        <f t="shared" si="75"/>
        <v>0</v>
      </c>
      <c r="AU104" s="105">
        <f t="shared" si="76"/>
        <v>0</v>
      </c>
      <c r="AV104" s="105">
        <f t="shared" si="71"/>
        <v>0</v>
      </c>
      <c r="AW104" s="105">
        <f t="shared" si="61"/>
        <v>0</v>
      </c>
      <c r="AX104" s="105">
        <v>0</v>
      </c>
      <c r="AY104" s="105">
        <f t="shared" si="89"/>
        <v>0</v>
      </c>
      <c r="AZ104" s="105">
        <f t="shared" si="87"/>
        <v>0</v>
      </c>
      <c r="BA104" s="105">
        <f t="shared" si="86"/>
        <v>0</v>
      </c>
      <c r="BB104" s="105"/>
      <c r="BC104" s="105"/>
      <c r="BD104" s="105"/>
      <c r="BE104" s="105"/>
      <c r="BF104" s="105"/>
      <c r="BG104" s="105">
        <f t="shared" si="72"/>
        <v>0</v>
      </c>
      <c r="BH104" s="108">
        <f t="shared" si="82"/>
        <v>0</v>
      </c>
      <c r="BI104" s="108">
        <f t="shared" si="77"/>
        <v>0</v>
      </c>
      <c r="BJ104" s="22">
        <f t="shared" si="78"/>
        <v>47366</v>
      </c>
      <c r="BK104" s="108">
        <f t="shared" si="6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79"/>
        <v>97</v>
      </c>
      <c r="H105" s="111">
        <f t="shared" si="57"/>
        <v>47396</v>
      </c>
      <c r="I105" s="176">
        <f t="shared" si="54"/>
        <v>0.10899999999999999</v>
      </c>
      <c r="J105" s="24">
        <f t="shared" si="63"/>
        <v>0</v>
      </c>
      <c r="K105" s="242">
        <f t="shared" si="52"/>
        <v>0</v>
      </c>
      <c r="L105" s="24">
        <f t="shared" si="85"/>
        <v>0</v>
      </c>
      <c r="M105" s="24">
        <f t="shared" si="73"/>
        <v>0</v>
      </c>
      <c r="N105" s="24">
        <f t="shared" si="58"/>
        <v>0</v>
      </c>
      <c r="O105" s="24">
        <v>0</v>
      </c>
      <c r="P105" s="24">
        <f t="shared" si="88"/>
        <v>0</v>
      </c>
      <c r="Q105" s="24">
        <f t="shared" si="84"/>
        <v>0</v>
      </c>
      <c r="R105" s="24">
        <f t="shared" si="65"/>
        <v>0</v>
      </c>
      <c r="S105" s="24">
        <f t="shared" si="74"/>
        <v>0</v>
      </c>
      <c r="T105" s="24"/>
      <c r="U105" s="36">
        <f t="shared" si="80"/>
        <v>0</v>
      </c>
      <c r="V105" s="36">
        <f t="shared" si="67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49"/>
        <v>0</v>
      </c>
      <c r="Y105" s="57">
        <f t="shared" si="46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1"/>
        <v>0</v>
      </c>
      <c r="AN105" s="57">
        <f t="shared" si="50"/>
        <v>65611</v>
      </c>
      <c r="AO105" s="130">
        <f t="shared" si="68"/>
        <v>0</v>
      </c>
      <c r="AP105" s="109">
        <f t="shared" si="81"/>
        <v>97</v>
      </c>
      <c r="AQ105" s="110">
        <f t="shared" si="59"/>
        <v>47396</v>
      </c>
      <c r="AR105" s="177">
        <f t="shared" si="53"/>
        <v>0.14899999999999999</v>
      </c>
      <c r="AS105" s="105">
        <f t="shared" si="69"/>
        <v>0</v>
      </c>
      <c r="AT105" s="105">
        <f t="shared" si="75"/>
        <v>0</v>
      </c>
      <c r="AU105" s="105">
        <f t="shared" si="76"/>
        <v>0</v>
      </c>
      <c r="AV105" s="105">
        <f t="shared" si="71"/>
        <v>0</v>
      </c>
      <c r="AW105" s="105">
        <f t="shared" si="61"/>
        <v>0</v>
      </c>
      <c r="AX105" s="105">
        <v>0</v>
      </c>
      <c r="AY105" s="105">
        <f t="shared" si="89"/>
        <v>0</v>
      </c>
      <c r="AZ105" s="105">
        <f t="shared" si="87"/>
        <v>0</v>
      </c>
      <c r="BA105" s="105">
        <f t="shared" si="86"/>
        <v>0</v>
      </c>
      <c r="BB105" s="105"/>
      <c r="BC105" s="105"/>
      <c r="BD105" s="105"/>
      <c r="BE105" s="105"/>
      <c r="BF105" s="105"/>
      <c r="BG105" s="105">
        <f t="shared" si="72"/>
        <v>0</v>
      </c>
      <c r="BH105" s="108">
        <f t="shared" si="82"/>
        <v>0</v>
      </c>
      <c r="BI105" s="108">
        <f t="shared" si="77"/>
        <v>0</v>
      </c>
      <c r="BJ105" s="22">
        <f t="shared" si="78"/>
        <v>47396</v>
      </c>
      <c r="BK105" s="108">
        <f t="shared" si="6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79"/>
        <v>98</v>
      </c>
      <c r="H106" s="111">
        <f t="shared" si="57"/>
        <v>47427</v>
      </c>
      <c r="I106" s="176">
        <f t="shared" si="54"/>
        <v>0.10899999999999999</v>
      </c>
      <c r="J106" s="24">
        <f t="shared" si="63"/>
        <v>0</v>
      </c>
      <c r="K106" s="242">
        <f t="shared" si="52"/>
        <v>0</v>
      </c>
      <c r="L106" s="24">
        <f t="shared" si="85"/>
        <v>0</v>
      </c>
      <c r="M106" s="24">
        <f t="shared" si="73"/>
        <v>0</v>
      </c>
      <c r="N106" s="24">
        <f t="shared" si="58"/>
        <v>0</v>
      </c>
      <c r="O106" s="24">
        <v>0</v>
      </c>
      <c r="P106" s="24">
        <f t="shared" si="88"/>
        <v>0</v>
      </c>
      <c r="Q106" s="24">
        <f t="shared" si="84"/>
        <v>0</v>
      </c>
      <c r="R106" s="24">
        <f t="shared" si="65"/>
        <v>0</v>
      </c>
      <c r="S106" s="24">
        <f t="shared" si="74"/>
        <v>0</v>
      </c>
      <c r="T106" s="24"/>
      <c r="U106" s="36">
        <f t="shared" si="80"/>
        <v>0</v>
      </c>
      <c r="V106" s="36">
        <f t="shared" si="67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49"/>
        <v>0</v>
      </c>
      <c r="Y106" s="57">
        <f t="shared" si="46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1"/>
        <v>0</v>
      </c>
      <c r="AN106" s="57">
        <f t="shared" si="50"/>
        <v>65976</v>
      </c>
      <c r="AO106" s="130">
        <f t="shared" si="68"/>
        <v>0</v>
      </c>
      <c r="AP106" s="109">
        <f t="shared" si="81"/>
        <v>98</v>
      </c>
      <c r="AQ106" s="110">
        <f t="shared" si="59"/>
        <v>47427</v>
      </c>
      <c r="AR106" s="177">
        <f t="shared" si="53"/>
        <v>0.14899999999999999</v>
      </c>
      <c r="AS106" s="105">
        <f t="shared" si="69"/>
        <v>0</v>
      </c>
      <c r="AT106" s="105">
        <f t="shared" si="75"/>
        <v>0</v>
      </c>
      <c r="AU106" s="105">
        <f t="shared" si="76"/>
        <v>0</v>
      </c>
      <c r="AV106" s="105">
        <f t="shared" si="71"/>
        <v>0</v>
      </c>
      <c r="AW106" s="105">
        <f t="shared" si="61"/>
        <v>0</v>
      </c>
      <c r="AX106" s="105">
        <v>0</v>
      </c>
      <c r="AY106" s="105">
        <f t="shared" si="89"/>
        <v>0</v>
      </c>
      <c r="AZ106" s="105">
        <f t="shared" si="87"/>
        <v>0</v>
      </c>
      <c r="BA106" s="105">
        <f t="shared" si="86"/>
        <v>0</v>
      </c>
      <c r="BB106" s="105"/>
      <c r="BC106" s="105"/>
      <c r="BD106" s="105"/>
      <c r="BE106" s="105"/>
      <c r="BF106" s="105"/>
      <c r="BG106" s="105">
        <f t="shared" si="72"/>
        <v>0</v>
      </c>
      <c r="BH106" s="108">
        <f t="shared" si="82"/>
        <v>0</v>
      </c>
      <c r="BI106" s="108">
        <f t="shared" si="77"/>
        <v>0</v>
      </c>
      <c r="BJ106" s="22">
        <f t="shared" si="78"/>
        <v>47427</v>
      </c>
      <c r="BK106" s="108">
        <f t="shared" si="6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79"/>
        <v>99</v>
      </c>
      <c r="H107" s="111">
        <f t="shared" si="57"/>
        <v>47457</v>
      </c>
      <c r="I107" s="176">
        <f t="shared" si="54"/>
        <v>0.10899999999999999</v>
      </c>
      <c r="J107" s="24">
        <f t="shared" si="63"/>
        <v>0</v>
      </c>
      <c r="K107" s="242">
        <f t="shared" si="52"/>
        <v>0</v>
      </c>
      <c r="L107" s="24">
        <f t="shared" si="85"/>
        <v>0</v>
      </c>
      <c r="M107" s="24">
        <f t="shared" si="73"/>
        <v>0</v>
      </c>
      <c r="N107" s="24">
        <f t="shared" si="58"/>
        <v>0</v>
      </c>
      <c r="O107" s="24">
        <v>0</v>
      </c>
      <c r="P107" s="24">
        <f t="shared" si="88"/>
        <v>0</v>
      </c>
      <c r="Q107" s="24">
        <f t="shared" si="84"/>
        <v>0</v>
      </c>
      <c r="R107" s="24">
        <f t="shared" si="65"/>
        <v>0</v>
      </c>
      <c r="S107" s="24">
        <f t="shared" si="74"/>
        <v>0</v>
      </c>
      <c r="T107" s="24"/>
      <c r="U107" s="36">
        <f t="shared" si="80"/>
        <v>0</v>
      </c>
      <c r="V107" s="36">
        <f t="shared" si="67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49"/>
        <v>0</v>
      </c>
      <c r="Y107" s="57">
        <f t="shared" si="46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1"/>
        <v>0</v>
      </c>
      <c r="AN107" s="57">
        <f t="shared" si="50"/>
        <v>66341</v>
      </c>
      <c r="AO107" s="130">
        <f t="shared" si="68"/>
        <v>0</v>
      </c>
      <c r="AP107" s="109">
        <f t="shared" si="81"/>
        <v>99</v>
      </c>
      <c r="AQ107" s="110">
        <f t="shared" si="59"/>
        <v>47457</v>
      </c>
      <c r="AR107" s="177">
        <f t="shared" si="53"/>
        <v>0.14899999999999999</v>
      </c>
      <c r="AS107" s="105">
        <f t="shared" si="69"/>
        <v>0</v>
      </c>
      <c r="AT107" s="105">
        <f t="shared" si="75"/>
        <v>0</v>
      </c>
      <c r="AU107" s="105">
        <f t="shared" si="76"/>
        <v>0</v>
      </c>
      <c r="AV107" s="105">
        <f t="shared" si="71"/>
        <v>0</v>
      </c>
      <c r="AW107" s="105">
        <f t="shared" si="61"/>
        <v>0</v>
      </c>
      <c r="AX107" s="105">
        <v>0</v>
      </c>
      <c r="AY107" s="105">
        <f t="shared" si="89"/>
        <v>0</v>
      </c>
      <c r="AZ107" s="105">
        <f t="shared" si="87"/>
        <v>0</v>
      </c>
      <c r="BA107" s="105">
        <f t="shared" si="86"/>
        <v>0</v>
      </c>
      <c r="BB107" s="105"/>
      <c r="BC107" s="105"/>
      <c r="BD107" s="105"/>
      <c r="BE107" s="105"/>
      <c r="BF107" s="105"/>
      <c r="BG107" s="105">
        <f t="shared" si="72"/>
        <v>0</v>
      </c>
      <c r="BH107" s="108">
        <f t="shared" si="82"/>
        <v>0</v>
      </c>
      <c r="BI107" s="108">
        <f t="shared" si="77"/>
        <v>0</v>
      </c>
      <c r="BJ107" s="22">
        <f t="shared" si="78"/>
        <v>47457</v>
      </c>
      <c r="BK107" s="108">
        <f t="shared" si="6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79"/>
        <v>100</v>
      </c>
      <c r="H108" s="111">
        <f t="shared" si="57"/>
        <v>47488</v>
      </c>
      <c r="I108" s="176">
        <f t="shared" si="54"/>
        <v>0.10899999999999999</v>
      </c>
      <c r="J108" s="24">
        <f t="shared" si="63"/>
        <v>0</v>
      </c>
      <c r="K108" s="242">
        <f t="shared" si="52"/>
        <v>0</v>
      </c>
      <c r="L108" s="24">
        <f t="shared" si="85"/>
        <v>0</v>
      </c>
      <c r="M108" s="24">
        <f t="shared" si="73"/>
        <v>0</v>
      </c>
      <c r="N108" s="24">
        <f t="shared" si="58"/>
        <v>0</v>
      </c>
      <c r="O108" s="24">
        <v>0</v>
      </c>
      <c r="P108" s="24">
        <f t="shared" si="88"/>
        <v>0</v>
      </c>
      <c r="Q108" s="24">
        <f t="shared" si="84"/>
        <v>0</v>
      </c>
      <c r="R108" s="24">
        <f t="shared" si="65"/>
        <v>0</v>
      </c>
      <c r="S108" s="24">
        <f t="shared" si="74"/>
        <v>0</v>
      </c>
      <c r="T108" s="24"/>
      <c r="U108" s="36">
        <f t="shared" si="8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49"/>
        <v>0</v>
      </c>
      <c r="Y108" s="57">
        <f t="shared" si="46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1"/>
        <v>0</v>
      </c>
      <c r="AN108" s="57">
        <f t="shared" si="50"/>
        <v>66706</v>
      </c>
      <c r="AO108" s="130">
        <f t="shared" si="68"/>
        <v>0</v>
      </c>
      <c r="AP108" s="109">
        <f t="shared" si="81"/>
        <v>100</v>
      </c>
      <c r="AQ108" s="110">
        <f t="shared" si="59"/>
        <v>47488</v>
      </c>
      <c r="AR108" s="177">
        <f t="shared" si="53"/>
        <v>0.14899999999999999</v>
      </c>
      <c r="AS108" s="105">
        <f t="shared" si="69"/>
        <v>0</v>
      </c>
      <c r="AT108" s="105">
        <f t="shared" si="75"/>
        <v>0</v>
      </c>
      <c r="AU108" s="105">
        <f t="shared" si="76"/>
        <v>0</v>
      </c>
      <c r="AV108" s="105">
        <f t="shared" si="71"/>
        <v>0</v>
      </c>
      <c r="AW108" s="105">
        <f t="shared" si="61"/>
        <v>0</v>
      </c>
      <c r="AX108" s="105">
        <v>0</v>
      </c>
      <c r="AY108" s="105">
        <f t="shared" si="89"/>
        <v>0</v>
      </c>
      <c r="AZ108" s="105">
        <f t="shared" si="87"/>
        <v>0</v>
      </c>
      <c r="BA108" s="105">
        <f t="shared" si="86"/>
        <v>0</v>
      </c>
      <c r="BB108" s="105"/>
      <c r="BC108" s="105"/>
      <c r="BD108" s="105"/>
      <c r="BE108" s="105"/>
      <c r="BF108" s="105"/>
      <c r="BG108" s="105">
        <f t="shared" si="72"/>
        <v>0</v>
      </c>
      <c r="BH108" s="108">
        <f t="shared" si="82"/>
        <v>0</v>
      </c>
      <c r="BI108" s="108">
        <f t="shared" si="77"/>
        <v>0</v>
      </c>
      <c r="BJ108" s="22">
        <f t="shared" si="78"/>
        <v>47488</v>
      </c>
      <c r="BK108" s="108">
        <f t="shared" si="6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435230.69000000006</v>
      </c>
      <c r="K109" s="30">
        <f>(SUM(K9:K108)-IF(CODE(C12)=209,AI51,0))</f>
        <v>393230.69000000006</v>
      </c>
      <c r="L109" s="30">
        <f t="shared" ref="L109:R109" si="90">SUM(L9:L108)</f>
        <v>57590.689999999988</v>
      </c>
      <c r="M109" s="30">
        <f t="shared" si="90"/>
        <v>335640</v>
      </c>
      <c r="N109" s="31">
        <f t="shared" si="90"/>
        <v>0</v>
      </c>
      <c r="O109" s="31">
        <f t="shared" si="90"/>
        <v>0</v>
      </c>
      <c r="P109" s="31">
        <f t="shared" si="90"/>
        <v>99590.69</v>
      </c>
      <c r="Q109" s="31">
        <f t="shared" si="90"/>
        <v>42000</v>
      </c>
      <c r="R109" s="31">
        <f t="shared" si="90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49"/>
        <v>0</v>
      </c>
      <c r="Y109" s="57">
        <f t="shared" ref="Y109:Y143" si="91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1"/>
        <v>0</v>
      </c>
      <c r="AN109" s="57">
        <f t="shared" si="50"/>
        <v>67071</v>
      </c>
      <c r="AO109" s="130"/>
      <c r="AP109" s="28"/>
      <c r="AQ109" s="29" t="s">
        <v>7</v>
      </c>
      <c r="AR109" s="29"/>
      <c r="AS109" s="30">
        <f>SUM(AS9:AS108)</f>
        <v>418680</v>
      </c>
      <c r="AT109" s="30">
        <f>(SUM(AT9:AT108)-IF(CODE(C12)=209,BX57,0))</f>
        <v>418680</v>
      </c>
      <c r="AU109" s="30">
        <f>SUM(AU9:AU108)</f>
        <v>83085.429999999993</v>
      </c>
      <c r="AV109" s="30">
        <f>SUM(AV9:AV108)</f>
        <v>335639.99999999994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2"/>
        <v>0</v>
      </c>
      <c r="BI109" s="108">
        <f t="shared" si="77"/>
        <v>0</v>
      </c>
      <c r="BJ109" s="22" t="str">
        <f t="shared" si="78"/>
        <v>Итого</v>
      </c>
      <c r="BK109" s="108">
        <f t="shared" si="62"/>
        <v>393230.69000000006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2">IF(K75 &gt; 0, K75, 0)</f>
        <v>0</v>
      </c>
      <c r="Y110" s="57">
        <f t="shared" si="91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1"/>
        <v>0</v>
      </c>
      <c r="AN110" s="57">
        <f t="shared" si="50"/>
        <v>67436</v>
      </c>
      <c r="AO110" s="130"/>
      <c r="BH110" s="108">
        <f t="shared" si="82"/>
        <v>0</v>
      </c>
      <c r="BI110" s="108">
        <f t="shared" si="77"/>
        <v>0</v>
      </c>
      <c r="BJ110" s="22">
        <f t="shared" si="78"/>
        <v>0</v>
      </c>
      <c r="BK110" s="108">
        <f t="shared" si="6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2"/>
        <v>0</v>
      </c>
      <c r="Y111" s="57">
        <f t="shared" si="91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1"/>
        <v>0</v>
      </c>
      <c r="AN111" s="57">
        <f t="shared" si="50"/>
        <v>67801</v>
      </c>
      <c r="AO111" s="130"/>
      <c r="BH111" s="108">
        <f t="shared" si="82"/>
        <v>0</v>
      </c>
      <c r="BI111" s="108">
        <f t="shared" si="77"/>
        <v>0</v>
      </c>
      <c r="BJ111" s="22">
        <f t="shared" si="78"/>
        <v>0</v>
      </c>
      <c r="BK111" s="108">
        <f t="shared" si="6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2"/>
        <v>0</v>
      </c>
      <c r="Y112" s="57">
        <f t="shared" si="91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1"/>
        <v>0</v>
      </c>
      <c r="AN112" s="57">
        <f t="shared" si="50"/>
        <v>68166</v>
      </c>
      <c r="AO112" s="130"/>
      <c r="BH112" s="108">
        <f t="shared" si="82"/>
        <v>0</v>
      </c>
      <c r="BI112" s="108">
        <f t="shared" si="77"/>
        <v>0</v>
      </c>
      <c r="BJ112" s="22">
        <f t="shared" si="78"/>
        <v>0</v>
      </c>
      <c r="BK112" s="108">
        <f t="shared" si="6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2"/>
        <v>0</v>
      </c>
      <c r="Y113" s="57">
        <f t="shared" si="91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1"/>
        <v>0</v>
      </c>
      <c r="AN113" s="57">
        <f t="shared" ref="AN113:AN147" si="93">AN112+365</f>
        <v>68531</v>
      </c>
      <c r="AO113" s="130"/>
      <c r="BH113" s="108">
        <f t="shared" si="82"/>
        <v>0</v>
      </c>
      <c r="BI113" s="108">
        <f t="shared" si="77"/>
        <v>0</v>
      </c>
      <c r="BJ113" s="22">
        <f t="shared" si="78"/>
        <v>0</v>
      </c>
      <c r="BK113" s="108">
        <f t="shared" si="6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2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4">AT75</f>
        <v>0</v>
      </c>
      <c r="AN114" s="57">
        <f t="shared" si="93"/>
        <v>68896</v>
      </c>
      <c r="AO114" s="130"/>
      <c r="BH114" s="108">
        <f t="shared" si="82"/>
        <v>0</v>
      </c>
      <c r="BI114" s="108">
        <f t="shared" si="77"/>
        <v>0</v>
      </c>
      <c r="BJ114" s="22">
        <f t="shared" si="78"/>
        <v>0</v>
      </c>
      <c r="BK114" s="108">
        <f t="shared" si="6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2"/>
        <v>0</v>
      </c>
      <c r="Y115" s="57">
        <f t="shared" si="91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4"/>
        <v>0</v>
      </c>
      <c r="AN115" s="57">
        <f t="shared" si="93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2"/>
        <v>0</v>
      </c>
      <c r="Y116" s="57">
        <f t="shared" si="91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4"/>
        <v>0</v>
      </c>
      <c r="AN116" s="57">
        <f t="shared" si="93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2"/>
        <v>0</v>
      </c>
      <c r="Y117" s="57">
        <f t="shared" si="91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4"/>
        <v>0</v>
      </c>
      <c r="AN117" s="57">
        <f t="shared" si="93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2"/>
        <v>0</v>
      </c>
      <c r="Y118" s="57">
        <f t="shared" si="91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4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2"/>
        <v>0</v>
      </c>
      <c r="Y119" s="57">
        <f t="shared" si="91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4"/>
        <v>0</v>
      </c>
      <c r="AN119" s="57">
        <f t="shared" si="93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2"/>
        <v>0</v>
      </c>
      <c r="Y120" s="57">
        <f t="shared" si="91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4"/>
        <v>0</v>
      </c>
      <c r="AN120" s="57">
        <f t="shared" si="93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2"/>
        <v>0</v>
      </c>
      <c r="Y121" s="57">
        <f t="shared" si="91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4"/>
        <v>0</v>
      </c>
      <c r="AN121" s="57">
        <f t="shared" si="93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2"/>
        <v>0</v>
      </c>
      <c r="Y122" s="57">
        <f t="shared" si="91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4"/>
        <v>0</v>
      </c>
      <c r="AN122" s="57">
        <f t="shared" si="93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2"/>
        <v>0</v>
      </c>
      <c r="Y123" s="57">
        <f t="shared" si="91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4"/>
        <v>0</v>
      </c>
      <c r="AN123" s="57">
        <f t="shared" si="93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2"/>
        <v>0</v>
      </c>
      <c r="Y124" s="57">
        <f t="shared" si="91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4"/>
        <v>0</v>
      </c>
      <c r="AN124" s="57">
        <f t="shared" si="93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2"/>
        <v>0</v>
      </c>
      <c r="Y125" s="57">
        <f t="shared" si="91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4"/>
        <v>0</v>
      </c>
      <c r="AN125" s="57">
        <f t="shared" si="93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2"/>
        <v>0</v>
      </c>
      <c r="Y126" s="57">
        <f t="shared" si="91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4"/>
        <v>0</v>
      </c>
      <c r="AN126" s="57">
        <f t="shared" si="93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2"/>
        <v>0</v>
      </c>
      <c r="Y127" s="57">
        <f t="shared" si="91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4"/>
        <v>0</v>
      </c>
      <c r="AN127" s="57">
        <f t="shared" si="93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2"/>
        <v>0</v>
      </c>
      <c r="Y128" s="57">
        <f t="shared" si="91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4"/>
        <v>0</v>
      </c>
      <c r="AN128" s="57">
        <f t="shared" si="93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2"/>
        <v>0</v>
      </c>
      <c r="Y129" s="57">
        <f t="shared" si="91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4"/>
        <v>0</v>
      </c>
      <c r="AN129" s="57">
        <f t="shared" si="93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2"/>
        <v>0</v>
      </c>
      <c r="Y130" s="57">
        <f t="shared" si="91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4"/>
        <v>0</v>
      </c>
      <c r="AN130" s="57">
        <f t="shared" si="93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2"/>
        <v>0</v>
      </c>
      <c r="Y131" s="57">
        <f t="shared" si="91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4"/>
        <v>0</v>
      </c>
      <c r="AN131" s="57">
        <f t="shared" si="93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2"/>
        <v>0</v>
      </c>
      <c r="Y132" s="57">
        <f t="shared" si="91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4"/>
        <v>0</v>
      </c>
      <c r="AN132" s="57">
        <f t="shared" si="93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2"/>
        <v>0</v>
      </c>
      <c r="Y133" s="57">
        <f t="shared" si="91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4"/>
        <v>0</v>
      </c>
      <c r="AN133" s="57">
        <f t="shared" si="93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2"/>
        <v>0</v>
      </c>
      <c r="Y134" s="57">
        <f t="shared" si="91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4"/>
        <v>0</v>
      </c>
      <c r="AN134" s="57">
        <f t="shared" si="93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2"/>
        <v>0</v>
      </c>
      <c r="Y135" s="57">
        <f t="shared" si="91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4"/>
        <v>0</v>
      </c>
      <c r="AN135" s="57">
        <f t="shared" si="93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2"/>
        <v>0</v>
      </c>
      <c r="Y136" s="57">
        <f t="shared" si="91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4"/>
        <v>0</v>
      </c>
      <c r="AN136" s="57">
        <f t="shared" si="93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2"/>
        <v>0</v>
      </c>
      <c r="Y137" s="57">
        <f t="shared" si="91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4"/>
        <v>0</v>
      </c>
      <c r="AN137" s="57">
        <f t="shared" si="93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2"/>
        <v>0</v>
      </c>
      <c r="Y138" s="57">
        <f t="shared" si="91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4"/>
        <v>0</v>
      </c>
      <c r="AN138" s="57">
        <f t="shared" si="93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2"/>
        <v>0</v>
      </c>
      <c r="Y139" s="57">
        <f t="shared" si="91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4"/>
        <v>0</v>
      </c>
      <c r="AN139" s="57">
        <f t="shared" si="93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2"/>
        <v>0</v>
      </c>
      <c r="Y140" s="57">
        <f t="shared" si="91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4"/>
        <v>0</v>
      </c>
      <c r="AN140" s="57">
        <f t="shared" si="93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2"/>
        <v>0</v>
      </c>
      <c r="Y141" s="57">
        <f t="shared" si="91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4"/>
        <v>0</v>
      </c>
      <c r="AN141" s="57">
        <f t="shared" si="93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2"/>
        <v>0</v>
      </c>
      <c r="Y142" s="57">
        <f t="shared" si="91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4"/>
        <v>0</v>
      </c>
      <c r="AN142" s="57">
        <f t="shared" si="93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1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4"/>
        <v>0</v>
      </c>
      <c r="AN143" s="57">
        <f t="shared" si="93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393230.69000000006</v>
      </c>
      <c r="Y144" s="154">
        <f>XIRR(X42:X143,Y42:Y143)*12</f>
        <v>8.081713914871215E-2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4"/>
        <v>0</v>
      </c>
      <c r="AN144" s="57">
        <f t="shared" si="93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4"/>
        <v>0</v>
      </c>
      <c r="AN145" s="57">
        <f t="shared" si="93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4"/>
        <v>0</v>
      </c>
      <c r="AN146" s="57">
        <f t="shared" si="93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4"/>
        <v>0</v>
      </c>
      <c r="AN147" s="57">
        <f t="shared" si="93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418680</v>
      </c>
      <c r="AN148" s="154">
        <f>XIRR(AM46:AM147,AN46:AN147)*12</f>
        <v>0.14969147443771361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AP3:BH4"/>
    <mergeCell ref="BN3:BT3"/>
    <mergeCell ref="Q6:Q7"/>
    <mergeCell ref="S6:S7"/>
    <mergeCell ref="A1:E2"/>
    <mergeCell ref="A3:E3"/>
    <mergeCell ref="G3:U4"/>
    <mergeCell ref="A5:E5"/>
    <mergeCell ref="T6:T7"/>
    <mergeCell ref="A6:B6"/>
    <mergeCell ref="C6:D6"/>
    <mergeCell ref="G6:G7"/>
    <mergeCell ref="H6:H7"/>
    <mergeCell ref="I6:I7"/>
    <mergeCell ref="J6:J7"/>
    <mergeCell ref="K6:K7"/>
    <mergeCell ref="BO10:BO11"/>
    <mergeCell ref="A11:B11"/>
    <mergeCell ref="A12:B12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AT6:AT7"/>
    <mergeCell ref="L6:L7"/>
    <mergeCell ref="M6:M7"/>
    <mergeCell ref="A25:B25"/>
    <mergeCell ref="A13:B13"/>
    <mergeCell ref="BN13:BN14"/>
    <mergeCell ref="A21:C21"/>
    <mergeCell ref="A22:B22"/>
    <mergeCell ref="A23:B23"/>
    <mergeCell ref="A24:B24"/>
    <mergeCell ref="A9:B9"/>
    <mergeCell ref="A10:B10"/>
    <mergeCell ref="BN10:BN11"/>
    <mergeCell ref="AU6:AU7"/>
    <mergeCell ref="AV6:AV7"/>
    <mergeCell ref="BO13:BO14"/>
    <mergeCell ref="A14:A15"/>
    <mergeCell ref="A16:A18"/>
    <mergeCell ref="A19:E19"/>
    <mergeCell ref="A20:E20"/>
    <mergeCell ref="BN33:BN35"/>
    <mergeCell ref="A34:E34"/>
    <mergeCell ref="A35:B35"/>
    <mergeCell ref="D35:E35"/>
    <mergeCell ref="A26:B26"/>
    <mergeCell ref="A27:B27"/>
    <mergeCell ref="A28:B28"/>
    <mergeCell ref="A29:B29"/>
    <mergeCell ref="A30:B30"/>
    <mergeCell ref="A31:B31"/>
    <mergeCell ref="A46:B46"/>
    <mergeCell ref="C46:E46"/>
    <mergeCell ref="A32:B32"/>
    <mergeCell ref="A33:B33"/>
    <mergeCell ref="C33:E33"/>
    <mergeCell ref="A36:B36"/>
    <mergeCell ref="A37:A40"/>
    <mergeCell ref="A41:B41"/>
    <mergeCell ref="C41:E41"/>
    <mergeCell ref="A42:A45"/>
    <mergeCell ref="A53:B53"/>
    <mergeCell ref="A47:C47"/>
    <mergeCell ref="A48:B48"/>
    <mergeCell ref="C48:E48"/>
    <mergeCell ref="A49:E49"/>
    <mergeCell ref="A50:A51"/>
    <mergeCell ref="A52:B52"/>
  </mergeCells>
  <conditionalFormatting sqref="D17">
    <cfRule type="cellIs" dxfId="5" priority="1" operator="notEqual">
      <formula>""</formula>
    </cfRule>
  </conditionalFormatting>
  <dataValidations count="5">
    <dataValidation type="list" allowBlank="1" showInputMessage="1" showErrorMessage="1" sqref="C36">
      <formula1>"Да,Нет"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11">
      <formula1>$X$39:$AA$39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J38"/>
  <sheetViews>
    <sheetView showGridLines="0" zoomScale="70" zoomScaleNormal="70" workbookViewId="0">
      <pane ySplit="8" topLeftCell="A17" activePane="bottomLeft" state="frozen"/>
      <selection activeCell="F3" sqref="F3"/>
      <selection pane="bottomLeft" activeCell="F3" sqref="F3"/>
    </sheetView>
  </sheetViews>
  <sheetFormatPr defaultColWidth="8.7109375" defaultRowHeight="12.75" x14ac:dyDescent="0.2"/>
  <cols>
    <col min="1" max="1" width="66.42578125" style="3" customWidth="1"/>
    <col min="2" max="2" width="27.42578125" style="90" customWidth="1"/>
    <col min="3" max="3" width="10.140625" hidden="1" customWidth="1"/>
    <col min="4" max="4" width="12.140625" hidden="1" customWidth="1"/>
    <col min="6" max="7" width="10.140625" customWidth="1"/>
    <col min="9" max="9" width="8" customWidth="1"/>
    <col min="17" max="45" width="0" hidden="1" customWidth="1"/>
  </cols>
  <sheetData>
    <row r="1" spans="1:10" ht="79.900000000000006" customHeight="1" x14ac:dyDescent="0.2">
      <c r="A1" s="940" t="s">
        <v>249</v>
      </c>
      <c r="B1" s="940"/>
      <c r="C1" s="368"/>
      <c r="D1" s="368"/>
      <c r="E1" s="368"/>
      <c r="F1" s="368"/>
      <c r="G1" s="368"/>
      <c r="H1" s="368"/>
      <c r="I1" s="368"/>
      <c r="J1" s="368"/>
    </row>
    <row r="2" spans="1:10" ht="28.9" customHeight="1" x14ac:dyDescent="0.2">
      <c r="A2" s="370" t="s">
        <v>226</v>
      </c>
      <c r="B2" s="370" t="s">
        <v>227</v>
      </c>
      <c r="C2" s="368"/>
      <c r="D2" s="368"/>
      <c r="E2" s="368"/>
      <c r="F2" s="368"/>
      <c r="G2" s="368"/>
      <c r="H2" s="368"/>
      <c r="I2" s="368"/>
      <c r="J2" s="368"/>
    </row>
    <row r="3" spans="1:10" ht="28.9" customHeight="1" x14ac:dyDescent="0.2">
      <c r="A3" s="463" t="s">
        <v>228</v>
      </c>
      <c r="B3" s="451">
        <f ca="1">TODAY()+0</f>
        <v>45315</v>
      </c>
      <c r="D3" s="88" t="s">
        <v>54</v>
      </c>
    </row>
    <row r="4" spans="1:10" ht="31.9" customHeight="1" x14ac:dyDescent="0.2">
      <c r="A4" s="463" t="s">
        <v>229</v>
      </c>
      <c r="B4" s="452">
        <v>44282</v>
      </c>
      <c r="C4" s="89"/>
      <c r="D4" s="89">
        <v>0</v>
      </c>
      <c r="E4" s="942" t="s">
        <v>230</v>
      </c>
      <c r="F4" s="942"/>
      <c r="G4" s="942"/>
      <c r="H4" s="942"/>
      <c r="I4" s="942"/>
    </row>
    <row r="5" spans="1:10" ht="30" customHeight="1" x14ac:dyDescent="0.2">
      <c r="A5" s="464" t="s">
        <v>231</v>
      </c>
      <c r="B5" s="453">
        <f>B4-15</f>
        <v>44267</v>
      </c>
      <c r="C5" s="61"/>
      <c r="D5" s="89">
        <v>1</v>
      </c>
      <c r="E5" s="941"/>
      <c r="F5" s="941"/>
      <c r="G5" s="941"/>
      <c r="H5" s="941"/>
      <c r="I5" s="941"/>
    </row>
    <row r="6" spans="1:10" ht="28.15" customHeight="1" thickBot="1" x14ac:dyDescent="0.25">
      <c r="A6" s="465" t="s">
        <v>232</v>
      </c>
      <c r="B6" s="454">
        <f>B4+15</f>
        <v>44297</v>
      </c>
      <c r="D6" s="89">
        <v>2</v>
      </c>
    </row>
    <row r="7" spans="1:10" ht="17.25" x14ac:dyDescent="0.2">
      <c r="A7" s="943" t="s">
        <v>55</v>
      </c>
      <c r="B7" s="455">
        <f t="shared" ref="B7:B37" ca="1" si="0">IF(DAY(C8)=29,"не разрешено",IF(DAY(C8)=30,"не разрешено",IF(DAY(C8)=31,"не разрешено",IF(DAY(C8)=DAY($B$4),"действующая дата",IF(DAY(C8)=DAY($B$3),"текущая дата",C8)))))</f>
        <v>44267</v>
      </c>
      <c r="D7" s="89">
        <v>3</v>
      </c>
    </row>
    <row r="8" spans="1:10" ht="17.25" x14ac:dyDescent="0.2">
      <c r="A8" s="944"/>
      <c r="B8" s="455">
        <f t="shared" ca="1" si="0"/>
        <v>44268</v>
      </c>
      <c r="C8" s="61">
        <f t="shared" ref="C8:C38" si="1">$B$5+D4</f>
        <v>44267</v>
      </c>
      <c r="D8" s="89">
        <v>4</v>
      </c>
    </row>
    <row r="9" spans="1:10" ht="18" x14ac:dyDescent="0.25">
      <c r="A9" s="369"/>
      <c r="B9" s="455">
        <f t="shared" ca="1" si="0"/>
        <v>44269</v>
      </c>
      <c r="C9" s="61">
        <f t="shared" si="1"/>
        <v>44268</v>
      </c>
      <c r="D9" s="89">
        <v>5</v>
      </c>
      <c r="G9" s="61"/>
    </row>
    <row r="10" spans="1:10" ht="18" x14ac:dyDescent="0.25">
      <c r="A10" s="369"/>
      <c r="B10" s="455">
        <f t="shared" ca="1" si="0"/>
        <v>44270</v>
      </c>
      <c r="C10" s="61">
        <f t="shared" si="1"/>
        <v>44269</v>
      </c>
      <c r="D10" s="89">
        <v>6</v>
      </c>
    </row>
    <row r="11" spans="1:10" ht="18" x14ac:dyDescent="0.25">
      <c r="A11" s="369"/>
      <c r="B11" s="455">
        <f t="shared" ca="1" si="0"/>
        <v>44271</v>
      </c>
      <c r="C11" s="61">
        <f t="shared" si="1"/>
        <v>44270</v>
      </c>
      <c r="D11" s="89">
        <v>7</v>
      </c>
    </row>
    <row r="12" spans="1:10" ht="18" x14ac:dyDescent="0.25">
      <c r="A12" s="369"/>
      <c r="B12" s="455">
        <f t="shared" ca="1" si="0"/>
        <v>44272</v>
      </c>
      <c r="C12" s="61">
        <f t="shared" si="1"/>
        <v>44271</v>
      </c>
      <c r="D12" s="89">
        <v>8</v>
      </c>
    </row>
    <row r="13" spans="1:10" ht="18" x14ac:dyDescent="0.25">
      <c r="A13" s="369"/>
      <c r="B13" s="455">
        <f t="shared" ca="1" si="0"/>
        <v>44273</v>
      </c>
      <c r="C13" s="61">
        <f t="shared" si="1"/>
        <v>44272</v>
      </c>
      <c r="D13" s="89">
        <v>9</v>
      </c>
    </row>
    <row r="14" spans="1:10" ht="18" x14ac:dyDescent="0.25">
      <c r="A14" s="369"/>
      <c r="B14" s="455">
        <f t="shared" ca="1" si="0"/>
        <v>44274</v>
      </c>
      <c r="C14" s="61">
        <f t="shared" si="1"/>
        <v>44273</v>
      </c>
      <c r="D14" s="89">
        <v>10</v>
      </c>
    </row>
    <row r="15" spans="1:10" ht="18" x14ac:dyDescent="0.25">
      <c r="A15" s="369"/>
      <c r="B15" s="455">
        <f t="shared" ca="1" si="0"/>
        <v>44275</v>
      </c>
      <c r="C15" s="61">
        <f t="shared" si="1"/>
        <v>44274</v>
      </c>
      <c r="D15" s="89">
        <v>11</v>
      </c>
      <c r="F15" s="61"/>
    </row>
    <row r="16" spans="1:10" ht="18" x14ac:dyDescent="0.25">
      <c r="A16" s="369"/>
      <c r="B16" s="455">
        <f t="shared" ca="1" si="0"/>
        <v>44276</v>
      </c>
      <c r="C16" s="61">
        <f t="shared" si="1"/>
        <v>44275</v>
      </c>
      <c r="D16" s="89">
        <v>12</v>
      </c>
    </row>
    <row r="17" spans="1:5" ht="18" x14ac:dyDescent="0.25">
      <c r="A17" s="369"/>
      <c r="B17" s="455">
        <f t="shared" ca="1" si="0"/>
        <v>44277</v>
      </c>
      <c r="C17" s="61">
        <f t="shared" si="1"/>
        <v>44276</v>
      </c>
      <c r="D17" s="89">
        <v>13</v>
      </c>
    </row>
    <row r="18" spans="1:5" ht="18" x14ac:dyDescent="0.25">
      <c r="A18" s="369" t="s">
        <v>56</v>
      </c>
      <c r="B18" s="456">
        <f t="shared" ca="1" si="0"/>
        <v>44278</v>
      </c>
      <c r="C18" s="61">
        <f t="shared" si="1"/>
        <v>44277</v>
      </c>
      <c r="D18" s="89">
        <v>14</v>
      </c>
    </row>
    <row r="19" spans="1:5" ht="18" x14ac:dyDescent="0.25">
      <c r="A19" s="369"/>
      <c r="B19" s="460" t="str">
        <f t="shared" ca="1" si="0"/>
        <v>текущая дата</v>
      </c>
      <c r="C19" s="61">
        <f t="shared" si="1"/>
        <v>44278</v>
      </c>
      <c r="D19" s="89">
        <v>15</v>
      </c>
    </row>
    <row r="20" spans="1:5" ht="18" x14ac:dyDescent="0.25">
      <c r="A20" s="369"/>
      <c r="B20" s="455">
        <f t="shared" ca="1" si="0"/>
        <v>44280</v>
      </c>
      <c r="C20" s="61">
        <f t="shared" si="1"/>
        <v>44279</v>
      </c>
      <c r="D20" s="89">
        <v>16</v>
      </c>
    </row>
    <row r="21" spans="1:5" ht="18" x14ac:dyDescent="0.25">
      <c r="A21" s="369"/>
      <c r="B21" s="457">
        <f t="shared" ca="1" si="0"/>
        <v>44281</v>
      </c>
      <c r="C21" s="61">
        <f t="shared" si="1"/>
        <v>44280</v>
      </c>
      <c r="D21" s="89">
        <v>17</v>
      </c>
    </row>
    <row r="22" spans="1:5" ht="18" x14ac:dyDescent="0.25">
      <c r="A22" s="369"/>
      <c r="B22" s="456" t="str">
        <f t="shared" si="0"/>
        <v>действующая дата</v>
      </c>
      <c r="C22" s="61">
        <f t="shared" si="1"/>
        <v>44281</v>
      </c>
      <c r="D22" s="89">
        <v>18</v>
      </c>
    </row>
    <row r="23" spans="1:5" ht="18" x14ac:dyDescent="0.25">
      <c r="A23" s="369"/>
      <c r="B23" s="455">
        <f t="shared" ca="1" si="0"/>
        <v>44283</v>
      </c>
      <c r="C23" s="61">
        <f t="shared" si="1"/>
        <v>44282</v>
      </c>
      <c r="D23" s="89">
        <v>19</v>
      </c>
    </row>
    <row r="24" spans="1:5" ht="18" x14ac:dyDescent="0.25">
      <c r="A24" s="369"/>
      <c r="B24" s="460" t="str">
        <f t="shared" si="0"/>
        <v>не разрешено</v>
      </c>
      <c r="C24" s="61">
        <f t="shared" si="1"/>
        <v>44283</v>
      </c>
      <c r="D24" s="89">
        <v>20</v>
      </c>
    </row>
    <row r="25" spans="1:5" ht="18" x14ac:dyDescent="0.25">
      <c r="A25" s="369"/>
      <c r="B25" s="460" t="str">
        <f t="shared" si="0"/>
        <v>не разрешено</v>
      </c>
      <c r="C25" s="61">
        <f t="shared" si="1"/>
        <v>44284</v>
      </c>
      <c r="D25" s="89">
        <v>21</v>
      </c>
    </row>
    <row r="26" spans="1:5" ht="18" x14ac:dyDescent="0.25">
      <c r="A26" s="369"/>
      <c r="B26" s="460" t="str">
        <f t="shared" si="0"/>
        <v>не разрешено</v>
      </c>
      <c r="C26" s="61">
        <f t="shared" si="1"/>
        <v>44285</v>
      </c>
      <c r="D26" s="89">
        <v>22</v>
      </c>
    </row>
    <row r="27" spans="1:5" ht="18" x14ac:dyDescent="0.25">
      <c r="A27" s="369"/>
      <c r="B27" s="455">
        <f t="shared" ca="1" si="0"/>
        <v>44287</v>
      </c>
      <c r="C27" s="61">
        <f t="shared" si="1"/>
        <v>44286</v>
      </c>
      <c r="D27" s="89">
        <v>23</v>
      </c>
    </row>
    <row r="28" spans="1:5" ht="18" x14ac:dyDescent="0.25">
      <c r="A28" s="369"/>
      <c r="B28" s="458">
        <f t="shared" ca="1" si="0"/>
        <v>44288</v>
      </c>
      <c r="C28" s="61">
        <f t="shared" si="1"/>
        <v>44287</v>
      </c>
      <c r="D28" s="89">
        <v>24</v>
      </c>
      <c r="E28" s="372"/>
    </row>
    <row r="29" spans="1:5" ht="18" x14ac:dyDescent="0.25">
      <c r="A29" s="369"/>
      <c r="B29" s="458">
        <f t="shared" ca="1" si="0"/>
        <v>44289</v>
      </c>
      <c r="C29" s="61">
        <f t="shared" si="1"/>
        <v>44288</v>
      </c>
      <c r="D29" s="89">
        <v>25</v>
      </c>
      <c r="E29" s="372"/>
    </row>
    <row r="30" spans="1:5" ht="18" x14ac:dyDescent="0.25">
      <c r="A30" s="369"/>
      <c r="B30" s="458">
        <f t="shared" ca="1" si="0"/>
        <v>44290</v>
      </c>
      <c r="C30" s="61">
        <f t="shared" si="1"/>
        <v>44289</v>
      </c>
      <c r="D30" s="89">
        <v>26</v>
      </c>
      <c r="E30" s="372"/>
    </row>
    <row r="31" spans="1:5" ht="18" x14ac:dyDescent="0.25">
      <c r="A31" s="369"/>
      <c r="B31" s="455">
        <f t="shared" ca="1" si="0"/>
        <v>44291</v>
      </c>
      <c r="C31" s="61">
        <f t="shared" si="1"/>
        <v>44290</v>
      </c>
      <c r="D31" s="89">
        <v>27</v>
      </c>
    </row>
    <row r="32" spans="1:5" ht="18" x14ac:dyDescent="0.25">
      <c r="A32" s="369"/>
      <c r="B32" s="455">
        <f t="shared" ca="1" si="0"/>
        <v>44292</v>
      </c>
      <c r="C32" s="61">
        <f t="shared" si="1"/>
        <v>44291</v>
      </c>
      <c r="D32" s="89">
        <v>28</v>
      </c>
    </row>
    <row r="33" spans="1:4" ht="18" x14ac:dyDescent="0.25">
      <c r="A33" s="369"/>
      <c r="B33" s="455">
        <f t="shared" ca="1" si="0"/>
        <v>44293</v>
      </c>
      <c r="C33" s="61">
        <f t="shared" si="1"/>
        <v>44292</v>
      </c>
      <c r="D33" s="89">
        <v>29</v>
      </c>
    </row>
    <row r="34" spans="1:4" ht="18" x14ac:dyDescent="0.25">
      <c r="A34" s="369"/>
      <c r="B34" s="455">
        <f t="shared" ca="1" si="0"/>
        <v>44294</v>
      </c>
      <c r="C34" s="61">
        <f t="shared" si="1"/>
        <v>44293</v>
      </c>
      <c r="D34" s="89">
        <v>30</v>
      </c>
    </row>
    <row r="35" spans="1:4" ht="18" x14ac:dyDescent="0.25">
      <c r="A35" s="369"/>
      <c r="B35" s="455">
        <f t="shared" ca="1" si="0"/>
        <v>44295</v>
      </c>
      <c r="C35" s="61">
        <f t="shared" si="1"/>
        <v>44294</v>
      </c>
      <c r="D35" s="89">
        <v>31</v>
      </c>
    </row>
    <row r="36" spans="1:4" ht="18" x14ac:dyDescent="0.25">
      <c r="A36" s="369"/>
      <c r="B36" s="455">
        <f t="shared" ca="1" si="0"/>
        <v>44296</v>
      </c>
      <c r="C36" s="61">
        <f t="shared" si="1"/>
        <v>44295</v>
      </c>
    </row>
    <row r="37" spans="1:4" ht="18.75" thickBot="1" x14ac:dyDescent="0.3">
      <c r="A37" s="371"/>
      <c r="B37" s="459">
        <f t="shared" ca="1" si="0"/>
        <v>44297</v>
      </c>
      <c r="C37" s="61">
        <f t="shared" si="1"/>
        <v>44296</v>
      </c>
    </row>
    <row r="38" spans="1:4" x14ac:dyDescent="0.2">
      <c r="C38" s="61">
        <f t="shared" si="1"/>
        <v>44297</v>
      </c>
    </row>
  </sheetData>
  <sheetProtection sheet="1" formatCells="0" formatColumns="0" formatRows="0" insertColumns="0" insertRows="0" insertHyperlinks="0" deleteColumns="0" deleteRows="0" sort="0" autoFilter="0" pivotTables="0"/>
  <mergeCells count="4">
    <mergeCell ref="A1:B1"/>
    <mergeCell ref="E5:I5"/>
    <mergeCell ref="E4:I4"/>
    <mergeCell ref="A7:A8"/>
  </mergeCells>
  <conditionalFormatting sqref="B7:B37">
    <cfRule type="cellIs" dxfId="4" priority="1" operator="equal">
      <formula>"текущая дата"</formula>
    </cfRule>
    <cfRule type="cellIs" dxfId="3" priority="3" operator="equal">
      <formula>"не разрешено"</formula>
    </cfRule>
  </conditionalFormatting>
  <conditionalFormatting sqref="B22">
    <cfRule type="cellIs" dxfId="2" priority="2" operator="equal">
      <formula>"действующая дата"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"/>
  <sheetViews>
    <sheetView zoomScale="85" zoomScaleNormal="85" workbookViewId="0"/>
  </sheetViews>
  <sheetFormatPr defaultColWidth="9.140625" defaultRowHeight="15" x14ac:dyDescent="0.25"/>
  <cols>
    <col min="1" max="1" width="4.7109375" style="700" customWidth="1"/>
    <col min="2" max="2" width="21.140625" style="700" customWidth="1"/>
    <col min="3" max="3" width="22.42578125" style="700" customWidth="1"/>
    <col min="4" max="4" width="14.28515625" style="700" customWidth="1"/>
    <col min="5" max="5" width="16.7109375" style="700" customWidth="1"/>
    <col min="6" max="6" width="28.28515625" style="700" customWidth="1"/>
    <col min="7" max="7" width="16.7109375" style="701" customWidth="1"/>
    <col min="8" max="14" width="9.140625" style="700"/>
    <col min="15" max="15" width="10.7109375" style="700" customWidth="1"/>
    <col min="16" max="16384" width="9.140625" style="700"/>
  </cols>
  <sheetData>
    <row r="1" spans="2:14" ht="43.15" customHeight="1" x14ac:dyDescent="0.25">
      <c r="C1" s="971" t="s">
        <v>317</v>
      </c>
      <c r="D1" s="971"/>
      <c r="E1" s="971"/>
      <c r="F1" s="971"/>
    </row>
    <row r="2" spans="2:14" ht="19.899999999999999" customHeight="1" thickBot="1" x14ac:dyDescent="0.3"/>
    <row r="3" spans="2:14" ht="33" customHeight="1" x14ac:dyDescent="0.25">
      <c r="B3" s="972" t="s">
        <v>164</v>
      </c>
      <c r="C3" s="973"/>
      <c r="D3" s="973" t="s">
        <v>165</v>
      </c>
      <c r="E3" s="974"/>
    </row>
    <row r="4" spans="2:14" ht="18" customHeight="1" x14ac:dyDescent="0.3">
      <c r="B4" s="975" t="s">
        <v>136</v>
      </c>
      <c r="C4" s="975"/>
      <c r="D4" s="976">
        <v>5000000</v>
      </c>
      <c r="E4" s="976"/>
    </row>
    <row r="5" spans="2:14" ht="18" customHeight="1" x14ac:dyDescent="0.25">
      <c r="B5" s="965" t="s">
        <v>318</v>
      </c>
      <c r="C5" s="965"/>
      <c r="D5" s="966" t="s">
        <v>389</v>
      </c>
      <c r="E5" s="966"/>
    </row>
    <row r="6" spans="2:14" ht="18" customHeight="1" x14ac:dyDescent="0.25">
      <c r="B6" s="965" t="s">
        <v>137</v>
      </c>
      <c r="C6" s="965"/>
      <c r="D6" s="966" t="s">
        <v>138</v>
      </c>
      <c r="E6" s="966"/>
    </row>
    <row r="7" spans="2:14" ht="18" customHeight="1" x14ac:dyDescent="0.3">
      <c r="B7" s="950" t="s">
        <v>139</v>
      </c>
      <c r="C7" s="951"/>
      <c r="D7" s="967">
        <v>4800000</v>
      </c>
      <c r="E7" s="968"/>
    </row>
    <row r="8" spans="2:14" ht="28.5" customHeight="1" x14ac:dyDescent="0.3">
      <c r="B8" s="969" t="s">
        <v>319</v>
      </c>
      <c r="C8" s="970"/>
      <c r="D8" s="952">
        <f>IF($D$6="Снятие наличных / перевод",ROUNDDOWN(D4/(1+HLOOKUP(D5,K22:P26,4,0)),-2),D4)</f>
        <v>4812300</v>
      </c>
      <c r="E8" s="953"/>
    </row>
    <row r="9" spans="2:14" ht="18.399999999999999" customHeight="1" x14ac:dyDescent="0.3">
      <c r="B9" s="959" t="s">
        <v>476</v>
      </c>
      <c r="C9" s="960"/>
      <c r="D9" s="961">
        <v>0.04</v>
      </c>
      <c r="E9" s="962"/>
    </row>
    <row r="10" spans="2:14" ht="18" customHeight="1" x14ac:dyDescent="0.3">
      <c r="B10" s="959" t="s">
        <v>140</v>
      </c>
      <c r="C10" s="960"/>
      <c r="D10" s="963">
        <f>IF(AND($D$6="Снятие наличных / перевод",D7&gt;0),HLOOKUP(D5,K22:P24,2,0),HLOOKUP(D5,K22:P24,3,0))</f>
        <v>0.19900000000000001</v>
      </c>
      <c r="E10" s="964"/>
    </row>
    <row r="11" spans="2:14" ht="16.899999999999999" customHeight="1" x14ac:dyDescent="0.3">
      <c r="B11" s="950" t="s">
        <v>141</v>
      </c>
      <c r="C11" s="951"/>
      <c r="D11" s="952">
        <v>0</v>
      </c>
      <c r="E11" s="953"/>
      <c r="N11" s="702"/>
    </row>
    <row r="12" spans="2:14" ht="16.899999999999999" customHeight="1" x14ac:dyDescent="0.3">
      <c r="B12" s="950" t="s">
        <v>142</v>
      </c>
      <c r="C12" s="951"/>
      <c r="D12" s="955" t="s">
        <v>35</v>
      </c>
      <c r="E12" s="956"/>
      <c r="N12" s="703"/>
    </row>
    <row r="13" spans="2:14" ht="18" customHeight="1" x14ac:dyDescent="0.3">
      <c r="B13" s="950" t="s">
        <v>143</v>
      </c>
      <c r="C13" s="951"/>
      <c r="D13" s="957">
        <v>45180</v>
      </c>
      <c r="E13" s="958"/>
    </row>
    <row r="14" spans="2:14" ht="18" customHeight="1" x14ac:dyDescent="0.3">
      <c r="B14" s="950" t="s">
        <v>144</v>
      </c>
      <c r="C14" s="951"/>
      <c r="D14" s="952">
        <f>IF(D4&gt;0,D4*HLOOKUP(D5,K22:P26,5,0)+D11+IF(D12="Да",100),"")</f>
        <v>100000</v>
      </c>
      <c r="E14" s="953"/>
    </row>
    <row r="15" spans="2:14" ht="16.899999999999999" customHeight="1" x14ac:dyDescent="0.3">
      <c r="B15" s="950" t="s">
        <v>160</v>
      </c>
      <c r="C15" s="951"/>
      <c r="D15" s="952">
        <f>SUM(G24:G174)</f>
        <v>10316975.49</v>
      </c>
      <c r="E15" s="953"/>
    </row>
    <row r="16" spans="2:14" ht="18" customHeight="1" x14ac:dyDescent="0.3">
      <c r="B16" s="950" t="s">
        <v>161</v>
      </c>
      <c r="C16" s="951"/>
      <c r="D16" s="952">
        <f>D15-D7</f>
        <v>5516975.4900000002</v>
      </c>
      <c r="E16" s="953"/>
    </row>
    <row r="17" spans="1:16" ht="18" customHeight="1" x14ac:dyDescent="0.25">
      <c r="B17" s="954"/>
      <c r="C17" s="954"/>
      <c r="D17" s="954"/>
      <c r="E17" s="954"/>
    </row>
    <row r="18" spans="1:16" ht="18" customHeight="1" x14ac:dyDescent="0.25">
      <c r="B18" s="701"/>
      <c r="C18" s="701"/>
      <c r="D18" s="701"/>
      <c r="E18" s="701"/>
    </row>
    <row r="19" spans="1:16" ht="18" customHeight="1" x14ac:dyDescent="0.25">
      <c r="B19" s="701"/>
      <c r="C19" s="701"/>
      <c r="D19" s="701"/>
      <c r="E19" s="704"/>
      <c r="F19" s="705"/>
    </row>
    <row r="20" spans="1:16" x14ac:dyDescent="0.25">
      <c r="E20" s="706"/>
      <c r="F20" s="705"/>
      <c r="G20" s="704"/>
    </row>
    <row r="21" spans="1:16" ht="18.75" customHeight="1" x14ac:dyDescent="0.3">
      <c r="B21" s="945" t="s">
        <v>146</v>
      </c>
      <c r="C21" s="945"/>
      <c r="J21" s="707"/>
      <c r="K21" s="707"/>
      <c r="L21" s="707"/>
      <c r="M21" s="707"/>
      <c r="N21" s="707"/>
      <c r="O21" s="707"/>
      <c r="P21" s="707"/>
    </row>
    <row r="22" spans="1:16" x14ac:dyDescent="0.25">
      <c r="A22" s="946" t="s">
        <v>148</v>
      </c>
      <c r="B22" s="948" t="s">
        <v>149</v>
      </c>
      <c r="C22" s="948" t="s">
        <v>150</v>
      </c>
      <c r="D22" s="946" t="s">
        <v>151</v>
      </c>
      <c r="E22" s="946"/>
      <c r="F22" s="946"/>
      <c r="G22" s="946"/>
      <c r="H22" s="708"/>
      <c r="J22" s="707"/>
      <c r="K22" s="709" t="s">
        <v>320</v>
      </c>
      <c r="L22" s="709" t="s">
        <v>386</v>
      </c>
      <c r="M22" s="709" t="s">
        <v>387</v>
      </c>
      <c r="N22" s="709" t="s">
        <v>388</v>
      </c>
      <c r="O22" s="709" t="s">
        <v>389</v>
      </c>
      <c r="P22" s="709" t="s">
        <v>378</v>
      </c>
    </row>
    <row r="23" spans="1:16" x14ac:dyDescent="0.25">
      <c r="A23" s="947"/>
      <c r="B23" s="949"/>
      <c r="C23" s="949"/>
      <c r="D23" s="710" t="s">
        <v>153</v>
      </c>
      <c r="E23" s="710" t="s">
        <v>154</v>
      </c>
      <c r="F23" s="710" t="s">
        <v>155</v>
      </c>
      <c r="G23" s="711" t="s">
        <v>7</v>
      </c>
      <c r="H23" s="708"/>
      <c r="J23" s="707"/>
      <c r="K23" s="709" t="s">
        <v>321</v>
      </c>
      <c r="L23" s="712">
        <v>0.29899999999999999</v>
      </c>
      <c r="M23" s="712">
        <v>0.249</v>
      </c>
      <c r="N23" s="712">
        <v>0.22900000000000001</v>
      </c>
      <c r="O23" s="712">
        <v>0.19900000000000001</v>
      </c>
      <c r="P23" s="526">
        <v>0.35</v>
      </c>
    </row>
    <row r="24" spans="1:16" x14ac:dyDescent="0.25">
      <c r="A24" s="708">
        <v>1</v>
      </c>
      <c r="B24" s="713">
        <f t="shared" ref="B24:B87" si="0">EDATE($D$13,A24)</f>
        <v>45210</v>
      </c>
      <c r="C24" s="714">
        <f>D7+IF(AND($D$6="Снятие наличных / перевод",D7&gt;0),ROUND(D7*HLOOKUP(D5,K22:P26,4,0),2),0)</f>
        <v>4987200</v>
      </c>
      <c r="D24" s="714">
        <f>MAX(G24-F24-E24,0)</f>
        <v>83603.73</v>
      </c>
      <c r="E24" s="714">
        <f>ROUND(C24*$D$9*_xlfn.DAYS(B24,$D$13)/365,2)</f>
        <v>16396.27</v>
      </c>
      <c r="F24" s="714">
        <f>IF(C24&lt;&gt;0,$D$11)+IF(AND($D$12="Да",C24&lt;&gt;0),69)</f>
        <v>0</v>
      </c>
      <c r="G24" s="715">
        <f t="shared" ref="G24:G87" si="1">IF(OR($D$4="",$D$7="",$D$6="",$D$12="",$D$13=""),0,IF(C24+E24+F24&lt;$D$14,C24+E24+F24,$D$14))</f>
        <v>100000</v>
      </c>
      <c r="H24" s="708"/>
      <c r="J24" s="707"/>
      <c r="K24" s="709" t="s">
        <v>322</v>
      </c>
      <c r="L24" s="712">
        <v>0.27900000000000003</v>
      </c>
      <c r="M24" s="712">
        <v>0.22900000000000001</v>
      </c>
      <c r="N24" s="712">
        <v>0.20899999999999999</v>
      </c>
      <c r="O24" s="712">
        <v>0.17899999999999999</v>
      </c>
      <c r="P24" s="526">
        <v>0.35</v>
      </c>
    </row>
    <row r="25" spans="1:16" x14ac:dyDescent="0.25">
      <c r="A25" s="708">
        <f>A24+1</f>
        <v>2</v>
      </c>
      <c r="B25" s="713">
        <f t="shared" si="0"/>
        <v>45241</v>
      </c>
      <c r="C25" s="714">
        <f>ROUNDDOWN(C24-D24,2)</f>
        <v>4903596.2699999996</v>
      </c>
      <c r="D25" s="714">
        <f t="shared" ref="D25:D88" si="2">MAX(G25-F25-E25,0)</f>
        <v>17122.509999999995</v>
      </c>
      <c r="E25" s="714">
        <f t="shared" ref="E25:E88" si="3">ROUND(C25*$D$10*_xlfn.DAYS(B25,B24)/365,2)</f>
        <v>82877.490000000005</v>
      </c>
      <c r="F25" s="714">
        <f t="shared" ref="F25:F88" si="4">IF(C25&lt;&gt;0,$D$11)+IF(AND($D$12="Да",C25&lt;&gt;0),69)</f>
        <v>0</v>
      </c>
      <c r="G25" s="715">
        <f t="shared" si="1"/>
        <v>100000</v>
      </c>
      <c r="H25" s="708"/>
      <c r="J25" s="707"/>
      <c r="K25" s="709" t="s">
        <v>384</v>
      </c>
      <c r="L25" s="712">
        <v>9.9000000000000005E-2</v>
      </c>
      <c r="M25" s="712">
        <v>7.9000000000000001E-2</v>
      </c>
      <c r="N25" s="712">
        <v>5.8999999999999997E-2</v>
      </c>
      <c r="O25" s="712">
        <v>3.9E-2</v>
      </c>
      <c r="P25" s="709"/>
    </row>
    <row r="26" spans="1:16" x14ac:dyDescent="0.25">
      <c r="A26" s="708">
        <f t="shared" ref="A26:A89" si="5">A25+1</f>
        <v>3</v>
      </c>
      <c r="B26" s="713">
        <f t="shared" si="0"/>
        <v>45271</v>
      </c>
      <c r="C26" s="714">
        <f t="shared" ref="C26:C89" si="6">ROUNDDOWN(C25-D25,2)</f>
        <v>4886473.76</v>
      </c>
      <c r="D26" s="714">
        <f t="shared" si="2"/>
        <v>20076.03</v>
      </c>
      <c r="E26" s="714">
        <f t="shared" si="3"/>
        <v>79923.97</v>
      </c>
      <c r="F26" s="714">
        <f t="shared" si="4"/>
        <v>0</v>
      </c>
      <c r="G26" s="715">
        <f t="shared" si="1"/>
        <v>100000</v>
      </c>
      <c r="H26" s="708"/>
      <c r="K26" s="709" t="s">
        <v>385</v>
      </c>
      <c r="L26" s="712">
        <v>2.8000000000000001E-2</v>
      </c>
      <c r="M26" s="712">
        <v>2.5000000000000001E-2</v>
      </c>
      <c r="N26" s="712">
        <v>2.5000000000000001E-2</v>
      </c>
      <c r="O26" s="716">
        <v>0.02</v>
      </c>
      <c r="P26" s="709"/>
    </row>
    <row r="27" spans="1:16" x14ac:dyDescent="0.25">
      <c r="A27" s="708">
        <f t="shared" si="5"/>
        <v>4</v>
      </c>
      <c r="B27" s="713">
        <f t="shared" si="0"/>
        <v>45302</v>
      </c>
      <c r="C27" s="714">
        <f t="shared" si="6"/>
        <v>4866397.7300000004</v>
      </c>
      <c r="D27" s="714">
        <f t="shared" si="2"/>
        <v>17751.210000000006</v>
      </c>
      <c r="E27" s="714">
        <f t="shared" si="3"/>
        <v>82248.789999999994</v>
      </c>
      <c r="F27" s="714">
        <f t="shared" si="4"/>
        <v>0</v>
      </c>
      <c r="G27" s="715">
        <f t="shared" si="1"/>
        <v>100000</v>
      </c>
      <c r="H27" s="708"/>
    </row>
    <row r="28" spans="1:16" x14ac:dyDescent="0.25">
      <c r="A28" s="708">
        <f t="shared" si="5"/>
        <v>5</v>
      </c>
      <c r="B28" s="713">
        <f t="shared" si="0"/>
        <v>45333</v>
      </c>
      <c r="C28" s="714">
        <f t="shared" si="6"/>
        <v>4848646.5199999996</v>
      </c>
      <c r="D28" s="714">
        <f t="shared" si="2"/>
        <v>18051.229999999996</v>
      </c>
      <c r="E28" s="714">
        <f t="shared" si="3"/>
        <v>81948.77</v>
      </c>
      <c r="F28" s="714">
        <f t="shared" si="4"/>
        <v>0</v>
      </c>
      <c r="G28" s="715">
        <f t="shared" si="1"/>
        <v>100000</v>
      </c>
      <c r="H28" s="708"/>
    </row>
    <row r="29" spans="1:16" x14ac:dyDescent="0.25">
      <c r="A29" s="708">
        <f t="shared" si="5"/>
        <v>6</v>
      </c>
      <c r="B29" s="713">
        <f t="shared" si="0"/>
        <v>45362</v>
      </c>
      <c r="C29" s="714">
        <f t="shared" si="6"/>
        <v>4830595.29</v>
      </c>
      <c r="D29" s="714">
        <f t="shared" si="2"/>
        <v>23623.660000000003</v>
      </c>
      <c r="E29" s="714">
        <f t="shared" si="3"/>
        <v>76376.34</v>
      </c>
      <c r="F29" s="714">
        <f t="shared" si="4"/>
        <v>0</v>
      </c>
      <c r="G29" s="715">
        <f t="shared" si="1"/>
        <v>100000</v>
      </c>
      <c r="H29" s="708"/>
    </row>
    <row r="30" spans="1:16" x14ac:dyDescent="0.25">
      <c r="A30" s="708">
        <f t="shared" si="5"/>
        <v>7</v>
      </c>
      <c r="B30" s="713">
        <f t="shared" si="0"/>
        <v>45393</v>
      </c>
      <c r="C30" s="714">
        <f t="shared" si="6"/>
        <v>4806971.63</v>
      </c>
      <c r="D30" s="714">
        <f t="shared" si="2"/>
        <v>18755.589999999997</v>
      </c>
      <c r="E30" s="714">
        <f t="shared" si="3"/>
        <v>81244.41</v>
      </c>
      <c r="F30" s="714">
        <f t="shared" si="4"/>
        <v>0</v>
      </c>
      <c r="G30" s="715">
        <f t="shared" si="1"/>
        <v>100000</v>
      </c>
      <c r="H30" s="708"/>
    </row>
    <row r="31" spans="1:16" x14ac:dyDescent="0.25">
      <c r="A31" s="708">
        <f t="shared" si="5"/>
        <v>8</v>
      </c>
      <c r="B31" s="713">
        <f t="shared" si="0"/>
        <v>45423</v>
      </c>
      <c r="C31" s="714">
        <f t="shared" si="6"/>
        <v>4788216.04</v>
      </c>
      <c r="D31" s="714">
        <f t="shared" si="2"/>
        <v>21683.149999999994</v>
      </c>
      <c r="E31" s="714">
        <f t="shared" si="3"/>
        <v>78316.850000000006</v>
      </c>
      <c r="F31" s="714">
        <f t="shared" si="4"/>
        <v>0</v>
      </c>
      <c r="G31" s="715">
        <f t="shared" si="1"/>
        <v>100000</v>
      </c>
      <c r="H31" s="708"/>
    </row>
    <row r="32" spans="1:16" x14ac:dyDescent="0.25">
      <c r="A32" s="708">
        <f t="shared" si="5"/>
        <v>9</v>
      </c>
      <c r="B32" s="713">
        <f t="shared" si="0"/>
        <v>45454</v>
      </c>
      <c r="C32" s="714">
        <f t="shared" si="6"/>
        <v>4766532.8899999997</v>
      </c>
      <c r="D32" s="714">
        <f t="shared" si="2"/>
        <v>19439.059999999998</v>
      </c>
      <c r="E32" s="714">
        <f t="shared" si="3"/>
        <v>80560.94</v>
      </c>
      <c r="F32" s="714">
        <f t="shared" si="4"/>
        <v>0</v>
      </c>
      <c r="G32" s="715">
        <f t="shared" si="1"/>
        <v>100000</v>
      </c>
      <c r="H32" s="708"/>
    </row>
    <row r="33" spans="1:8" x14ac:dyDescent="0.25">
      <c r="A33" s="708">
        <f t="shared" si="5"/>
        <v>10</v>
      </c>
      <c r="B33" s="713">
        <f t="shared" si="0"/>
        <v>45484</v>
      </c>
      <c r="C33" s="714">
        <f t="shared" si="6"/>
        <v>4747093.83</v>
      </c>
      <c r="D33" s="714">
        <f t="shared" si="2"/>
        <v>22355.75</v>
      </c>
      <c r="E33" s="714">
        <f t="shared" si="3"/>
        <v>77644.25</v>
      </c>
      <c r="F33" s="714">
        <f t="shared" si="4"/>
        <v>0</v>
      </c>
      <c r="G33" s="715">
        <f t="shared" si="1"/>
        <v>100000</v>
      </c>
      <c r="H33" s="708"/>
    </row>
    <row r="34" spans="1:8" x14ac:dyDescent="0.25">
      <c r="A34" s="708">
        <f t="shared" si="5"/>
        <v>11</v>
      </c>
      <c r="B34" s="713">
        <f t="shared" si="0"/>
        <v>45515</v>
      </c>
      <c r="C34" s="714">
        <f t="shared" si="6"/>
        <v>4724738.08</v>
      </c>
      <c r="D34" s="714">
        <f t="shared" si="2"/>
        <v>20145.449999999997</v>
      </c>
      <c r="E34" s="714">
        <f t="shared" si="3"/>
        <v>79854.55</v>
      </c>
      <c r="F34" s="714">
        <f t="shared" si="4"/>
        <v>0</v>
      </c>
      <c r="G34" s="715">
        <f t="shared" si="1"/>
        <v>100000</v>
      </c>
      <c r="H34" s="708"/>
    </row>
    <row r="35" spans="1:8" x14ac:dyDescent="0.25">
      <c r="A35" s="708">
        <f t="shared" si="5"/>
        <v>12</v>
      </c>
      <c r="B35" s="713">
        <f t="shared" si="0"/>
        <v>45546</v>
      </c>
      <c r="C35" s="714">
        <f t="shared" si="6"/>
        <v>4704592.63</v>
      </c>
      <c r="D35" s="714">
        <f t="shared" si="2"/>
        <v>20485.940000000002</v>
      </c>
      <c r="E35" s="714">
        <f t="shared" si="3"/>
        <v>79514.06</v>
      </c>
      <c r="F35" s="714">
        <f t="shared" si="4"/>
        <v>0</v>
      </c>
      <c r="G35" s="715">
        <f t="shared" si="1"/>
        <v>100000</v>
      </c>
      <c r="H35" s="708"/>
    </row>
    <row r="36" spans="1:8" x14ac:dyDescent="0.25">
      <c r="A36" s="708">
        <f t="shared" si="5"/>
        <v>13</v>
      </c>
      <c r="B36" s="713">
        <f t="shared" si="0"/>
        <v>45576</v>
      </c>
      <c r="C36" s="714">
        <f t="shared" si="6"/>
        <v>4684106.6900000004</v>
      </c>
      <c r="D36" s="714">
        <f t="shared" si="2"/>
        <v>23385.979999999996</v>
      </c>
      <c r="E36" s="714">
        <f t="shared" si="3"/>
        <v>76614.02</v>
      </c>
      <c r="F36" s="714">
        <f t="shared" si="4"/>
        <v>0</v>
      </c>
      <c r="G36" s="715">
        <f t="shared" si="1"/>
        <v>100000</v>
      </c>
      <c r="H36" s="708"/>
    </row>
    <row r="37" spans="1:8" x14ac:dyDescent="0.25">
      <c r="A37" s="708">
        <f t="shared" si="5"/>
        <v>14</v>
      </c>
      <c r="B37" s="713">
        <f t="shared" si="0"/>
        <v>45607</v>
      </c>
      <c r="C37" s="714">
        <f t="shared" si="6"/>
        <v>4660720.71</v>
      </c>
      <c r="D37" s="714">
        <f t="shared" si="2"/>
        <v>21227.440000000002</v>
      </c>
      <c r="E37" s="714">
        <f t="shared" si="3"/>
        <v>78772.56</v>
      </c>
      <c r="F37" s="714">
        <f t="shared" si="4"/>
        <v>0</v>
      </c>
      <c r="G37" s="715">
        <f t="shared" si="1"/>
        <v>100000</v>
      </c>
      <c r="H37" s="708"/>
    </row>
    <row r="38" spans="1:8" x14ac:dyDescent="0.25">
      <c r="A38" s="708">
        <f t="shared" si="5"/>
        <v>15</v>
      </c>
      <c r="B38" s="713">
        <f t="shared" si="0"/>
        <v>45637</v>
      </c>
      <c r="C38" s="714">
        <f t="shared" si="6"/>
        <v>4639493.2699999996</v>
      </c>
      <c r="D38" s="714">
        <f t="shared" si="2"/>
        <v>24115.690000000002</v>
      </c>
      <c r="E38" s="714">
        <f t="shared" si="3"/>
        <v>75884.31</v>
      </c>
      <c r="F38" s="714">
        <f t="shared" si="4"/>
        <v>0</v>
      </c>
      <c r="G38" s="715">
        <f t="shared" si="1"/>
        <v>100000</v>
      </c>
      <c r="H38" s="708"/>
    </row>
    <row r="39" spans="1:8" x14ac:dyDescent="0.25">
      <c r="A39" s="708">
        <f t="shared" si="5"/>
        <v>16</v>
      </c>
      <c r="B39" s="713">
        <f t="shared" si="0"/>
        <v>45668</v>
      </c>
      <c r="C39" s="714">
        <f t="shared" si="6"/>
        <v>4615377.58</v>
      </c>
      <c r="D39" s="714">
        <f t="shared" si="2"/>
        <v>21993.800000000003</v>
      </c>
      <c r="E39" s="714">
        <f t="shared" si="3"/>
        <v>78006.2</v>
      </c>
      <c r="F39" s="714">
        <f t="shared" si="4"/>
        <v>0</v>
      </c>
      <c r="G39" s="715">
        <f t="shared" si="1"/>
        <v>100000</v>
      </c>
      <c r="H39" s="708"/>
    </row>
    <row r="40" spans="1:8" x14ac:dyDescent="0.25">
      <c r="A40" s="708">
        <f t="shared" si="5"/>
        <v>17</v>
      </c>
      <c r="B40" s="713">
        <f t="shared" si="0"/>
        <v>45699</v>
      </c>
      <c r="C40" s="714">
        <f t="shared" si="6"/>
        <v>4593383.78</v>
      </c>
      <c r="D40" s="714">
        <f t="shared" si="2"/>
        <v>22365.520000000004</v>
      </c>
      <c r="E40" s="714">
        <f t="shared" si="3"/>
        <v>77634.48</v>
      </c>
      <c r="F40" s="714">
        <f t="shared" si="4"/>
        <v>0</v>
      </c>
      <c r="G40" s="715">
        <f t="shared" si="1"/>
        <v>100000</v>
      </c>
      <c r="H40" s="708"/>
    </row>
    <row r="41" spans="1:8" x14ac:dyDescent="0.25">
      <c r="A41" s="708">
        <f t="shared" si="5"/>
        <v>18</v>
      </c>
      <c r="B41" s="713">
        <f t="shared" si="0"/>
        <v>45727</v>
      </c>
      <c r="C41" s="714">
        <f t="shared" si="6"/>
        <v>4571018.26</v>
      </c>
      <c r="D41" s="714">
        <f t="shared" si="2"/>
        <v>30219.960000000006</v>
      </c>
      <c r="E41" s="714">
        <f t="shared" si="3"/>
        <v>69780.039999999994</v>
      </c>
      <c r="F41" s="714">
        <f t="shared" si="4"/>
        <v>0</v>
      </c>
      <c r="G41" s="715">
        <f t="shared" si="1"/>
        <v>100000</v>
      </c>
      <c r="H41" s="708"/>
    </row>
    <row r="42" spans="1:8" x14ac:dyDescent="0.25">
      <c r="A42" s="708">
        <f t="shared" si="5"/>
        <v>19</v>
      </c>
      <c r="B42" s="713">
        <f t="shared" si="0"/>
        <v>45758</v>
      </c>
      <c r="C42" s="714">
        <f t="shared" si="6"/>
        <v>4540798.3</v>
      </c>
      <c r="D42" s="714">
        <f t="shared" si="2"/>
        <v>23254.289999999994</v>
      </c>
      <c r="E42" s="714">
        <f t="shared" si="3"/>
        <v>76745.710000000006</v>
      </c>
      <c r="F42" s="714">
        <f t="shared" si="4"/>
        <v>0</v>
      </c>
      <c r="G42" s="715">
        <f t="shared" si="1"/>
        <v>100000</v>
      </c>
      <c r="H42" s="708"/>
    </row>
    <row r="43" spans="1:8" x14ac:dyDescent="0.25">
      <c r="A43" s="708">
        <f t="shared" si="5"/>
        <v>20</v>
      </c>
      <c r="B43" s="713">
        <f t="shared" si="0"/>
        <v>45788</v>
      </c>
      <c r="C43" s="714">
        <f t="shared" si="6"/>
        <v>4517544.01</v>
      </c>
      <c r="D43" s="714">
        <f t="shared" si="2"/>
        <v>26110.309999999998</v>
      </c>
      <c r="E43" s="714">
        <f t="shared" si="3"/>
        <v>73889.69</v>
      </c>
      <c r="F43" s="714">
        <f t="shared" si="4"/>
        <v>0</v>
      </c>
      <c r="G43" s="715">
        <f t="shared" si="1"/>
        <v>100000</v>
      </c>
      <c r="H43" s="708"/>
    </row>
    <row r="44" spans="1:8" x14ac:dyDescent="0.25">
      <c r="A44" s="708">
        <f t="shared" si="5"/>
        <v>21</v>
      </c>
      <c r="B44" s="713">
        <f t="shared" si="0"/>
        <v>45819</v>
      </c>
      <c r="C44" s="714">
        <f t="shared" si="6"/>
        <v>4491433.7</v>
      </c>
      <c r="D44" s="714">
        <f t="shared" si="2"/>
        <v>24088.619999999995</v>
      </c>
      <c r="E44" s="714">
        <f t="shared" si="3"/>
        <v>75911.38</v>
      </c>
      <c r="F44" s="714">
        <f t="shared" si="4"/>
        <v>0</v>
      </c>
      <c r="G44" s="715">
        <f t="shared" si="1"/>
        <v>100000</v>
      </c>
      <c r="H44" s="708"/>
    </row>
    <row r="45" spans="1:8" x14ac:dyDescent="0.25">
      <c r="A45" s="708">
        <f t="shared" si="5"/>
        <v>22</v>
      </c>
      <c r="B45" s="713">
        <f t="shared" si="0"/>
        <v>45849</v>
      </c>
      <c r="C45" s="714">
        <f t="shared" si="6"/>
        <v>4467345.08</v>
      </c>
      <c r="D45" s="714">
        <f t="shared" si="2"/>
        <v>26931.369999999995</v>
      </c>
      <c r="E45" s="714">
        <f t="shared" si="3"/>
        <v>73068.63</v>
      </c>
      <c r="F45" s="714">
        <f t="shared" si="4"/>
        <v>0</v>
      </c>
      <c r="G45" s="715">
        <f t="shared" si="1"/>
        <v>100000</v>
      </c>
      <c r="H45" s="708"/>
    </row>
    <row r="46" spans="1:8" x14ac:dyDescent="0.25">
      <c r="A46" s="708">
        <f t="shared" si="5"/>
        <v>23</v>
      </c>
      <c r="B46" s="713">
        <f t="shared" si="0"/>
        <v>45880</v>
      </c>
      <c r="C46" s="714">
        <f t="shared" si="6"/>
        <v>4440413.71</v>
      </c>
      <c r="D46" s="714">
        <f t="shared" si="2"/>
        <v>24950.929999999993</v>
      </c>
      <c r="E46" s="714">
        <f t="shared" si="3"/>
        <v>75049.070000000007</v>
      </c>
      <c r="F46" s="714">
        <f t="shared" si="4"/>
        <v>0</v>
      </c>
      <c r="G46" s="715">
        <f t="shared" si="1"/>
        <v>100000</v>
      </c>
      <c r="H46" s="708"/>
    </row>
    <row r="47" spans="1:8" x14ac:dyDescent="0.25">
      <c r="A47" s="708">
        <f t="shared" si="5"/>
        <v>24</v>
      </c>
      <c r="B47" s="713">
        <f t="shared" si="0"/>
        <v>45911</v>
      </c>
      <c r="C47" s="714">
        <f t="shared" si="6"/>
        <v>4415462.78</v>
      </c>
      <c r="D47" s="714">
        <f t="shared" si="2"/>
        <v>25372.630000000005</v>
      </c>
      <c r="E47" s="714">
        <f t="shared" si="3"/>
        <v>74627.37</v>
      </c>
      <c r="F47" s="714">
        <f t="shared" si="4"/>
        <v>0</v>
      </c>
      <c r="G47" s="715">
        <f t="shared" si="1"/>
        <v>100000</v>
      </c>
      <c r="H47" s="708"/>
    </row>
    <row r="48" spans="1:8" x14ac:dyDescent="0.25">
      <c r="A48" s="708">
        <f t="shared" si="5"/>
        <v>25</v>
      </c>
      <c r="B48" s="713">
        <f t="shared" si="0"/>
        <v>45941</v>
      </c>
      <c r="C48" s="714">
        <f t="shared" si="6"/>
        <v>4390090.1500000004</v>
      </c>
      <c r="D48" s="714">
        <f t="shared" si="2"/>
        <v>28194.960000000006</v>
      </c>
      <c r="E48" s="714">
        <f t="shared" si="3"/>
        <v>71805.039999999994</v>
      </c>
      <c r="F48" s="714">
        <f t="shared" si="4"/>
        <v>0</v>
      </c>
      <c r="G48" s="715">
        <f t="shared" si="1"/>
        <v>100000</v>
      </c>
      <c r="H48" s="708"/>
    </row>
    <row r="49" spans="1:8" x14ac:dyDescent="0.25">
      <c r="A49" s="708">
        <f t="shared" si="5"/>
        <v>26</v>
      </c>
      <c r="B49" s="713">
        <f t="shared" si="0"/>
        <v>45972</v>
      </c>
      <c r="C49" s="714">
        <f t="shared" si="6"/>
        <v>4361895.1900000004</v>
      </c>
      <c r="D49" s="714">
        <f t="shared" si="2"/>
        <v>26278</v>
      </c>
      <c r="E49" s="714">
        <f t="shared" si="3"/>
        <v>73722</v>
      </c>
      <c r="F49" s="714">
        <f t="shared" si="4"/>
        <v>0</v>
      </c>
      <c r="G49" s="715">
        <f t="shared" si="1"/>
        <v>100000</v>
      </c>
      <c r="H49" s="708"/>
    </row>
    <row r="50" spans="1:8" x14ac:dyDescent="0.25">
      <c r="A50" s="708">
        <f t="shared" si="5"/>
        <v>27</v>
      </c>
      <c r="B50" s="713">
        <f t="shared" si="0"/>
        <v>46002</v>
      </c>
      <c r="C50" s="714">
        <f t="shared" si="6"/>
        <v>4335617.1900000004</v>
      </c>
      <c r="D50" s="714">
        <f t="shared" si="2"/>
        <v>29085.929999999993</v>
      </c>
      <c r="E50" s="714">
        <f t="shared" si="3"/>
        <v>70914.070000000007</v>
      </c>
      <c r="F50" s="714">
        <f t="shared" si="4"/>
        <v>0</v>
      </c>
      <c r="G50" s="715">
        <f t="shared" si="1"/>
        <v>100000</v>
      </c>
      <c r="H50" s="708"/>
    </row>
    <row r="51" spans="1:8" x14ac:dyDescent="0.25">
      <c r="A51" s="708">
        <f t="shared" si="5"/>
        <v>28</v>
      </c>
      <c r="B51" s="713">
        <f t="shared" si="0"/>
        <v>46033</v>
      </c>
      <c r="C51" s="714">
        <f t="shared" si="6"/>
        <v>4306531.26</v>
      </c>
      <c r="D51" s="714">
        <f t="shared" si="2"/>
        <v>27213.72</v>
      </c>
      <c r="E51" s="714">
        <f t="shared" si="3"/>
        <v>72786.28</v>
      </c>
      <c r="F51" s="714">
        <f t="shared" si="4"/>
        <v>0</v>
      </c>
      <c r="G51" s="715">
        <f t="shared" si="1"/>
        <v>100000</v>
      </c>
      <c r="H51" s="708"/>
    </row>
    <row r="52" spans="1:8" x14ac:dyDescent="0.25">
      <c r="A52" s="708">
        <f t="shared" si="5"/>
        <v>29</v>
      </c>
      <c r="B52" s="713">
        <f t="shared" si="0"/>
        <v>46064</v>
      </c>
      <c r="C52" s="714">
        <f t="shared" si="6"/>
        <v>4279317.54</v>
      </c>
      <c r="D52" s="714">
        <f t="shared" si="2"/>
        <v>27673.67</v>
      </c>
      <c r="E52" s="714">
        <f t="shared" si="3"/>
        <v>72326.33</v>
      </c>
      <c r="F52" s="714">
        <f t="shared" si="4"/>
        <v>0</v>
      </c>
      <c r="G52" s="715">
        <f t="shared" si="1"/>
        <v>100000</v>
      </c>
      <c r="H52" s="708"/>
    </row>
    <row r="53" spans="1:8" x14ac:dyDescent="0.25">
      <c r="A53" s="708">
        <f t="shared" si="5"/>
        <v>30</v>
      </c>
      <c r="B53" s="713">
        <f t="shared" si="0"/>
        <v>46092</v>
      </c>
      <c r="C53" s="714">
        <f t="shared" si="6"/>
        <v>4251643.87</v>
      </c>
      <c r="D53" s="714">
        <f t="shared" si="2"/>
        <v>35095.449999999997</v>
      </c>
      <c r="E53" s="714">
        <f t="shared" si="3"/>
        <v>64904.55</v>
      </c>
      <c r="F53" s="714">
        <f t="shared" si="4"/>
        <v>0</v>
      </c>
      <c r="G53" s="715">
        <f t="shared" si="1"/>
        <v>100000</v>
      </c>
      <c r="H53" s="708"/>
    </row>
    <row r="54" spans="1:8" x14ac:dyDescent="0.25">
      <c r="A54" s="708">
        <f t="shared" si="5"/>
        <v>31</v>
      </c>
      <c r="B54" s="713">
        <f t="shared" si="0"/>
        <v>46123</v>
      </c>
      <c r="C54" s="714">
        <f t="shared" si="6"/>
        <v>4216548.42</v>
      </c>
      <c r="D54" s="714">
        <f t="shared" si="2"/>
        <v>28734.559999999998</v>
      </c>
      <c r="E54" s="714">
        <f t="shared" si="3"/>
        <v>71265.440000000002</v>
      </c>
      <c r="F54" s="714">
        <f t="shared" si="4"/>
        <v>0</v>
      </c>
      <c r="G54" s="715">
        <f t="shared" si="1"/>
        <v>100000</v>
      </c>
      <c r="H54" s="708"/>
    </row>
    <row r="55" spans="1:8" x14ac:dyDescent="0.25">
      <c r="A55" s="708">
        <f t="shared" si="5"/>
        <v>32</v>
      </c>
      <c r="B55" s="713">
        <f t="shared" si="0"/>
        <v>46153</v>
      </c>
      <c r="C55" s="714">
        <f t="shared" si="6"/>
        <v>4187813.86</v>
      </c>
      <c r="D55" s="714">
        <f t="shared" si="2"/>
        <v>31503.429999999993</v>
      </c>
      <c r="E55" s="714">
        <f t="shared" si="3"/>
        <v>68496.570000000007</v>
      </c>
      <c r="F55" s="714">
        <f t="shared" si="4"/>
        <v>0</v>
      </c>
      <c r="G55" s="715">
        <f t="shared" si="1"/>
        <v>100000</v>
      </c>
      <c r="H55" s="708"/>
    </row>
    <row r="56" spans="1:8" x14ac:dyDescent="0.25">
      <c r="A56" s="708">
        <f t="shared" si="5"/>
        <v>33</v>
      </c>
      <c r="B56" s="713">
        <f t="shared" si="0"/>
        <v>46184</v>
      </c>
      <c r="C56" s="714">
        <f t="shared" si="6"/>
        <v>4156310.43</v>
      </c>
      <c r="D56" s="714">
        <f t="shared" si="2"/>
        <v>29752.660000000003</v>
      </c>
      <c r="E56" s="714">
        <f t="shared" si="3"/>
        <v>70247.34</v>
      </c>
      <c r="F56" s="714">
        <f t="shared" si="4"/>
        <v>0</v>
      </c>
      <c r="G56" s="715">
        <f t="shared" si="1"/>
        <v>100000</v>
      </c>
      <c r="H56" s="708"/>
    </row>
    <row r="57" spans="1:8" x14ac:dyDescent="0.25">
      <c r="A57" s="708">
        <f t="shared" si="5"/>
        <v>34</v>
      </c>
      <c r="B57" s="713">
        <f t="shared" si="0"/>
        <v>46214</v>
      </c>
      <c r="C57" s="714">
        <f t="shared" si="6"/>
        <v>4126557.77</v>
      </c>
      <c r="D57" s="714">
        <f t="shared" si="2"/>
        <v>32505.339999999997</v>
      </c>
      <c r="E57" s="714">
        <f t="shared" si="3"/>
        <v>67494.66</v>
      </c>
      <c r="F57" s="714">
        <f t="shared" si="4"/>
        <v>0</v>
      </c>
      <c r="G57" s="715">
        <f t="shared" si="1"/>
        <v>100000</v>
      </c>
      <c r="H57" s="708"/>
    </row>
    <row r="58" spans="1:8" x14ac:dyDescent="0.25">
      <c r="A58" s="708">
        <f t="shared" si="5"/>
        <v>35</v>
      </c>
      <c r="B58" s="713">
        <f t="shared" si="0"/>
        <v>46245</v>
      </c>
      <c r="C58" s="714">
        <f t="shared" si="6"/>
        <v>4094052.43</v>
      </c>
      <c r="D58" s="714">
        <f t="shared" si="2"/>
        <v>30804.910000000003</v>
      </c>
      <c r="E58" s="714">
        <f t="shared" si="3"/>
        <v>69195.09</v>
      </c>
      <c r="F58" s="714">
        <f t="shared" si="4"/>
        <v>0</v>
      </c>
      <c r="G58" s="715">
        <f t="shared" si="1"/>
        <v>100000</v>
      </c>
      <c r="H58" s="708"/>
    </row>
    <row r="59" spans="1:8" x14ac:dyDescent="0.25">
      <c r="A59" s="708">
        <f t="shared" si="5"/>
        <v>36</v>
      </c>
      <c r="B59" s="713">
        <f t="shared" si="0"/>
        <v>46276</v>
      </c>
      <c r="C59" s="714">
        <f t="shared" si="6"/>
        <v>4063247.52</v>
      </c>
      <c r="D59" s="714">
        <f t="shared" si="2"/>
        <v>31325.550000000003</v>
      </c>
      <c r="E59" s="714">
        <f t="shared" si="3"/>
        <v>68674.45</v>
      </c>
      <c r="F59" s="714">
        <f t="shared" si="4"/>
        <v>0</v>
      </c>
      <c r="G59" s="715">
        <f t="shared" si="1"/>
        <v>100000</v>
      </c>
      <c r="H59" s="708"/>
    </row>
    <row r="60" spans="1:8" x14ac:dyDescent="0.25">
      <c r="A60" s="708">
        <f t="shared" si="5"/>
        <v>37</v>
      </c>
      <c r="B60" s="713">
        <f t="shared" si="0"/>
        <v>46306</v>
      </c>
      <c r="C60" s="714">
        <f t="shared" si="6"/>
        <v>4031921.97</v>
      </c>
      <c r="D60" s="714">
        <f t="shared" si="2"/>
        <v>34053.22</v>
      </c>
      <c r="E60" s="714">
        <f t="shared" si="3"/>
        <v>65946.78</v>
      </c>
      <c r="F60" s="714">
        <f t="shared" si="4"/>
        <v>0</v>
      </c>
      <c r="G60" s="715">
        <f t="shared" si="1"/>
        <v>100000</v>
      </c>
      <c r="H60" s="708"/>
    </row>
    <row r="61" spans="1:8" x14ac:dyDescent="0.25">
      <c r="A61" s="708">
        <f t="shared" si="5"/>
        <v>38</v>
      </c>
      <c r="B61" s="713">
        <f t="shared" si="0"/>
        <v>46337</v>
      </c>
      <c r="C61" s="714">
        <f t="shared" si="6"/>
        <v>3997868.75</v>
      </c>
      <c r="D61" s="714">
        <f t="shared" si="2"/>
        <v>32430.539999999994</v>
      </c>
      <c r="E61" s="714">
        <f t="shared" si="3"/>
        <v>67569.460000000006</v>
      </c>
      <c r="F61" s="714">
        <f t="shared" si="4"/>
        <v>0</v>
      </c>
      <c r="G61" s="715">
        <f t="shared" si="1"/>
        <v>100000</v>
      </c>
      <c r="H61" s="708"/>
    </row>
    <row r="62" spans="1:8" x14ac:dyDescent="0.25">
      <c r="A62" s="708">
        <f t="shared" si="5"/>
        <v>39</v>
      </c>
      <c r="B62" s="713">
        <f t="shared" si="0"/>
        <v>46367</v>
      </c>
      <c r="C62" s="714">
        <f t="shared" si="6"/>
        <v>3965438.21</v>
      </c>
      <c r="D62" s="714">
        <f t="shared" si="2"/>
        <v>35140.639999999999</v>
      </c>
      <c r="E62" s="714">
        <f t="shared" si="3"/>
        <v>64859.360000000001</v>
      </c>
      <c r="F62" s="714">
        <f t="shared" si="4"/>
        <v>0</v>
      </c>
      <c r="G62" s="715">
        <f t="shared" si="1"/>
        <v>100000</v>
      </c>
      <c r="H62" s="708"/>
    </row>
    <row r="63" spans="1:8" x14ac:dyDescent="0.25">
      <c r="A63" s="708">
        <f t="shared" si="5"/>
        <v>40</v>
      </c>
      <c r="B63" s="713">
        <f t="shared" si="0"/>
        <v>46398</v>
      </c>
      <c r="C63" s="714">
        <f t="shared" si="6"/>
        <v>3930297.57</v>
      </c>
      <c r="D63" s="714">
        <f t="shared" si="2"/>
        <v>33572.589999999997</v>
      </c>
      <c r="E63" s="714">
        <f t="shared" si="3"/>
        <v>66427.41</v>
      </c>
      <c r="F63" s="714">
        <f t="shared" si="4"/>
        <v>0</v>
      </c>
      <c r="G63" s="715">
        <f t="shared" si="1"/>
        <v>100000</v>
      </c>
      <c r="H63" s="708"/>
    </row>
    <row r="64" spans="1:8" x14ac:dyDescent="0.25">
      <c r="A64" s="708">
        <f t="shared" si="5"/>
        <v>41</v>
      </c>
      <c r="B64" s="713">
        <f t="shared" si="0"/>
        <v>46429</v>
      </c>
      <c r="C64" s="714">
        <f t="shared" si="6"/>
        <v>3896724.98</v>
      </c>
      <c r="D64" s="714">
        <f t="shared" si="2"/>
        <v>34140.009999999995</v>
      </c>
      <c r="E64" s="714">
        <f t="shared" si="3"/>
        <v>65859.990000000005</v>
      </c>
      <c r="F64" s="714">
        <f t="shared" si="4"/>
        <v>0</v>
      </c>
      <c r="G64" s="715">
        <f t="shared" si="1"/>
        <v>100000</v>
      </c>
      <c r="H64" s="708"/>
    </row>
    <row r="65" spans="1:8" x14ac:dyDescent="0.25">
      <c r="A65" s="708">
        <f t="shared" si="5"/>
        <v>42</v>
      </c>
      <c r="B65" s="713">
        <f t="shared" si="0"/>
        <v>46457</v>
      </c>
      <c r="C65" s="714">
        <f t="shared" si="6"/>
        <v>3862584.97</v>
      </c>
      <c r="D65" s="714">
        <f t="shared" si="2"/>
        <v>41034.730000000003</v>
      </c>
      <c r="E65" s="714">
        <f t="shared" si="3"/>
        <v>58965.27</v>
      </c>
      <c r="F65" s="714">
        <f t="shared" si="4"/>
        <v>0</v>
      </c>
      <c r="G65" s="715">
        <f t="shared" si="1"/>
        <v>100000</v>
      </c>
      <c r="H65" s="708"/>
    </row>
    <row r="66" spans="1:8" x14ac:dyDescent="0.25">
      <c r="A66" s="708">
        <f t="shared" si="5"/>
        <v>43</v>
      </c>
      <c r="B66" s="713">
        <f t="shared" si="0"/>
        <v>46488</v>
      </c>
      <c r="C66" s="714">
        <f t="shared" si="6"/>
        <v>3821550.24</v>
      </c>
      <c r="D66" s="714">
        <f t="shared" si="2"/>
        <v>35410.57</v>
      </c>
      <c r="E66" s="714">
        <f t="shared" si="3"/>
        <v>64589.43</v>
      </c>
      <c r="F66" s="714">
        <f t="shared" si="4"/>
        <v>0</v>
      </c>
      <c r="G66" s="715">
        <f t="shared" si="1"/>
        <v>100000</v>
      </c>
      <c r="H66" s="708"/>
    </row>
    <row r="67" spans="1:8" x14ac:dyDescent="0.25">
      <c r="A67" s="708">
        <f t="shared" si="5"/>
        <v>44</v>
      </c>
      <c r="B67" s="713">
        <f t="shared" si="0"/>
        <v>46518</v>
      </c>
      <c r="C67" s="714">
        <f t="shared" si="6"/>
        <v>3786139.67</v>
      </c>
      <c r="D67" s="714">
        <f t="shared" si="2"/>
        <v>38073.279999999999</v>
      </c>
      <c r="E67" s="714">
        <f t="shared" si="3"/>
        <v>61926.720000000001</v>
      </c>
      <c r="F67" s="714">
        <f t="shared" si="4"/>
        <v>0</v>
      </c>
      <c r="G67" s="715">
        <f t="shared" si="1"/>
        <v>100000</v>
      </c>
      <c r="H67" s="708"/>
    </row>
    <row r="68" spans="1:8" x14ac:dyDescent="0.25">
      <c r="A68" s="708">
        <f t="shared" si="5"/>
        <v>45</v>
      </c>
      <c r="B68" s="713">
        <f t="shared" si="0"/>
        <v>46549</v>
      </c>
      <c r="C68" s="714">
        <f t="shared" si="6"/>
        <v>3748066.39</v>
      </c>
      <c r="D68" s="714">
        <f t="shared" si="2"/>
        <v>36652.54</v>
      </c>
      <c r="E68" s="714">
        <f t="shared" si="3"/>
        <v>63347.46</v>
      </c>
      <c r="F68" s="714">
        <f t="shared" si="4"/>
        <v>0</v>
      </c>
      <c r="G68" s="715">
        <f t="shared" si="1"/>
        <v>100000</v>
      </c>
      <c r="H68" s="708"/>
    </row>
    <row r="69" spans="1:8" x14ac:dyDescent="0.25">
      <c r="A69" s="708">
        <f t="shared" si="5"/>
        <v>46</v>
      </c>
      <c r="B69" s="713">
        <f t="shared" si="0"/>
        <v>46579</v>
      </c>
      <c r="C69" s="714">
        <f t="shared" si="6"/>
        <v>3711413.85</v>
      </c>
      <c r="D69" s="714">
        <f t="shared" si="2"/>
        <v>39295.5</v>
      </c>
      <c r="E69" s="714">
        <f t="shared" si="3"/>
        <v>60704.5</v>
      </c>
      <c r="F69" s="714">
        <f t="shared" si="4"/>
        <v>0</v>
      </c>
      <c r="G69" s="715">
        <f t="shared" si="1"/>
        <v>100000</v>
      </c>
      <c r="H69" s="708"/>
    </row>
    <row r="70" spans="1:8" x14ac:dyDescent="0.25">
      <c r="A70" s="708">
        <f t="shared" si="5"/>
        <v>47</v>
      </c>
      <c r="B70" s="713">
        <f t="shared" si="0"/>
        <v>46610</v>
      </c>
      <c r="C70" s="714">
        <f t="shared" si="6"/>
        <v>3672118.35</v>
      </c>
      <c r="D70" s="714">
        <f t="shared" si="2"/>
        <v>37936.17</v>
      </c>
      <c r="E70" s="714">
        <f t="shared" si="3"/>
        <v>62063.83</v>
      </c>
      <c r="F70" s="714">
        <f t="shared" si="4"/>
        <v>0</v>
      </c>
      <c r="G70" s="715">
        <f t="shared" si="1"/>
        <v>100000</v>
      </c>
      <c r="H70" s="708"/>
    </row>
    <row r="71" spans="1:8" x14ac:dyDescent="0.25">
      <c r="A71" s="708">
        <f t="shared" si="5"/>
        <v>48</v>
      </c>
      <c r="B71" s="713">
        <f t="shared" si="0"/>
        <v>46641</v>
      </c>
      <c r="C71" s="714">
        <f t="shared" si="6"/>
        <v>3634182.18</v>
      </c>
      <c r="D71" s="714">
        <f t="shared" si="2"/>
        <v>38577.339999999997</v>
      </c>
      <c r="E71" s="714">
        <f t="shared" si="3"/>
        <v>61422.66</v>
      </c>
      <c r="F71" s="714">
        <f t="shared" si="4"/>
        <v>0</v>
      </c>
      <c r="G71" s="715">
        <f t="shared" si="1"/>
        <v>100000</v>
      </c>
      <c r="H71" s="708"/>
    </row>
    <row r="72" spans="1:8" x14ac:dyDescent="0.25">
      <c r="A72" s="708">
        <f t="shared" si="5"/>
        <v>49</v>
      </c>
      <c r="B72" s="713">
        <f t="shared" si="0"/>
        <v>46671</v>
      </c>
      <c r="C72" s="714">
        <f t="shared" si="6"/>
        <v>3595604.84</v>
      </c>
      <c r="D72" s="714">
        <f t="shared" si="2"/>
        <v>41189.699999999997</v>
      </c>
      <c r="E72" s="714">
        <f t="shared" si="3"/>
        <v>58810.3</v>
      </c>
      <c r="F72" s="714">
        <f t="shared" si="4"/>
        <v>0</v>
      </c>
      <c r="G72" s="715">
        <f t="shared" si="1"/>
        <v>100000</v>
      </c>
    </row>
    <row r="73" spans="1:8" x14ac:dyDescent="0.25">
      <c r="A73" s="708">
        <f t="shared" si="5"/>
        <v>50</v>
      </c>
      <c r="B73" s="713">
        <f t="shared" si="0"/>
        <v>46702</v>
      </c>
      <c r="C73" s="714">
        <f t="shared" si="6"/>
        <v>3554415.14</v>
      </c>
      <c r="D73" s="714">
        <f t="shared" si="2"/>
        <v>39925.519999999997</v>
      </c>
      <c r="E73" s="714">
        <f t="shared" si="3"/>
        <v>60074.48</v>
      </c>
      <c r="F73" s="714">
        <f t="shared" si="4"/>
        <v>0</v>
      </c>
      <c r="G73" s="715">
        <f t="shared" si="1"/>
        <v>100000</v>
      </c>
    </row>
    <row r="74" spans="1:8" x14ac:dyDescent="0.25">
      <c r="A74" s="708">
        <f t="shared" si="5"/>
        <v>51</v>
      </c>
      <c r="B74" s="713">
        <f t="shared" si="0"/>
        <v>46732</v>
      </c>
      <c r="C74" s="714">
        <f t="shared" si="6"/>
        <v>3514489.62</v>
      </c>
      <c r="D74" s="714">
        <f t="shared" si="2"/>
        <v>42516.43</v>
      </c>
      <c r="E74" s="714">
        <f t="shared" si="3"/>
        <v>57483.57</v>
      </c>
      <c r="F74" s="714">
        <f t="shared" si="4"/>
        <v>0</v>
      </c>
      <c r="G74" s="715">
        <f t="shared" si="1"/>
        <v>100000</v>
      </c>
    </row>
    <row r="75" spans="1:8" x14ac:dyDescent="0.25">
      <c r="A75" s="708">
        <f t="shared" si="5"/>
        <v>52</v>
      </c>
      <c r="B75" s="713">
        <f t="shared" si="0"/>
        <v>46763</v>
      </c>
      <c r="C75" s="714">
        <f t="shared" si="6"/>
        <v>3471973.19</v>
      </c>
      <c r="D75" s="714">
        <f t="shared" si="2"/>
        <v>41318.9</v>
      </c>
      <c r="E75" s="714">
        <f t="shared" si="3"/>
        <v>58681.1</v>
      </c>
      <c r="F75" s="714">
        <f t="shared" si="4"/>
        <v>0</v>
      </c>
      <c r="G75" s="715">
        <f t="shared" si="1"/>
        <v>100000</v>
      </c>
    </row>
    <row r="76" spans="1:8" x14ac:dyDescent="0.25">
      <c r="A76" s="708">
        <f t="shared" si="5"/>
        <v>53</v>
      </c>
      <c r="B76" s="713">
        <f t="shared" si="0"/>
        <v>46794</v>
      </c>
      <c r="C76" s="714">
        <f t="shared" si="6"/>
        <v>3430654.29</v>
      </c>
      <c r="D76" s="714">
        <f t="shared" si="2"/>
        <v>42017.24</v>
      </c>
      <c r="E76" s="714">
        <f t="shared" si="3"/>
        <v>57982.76</v>
      </c>
      <c r="F76" s="714">
        <f t="shared" si="4"/>
        <v>0</v>
      </c>
      <c r="G76" s="715">
        <f t="shared" si="1"/>
        <v>100000</v>
      </c>
    </row>
    <row r="77" spans="1:8" x14ac:dyDescent="0.25">
      <c r="A77" s="708">
        <f t="shared" si="5"/>
        <v>54</v>
      </c>
      <c r="B77" s="713">
        <f t="shared" si="0"/>
        <v>46823</v>
      </c>
      <c r="C77" s="714">
        <f t="shared" si="6"/>
        <v>3388637.05</v>
      </c>
      <c r="D77" s="714">
        <f t="shared" si="2"/>
        <v>46422.400000000001</v>
      </c>
      <c r="E77" s="714">
        <f t="shared" si="3"/>
        <v>53577.599999999999</v>
      </c>
      <c r="F77" s="714">
        <f t="shared" si="4"/>
        <v>0</v>
      </c>
      <c r="G77" s="715">
        <f t="shared" si="1"/>
        <v>100000</v>
      </c>
    </row>
    <row r="78" spans="1:8" x14ac:dyDescent="0.25">
      <c r="A78" s="708">
        <f t="shared" si="5"/>
        <v>55</v>
      </c>
      <c r="B78" s="713">
        <f t="shared" si="0"/>
        <v>46854</v>
      </c>
      <c r="C78" s="714">
        <f t="shared" si="6"/>
        <v>3342214.65</v>
      </c>
      <c r="D78" s="714">
        <f t="shared" si="2"/>
        <v>43511.99</v>
      </c>
      <c r="E78" s="714">
        <f t="shared" si="3"/>
        <v>56488.01</v>
      </c>
      <c r="F78" s="714">
        <f t="shared" si="4"/>
        <v>0</v>
      </c>
      <c r="G78" s="715">
        <f t="shared" si="1"/>
        <v>100000</v>
      </c>
    </row>
    <row r="79" spans="1:8" x14ac:dyDescent="0.25">
      <c r="A79" s="708">
        <f t="shared" si="5"/>
        <v>56</v>
      </c>
      <c r="B79" s="713">
        <f t="shared" si="0"/>
        <v>46884</v>
      </c>
      <c r="C79" s="714">
        <f t="shared" si="6"/>
        <v>3298702.66</v>
      </c>
      <c r="D79" s="714">
        <f t="shared" si="2"/>
        <v>46045.88</v>
      </c>
      <c r="E79" s="714">
        <f t="shared" si="3"/>
        <v>53954.12</v>
      </c>
      <c r="F79" s="714">
        <f t="shared" si="4"/>
        <v>0</v>
      </c>
      <c r="G79" s="715">
        <f t="shared" si="1"/>
        <v>100000</v>
      </c>
    </row>
    <row r="80" spans="1:8" x14ac:dyDescent="0.25">
      <c r="A80" s="708">
        <f t="shared" si="5"/>
        <v>57</v>
      </c>
      <c r="B80" s="713">
        <f t="shared" si="0"/>
        <v>46915</v>
      </c>
      <c r="C80" s="714">
        <f t="shared" si="6"/>
        <v>3252656.78</v>
      </c>
      <c r="D80" s="714">
        <f t="shared" si="2"/>
        <v>45025.64</v>
      </c>
      <c r="E80" s="714">
        <f t="shared" si="3"/>
        <v>54974.36</v>
      </c>
      <c r="F80" s="714">
        <f t="shared" si="4"/>
        <v>0</v>
      </c>
      <c r="G80" s="715">
        <f t="shared" si="1"/>
        <v>100000</v>
      </c>
    </row>
    <row r="81" spans="1:7" x14ac:dyDescent="0.25">
      <c r="A81" s="708">
        <f t="shared" si="5"/>
        <v>58</v>
      </c>
      <c r="B81" s="713">
        <f t="shared" si="0"/>
        <v>46945</v>
      </c>
      <c r="C81" s="714">
        <f t="shared" si="6"/>
        <v>3207631.14</v>
      </c>
      <c r="D81" s="714">
        <f t="shared" si="2"/>
        <v>47535.46</v>
      </c>
      <c r="E81" s="714">
        <f t="shared" si="3"/>
        <v>52464.54</v>
      </c>
      <c r="F81" s="714">
        <f t="shared" si="4"/>
        <v>0</v>
      </c>
      <c r="G81" s="715">
        <f t="shared" si="1"/>
        <v>100000</v>
      </c>
    </row>
    <row r="82" spans="1:7" x14ac:dyDescent="0.25">
      <c r="A82" s="708">
        <f t="shared" si="5"/>
        <v>59</v>
      </c>
      <c r="B82" s="713">
        <f t="shared" si="0"/>
        <v>46976</v>
      </c>
      <c r="C82" s="714">
        <f t="shared" si="6"/>
        <v>3160095.68</v>
      </c>
      <c r="D82" s="714">
        <f t="shared" si="2"/>
        <v>46590.05</v>
      </c>
      <c r="E82" s="714">
        <f t="shared" si="3"/>
        <v>53409.95</v>
      </c>
      <c r="F82" s="714">
        <f t="shared" si="4"/>
        <v>0</v>
      </c>
      <c r="G82" s="715">
        <f t="shared" si="1"/>
        <v>100000</v>
      </c>
    </row>
    <row r="83" spans="1:7" x14ac:dyDescent="0.25">
      <c r="A83" s="708">
        <f t="shared" si="5"/>
        <v>60</v>
      </c>
      <c r="B83" s="713">
        <f t="shared" si="0"/>
        <v>47007</v>
      </c>
      <c r="C83" s="714">
        <f t="shared" si="6"/>
        <v>3113505.63</v>
      </c>
      <c r="D83" s="714">
        <f t="shared" si="2"/>
        <v>47377.49</v>
      </c>
      <c r="E83" s="714">
        <f t="shared" si="3"/>
        <v>52622.51</v>
      </c>
      <c r="F83" s="714">
        <f t="shared" si="4"/>
        <v>0</v>
      </c>
      <c r="G83" s="715">
        <f t="shared" si="1"/>
        <v>100000</v>
      </c>
    </row>
    <row r="84" spans="1:7" x14ac:dyDescent="0.25">
      <c r="A84" s="708">
        <f t="shared" si="5"/>
        <v>61</v>
      </c>
      <c r="B84" s="713">
        <f t="shared" si="0"/>
        <v>47037</v>
      </c>
      <c r="C84" s="714">
        <f t="shared" si="6"/>
        <v>3066128.14</v>
      </c>
      <c r="D84" s="714">
        <f t="shared" si="2"/>
        <v>49849.9</v>
      </c>
      <c r="E84" s="714">
        <f t="shared" si="3"/>
        <v>50150.1</v>
      </c>
      <c r="F84" s="714">
        <f t="shared" si="4"/>
        <v>0</v>
      </c>
      <c r="G84" s="715">
        <f t="shared" si="1"/>
        <v>100000</v>
      </c>
    </row>
    <row r="85" spans="1:7" x14ac:dyDescent="0.25">
      <c r="A85" s="708">
        <f t="shared" si="5"/>
        <v>62</v>
      </c>
      <c r="B85" s="713">
        <f t="shared" si="0"/>
        <v>47068</v>
      </c>
      <c r="C85" s="714">
        <f t="shared" si="6"/>
        <v>3016278.24</v>
      </c>
      <c r="D85" s="714">
        <f t="shared" si="2"/>
        <v>49020.77</v>
      </c>
      <c r="E85" s="714">
        <f t="shared" si="3"/>
        <v>50979.23</v>
      </c>
      <c r="F85" s="714">
        <f t="shared" si="4"/>
        <v>0</v>
      </c>
      <c r="G85" s="715">
        <f t="shared" si="1"/>
        <v>100000</v>
      </c>
    </row>
    <row r="86" spans="1:7" x14ac:dyDescent="0.25">
      <c r="A86" s="708">
        <f t="shared" si="5"/>
        <v>63</v>
      </c>
      <c r="B86" s="713">
        <f t="shared" si="0"/>
        <v>47098</v>
      </c>
      <c r="C86" s="714">
        <f t="shared" si="6"/>
        <v>2967257.47</v>
      </c>
      <c r="D86" s="714">
        <f t="shared" si="2"/>
        <v>51467.05</v>
      </c>
      <c r="E86" s="714">
        <f t="shared" si="3"/>
        <v>48532.95</v>
      </c>
      <c r="F86" s="714">
        <f t="shared" si="4"/>
        <v>0</v>
      </c>
      <c r="G86" s="715">
        <f t="shared" si="1"/>
        <v>100000</v>
      </c>
    </row>
    <row r="87" spans="1:7" x14ac:dyDescent="0.25">
      <c r="A87" s="708">
        <f t="shared" si="5"/>
        <v>64</v>
      </c>
      <c r="B87" s="713">
        <f t="shared" si="0"/>
        <v>47129</v>
      </c>
      <c r="C87" s="714">
        <f t="shared" si="6"/>
        <v>2915790.42</v>
      </c>
      <c r="D87" s="714">
        <f t="shared" si="2"/>
        <v>50719.15</v>
      </c>
      <c r="E87" s="714">
        <f t="shared" si="3"/>
        <v>49280.85</v>
      </c>
      <c r="F87" s="714">
        <f t="shared" si="4"/>
        <v>0</v>
      </c>
      <c r="G87" s="715">
        <f t="shared" si="1"/>
        <v>100000</v>
      </c>
    </row>
    <row r="88" spans="1:7" x14ac:dyDescent="0.25">
      <c r="A88" s="708">
        <f t="shared" si="5"/>
        <v>65</v>
      </c>
      <c r="B88" s="713">
        <f t="shared" ref="B88:B150" si="7">EDATE($D$13,A88)</f>
        <v>47160</v>
      </c>
      <c r="C88" s="714">
        <f t="shared" si="6"/>
        <v>2865071.27</v>
      </c>
      <c r="D88" s="714">
        <f t="shared" si="2"/>
        <v>51576.37</v>
      </c>
      <c r="E88" s="714">
        <f t="shared" si="3"/>
        <v>48423.63</v>
      </c>
      <c r="F88" s="714">
        <f t="shared" si="4"/>
        <v>0</v>
      </c>
      <c r="G88" s="715">
        <f t="shared" ref="G88:G150" si="8">IF(OR($D$4="",$D$7="",$D$6="",$D$12="",$D$13=""),0,IF(C88+E88+F88&lt;$D$14,C88+E88+F88,$D$14))</f>
        <v>100000</v>
      </c>
    </row>
    <row r="89" spans="1:7" x14ac:dyDescent="0.25">
      <c r="A89" s="708">
        <f t="shared" si="5"/>
        <v>66</v>
      </c>
      <c r="B89" s="713">
        <f t="shared" si="7"/>
        <v>47188</v>
      </c>
      <c r="C89" s="714">
        <f t="shared" si="6"/>
        <v>2813494.9</v>
      </c>
      <c r="D89" s="714">
        <f t="shared" ref="D89:D150" si="9">MAX(G89-F89-E89,0)</f>
        <v>57049.88</v>
      </c>
      <c r="E89" s="714">
        <f t="shared" ref="E89:E150" si="10">ROUND(C89*$D$10*_xlfn.DAYS(B89,B88)/365,2)</f>
        <v>42950.12</v>
      </c>
      <c r="F89" s="714">
        <f t="shared" ref="F89:F150" si="11">IF(C89&lt;&gt;0,$D$11)+IF(AND($D$12="Да",C89&lt;&gt;0),69)</f>
        <v>0</v>
      </c>
      <c r="G89" s="715">
        <f t="shared" si="8"/>
        <v>100000</v>
      </c>
    </row>
    <row r="90" spans="1:7" x14ac:dyDescent="0.25">
      <c r="A90" s="708">
        <f t="shared" ref="A90:A122" si="12">A89+1</f>
        <v>67</v>
      </c>
      <c r="B90" s="713">
        <f t="shared" si="7"/>
        <v>47219</v>
      </c>
      <c r="C90" s="714">
        <f t="shared" ref="C90:C150" si="13">ROUNDDOWN(C89-D89,2)</f>
        <v>2756445.02</v>
      </c>
      <c r="D90" s="714">
        <f t="shared" si="9"/>
        <v>53412.3</v>
      </c>
      <c r="E90" s="714">
        <f t="shared" si="10"/>
        <v>46587.7</v>
      </c>
      <c r="F90" s="714">
        <f t="shared" si="11"/>
        <v>0</v>
      </c>
      <c r="G90" s="715">
        <f t="shared" si="8"/>
        <v>100000</v>
      </c>
    </row>
    <row r="91" spans="1:7" x14ac:dyDescent="0.25">
      <c r="A91" s="708">
        <f t="shared" si="12"/>
        <v>68</v>
      </c>
      <c r="B91" s="713">
        <f t="shared" si="7"/>
        <v>47249</v>
      </c>
      <c r="C91" s="714">
        <f t="shared" si="13"/>
        <v>2703032.72</v>
      </c>
      <c r="D91" s="714">
        <f t="shared" si="9"/>
        <v>55788.75</v>
      </c>
      <c r="E91" s="714">
        <f t="shared" si="10"/>
        <v>44211.25</v>
      </c>
      <c r="F91" s="714">
        <f t="shared" si="11"/>
        <v>0</v>
      </c>
      <c r="G91" s="715">
        <f t="shared" si="8"/>
        <v>100000</v>
      </c>
    </row>
    <row r="92" spans="1:7" x14ac:dyDescent="0.25">
      <c r="A92" s="708">
        <f t="shared" si="12"/>
        <v>69</v>
      </c>
      <c r="B92" s="713">
        <f t="shared" si="7"/>
        <v>47280</v>
      </c>
      <c r="C92" s="714">
        <f t="shared" si="13"/>
        <v>2647243.9700000002</v>
      </c>
      <c r="D92" s="714">
        <f t="shared" si="9"/>
        <v>55257.95</v>
      </c>
      <c r="E92" s="714">
        <f t="shared" si="10"/>
        <v>44742.05</v>
      </c>
      <c r="F92" s="714">
        <f t="shared" si="11"/>
        <v>0</v>
      </c>
      <c r="G92" s="715">
        <f t="shared" si="8"/>
        <v>100000</v>
      </c>
    </row>
    <row r="93" spans="1:7" x14ac:dyDescent="0.25">
      <c r="A93" s="708">
        <f t="shared" si="12"/>
        <v>70</v>
      </c>
      <c r="B93" s="713">
        <f t="shared" si="7"/>
        <v>47310</v>
      </c>
      <c r="C93" s="714">
        <f t="shared" si="13"/>
        <v>2591986.02</v>
      </c>
      <c r="D93" s="714">
        <f t="shared" si="9"/>
        <v>57605.05</v>
      </c>
      <c r="E93" s="714">
        <f t="shared" si="10"/>
        <v>42394.95</v>
      </c>
      <c r="F93" s="714">
        <f t="shared" si="11"/>
        <v>0</v>
      </c>
      <c r="G93" s="715">
        <f t="shared" si="8"/>
        <v>100000</v>
      </c>
    </row>
    <row r="94" spans="1:7" x14ac:dyDescent="0.25">
      <c r="A94" s="708">
        <f t="shared" si="12"/>
        <v>71</v>
      </c>
      <c r="B94" s="713">
        <f t="shared" si="7"/>
        <v>47341</v>
      </c>
      <c r="C94" s="714">
        <f t="shared" si="13"/>
        <v>2534380.9700000002</v>
      </c>
      <c r="D94" s="714">
        <f t="shared" si="9"/>
        <v>57165.49</v>
      </c>
      <c r="E94" s="714">
        <f t="shared" si="10"/>
        <v>42834.51</v>
      </c>
      <c r="F94" s="714">
        <f t="shared" si="11"/>
        <v>0</v>
      </c>
      <c r="G94" s="715">
        <f t="shared" si="8"/>
        <v>100000</v>
      </c>
    </row>
    <row r="95" spans="1:7" x14ac:dyDescent="0.25">
      <c r="A95" s="708">
        <f t="shared" si="12"/>
        <v>72</v>
      </c>
      <c r="B95" s="713">
        <f t="shared" si="7"/>
        <v>47372</v>
      </c>
      <c r="C95" s="714">
        <f t="shared" si="13"/>
        <v>2477215.48</v>
      </c>
      <c r="D95" s="714">
        <f t="shared" si="9"/>
        <v>58131.66</v>
      </c>
      <c r="E95" s="714">
        <f t="shared" si="10"/>
        <v>41868.339999999997</v>
      </c>
      <c r="F95" s="714">
        <f t="shared" si="11"/>
        <v>0</v>
      </c>
      <c r="G95" s="715">
        <f t="shared" si="8"/>
        <v>100000</v>
      </c>
    </row>
    <row r="96" spans="1:7" x14ac:dyDescent="0.25">
      <c r="A96" s="708">
        <f t="shared" si="12"/>
        <v>73</v>
      </c>
      <c r="B96" s="713">
        <f t="shared" si="7"/>
        <v>47402</v>
      </c>
      <c r="C96" s="714">
        <f t="shared" si="13"/>
        <v>2419083.8199999998</v>
      </c>
      <c r="D96" s="714">
        <f t="shared" si="9"/>
        <v>60433.07</v>
      </c>
      <c r="E96" s="714">
        <f t="shared" si="10"/>
        <v>39566.93</v>
      </c>
      <c r="F96" s="714">
        <f t="shared" si="11"/>
        <v>0</v>
      </c>
      <c r="G96" s="715">
        <f t="shared" si="8"/>
        <v>100000</v>
      </c>
    </row>
    <row r="97" spans="1:7" x14ac:dyDescent="0.25">
      <c r="A97" s="708">
        <f t="shared" si="12"/>
        <v>74</v>
      </c>
      <c r="B97" s="713">
        <f t="shared" si="7"/>
        <v>47433</v>
      </c>
      <c r="C97" s="714">
        <f t="shared" si="13"/>
        <v>2358650.75</v>
      </c>
      <c r="D97" s="714">
        <f t="shared" si="9"/>
        <v>60135.57</v>
      </c>
      <c r="E97" s="714">
        <f t="shared" si="10"/>
        <v>39864.43</v>
      </c>
      <c r="F97" s="714">
        <f t="shared" si="11"/>
        <v>0</v>
      </c>
      <c r="G97" s="715">
        <f t="shared" si="8"/>
        <v>100000</v>
      </c>
    </row>
    <row r="98" spans="1:7" x14ac:dyDescent="0.25">
      <c r="A98" s="708">
        <f t="shared" si="12"/>
        <v>75</v>
      </c>
      <c r="B98" s="713">
        <f t="shared" si="7"/>
        <v>47463</v>
      </c>
      <c r="C98" s="714">
        <f t="shared" si="13"/>
        <v>2298515.1800000002</v>
      </c>
      <c r="D98" s="714">
        <f t="shared" si="9"/>
        <v>62405.11</v>
      </c>
      <c r="E98" s="714">
        <f t="shared" si="10"/>
        <v>37594.89</v>
      </c>
      <c r="F98" s="714">
        <f t="shared" si="11"/>
        <v>0</v>
      </c>
      <c r="G98" s="715">
        <f t="shared" si="8"/>
        <v>100000</v>
      </c>
    </row>
    <row r="99" spans="1:7" x14ac:dyDescent="0.25">
      <c r="A99" s="708">
        <f t="shared" si="12"/>
        <v>76</v>
      </c>
      <c r="B99" s="713">
        <f t="shared" si="7"/>
        <v>47494</v>
      </c>
      <c r="C99" s="714">
        <f t="shared" si="13"/>
        <v>2236110.0699999998</v>
      </c>
      <c r="D99" s="714">
        <f t="shared" si="9"/>
        <v>62206.68</v>
      </c>
      <c r="E99" s="714">
        <f t="shared" si="10"/>
        <v>37793.32</v>
      </c>
      <c r="F99" s="714">
        <f t="shared" si="11"/>
        <v>0</v>
      </c>
      <c r="G99" s="715">
        <f t="shared" si="8"/>
        <v>100000</v>
      </c>
    </row>
    <row r="100" spans="1:7" x14ac:dyDescent="0.25">
      <c r="A100" s="708">
        <f t="shared" si="12"/>
        <v>77</v>
      </c>
      <c r="B100" s="713">
        <f t="shared" si="7"/>
        <v>47525</v>
      </c>
      <c r="C100" s="714">
        <f t="shared" si="13"/>
        <v>2173903.39</v>
      </c>
      <c r="D100" s="714">
        <f t="shared" si="9"/>
        <v>63258.05</v>
      </c>
      <c r="E100" s="714">
        <f t="shared" si="10"/>
        <v>36741.949999999997</v>
      </c>
      <c r="F100" s="714">
        <f t="shared" si="11"/>
        <v>0</v>
      </c>
      <c r="G100" s="715">
        <f t="shared" si="8"/>
        <v>100000</v>
      </c>
    </row>
    <row r="101" spans="1:7" x14ac:dyDescent="0.25">
      <c r="A101" s="708">
        <f t="shared" si="12"/>
        <v>78</v>
      </c>
      <c r="B101" s="713">
        <f t="shared" si="7"/>
        <v>47553</v>
      </c>
      <c r="C101" s="714">
        <f t="shared" si="13"/>
        <v>2110645.34</v>
      </c>
      <c r="D101" s="714">
        <f t="shared" si="9"/>
        <v>67779.41</v>
      </c>
      <c r="E101" s="714">
        <f t="shared" si="10"/>
        <v>32220.59</v>
      </c>
      <c r="F101" s="714">
        <f t="shared" si="11"/>
        <v>0</v>
      </c>
      <c r="G101" s="715">
        <f t="shared" si="8"/>
        <v>100000</v>
      </c>
    </row>
    <row r="102" spans="1:7" x14ac:dyDescent="0.25">
      <c r="A102" s="708">
        <f t="shared" si="12"/>
        <v>79</v>
      </c>
      <c r="B102" s="713">
        <f t="shared" si="7"/>
        <v>47584</v>
      </c>
      <c r="C102" s="714">
        <f t="shared" si="13"/>
        <v>2042865.93</v>
      </c>
      <c r="D102" s="714">
        <f t="shared" si="9"/>
        <v>65472.77</v>
      </c>
      <c r="E102" s="714">
        <f t="shared" si="10"/>
        <v>34527.230000000003</v>
      </c>
      <c r="F102" s="714">
        <f t="shared" si="11"/>
        <v>0</v>
      </c>
      <c r="G102" s="715">
        <f t="shared" si="8"/>
        <v>100000</v>
      </c>
    </row>
    <row r="103" spans="1:7" x14ac:dyDescent="0.25">
      <c r="A103" s="708">
        <f t="shared" si="12"/>
        <v>80</v>
      </c>
      <c r="B103" s="713">
        <f t="shared" si="7"/>
        <v>47614</v>
      </c>
      <c r="C103" s="714">
        <f t="shared" si="13"/>
        <v>1977393.16</v>
      </c>
      <c r="D103" s="714">
        <f t="shared" si="9"/>
        <v>67657.429999999993</v>
      </c>
      <c r="E103" s="714">
        <f t="shared" si="10"/>
        <v>32342.57</v>
      </c>
      <c r="F103" s="714">
        <f t="shared" si="11"/>
        <v>0</v>
      </c>
      <c r="G103" s="715">
        <f t="shared" si="8"/>
        <v>100000</v>
      </c>
    </row>
    <row r="104" spans="1:7" x14ac:dyDescent="0.25">
      <c r="A104" s="708">
        <f t="shared" si="12"/>
        <v>81</v>
      </c>
      <c r="B104" s="713">
        <f t="shared" si="7"/>
        <v>47645</v>
      </c>
      <c r="C104" s="714">
        <f t="shared" si="13"/>
        <v>1909735.73</v>
      </c>
      <c r="D104" s="714">
        <f t="shared" si="9"/>
        <v>67722.850000000006</v>
      </c>
      <c r="E104" s="714">
        <f t="shared" si="10"/>
        <v>32277.15</v>
      </c>
      <c r="F104" s="714">
        <f t="shared" si="11"/>
        <v>0</v>
      </c>
      <c r="G104" s="715">
        <f t="shared" si="8"/>
        <v>100000</v>
      </c>
    </row>
    <row r="105" spans="1:7" x14ac:dyDescent="0.25">
      <c r="A105" s="708">
        <f t="shared" si="12"/>
        <v>82</v>
      </c>
      <c r="B105" s="713">
        <f t="shared" si="7"/>
        <v>47675</v>
      </c>
      <c r="C105" s="714">
        <f t="shared" si="13"/>
        <v>1842012.88</v>
      </c>
      <c r="D105" s="714">
        <f t="shared" si="9"/>
        <v>69871.73</v>
      </c>
      <c r="E105" s="714">
        <f t="shared" si="10"/>
        <v>30128.27</v>
      </c>
      <c r="F105" s="714">
        <f t="shared" si="11"/>
        <v>0</v>
      </c>
      <c r="G105" s="715">
        <f t="shared" si="8"/>
        <v>100000</v>
      </c>
    </row>
    <row r="106" spans="1:7" x14ac:dyDescent="0.25">
      <c r="A106" s="708">
        <f t="shared" si="12"/>
        <v>83</v>
      </c>
      <c r="B106" s="713">
        <f t="shared" si="7"/>
        <v>47706</v>
      </c>
      <c r="C106" s="714">
        <f t="shared" si="13"/>
        <v>1772141.15</v>
      </c>
      <c r="D106" s="714">
        <f t="shared" si="9"/>
        <v>70048.39</v>
      </c>
      <c r="E106" s="714">
        <f t="shared" si="10"/>
        <v>29951.61</v>
      </c>
      <c r="F106" s="714">
        <f t="shared" si="11"/>
        <v>0</v>
      </c>
      <c r="G106" s="715">
        <f t="shared" si="8"/>
        <v>100000</v>
      </c>
    </row>
    <row r="107" spans="1:7" x14ac:dyDescent="0.25">
      <c r="A107" s="708">
        <f t="shared" si="12"/>
        <v>84</v>
      </c>
      <c r="B107" s="713">
        <f t="shared" si="7"/>
        <v>47737</v>
      </c>
      <c r="C107" s="714">
        <f t="shared" si="13"/>
        <v>1702092.76</v>
      </c>
      <c r="D107" s="714">
        <f t="shared" si="9"/>
        <v>71232.3</v>
      </c>
      <c r="E107" s="714">
        <f t="shared" si="10"/>
        <v>28767.7</v>
      </c>
      <c r="F107" s="714">
        <f t="shared" si="11"/>
        <v>0</v>
      </c>
      <c r="G107" s="715">
        <f t="shared" si="8"/>
        <v>100000</v>
      </c>
    </row>
    <row r="108" spans="1:7" x14ac:dyDescent="0.25">
      <c r="A108" s="708">
        <f t="shared" si="12"/>
        <v>85</v>
      </c>
      <c r="B108" s="713">
        <f t="shared" si="7"/>
        <v>47767</v>
      </c>
      <c r="C108" s="714">
        <f t="shared" si="13"/>
        <v>1630860.46</v>
      </c>
      <c r="D108" s="714">
        <f t="shared" si="9"/>
        <v>73325.38</v>
      </c>
      <c r="E108" s="714">
        <f t="shared" si="10"/>
        <v>26674.62</v>
      </c>
      <c r="F108" s="714">
        <f t="shared" si="11"/>
        <v>0</v>
      </c>
      <c r="G108" s="715">
        <f t="shared" si="8"/>
        <v>100000</v>
      </c>
    </row>
    <row r="109" spans="1:7" x14ac:dyDescent="0.25">
      <c r="A109" s="708">
        <f t="shared" si="12"/>
        <v>86</v>
      </c>
      <c r="B109" s="713">
        <f t="shared" si="7"/>
        <v>47798</v>
      </c>
      <c r="C109" s="714">
        <f t="shared" si="13"/>
        <v>1557535.08</v>
      </c>
      <c r="D109" s="714">
        <f t="shared" si="9"/>
        <v>73675.520000000004</v>
      </c>
      <c r="E109" s="714">
        <f t="shared" si="10"/>
        <v>26324.48</v>
      </c>
      <c r="F109" s="714">
        <f t="shared" si="11"/>
        <v>0</v>
      </c>
      <c r="G109" s="715">
        <f t="shared" si="8"/>
        <v>100000</v>
      </c>
    </row>
    <row r="110" spans="1:7" x14ac:dyDescent="0.25">
      <c r="A110" s="708">
        <f t="shared" si="12"/>
        <v>87</v>
      </c>
      <c r="B110" s="713">
        <f t="shared" si="7"/>
        <v>47828</v>
      </c>
      <c r="C110" s="714">
        <f t="shared" si="13"/>
        <v>1483859.56</v>
      </c>
      <c r="D110" s="714">
        <f t="shared" si="9"/>
        <v>75729.75</v>
      </c>
      <c r="E110" s="714">
        <f t="shared" si="10"/>
        <v>24270.25</v>
      </c>
      <c r="F110" s="714">
        <f t="shared" si="11"/>
        <v>0</v>
      </c>
      <c r="G110" s="715">
        <f t="shared" si="8"/>
        <v>100000</v>
      </c>
    </row>
    <row r="111" spans="1:7" x14ac:dyDescent="0.25">
      <c r="A111" s="708">
        <f t="shared" si="12"/>
        <v>88</v>
      </c>
      <c r="B111" s="713">
        <f t="shared" si="7"/>
        <v>47859</v>
      </c>
      <c r="C111" s="714">
        <f t="shared" si="13"/>
        <v>1408129.81</v>
      </c>
      <c r="D111" s="714">
        <f t="shared" si="9"/>
        <v>76200.679999999993</v>
      </c>
      <c r="E111" s="714">
        <f t="shared" si="10"/>
        <v>23799.32</v>
      </c>
      <c r="F111" s="714">
        <f t="shared" si="11"/>
        <v>0</v>
      </c>
      <c r="G111" s="715">
        <f t="shared" si="8"/>
        <v>100000</v>
      </c>
    </row>
    <row r="112" spans="1:7" x14ac:dyDescent="0.25">
      <c r="A112" s="708">
        <f t="shared" si="12"/>
        <v>89</v>
      </c>
      <c r="B112" s="713">
        <f t="shared" si="7"/>
        <v>47890</v>
      </c>
      <c r="C112" s="714">
        <f t="shared" si="13"/>
        <v>1331929.1299999999</v>
      </c>
      <c r="D112" s="714">
        <f t="shared" si="9"/>
        <v>77488.570000000007</v>
      </c>
      <c r="E112" s="714">
        <f t="shared" si="10"/>
        <v>22511.43</v>
      </c>
      <c r="F112" s="714">
        <f t="shared" si="11"/>
        <v>0</v>
      </c>
      <c r="G112" s="715">
        <f t="shared" si="8"/>
        <v>100000</v>
      </c>
    </row>
    <row r="113" spans="1:7" x14ac:dyDescent="0.25">
      <c r="A113" s="708">
        <f t="shared" si="12"/>
        <v>90</v>
      </c>
      <c r="B113" s="713">
        <f t="shared" si="7"/>
        <v>47918</v>
      </c>
      <c r="C113" s="714">
        <f t="shared" si="13"/>
        <v>1254440.56</v>
      </c>
      <c r="D113" s="714">
        <f t="shared" si="9"/>
        <v>80850.02</v>
      </c>
      <c r="E113" s="714">
        <f t="shared" si="10"/>
        <v>19149.98</v>
      </c>
      <c r="F113" s="714">
        <f t="shared" si="11"/>
        <v>0</v>
      </c>
      <c r="G113" s="715">
        <f t="shared" si="8"/>
        <v>100000</v>
      </c>
    </row>
    <row r="114" spans="1:7" x14ac:dyDescent="0.25">
      <c r="A114" s="708">
        <f t="shared" si="12"/>
        <v>91</v>
      </c>
      <c r="B114" s="713">
        <f t="shared" si="7"/>
        <v>47949</v>
      </c>
      <c r="C114" s="714">
        <f t="shared" si="13"/>
        <v>1173590.54</v>
      </c>
      <c r="D114" s="714">
        <f t="shared" si="9"/>
        <v>80164.709999999992</v>
      </c>
      <c r="E114" s="714">
        <f t="shared" si="10"/>
        <v>19835.29</v>
      </c>
      <c r="F114" s="714">
        <f t="shared" si="11"/>
        <v>0</v>
      </c>
      <c r="G114" s="715">
        <f t="shared" si="8"/>
        <v>100000</v>
      </c>
    </row>
    <row r="115" spans="1:7" x14ac:dyDescent="0.25">
      <c r="A115" s="708">
        <f t="shared" si="12"/>
        <v>92</v>
      </c>
      <c r="B115" s="713">
        <f t="shared" si="7"/>
        <v>47979</v>
      </c>
      <c r="C115" s="714">
        <f t="shared" si="13"/>
        <v>1093425.83</v>
      </c>
      <c r="D115" s="714">
        <f t="shared" si="9"/>
        <v>82115.75</v>
      </c>
      <c r="E115" s="714">
        <f t="shared" si="10"/>
        <v>17884.25</v>
      </c>
      <c r="F115" s="714">
        <f t="shared" si="11"/>
        <v>0</v>
      </c>
      <c r="G115" s="715">
        <f t="shared" si="8"/>
        <v>100000</v>
      </c>
    </row>
    <row r="116" spans="1:7" x14ac:dyDescent="0.25">
      <c r="A116" s="708">
        <f t="shared" si="12"/>
        <v>93</v>
      </c>
      <c r="B116" s="713">
        <f t="shared" si="7"/>
        <v>48010</v>
      </c>
      <c r="C116" s="714">
        <f t="shared" si="13"/>
        <v>1011310.08</v>
      </c>
      <c r="D116" s="714">
        <f t="shared" si="9"/>
        <v>82907.47</v>
      </c>
      <c r="E116" s="714">
        <f t="shared" si="10"/>
        <v>17092.53</v>
      </c>
      <c r="F116" s="714">
        <f t="shared" si="11"/>
        <v>0</v>
      </c>
      <c r="G116" s="715">
        <f t="shared" si="8"/>
        <v>100000</v>
      </c>
    </row>
    <row r="117" spans="1:7" x14ac:dyDescent="0.25">
      <c r="A117" s="708">
        <f t="shared" si="12"/>
        <v>94</v>
      </c>
      <c r="B117" s="713">
        <f t="shared" si="7"/>
        <v>48040</v>
      </c>
      <c r="C117" s="714">
        <f t="shared" si="13"/>
        <v>928402.61</v>
      </c>
      <c r="D117" s="714">
        <f t="shared" si="9"/>
        <v>84814.89</v>
      </c>
      <c r="E117" s="714">
        <f t="shared" si="10"/>
        <v>15185.11</v>
      </c>
      <c r="F117" s="714">
        <f t="shared" si="11"/>
        <v>0</v>
      </c>
      <c r="G117" s="715">
        <f t="shared" si="8"/>
        <v>100000</v>
      </c>
    </row>
    <row r="118" spans="1:7" x14ac:dyDescent="0.25">
      <c r="A118" s="708">
        <f t="shared" si="12"/>
        <v>95</v>
      </c>
      <c r="B118" s="713">
        <f t="shared" si="7"/>
        <v>48071</v>
      </c>
      <c r="C118" s="714">
        <f t="shared" si="13"/>
        <v>843587.72</v>
      </c>
      <c r="D118" s="714">
        <f t="shared" si="9"/>
        <v>85742.209999999992</v>
      </c>
      <c r="E118" s="714">
        <f t="shared" si="10"/>
        <v>14257.79</v>
      </c>
      <c r="F118" s="714">
        <f t="shared" si="11"/>
        <v>0</v>
      </c>
      <c r="G118" s="715">
        <f t="shared" si="8"/>
        <v>100000</v>
      </c>
    </row>
    <row r="119" spans="1:7" x14ac:dyDescent="0.25">
      <c r="A119" s="708">
        <f t="shared" si="12"/>
        <v>96</v>
      </c>
      <c r="B119" s="713">
        <f t="shared" si="7"/>
        <v>48102</v>
      </c>
      <c r="C119" s="714">
        <f t="shared" si="13"/>
        <v>757845.51</v>
      </c>
      <c r="D119" s="714">
        <f t="shared" si="9"/>
        <v>87191.37</v>
      </c>
      <c r="E119" s="714">
        <f t="shared" si="10"/>
        <v>12808.63</v>
      </c>
      <c r="F119" s="714">
        <f t="shared" si="11"/>
        <v>0</v>
      </c>
      <c r="G119" s="715">
        <f t="shared" si="8"/>
        <v>100000</v>
      </c>
    </row>
    <row r="120" spans="1:7" x14ac:dyDescent="0.25">
      <c r="A120" s="708">
        <f t="shared" si="12"/>
        <v>97</v>
      </c>
      <c r="B120" s="713">
        <f t="shared" si="7"/>
        <v>48132</v>
      </c>
      <c r="C120" s="714">
        <f t="shared" si="13"/>
        <v>670654.14</v>
      </c>
      <c r="D120" s="714">
        <f t="shared" si="9"/>
        <v>89030.67</v>
      </c>
      <c r="E120" s="714">
        <f t="shared" si="10"/>
        <v>10969.33</v>
      </c>
      <c r="F120" s="714">
        <f t="shared" si="11"/>
        <v>0</v>
      </c>
      <c r="G120" s="715">
        <f t="shared" si="8"/>
        <v>100000</v>
      </c>
    </row>
    <row r="121" spans="1:7" x14ac:dyDescent="0.25">
      <c r="A121" s="708">
        <f t="shared" si="12"/>
        <v>98</v>
      </c>
      <c r="B121" s="713">
        <f t="shared" si="7"/>
        <v>48163</v>
      </c>
      <c r="C121" s="714">
        <f t="shared" si="13"/>
        <v>581623.47</v>
      </c>
      <c r="D121" s="714">
        <f t="shared" si="9"/>
        <v>90169.77</v>
      </c>
      <c r="E121" s="714">
        <f t="shared" si="10"/>
        <v>9830.23</v>
      </c>
      <c r="F121" s="714">
        <f t="shared" si="11"/>
        <v>0</v>
      </c>
      <c r="G121" s="715">
        <f t="shared" si="8"/>
        <v>100000</v>
      </c>
    </row>
    <row r="122" spans="1:7" x14ac:dyDescent="0.25">
      <c r="A122" s="708">
        <f t="shared" si="12"/>
        <v>99</v>
      </c>
      <c r="B122" s="713">
        <f t="shared" si="7"/>
        <v>48193</v>
      </c>
      <c r="C122" s="714">
        <f t="shared" si="13"/>
        <v>491453.7</v>
      </c>
      <c r="D122" s="714">
        <f t="shared" si="9"/>
        <v>91961.7</v>
      </c>
      <c r="E122" s="714">
        <f t="shared" si="10"/>
        <v>8038.3</v>
      </c>
      <c r="F122" s="714">
        <f t="shared" si="11"/>
        <v>0</v>
      </c>
      <c r="G122" s="715">
        <f t="shared" si="8"/>
        <v>100000</v>
      </c>
    </row>
    <row r="123" spans="1:7" x14ac:dyDescent="0.25">
      <c r="A123" s="708">
        <f>A122+1</f>
        <v>100</v>
      </c>
      <c r="B123" s="713">
        <f t="shared" si="7"/>
        <v>48224</v>
      </c>
      <c r="C123" s="714">
        <f t="shared" si="13"/>
        <v>399492</v>
      </c>
      <c r="D123" s="714">
        <f t="shared" si="9"/>
        <v>93248.04</v>
      </c>
      <c r="E123" s="714">
        <f t="shared" si="10"/>
        <v>6751.96</v>
      </c>
      <c r="F123" s="714">
        <f t="shared" si="11"/>
        <v>0</v>
      </c>
      <c r="G123" s="715">
        <f t="shared" si="8"/>
        <v>100000</v>
      </c>
    </row>
    <row r="124" spans="1:7" x14ac:dyDescent="0.25">
      <c r="A124" s="708">
        <f t="shared" ref="A124:A142" si="14">A123+1</f>
        <v>101</v>
      </c>
      <c r="B124" s="713">
        <f t="shared" si="7"/>
        <v>48255</v>
      </c>
      <c r="C124" s="714">
        <f t="shared" si="13"/>
        <v>306243.96000000002</v>
      </c>
      <c r="D124" s="714">
        <f t="shared" si="9"/>
        <v>94824.06</v>
      </c>
      <c r="E124" s="714">
        <f t="shared" si="10"/>
        <v>5175.9399999999996</v>
      </c>
      <c r="F124" s="714">
        <f t="shared" si="11"/>
        <v>0</v>
      </c>
      <c r="G124" s="715">
        <f t="shared" si="8"/>
        <v>100000</v>
      </c>
    </row>
    <row r="125" spans="1:7" x14ac:dyDescent="0.25">
      <c r="A125" s="708">
        <f t="shared" si="14"/>
        <v>102</v>
      </c>
      <c r="B125" s="713">
        <f t="shared" si="7"/>
        <v>48284</v>
      </c>
      <c r="C125" s="714">
        <f t="shared" si="13"/>
        <v>211419.9</v>
      </c>
      <c r="D125" s="714">
        <f t="shared" si="9"/>
        <v>96657.25</v>
      </c>
      <c r="E125" s="714">
        <f t="shared" si="10"/>
        <v>3342.75</v>
      </c>
      <c r="F125" s="714">
        <f t="shared" si="11"/>
        <v>0</v>
      </c>
      <c r="G125" s="715">
        <f t="shared" si="8"/>
        <v>100000</v>
      </c>
    </row>
    <row r="126" spans="1:7" x14ac:dyDescent="0.25">
      <c r="A126" s="708">
        <f t="shared" si="14"/>
        <v>103</v>
      </c>
      <c r="B126" s="713">
        <f t="shared" si="7"/>
        <v>48315</v>
      </c>
      <c r="C126" s="714">
        <f t="shared" si="13"/>
        <v>114762.65</v>
      </c>
      <c r="D126" s="714">
        <f t="shared" si="9"/>
        <v>98060.35</v>
      </c>
      <c r="E126" s="714">
        <f t="shared" si="10"/>
        <v>1939.65</v>
      </c>
      <c r="F126" s="714">
        <f t="shared" si="11"/>
        <v>0</v>
      </c>
      <c r="G126" s="715">
        <f t="shared" si="8"/>
        <v>100000</v>
      </c>
    </row>
    <row r="127" spans="1:7" x14ac:dyDescent="0.25">
      <c r="A127" s="708">
        <f t="shared" si="14"/>
        <v>104</v>
      </c>
      <c r="B127" s="713">
        <f t="shared" si="7"/>
        <v>48345</v>
      </c>
      <c r="C127" s="714">
        <f t="shared" si="13"/>
        <v>16702.3</v>
      </c>
      <c r="D127" s="714">
        <f t="shared" si="9"/>
        <v>16702.3</v>
      </c>
      <c r="E127" s="714">
        <f t="shared" si="10"/>
        <v>273.19</v>
      </c>
      <c r="F127" s="714">
        <f t="shared" si="11"/>
        <v>0</v>
      </c>
      <c r="G127" s="715">
        <f t="shared" si="8"/>
        <v>16975.489999999998</v>
      </c>
    </row>
    <row r="128" spans="1:7" x14ac:dyDescent="0.25">
      <c r="A128" s="708">
        <f t="shared" si="14"/>
        <v>105</v>
      </c>
      <c r="B128" s="713">
        <f t="shared" si="7"/>
        <v>48376</v>
      </c>
      <c r="C128" s="714">
        <f t="shared" si="13"/>
        <v>0</v>
      </c>
      <c r="D128" s="714">
        <f t="shared" si="9"/>
        <v>0</v>
      </c>
      <c r="E128" s="714">
        <f t="shared" si="10"/>
        <v>0</v>
      </c>
      <c r="F128" s="714">
        <f t="shared" si="11"/>
        <v>0</v>
      </c>
      <c r="G128" s="715">
        <f t="shared" si="8"/>
        <v>0</v>
      </c>
    </row>
    <row r="129" spans="1:7" x14ac:dyDescent="0.25">
      <c r="A129" s="708">
        <f t="shared" si="14"/>
        <v>106</v>
      </c>
      <c r="B129" s="713">
        <f t="shared" si="7"/>
        <v>48406</v>
      </c>
      <c r="C129" s="714">
        <f t="shared" si="13"/>
        <v>0</v>
      </c>
      <c r="D129" s="714">
        <f t="shared" si="9"/>
        <v>0</v>
      </c>
      <c r="E129" s="714">
        <f t="shared" si="10"/>
        <v>0</v>
      </c>
      <c r="F129" s="714">
        <f t="shared" si="11"/>
        <v>0</v>
      </c>
      <c r="G129" s="715">
        <f t="shared" si="8"/>
        <v>0</v>
      </c>
    </row>
    <row r="130" spans="1:7" x14ac:dyDescent="0.25">
      <c r="A130" s="708">
        <f t="shared" si="14"/>
        <v>107</v>
      </c>
      <c r="B130" s="713">
        <f t="shared" si="7"/>
        <v>48437</v>
      </c>
      <c r="C130" s="714">
        <f t="shared" si="13"/>
        <v>0</v>
      </c>
      <c r="D130" s="714">
        <f t="shared" si="9"/>
        <v>0</v>
      </c>
      <c r="E130" s="714">
        <f t="shared" si="10"/>
        <v>0</v>
      </c>
      <c r="F130" s="714">
        <f t="shared" si="11"/>
        <v>0</v>
      </c>
      <c r="G130" s="715">
        <f t="shared" si="8"/>
        <v>0</v>
      </c>
    </row>
    <row r="131" spans="1:7" x14ac:dyDescent="0.25">
      <c r="A131" s="708">
        <f t="shared" si="14"/>
        <v>108</v>
      </c>
      <c r="B131" s="713">
        <f t="shared" si="7"/>
        <v>48468</v>
      </c>
      <c r="C131" s="714">
        <f t="shared" si="13"/>
        <v>0</v>
      </c>
      <c r="D131" s="714">
        <f t="shared" si="9"/>
        <v>0</v>
      </c>
      <c r="E131" s="714">
        <f t="shared" si="10"/>
        <v>0</v>
      </c>
      <c r="F131" s="714">
        <f t="shared" si="11"/>
        <v>0</v>
      </c>
      <c r="G131" s="715">
        <f t="shared" si="8"/>
        <v>0</v>
      </c>
    </row>
    <row r="132" spans="1:7" x14ac:dyDescent="0.25">
      <c r="A132" s="708">
        <f t="shared" si="14"/>
        <v>109</v>
      </c>
      <c r="B132" s="713">
        <f t="shared" si="7"/>
        <v>48498</v>
      </c>
      <c r="C132" s="714">
        <f t="shared" si="13"/>
        <v>0</v>
      </c>
      <c r="D132" s="714">
        <f t="shared" si="9"/>
        <v>0</v>
      </c>
      <c r="E132" s="714">
        <f t="shared" si="10"/>
        <v>0</v>
      </c>
      <c r="F132" s="714">
        <f t="shared" si="11"/>
        <v>0</v>
      </c>
      <c r="G132" s="715">
        <f t="shared" si="8"/>
        <v>0</v>
      </c>
    </row>
    <row r="133" spans="1:7" x14ac:dyDescent="0.25">
      <c r="A133" s="708">
        <f t="shared" si="14"/>
        <v>110</v>
      </c>
      <c r="B133" s="713">
        <f t="shared" si="7"/>
        <v>48529</v>
      </c>
      <c r="C133" s="714">
        <f t="shared" si="13"/>
        <v>0</v>
      </c>
      <c r="D133" s="714">
        <f t="shared" si="9"/>
        <v>0</v>
      </c>
      <c r="E133" s="714">
        <f t="shared" si="10"/>
        <v>0</v>
      </c>
      <c r="F133" s="714">
        <f t="shared" si="11"/>
        <v>0</v>
      </c>
      <c r="G133" s="715">
        <f t="shared" si="8"/>
        <v>0</v>
      </c>
    </row>
    <row r="134" spans="1:7" x14ac:dyDescent="0.25">
      <c r="A134" s="708">
        <f t="shared" si="14"/>
        <v>111</v>
      </c>
      <c r="B134" s="713">
        <f t="shared" si="7"/>
        <v>48559</v>
      </c>
      <c r="C134" s="714">
        <f t="shared" si="13"/>
        <v>0</v>
      </c>
      <c r="D134" s="714">
        <f t="shared" si="9"/>
        <v>0</v>
      </c>
      <c r="E134" s="714">
        <f t="shared" si="10"/>
        <v>0</v>
      </c>
      <c r="F134" s="714">
        <f t="shared" si="11"/>
        <v>0</v>
      </c>
      <c r="G134" s="715">
        <f t="shared" si="8"/>
        <v>0</v>
      </c>
    </row>
    <row r="135" spans="1:7" x14ac:dyDescent="0.25">
      <c r="A135" s="708">
        <f t="shared" si="14"/>
        <v>112</v>
      </c>
      <c r="B135" s="713">
        <f t="shared" si="7"/>
        <v>48590</v>
      </c>
      <c r="C135" s="714">
        <f t="shared" si="13"/>
        <v>0</v>
      </c>
      <c r="D135" s="714">
        <f t="shared" si="9"/>
        <v>0</v>
      </c>
      <c r="E135" s="714">
        <f t="shared" si="10"/>
        <v>0</v>
      </c>
      <c r="F135" s="714">
        <f t="shared" si="11"/>
        <v>0</v>
      </c>
      <c r="G135" s="715">
        <f t="shared" si="8"/>
        <v>0</v>
      </c>
    </row>
    <row r="136" spans="1:7" x14ac:dyDescent="0.25">
      <c r="A136" s="708">
        <f t="shared" si="14"/>
        <v>113</v>
      </c>
      <c r="B136" s="713">
        <f t="shared" si="7"/>
        <v>48621</v>
      </c>
      <c r="C136" s="714">
        <f t="shared" si="13"/>
        <v>0</v>
      </c>
      <c r="D136" s="714">
        <f t="shared" si="9"/>
        <v>0</v>
      </c>
      <c r="E136" s="714">
        <f t="shared" si="10"/>
        <v>0</v>
      </c>
      <c r="F136" s="714">
        <f t="shared" si="11"/>
        <v>0</v>
      </c>
      <c r="G136" s="715">
        <f t="shared" si="8"/>
        <v>0</v>
      </c>
    </row>
    <row r="137" spans="1:7" x14ac:dyDescent="0.25">
      <c r="A137" s="708">
        <f t="shared" si="14"/>
        <v>114</v>
      </c>
      <c r="B137" s="713">
        <f t="shared" si="7"/>
        <v>48649</v>
      </c>
      <c r="C137" s="714">
        <f t="shared" si="13"/>
        <v>0</v>
      </c>
      <c r="D137" s="714">
        <f t="shared" si="9"/>
        <v>0</v>
      </c>
      <c r="E137" s="714">
        <f t="shared" si="10"/>
        <v>0</v>
      </c>
      <c r="F137" s="714">
        <f t="shared" si="11"/>
        <v>0</v>
      </c>
      <c r="G137" s="715">
        <f t="shared" si="8"/>
        <v>0</v>
      </c>
    </row>
    <row r="138" spans="1:7" x14ac:dyDescent="0.25">
      <c r="A138" s="708">
        <f t="shared" si="14"/>
        <v>115</v>
      </c>
      <c r="B138" s="713">
        <f t="shared" si="7"/>
        <v>48680</v>
      </c>
      <c r="C138" s="714">
        <f t="shared" si="13"/>
        <v>0</v>
      </c>
      <c r="D138" s="714">
        <f t="shared" si="9"/>
        <v>0</v>
      </c>
      <c r="E138" s="714">
        <f t="shared" si="10"/>
        <v>0</v>
      </c>
      <c r="F138" s="714">
        <f t="shared" si="11"/>
        <v>0</v>
      </c>
      <c r="G138" s="715">
        <f t="shared" si="8"/>
        <v>0</v>
      </c>
    </row>
    <row r="139" spans="1:7" x14ac:dyDescent="0.25">
      <c r="A139" s="708">
        <f t="shared" si="14"/>
        <v>116</v>
      </c>
      <c r="B139" s="713">
        <f t="shared" si="7"/>
        <v>48710</v>
      </c>
      <c r="C139" s="714">
        <f t="shared" si="13"/>
        <v>0</v>
      </c>
      <c r="D139" s="714">
        <f t="shared" si="9"/>
        <v>0</v>
      </c>
      <c r="E139" s="714">
        <f t="shared" si="10"/>
        <v>0</v>
      </c>
      <c r="F139" s="714">
        <f t="shared" si="11"/>
        <v>0</v>
      </c>
      <c r="G139" s="715">
        <f t="shared" si="8"/>
        <v>0</v>
      </c>
    </row>
    <row r="140" spans="1:7" x14ac:dyDescent="0.25">
      <c r="A140" s="708">
        <f t="shared" si="14"/>
        <v>117</v>
      </c>
      <c r="B140" s="713">
        <f t="shared" si="7"/>
        <v>48741</v>
      </c>
      <c r="C140" s="714">
        <f t="shared" si="13"/>
        <v>0</v>
      </c>
      <c r="D140" s="714">
        <f t="shared" si="9"/>
        <v>0</v>
      </c>
      <c r="E140" s="714">
        <f t="shared" si="10"/>
        <v>0</v>
      </c>
      <c r="F140" s="714">
        <f t="shared" si="11"/>
        <v>0</v>
      </c>
      <c r="G140" s="715">
        <f t="shared" si="8"/>
        <v>0</v>
      </c>
    </row>
    <row r="141" spans="1:7" x14ac:dyDescent="0.25">
      <c r="A141" s="708">
        <f t="shared" si="14"/>
        <v>118</v>
      </c>
      <c r="B141" s="713">
        <f t="shared" si="7"/>
        <v>48771</v>
      </c>
      <c r="C141" s="714">
        <f t="shared" si="13"/>
        <v>0</v>
      </c>
      <c r="D141" s="714">
        <f t="shared" si="9"/>
        <v>0</v>
      </c>
      <c r="E141" s="714">
        <f t="shared" si="10"/>
        <v>0</v>
      </c>
      <c r="F141" s="714">
        <f t="shared" si="11"/>
        <v>0</v>
      </c>
      <c r="G141" s="715">
        <f t="shared" si="8"/>
        <v>0</v>
      </c>
    </row>
    <row r="142" spans="1:7" x14ac:dyDescent="0.25">
      <c r="A142" s="708">
        <f t="shared" si="14"/>
        <v>119</v>
      </c>
      <c r="B142" s="713">
        <f t="shared" si="7"/>
        <v>48802</v>
      </c>
      <c r="C142" s="714">
        <f t="shared" si="13"/>
        <v>0</v>
      </c>
      <c r="D142" s="714">
        <f t="shared" si="9"/>
        <v>0</v>
      </c>
      <c r="E142" s="714">
        <f t="shared" si="10"/>
        <v>0</v>
      </c>
      <c r="F142" s="714">
        <f t="shared" si="11"/>
        <v>0</v>
      </c>
      <c r="G142" s="715">
        <f t="shared" si="8"/>
        <v>0</v>
      </c>
    </row>
    <row r="143" spans="1:7" x14ac:dyDescent="0.25">
      <c r="A143" s="708">
        <f>A142+1</f>
        <v>120</v>
      </c>
      <c r="B143" s="713">
        <f t="shared" si="7"/>
        <v>48833</v>
      </c>
      <c r="C143" s="714">
        <f t="shared" si="13"/>
        <v>0</v>
      </c>
      <c r="D143" s="714">
        <f t="shared" si="9"/>
        <v>0</v>
      </c>
      <c r="E143" s="714">
        <f t="shared" si="10"/>
        <v>0</v>
      </c>
      <c r="F143" s="714">
        <f t="shared" si="11"/>
        <v>0</v>
      </c>
      <c r="G143" s="715">
        <f t="shared" si="8"/>
        <v>0</v>
      </c>
    </row>
    <row r="144" spans="1:7" x14ac:dyDescent="0.25">
      <c r="A144" s="708">
        <f t="shared" ref="A144:A150" si="15">A143+1</f>
        <v>121</v>
      </c>
      <c r="B144" s="713">
        <f t="shared" si="7"/>
        <v>48863</v>
      </c>
      <c r="C144" s="714">
        <f t="shared" si="13"/>
        <v>0</v>
      </c>
      <c r="D144" s="714">
        <f t="shared" si="9"/>
        <v>0</v>
      </c>
      <c r="E144" s="714">
        <f t="shared" si="10"/>
        <v>0</v>
      </c>
      <c r="F144" s="714">
        <f t="shared" si="11"/>
        <v>0</v>
      </c>
      <c r="G144" s="715">
        <f t="shared" si="8"/>
        <v>0</v>
      </c>
    </row>
    <row r="145" spans="1:7" x14ac:dyDescent="0.25">
      <c r="A145" s="708">
        <f t="shared" si="15"/>
        <v>122</v>
      </c>
      <c r="B145" s="713">
        <f t="shared" si="7"/>
        <v>48894</v>
      </c>
      <c r="C145" s="714">
        <f t="shared" si="13"/>
        <v>0</v>
      </c>
      <c r="D145" s="714">
        <f t="shared" si="9"/>
        <v>0</v>
      </c>
      <c r="E145" s="714">
        <f t="shared" si="10"/>
        <v>0</v>
      </c>
      <c r="F145" s="714">
        <f t="shared" si="11"/>
        <v>0</v>
      </c>
      <c r="G145" s="715">
        <f t="shared" si="8"/>
        <v>0</v>
      </c>
    </row>
    <row r="146" spans="1:7" x14ac:dyDescent="0.25">
      <c r="A146" s="708">
        <f t="shared" si="15"/>
        <v>123</v>
      </c>
      <c r="B146" s="713">
        <f t="shared" si="7"/>
        <v>48924</v>
      </c>
      <c r="C146" s="714">
        <f t="shared" si="13"/>
        <v>0</v>
      </c>
      <c r="D146" s="714">
        <f t="shared" si="9"/>
        <v>0</v>
      </c>
      <c r="E146" s="714">
        <f t="shared" si="10"/>
        <v>0</v>
      </c>
      <c r="F146" s="714">
        <f t="shared" si="11"/>
        <v>0</v>
      </c>
      <c r="G146" s="715">
        <f t="shared" si="8"/>
        <v>0</v>
      </c>
    </row>
    <row r="147" spans="1:7" x14ac:dyDescent="0.25">
      <c r="A147" s="708">
        <f t="shared" si="15"/>
        <v>124</v>
      </c>
      <c r="B147" s="713">
        <f t="shared" si="7"/>
        <v>48955</v>
      </c>
      <c r="C147" s="714">
        <f t="shared" si="13"/>
        <v>0</v>
      </c>
      <c r="D147" s="714">
        <f t="shared" si="9"/>
        <v>0</v>
      </c>
      <c r="E147" s="714">
        <f t="shared" si="10"/>
        <v>0</v>
      </c>
      <c r="F147" s="714">
        <f t="shared" si="11"/>
        <v>0</v>
      </c>
      <c r="G147" s="715">
        <f t="shared" si="8"/>
        <v>0</v>
      </c>
    </row>
    <row r="148" spans="1:7" x14ac:dyDescent="0.25">
      <c r="A148" s="708">
        <f t="shared" si="15"/>
        <v>125</v>
      </c>
      <c r="B148" s="713">
        <f t="shared" si="7"/>
        <v>48986</v>
      </c>
      <c r="C148" s="714">
        <f t="shared" si="13"/>
        <v>0</v>
      </c>
      <c r="D148" s="714">
        <f t="shared" si="9"/>
        <v>0</v>
      </c>
      <c r="E148" s="714">
        <f t="shared" si="10"/>
        <v>0</v>
      </c>
      <c r="F148" s="714">
        <f t="shared" si="11"/>
        <v>0</v>
      </c>
      <c r="G148" s="715">
        <f t="shared" si="8"/>
        <v>0</v>
      </c>
    </row>
    <row r="149" spans="1:7" x14ac:dyDescent="0.25">
      <c r="A149" s="708">
        <f t="shared" si="15"/>
        <v>126</v>
      </c>
      <c r="B149" s="713">
        <f t="shared" si="7"/>
        <v>49014</v>
      </c>
      <c r="C149" s="714">
        <f t="shared" si="13"/>
        <v>0</v>
      </c>
      <c r="D149" s="714">
        <f t="shared" si="9"/>
        <v>0</v>
      </c>
      <c r="E149" s="714">
        <f t="shared" si="10"/>
        <v>0</v>
      </c>
      <c r="F149" s="714">
        <f t="shared" si="11"/>
        <v>0</v>
      </c>
      <c r="G149" s="715">
        <f t="shared" si="8"/>
        <v>0</v>
      </c>
    </row>
    <row r="150" spans="1:7" x14ac:dyDescent="0.25">
      <c r="A150" s="708">
        <f t="shared" si="15"/>
        <v>127</v>
      </c>
      <c r="B150" s="713">
        <f t="shared" si="7"/>
        <v>49045</v>
      </c>
      <c r="C150" s="714">
        <f t="shared" si="13"/>
        <v>0</v>
      </c>
      <c r="D150" s="714">
        <f t="shared" si="9"/>
        <v>0</v>
      </c>
      <c r="E150" s="714">
        <f t="shared" si="10"/>
        <v>0</v>
      </c>
      <c r="F150" s="714">
        <f t="shared" si="11"/>
        <v>0</v>
      </c>
      <c r="G150" s="715">
        <f t="shared" si="8"/>
        <v>0</v>
      </c>
    </row>
  </sheetData>
  <sheetProtection sheet="1" objects="1" scenarios="1"/>
  <mergeCells count="36">
    <mergeCell ref="B5:C5"/>
    <mergeCell ref="D5:E5"/>
    <mergeCell ref="C1:F1"/>
    <mergeCell ref="B3:C3"/>
    <mergeCell ref="D3:E3"/>
    <mergeCell ref="B4:C4"/>
    <mergeCell ref="D4:E4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21:C21"/>
    <mergeCell ref="A22:A23"/>
    <mergeCell ref="B22:B23"/>
    <mergeCell ref="C22:C23"/>
    <mergeCell ref="D22:G22"/>
  </mergeCells>
  <conditionalFormatting sqref="A24:G150">
    <cfRule type="expression" dxfId="1" priority="4">
      <formula>IF($G24=0,1,0)</formula>
    </cfRule>
  </conditionalFormatting>
  <conditionalFormatting sqref="A1:C1 D20:XFD20 G1:XFD1 A2:A3 D2:XFD2 F3:XFD3 A10:XFD14 A8:B8 D8:XFD8 A15:B16 D15:D16 A17:A20 A21:XFD21 A22:N24 P22:XFD24 A5:XFD7 A4:E4 G4:XFD4 F15:XFD19 F9:XFD9 A25:XFD1048576 A9:C9">
    <cfRule type="expression" priority="3">
      <formula>IF(1=1,1,0)</formula>
    </cfRule>
  </conditionalFormatting>
  <conditionalFormatting sqref="B18:E19 B17 D17">
    <cfRule type="expression" priority="2">
      <formula>IF(1=1,1,0)</formula>
    </cfRule>
  </conditionalFormatting>
  <conditionalFormatting sqref="D9">
    <cfRule type="expression" priority="1">
      <formula>IF(1=1,1,0)</formula>
    </cfRule>
  </conditionalFormatting>
  <dataValidations count="6">
    <dataValidation type="list" allowBlank="1" showInputMessage="1" showErrorMessage="1" promptTitle="Выберите из списка" prompt="Укажите, подключил ли клиент услугу &quot;СМС-информирование&quot;" sqref="D12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>
      <formula1>$L$22:$O$22</formula1>
    </dataValidation>
  </dataValidation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zoomScale="70" zoomScaleNormal="70" workbookViewId="0">
      <selection activeCell="G47" sqref="G47"/>
    </sheetView>
  </sheetViews>
  <sheetFormatPr defaultColWidth="9.140625" defaultRowHeight="15" x14ac:dyDescent="0.25"/>
  <cols>
    <col min="1" max="1" width="3.42578125" style="700" customWidth="1"/>
    <col min="2" max="2" width="21.140625" style="700" customWidth="1"/>
    <col min="3" max="3" width="21.7109375" style="700" customWidth="1"/>
    <col min="4" max="4" width="12.42578125" style="700" customWidth="1"/>
    <col min="5" max="5" width="15.140625" style="700" customWidth="1"/>
    <col min="6" max="6" width="23.7109375" style="700" customWidth="1"/>
    <col min="7" max="7" width="13.7109375" style="701" customWidth="1"/>
    <col min="8" max="8" width="9.140625" style="700"/>
    <col min="9" max="9" width="3" style="700" customWidth="1"/>
    <col min="10" max="10" width="21.28515625" style="700" customWidth="1"/>
    <col min="11" max="11" width="21.42578125" style="700" customWidth="1"/>
    <col min="12" max="12" width="13.140625" style="700" customWidth="1"/>
    <col min="13" max="13" width="12.42578125" style="700" customWidth="1"/>
    <col min="14" max="14" width="13.140625" style="700" customWidth="1"/>
    <col min="15" max="15" width="11.42578125" style="700" customWidth="1"/>
    <col min="16" max="16384" width="9.140625" style="700"/>
  </cols>
  <sheetData>
    <row r="1" spans="2:14" ht="40.15" customHeight="1" x14ac:dyDescent="0.25">
      <c r="C1" s="995" t="s">
        <v>317</v>
      </c>
      <c r="D1" s="995"/>
      <c r="E1" s="995"/>
      <c r="F1" s="995"/>
    </row>
    <row r="2" spans="2:14" ht="31.9" customHeight="1" thickBot="1" x14ac:dyDescent="0.3"/>
    <row r="3" spans="2:14" ht="34.9" customHeight="1" x14ac:dyDescent="0.25">
      <c r="B3" s="972" t="s">
        <v>164</v>
      </c>
      <c r="C3" s="973"/>
      <c r="D3" s="973" t="s">
        <v>165</v>
      </c>
      <c r="E3" s="974"/>
    </row>
    <row r="4" spans="2:14" ht="18" customHeight="1" x14ac:dyDescent="0.3">
      <c r="B4" s="989" t="s">
        <v>136</v>
      </c>
      <c r="C4" s="990"/>
      <c r="D4" s="976">
        <v>700000</v>
      </c>
      <c r="E4" s="976"/>
    </row>
    <row r="5" spans="2:14" ht="18" customHeight="1" x14ac:dyDescent="0.25">
      <c r="B5" s="965" t="s">
        <v>318</v>
      </c>
      <c r="C5" s="965"/>
      <c r="D5" s="966" t="s">
        <v>388</v>
      </c>
      <c r="E5" s="966"/>
      <c r="N5" s="717"/>
    </row>
    <row r="6" spans="2:14" ht="18" customHeight="1" x14ac:dyDescent="0.3">
      <c r="B6" s="982" t="s">
        <v>137</v>
      </c>
      <c r="C6" s="983"/>
      <c r="D6" s="987" t="s">
        <v>477</v>
      </c>
      <c r="E6" s="987"/>
    </row>
    <row r="7" spans="2:14" ht="18" customHeight="1" x14ac:dyDescent="0.3">
      <c r="B7" s="982" t="s">
        <v>139</v>
      </c>
      <c r="C7" s="983"/>
      <c r="D7" s="976">
        <v>700000</v>
      </c>
      <c r="E7" s="976"/>
    </row>
    <row r="8" spans="2:14" ht="18" customHeight="1" x14ac:dyDescent="0.3">
      <c r="B8" s="982" t="s">
        <v>319</v>
      </c>
      <c r="C8" s="983"/>
      <c r="D8" s="986">
        <f>IF($D$6="Снятие наличных / перевод",ROUNDDOWN(D4/(1+HLOOKUP(D5,K23:P27,4,0)),-2),D4)</f>
        <v>700000</v>
      </c>
      <c r="E8" s="986"/>
    </row>
    <row r="9" spans="2:14" ht="18" customHeight="1" x14ac:dyDescent="0.3">
      <c r="B9" s="992" t="s">
        <v>476</v>
      </c>
      <c r="C9" s="993"/>
      <c r="D9" s="961">
        <v>0.04</v>
      </c>
      <c r="E9" s="962"/>
    </row>
    <row r="10" spans="2:14" ht="18" customHeight="1" x14ac:dyDescent="0.3">
      <c r="B10" s="989" t="s">
        <v>140</v>
      </c>
      <c r="C10" s="990"/>
      <c r="D10" s="994">
        <f>IF(AND($D$6="Снятие наличных / перевод",D7&gt;0),HLOOKUP(D5,K23:P25,2,0),HLOOKUP(D5,K23:P25,3,0))</f>
        <v>0.20899999999999999</v>
      </c>
      <c r="E10" s="994"/>
    </row>
    <row r="11" spans="2:14" ht="18" customHeight="1" x14ac:dyDescent="0.3">
      <c r="B11" s="982" t="s">
        <v>141</v>
      </c>
      <c r="C11" s="983"/>
      <c r="D11" s="986">
        <v>0</v>
      </c>
      <c r="E11" s="986"/>
      <c r="N11" s="706"/>
    </row>
    <row r="12" spans="2:14" ht="18" customHeight="1" x14ac:dyDescent="0.3">
      <c r="B12" s="982" t="s">
        <v>142</v>
      </c>
      <c r="C12" s="983"/>
      <c r="D12" s="987" t="s">
        <v>35</v>
      </c>
      <c r="E12" s="987"/>
    </row>
    <row r="13" spans="2:14" ht="18" customHeight="1" x14ac:dyDescent="0.3">
      <c r="B13" s="982" t="s">
        <v>143</v>
      </c>
      <c r="C13" s="983"/>
      <c r="D13" s="988">
        <v>45180</v>
      </c>
      <c r="E13" s="988"/>
    </row>
    <row r="14" spans="2:14" ht="18" customHeight="1" x14ac:dyDescent="0.3">
      <c r="B14" s="989" t="s">
        <v>286</v>
      </c>
      <c r="C14" s="990"/>
      <c r="D14" s="991">
        <v>24</v>
      </c>
      <c r="E14" s="991"/>
    </row>
    <row r="15" spans="2:14" ht="18" customHeight="1" x14ac:dyDescent="0.3">
      <c r="B15" s="982" t="s">
        <v>145</v>
      </c>
      <c r="C15" s="983"/>
      <c r="D15" s="984">
        <f>PMT(D10/12,D14,-(D7+IF(AND($D$6="Снятие наличных / перевод",D7&gt;0),ROUND(D7*HLOOKUP(D5,K23:P27,4,0),2),0)))+D11+IF(D12="Да",100)</f>
        <v>35935.582557358452</v>
      </c>
      <c r="E15" s="985"/>
    </row>
    <row r="16" spans="2:14" ht="18" customHeight="1" x14ac:dyDescent="0.3">
      <c r="B16" s="982" t="s">
        <v>160</v>
      </c>
      <c r="C16" s="983"/>
      <c r="D16" s="986">
        <f>SUM(G23:G173)</f>
        <v>862453.98137660255</v>
      </c>
      <c r="E16" s="986"/>
    </row>
    <row r="17" spans="1:16" ht="18" customHeight="1" x14ac:dyDescent="0.3">
      <c r="B17" s="982" t="s">
        <v>161</v>
      </c>
      <c r="C17" s="983"/>
      <c r="D17" s="986">
        <f>D16-D7</f>
        <v>162453.98137660255</v>
      </c>
      <c r="E17" s="986"/>
    </row>
    <row r="18" spans="1:16" ht="18" customHeight="1" x14ac:dyDescent="0.3">
      <c r="B18" s="977"/>
      <c r="C18" s="977"/>
      <c r="D18" s="978"/>
      <c r="E18" s="978"/>
    </row>
    <row r="19" spans="1:16" ht="28.15" customHeight="1" x14ac:dyDescent="0.25">
      <c r="E19" s="706"/>
    </row>
    <row r="20" spans="1:16" ht="18.75" customHeight="1" x14ac:dyDescent="0.3">
      <c r="A20" s="718"/>
      <c r="B20" s="979" t="s">
        <v>147</v>
      </c>
      <c r="C20" s="979"/>
      <c r="D20" s="718"/>
      <c r="E20" s="718"/>
      <c r="F20" s="718"/>
      <c r="G20" s="719"/>
      <c r="J20" s="706"/>
    </row>
    <row r="21" spans="1:16" ht="13.9" customHeight="1" x14ac:dyDescent="0.25">
      <c r="A21" s="980" t="s">
        <v>148</v>
      </c>
      <c r="B21" s="981" t="s">
        <v>149</v>
      </c>
      <c r="C21" s="981" t="s">
        <v>150</v>
      </c>
      <c r="D21" s="980" t="s">
        <v>152</v>
      </c>
      <c r="E21" s="980"/>
      <c r="F21" s="980"/>
      <c r="G21" s="980"/>
      <c r="J21" s="705"/>
    </row>
    <row r="22" spans="1:16" x14ac:dyDescent="0.25">
      <c r="A22" s="980"/>
      <c r="B22" s="981"/>
      <c r="C22" s="981"/>
      <c r="D22" s="720" t="s">
        <v>153</v>
      </c>
      <c r="E22" s="720" t="s">
        <v>154</v>
      </c>
      <c r="F22" s="720" t="s">
        <v>155</v>
      </c>
      <c r="G22" s="721" t="s">
        <v>7</v>
      </c>
      <c r="J22" s="707"/>
      <c r="K22" s="707"/>
      <c r="L22" s="707"/>
      <c r="M22" s="707"/>
      <c r="N22" s="707"/>
      <c r="O22" s="707"/>
    </row>
    <row r="23" spans="1:16" ht="16.5" x14ac:dyDescent="0.3">
      <c r="A23" s="718">
        <v>1</v>
      </c>
      <c r="B23" s="722">
        <f t="shared" ref="B23:B86" si="0">EDATE($D$13,A23)</f>
        <v>45210</v>
      </c>
      <c r="C23" s="723">
        <f>D7+IF(AND($D$6="Снятие наличных / перевод",D7&gt;0),ROUND(D7*HLOOKUP(D5,K23:P27,4,0),2),0)</f>
        <v>700000</v>
      </c>
      <c r="D23" s="723">
        <f>MIN(G23-F23-E23,C23)</f>
        <v>33602.249224025116</v>
      </c>
      <c r="E23" s="723">
        <f>C23*$D$9/12</f>
        <v>2333.3333333333335</v>
      </c>
      <c r="F23" s="723">
        <f>IF(C23&lt;&gt;0,$D$11)+IF(AND($D$12="Да",C23&lt;&gt;0),69)</f>
        <v>0</v>
      </c>
      <c r="G23" s="724">
        <f>IF(C23&gt;0,$D$15,0)</f>
        <v>35935.582557358452</v>
      </c>
      <c r="J23" s="707"/>
      <c r="K23" s="709" t="s">
        <v>320</v>
      </c>
      <c r="L23" s="709" t="s">
        <v>386</v>
      </c>
      <c r="M23" s="709" t="s">
        <v>387</v>
      </c>
      <c r="N23" s="709" t="s">
        <v>388</v>
      </c>
      <c r="O23" s="709" t="s">
        <v>389</v>
      </c>
      <c r="P23" s="709" t="s">
        <v>378</v>
      </c>
    </row>
    <row r="24" spans="1:16" ht="16.5" x14ac:dyDescent="0.3">
      <c r="A24" s="718">
        <f t="shared" ref="A24:A87" si="1">A23+1</f>
        <v>2</v>
      </c>
      <c r="B24" s="722">
        <f t="shared" si="0"/>
        <v>45241</v>
      </c>
      <c r="C24" s="723">
        <f>ROUNDDOWN(C23-D23,2)</f>
        <v>666397.75</v>
      </c>
      <c r="D24" s="723">
        <f t="shared" ref="D24:D87" si="2">MIN(G24-F24-E24,C24)</f>
        <v>24329.155078191783</v>
      </c>
      <c r="E24" s="723">
        <f>C24*$D$10/12</f>
        <v>11606.427479166667</v>
      </c>
      <c r="F24" s="723">
        <f t="shared" ref="F24:F87" si="3">IF(C24&lt;&gt;0,$D$11)+IF(AND($D$12="Да",C24&lt;&gt;0),69)</f>
        <v>0</v>
      </c>
      <c r="G24" s="724">
        <f t="shared" ref="G24:G87" si="4">IF(C24&gt;0,$D$15,0)</f>
        <v>35935.582557358452</v>
      </c>
      <c r="J24" s="707"/>
      <c r="K24" s="709" t="s">
        <v>321</v>
      </c>
      <c r="L24" s="712">
        <v>0.29899999999999999</v>
      </c>
      <c r="M24" s="712">
        <v>0.249</v>
      </c>
      <c r="N24" s="712">
        <v>0.22900000000000001</v>
      </c>
      <c r="O24" s="563">
        <v>0.19900000000000001</v>
      </c>
      <c r="P24" s="712">
        <v>0.35</v>
      </c>
    </row>
    <row r="25" spans="1:16" ht="16.5" x14ac:dyDescent="0.3">
      <c r="A25" s="718">
        <f t="shared" si="1"/>
        <v>3</v>
      </c>
      <c r="B25" s="722">
        <f t="shared" si="0"/>
        <v>45271</v>
      </c>
      <c r="C25" s="723">
        <f t="shared" ref="C25:C88" si="5">ROUNDDOWN(C24-D24,2)</f>
        <v>642068.59</v>
      </c>
      <c r="D25" s="723">
        <f t="shared" si="2"/>
        <v>24752.887948191783</v>
      </c>
      <c r="E25" s="723">
        <f>C25*$D$10/12</f>
        <v>11182.694609166667</v>
      </c>
      <c r="F25" s="723">
        <f t="shared" si="3"/>
        <v>0</v>
      </c>
      <c r="G25" s="724">
        <f t="shared" si="4"/>
        <v>35935.582557358452</v>
      </c>
      <c r="J25" s="707"/>
      <c r="K25" s="709" t="s">
        <v>322</v>
      </c>
      <c r="L25" s="712">
        <v>0.27900000000000003</v>
      </c>
      <c r="M25" s="712">
        <v>0.22900000000000001</v>
      </c>
      <c r="N25" s="712">
        <v>0.20899999999999999</v>
      </c>
      <c r="O25" s="563">
        <v>0.17899999999999999</v>
      </c>
      <c r="P25" s="712">
        <v>0.35</v>
      </c>
    </row>
    <row r="26" spans="1:16" ht="16.5" x14ac:dyDescent="0.3">
      <c r="A26" s="718">
        <f t="shared" si="1"/>
        <v>4</v>
      </c>
      <c r="B26" s="722">
        <f t="shared" si="0"/>
        <v>45302</v>
      </c>
      <c r="C26" s="723">
        <f t="shared" si="5"/>
        <v>617315.69999999995</v>
      </c>
      <c r="D26" s="723">
        <f t="shared" si="2"/>
        <v>25184.000782358453</v>
      </c>
      <c r="E26" s="723">
        <f t="shared" ref="E26:E89" si="6">C26*$D$10/12</f>
        <v>10751.581774999999</v>
      </c>
      <c r="F26" s="723">
        <f t="shared" si="3"/>
        <v>0</v>
      </c>
      <c r="G26" s="724">
        <f>IF(C26&gt;0,$D$15,0)</f>
        <v>35935.582557358452</v>
      </c>
      <c r="J26" s="707"/>
      <c r="K26" s="709" t="s">
        <v>384</v>
      </c>
      <c r="L26" s="712">
        <v>9.9000000000000005E-2</v>
      </c>
      <c r="M26" s="712">
        <v>7.9000000000000001E-2</v>
      </c>
      <c r="N26" s="712">
        <v>5.8999999999999997E-2</v>
      </c>
      <c r="O26" s="712">
        <v>3.9E-2</v>
      </c>
      <c r="P26" s="709"/>
    </row>
    <row r="27" spans="1:16" ht="16.5" x14ac:dyDescent="0.3">
      <c r="A27" s="718">
        <f t="shared" si="1"/>
        <v>5</v>
      </c>
      <c r="B27" s="722">
        <f t="shared" si="0"/>
        <v>45333</v>
      </c>
      <c r="C27" s="723">
        <f t="shared" si="5"/>
        <v>592131.68999999994</v>
      </c>
      <c r="D27" s="723">
        <f t="shared" si="2"/>
        <v>25622.622289858453</v>
      </c>
      <c r="E27" s="723">
        <f t="shared" si="6"/>
        <v>10312.960267499999</v>
      </c>
      <c r="F27" s="723">
        <f t="shared" si="3"/>
        <v>0</v>
      </c>
      <c r="G27" s="724">
        <f t="shared" si="4"/>
        <v>35935.582557358452</v>
      </c>
      <c r="K27" s="709" t="s">
        <v>385</v>
      </c>
      <c r="L27" s="712">
        <v>2.8000000000000001E-2</v>
      </c>
      <c r="M27" s="712">
        <v>2.5000000000000001E-2</v>
      </c>
      <c r="N27" s="712">
        <v>2.5000000000000001E-2</v>
      </c>
      <c r="O27" s="716">
        <v>0.02</v>
      </c>
      <c r="P27" s="709"/>
    </row>
    <row r="28" spans="1:16" ht="16.5" x14ac:dyDescent="0.3">
      <c r="A28" s="718">
        <f t="shared" si="1"/>
        <v>6</v>
      </c>
      <c r="B28" s="722">
        <f t="shared" si="0"/>
        <v>45362</v>
      </c>
      <c r="C28" s="723">
        <f t="shared" si="5"/>
        <v>566509.06000000006</v>
      </c>
      <c r="D28" s="723">
        <f t="shared" si="2"/>
        <v>26068.883095691785</v>
      </c>
      <c r="E28" s="723">
        <f t="shared" si="6"/>
        <v>9866.699461666667</v>
      </c>
      <c r="F28" s="723">
        <f t="shared" si="3"/>
        <v>0</v>
      </c>
      <c r="G28" s="724">
        <f t="shared" si="4"/>
        <v>35935.582557358452</v>
      </c>
    </row>
    <row r="29" spans="1:16" ht="16.5" x14ac:dyDescent="0.3">
      <c r="A29" s="718">
        <f t="shared" si="1"/>
        <v>7</v>
      </c>
      <c r="B29" s="722">
        <f t="shared" si="0"/>
        <v>45393</v>
      </c>
      <c r="C29" s="723">
        <f t="shared" si="5"/>
        <v>540440.17000000004</v>
      </c>
      <c r="D29" s="723">
        <f t="shared" si="2"/>
        <v>26522.916263191786</v>
      </c>
      <c r="E29" s="723">
        <f t="shared" si="6"/>
        <v>9412.6662941666673</v>
      </c>
      <c r="F29" s="723">
        <f t="shared" si="3"/>
        <v>0</v>
      </c>
      <c r="G29" s="724">
        <f t="shared" si="4"/>
        <v>35935.582557358452</v>
      </c>
    </row>
    <row r="30" spans="1:16" ht="16.5" x14ac:dyDescent="0.3">
      <c r="A30" s="718">
        <f t="shared" si="1"/>
        <v>8</v>
      </c>
      <c r="B30" s="722">
        <f t="shared" si="0"/>
        <v>45423</v>
      </c>
      <c r="C30" s="723">
        <f t="shared" si="5"/>
        <v>513917.25</v>
      </c>
      <c r="D30" s="723">
        <f t="shared" si="2"/>
        <v>26984.857119858454</v>
      </c>
      <c r="E30" s="723">
        <f t="shared" si="6"/>
        <v>8950.7254374999993</v>
      </c>
      <c r="F30" s="723">
        <f t="shared" si="3"/>
        <v>0</v>
      </c>
      <c r="G30" s="724">
        <f t="shared" si="4"/>
        <v>35935.582557358452</v>
      </c>
    </row>
    <row r="31" spans="1:16" ht="16.5" x14ac:dyDescent="0.3">
      <c r="A31" s="718">
        <f t="shared" si="1"/>
        <v>9</v>
      </c>
      <c r="B31" s="722">
        <f t="shared" si="0"/>
        <v>45454</v>
      </c>
      <c r="C31" s="723">
        <f t="shared" si="5"/>
        <v>486932.39</v>
      </c>
      <c r="D31" s="723">
        <f t="shared" si="2"/>
        <v>27454.843431525118</v>
      </c>
      <c r="E31" s="723">
        <f t="shared" si="6"/>
        <v>8480.7391258333337</v>
      </c>
      <c r="F31" s="723">
        <f t="shared" si="3"/>
        <v>0</v>
      </c>
      <c r="G31" s="724">
        <f t="shared" si="4"/>
        <v>35935.582557358452</v>
      </c>
    </row>
    <row r="32" spans="1:16" ht="16.5" x14ac:dyDescent="0.3">
      <c r="A32" s="718">
        <f t="shared" si="1"/>
        <v>10</v>
      </c>
      <c r="B32" s="722">
        <f t="shared" si="0"/>
        <v>45484</v>
      </c>
      <c r="C32" s="723">
        <f t="shared" si="5"/>
        <v>459477.54</v>
      </c>
      <c r="D32" s="723">
        <f t="shared" si="2"/>
        <v>27933.015402358451</v>
      </c>
      <c r="E32" s="723">
        <f t="shared" si="6"/>
        <v>8002.5671549999997</v>
      </c>
      <c r="F32" s="723">
        <f t="shared" si="3"/>
        <v>0</v>
      </c>
      <c r="G32" s="724">
        <f t="shared" si="4"/>
        <v>35935.582557358452</v>
      </c>
    </row>
    <row r="33" spans="1:7" ht="16.5" x14ac:dyDescent="0.3">
      <c r="A33" s="718">
        <f t="shared" si="1"/>
        <v>11</v>
      </c>
      <c r="B33" s="722">
        <f t="shared" si="0"/>
        <v>45515</v>
      </c>
      <c r="C33" s="723">
        <f t="shared" si="5"/>
        <v>431544.52</v>
      </c>
      <c r="D33" s="723">
        <f t="shared" si="2"/>
        <v>28419.515500691785</v>
      </c>
      <c r="E33" s="723">
        <f t="shared" si="6"/>
        <v>7516.0670566666668</v>
      </c>
      <c r="F33" s="723">
        <f t="shared" si="3"/>
        <v>0</v>
      </c>
      <c r="G33" s="724">
        <f t="shared" si="4"/>
        <v>35935.582557358452</v>
      </c>
    </row>
    <row r="34" spans="1:7" ht="16.5" x14ac:dyDescent="0.3">
      <c r="A34" s="718">
        <f t="shared" si="1"/>
        <v>12</v>
      </c>
      <c r="B34" s="722">
        <f t="shared" si="0"/>
        <v>45546</v>
      </c>
      <c r="C34" s="723">
        <f t="shared" si="5"/>
        <v>403125</v>
      </c>
      <c r="D34" s="723">
        <f t="shared" si="2"/>
        <v>28914.488807358452</v>
      </c>
      <c r="E34" s="723">
        <f t="shared" si="6"/>
        <v>7021.09375</v>
      </c>
      <c r="F34" s="723">
        <f t="shared" si="3"/>
        <v>0</v>
      </c>
      <c r="G34" s="724">
        <f t="shared" si="4"/>
        <v>35935.582557358452</v>
      </c>
    </row>
    <row r="35" spans="1:7" ht="16.5" x14ac:dyDescent="0.3">
      <c r="A35" s="718">
        <f t="shared" si="1"/>
        <v>13</v>
      </c>
      <c r="B35" s="722">
        <f t="shared" si="0"/>
        <v>45576</v>
      </c>
      <c r="C35" s="723">
        <f t="shared" si="5"/>
        <v>374210.51</v>
      </c>
      <c r="D35" s="723">
        <f t="shared" si="2"/>
        <v>29418.08284152512</v>
      </c>
      <c r="E35" s="723">
        <f t="shared" si="6"/>
        <v>6517.4997158333326</v>
      </c>
      <c r="F35" s="723">
        <f t="shared" si="3"/>
        <v>0</v>
      </c>
      <c r="G35" s="724">
        <f>IF(C35&gt;0,$D$15,0)</f>
        <v>35935.582557358452</v>
      </c>
    </row>
    <row r="36" spans="1:7" ht="16.5" x14ac:dyDescent="0.3">
      <c r="A36" s="718">
        <f t="shared" si="1"/>
        <v>14</v>
      </c>
      <c r="B36" s="722">
        <f t="shared" si="0"/>
        <v>45607</v>
      </c>
      <c r="C36" s="723">
        <f t="shared" si="5"/>
        <v>344792.42</v>
      </c>
      <c r="D36" s="723">
        <f t="shared" si="2"/>
        <v>29930.447909025119</v>
      </c>
      <c r="E36" s="723">
        <f t="shared" si="6"/>
        <v>6005.1346483333327</v>
      </c>
      <c r="F36" s="723">
        <f t="shared" si="3"/>
        <v>0</v>
      </c>
      <c r="G36" s="724">
        <f t="shared" si="4"/>
        <v>35935.582557358452</v>
      </c>
    </row>
    <row r="37" spans="1:7" ht="16.5" x14ac:dyDescent="0.3">
      <c r="A37" s="718">
        <f t="shared" si="1"/>
        <v>15</v>
      </c>
      <c r="B37" s="722">
        <f t="shared" si="0"/>
        <v>45637</v>
      </c>
      <c r="C37" s="723">
        <f t="shared" si="5"/>
        <v>314861.96999999997</v>
      </c>
      <c r="D37" s="723">
        <f t="shared" si="2"/>
        <v>30451.736579858451</v>
      </c>
      <c r="E37" s="723">
        <f t="shared" si="6"/>
        <v>5483.8459775000001</v>
      </c>
      <c r="F37" s="723">
        <f t="shared" si="3"/>
        <v>0</v>
      </c>
      <c r="G37" s="724">
        <f t="shared" si="4"/>
        <v>35935.582557358452</v>
      </c>
    </row>
    <row r="38" spans="1:7" ht="16.5" x14ac:dyDescent="0.3">
      <c r="A38" s="718">
        <f t="shared" si="1"/>
        <v>16</v>
      </c>
      <c r="B38" s="722">
        <f t="shared" si="0"/>
        <v>45668</v>
      </c>
      <c r="C38" s="723">
        <f t="shared" si="5"/>
        <v>284410.23</v>
      </c>
      <c r="D38" s="723">
        <f t="shared" si="2"/>
        <v>30982.104384858452</v>
      </c>
      <c r="E38" s="723">
        <f t="shared" si="6"/>
        <v>4953.4781724999993</v>
      </c>
      <c r="F38" s="723">
        <f t="shared" si="3"/>
        <v>0</v>
      </c>
      <c r="G38" s="724">
        <f t="shared" si="4"/>
        <v>35935.582557358452</v>
      </c>
    </row>
    <row r="39" spans="1:7" ht="16.5" x14ac:dyDescent="0.3">
      <c r="A39" s="718">
        <f t="shared" si="1"/>
        <v>17</v>
      </c>
      <c r="B39" s="722">
        <f t="shared" si="0"/>
        <v>45699</v>
      </c>
      <c r="C39" s="723">
        <f t="shared" si="5"/>
        <v>253428.12</v>
      </c>
      <c r="D39" s="723">
        <f t="shared" si="2"/>
        <v>31521.709467358451</v>
      </c>
      <c r="E39" s="723">
        <f t="shared" si="6"/>
        <v>4413.87309</v>
      </c>
      <c r="F39" s="723">
        <f t="shared" si="3"/>
        <v>0</v>
      </c>
      <c r="G39" s="724">
        <f t="shared" si="4"/>
        <v>35935.582557358452</v>
      </c>
    </row>
    <row r="40" spans="1:7" ht="16.5" x14ac:dyDescent="0.3">
      <c r="A40" s="718">
        <f t="shared" si="1"/>
        <v>18</v>
      </c>
      <c r="B40" s="722">
        <f t="shared" si="0"/>
        <v>45727</v>
      </c>
      <c r="C40" s="723">
        <f t="shared" si="5"/>
        <v>221906.41</v>
      </c>
      <c r="D40" s="723">
        <f t="shared" si="2"/>
        <v>32070.712583191784</v>
      </c>
      <c r="E40" s="723">
        <f t="shared" si="6"/>
        <v>3864.8699741666665</v>
      </c>
      <c r="F40" s="723">
        <f t="shared" si="3"/>
        <v>0</v>
      </c>
      <c r="G40" s="724">
        <f t="shared" si="4"/>
        <v>35935.582557358452</v>
      </c>
    </row>
    <row r="41" spans="1:7" ht="16.5" x14ac:dyDescent="0.3">
      <c r="A41" s="718">
        <f t="shared" si="1"/>
        <v>19</v>
      </c>
      <c r="B41" s="722">
        <f t="shared" si="0"/>
        <v>45758</v>
      </c>
      <c r="C41" s="723">
        <f t="shared" si="5"/>
        <v>189835.69</v>
      </c>
      <c r="D41" s="723">
        <f t="shared" si="2"/>
        <v>32629.277623191785</v>
      </c>
      <c r="E41" s="723">
        <f t="shared" si="6"/>
        <v>3306.3049341666665</v>
      </c>
      <c r="F41" s="723">
        <f t="shared" si="3"/>
        <v>0</v>
      </c>
      <c r="G41" s="724">
        <f t="shared" si="4"/>
        <v>35935.582557358452</v>
      </c>
    </row>
    <row r="42" spans="1:7" ht="16.5" x14ac:dyDescent="0.3">
      <c r="A42" s="718">
        <f t="shared" si="1"/>
        <v>20</v>
      </c>
      <c r="B42" s="722">
        <f t="shared" si="0"/>
        <v>45788</v>
      </c>
      <c r="C42" s="723">
        <f t="shared" si="5"/>
        <v>157206.41</v>
      </c>
      <c r="D42" s="723">
        <f t="shared" si="2"/>
        <v>33197.570916525117</v>
      </c>
      <c r="E42" s="723">
        <f t="shared" si="6"/>
        <v>2738.0116408333329</v>
      </c>
      <c r="F42" s="723">
        <f t="shared" si="3"/>
        <v>0</v>
      </c>
      <c r="G42" s="724">
        <f t="shared" si="4"/>
        <v>35935.582557358452</v>
      </c>
    </row>
    <row r="43" spans="1:7" ht="16.5" x14ac:dyDescent="0.3">
      <c r="A43" s="718">
        <f t="shared" si="1"/>
        <v>21</v>
      </c>
      <c r="B43" s="722">
        <f t="shared" si="0"/>
        <v>45819</v>
      </c>
      <c r="C43" s="723">
        <f t="shared" si="5"/>
        <v>124008.83</v>
      </c>
      <c r="D43" s="723">
        <f t="shared" si="2"/>
        <v>33775.762101525121</v>
      </c>
      <c r="E43" s="723">
        <f t="shared" si="6"/>
        <v>2159.8204558333332</v>
      </c>
      <c r="F43" s="723">
        <f t="shared" si="3"/>
        <v>0</v>
      </c>
      <c r="G43" s="724">
        <f t="shared" si="4"/>
        <v>35935.582557358452</v>
      </c>
    </row>
    <row r="44" spans="1:7" ht="16.5" x14ac:dyDescent="0.3">
      <c r="A44" s="718">
        <f t="shared" si="1"/>
        <v>22</v>
      </c>
      <c r="B44" s="722">
        <f t="shared" si="0"/>
        <v>45849</v>
      </c>
      <c r="C44" s="723">
        <f t="shared" si="5"/>
        <v>90233.06</v>
      </c>
      <c r="D44" s="723">
        <f t="shared" si="2"/>
        <v>34364.023429025117</v>
      </c>
      <c r="E44" s="723">
        <f t="shared" si="6"/>
        <v>1571.5591283333333</v>
      </c>
      <c r="F44" s="723">
        <f t="shared" si="3"/>
        <v>0</v>
      </c>
      <c r="G44" s="724">
        <f t="shared" si="4"/>
        <v>35935.582557358452</v>
      </c>
    </row>
    <row r="45" spans="1:7" ht="16.5" x14ac:dyDescent="0.3">
      <c r="A45" s="718">
        <f t="shared" si="1"/>
        <v>23</v>
      </c>
      <c r="B45" s="722">
        <f t="shared" si="0"/>
        <v>45880</v>
      </c>
      <c r="C45" s="723">
        <f t="shared" si="5"/>
        <v>55869.03</v>
      </c>
      <c r="D45" s="723">
        <f t="shared" si="2"/>
        <v>34962.530284858454</v>
      </c>
      <c r="E45" s="723">
        <f t="shared" si="6"/>
        <v>973.05227249999996</v>
      </c>
      <c r="F45" s="723">
        <f t="shared" si="3"/>
        <v>0</v>
      </c>
      <c r="G45" s="724">
        <f t="shared" si="4"/>
        <v>35935.582557358452</v>
      </c>
    </row>
    <row r="46" spans="1:7" ht="16.5" x14ac:dyDescent="0.3">
      <c r="A46" s="718">
        <f t="shared" si="1"/>
        <v>24</v>
      </c>
      <c r="B46" s="722">
        <f t="shared" si="0"/>
        <v>45911</v>
      </c>
      <c r="C46" s="723">
        <f t="shared" si="5"/>
        <v>20906.490000000002</v>
      </c>
      <c r="D46" s="723">
        <f t="shared" si="2"/>
        <v>20906.490000000002</v>
      </c>
      <c r="E46" s="723">
        <f t="shared" si="6"/>
        <v>364.12136749999996</v>
      </c>
      <c r="F46" s="723">
        <f t="shared" si="3"/>
        <v>0</v>
      </c>
      <c r="G46" s="724">
        <f t="shared" si="4"/>
        <v>35935.582557358452</v>
      </c>
    </row>
    <row r="47" spans="1:7" ht="16.5" x14ac:dyDescent="0.3">
      <c r="A47" s="718">
        <f t="shared" si="1"/>
        <v>25</v>
      </c>
      <c r="B47" s="722">
        <f t="shared" si="0"/>
        <v>45941</v>
      </c>
      <c r="C47" s="723">
        <f t="shared" si="5"/>
        <v>0</v>
      </c>
      <c r="D47" s="723">
        <f t="shared" si="2"/>
        <v>0</v>
      </c>
      <c r="E47" s="723">
        <f t="shared" si="6"/>
        <v>0</v>
      </c>
      <c r="F47" s="723">
        <f t="shared" si="3"/>
        <v>0</v>
      </c>
      <c r="G47" s="724">
        <f t="shared" si="4"/>
        <v>0</v>
      </c>
    </row>
    <row r="48" spans="1:7" ht="16.5" x14ac:dyDescent="0.3">
      <c r="A48" s="718">
        <f t="shared" si="1"/>
        <v>26</v>
      </c>
      <c r="B48" s="722">
        <f t="shared" si="0"/>
        <v>45972</v>
      </c>
      <c r="C48" s="723">
        <f t="shared" si="5"/>
        <v>0</v>
      </c>
      <c r="D48" s="723">
        <f t="shared" si="2"/>
        <v>0</v>
      </c>
      <c r="E48" s="723">
        <f t="shared" si="6"/>
        <v>0</v>
      </c>
      <c r="F48" s="723">
        <f t="shared" si="3"/>
        <v>0</v>
      </c>
      <c r="G48" s="724">
        <f t="shared" si="4"/>
        <v>0</v>
      </c>
    </row>
    <row r="49" spans="1:7" ht="16.5" x14ac:dyDescent="0.3">
      <c r="A49" s="718">
        <f t="shared" si="1"/>
        <v>27</v>
      </c>
      <c r="B49" s="722">
        <f t="shared" si="0"/>
        <v>46002</v>
      </c>
      <c r="C49" s="723">
        <f t="shared" si="5"/>
        <v>0</v>
      </c>
      <c r="D49" s="723">
        <f t="shared" si="2"/>
        <v>0</v>
      </c>
      <c r="E49" s="723">
        <f t="shared" si="6"/>
        <v>0</v>
      </c>
      <c r="F49" s="723">
        <f t="shared" si="3"/>
        <v>0</v>
      </c>
      <c r="G49" s="724">
        <f t="shared" si="4"/>
        <v>0</v>
      </c>
    </row>
    <row r="50" spans="1:7" ht="16.5" x14ac:dyDescent="0.3">
      <c r="A50" s="718">
        <f t="shared" si="1"/>
        <v>28</v>
      </c>
      <c r="B50" s="722">
        <f t="shared" si="0"/>
        <v>46033</v>
      </c>
      <c r="C50" s="723">
        <f t="shared" si="5"/>
        <v>0</v>
      </c>
      <c r="D50" s="723">
        <f t="shared" si="2"/>
        <v>0</v>
      </c>
      <c r="E50" s="723">
        <f t="shared" si="6"/>
        <v>0</v>
      </c>
      <c r="F50" s="723">
        <f t="shared" si="3"/>
        <v>0</v>
      </c>
      <c r="G50" s="724">
        <f t="shared" si="4"/>
        <v>0</v>
      </c>
    </row>
    <row r="51" spans="1:7" ht="16.5" x14ac:dyDescent="0.3">
      <c r="A51" s="718">
        <f t="shared" si="1"/>
        <v>29</v>
      </c>
      <c r="B51" s="722">
        <f t="shared" si="0"/>
        <v>46064</v>
      </c>
      <c r="C51" s="723">
        <f t="shared" si="5"/>
        <v>0</v>
      </c>
      <c r="D51" s="723">
        <f t="shared" si="2"/>
        <v>0</v>
      </c>
      <c r="E51" s="723">
        <f t="shared" si="6"/>
        <v>0</v>
      </c>
      <c r="F51" s="723">
        <f t="shared" si="3"/>
        <v>0</v>
      </c>
      <c r="G51" s="724">
        <f t="shared" si="4"/>
        <v>0</v>
      </c>
    </row>
    <row r="52" spans="1:7" ht="16.5" x14ac:dyDescent="0.3">
      <c r="A52" s="718">
        <f t="shared" si="1"/>
        <v>30</v>
      </c>
      <c r="B52" s="722">
        <f t="shared" si="0"/>
        <v>46092</v>
      </c>
      <c r="C52" s="723">
        <f t="shared" si="5"/>
        <v>0</v>
      </c>
      <c r="D52" s="723">
        <f t="shared" si="2"/>
        <v>0</v>
      </c>
      <c r="E52" s="723">
        <f t="shared" si="6"/>
        <v>0</v>
      </c>
      <c r="F52" s="723">
        <f t="shared" si="3"/>
        <v>0</v>
      </c>
      <c r="G52" s="724">
        <f t="shared" si="4"/>
        <v>0</v>
      </c>
    </row>
    <row r="53" spans="1:7" ht="16.5" x14ac:dyDescent="0.3">
      <c r="A53" s="718">
        <f t="shared" si="1"/>
        <v>31</v>
      </c>
      <c r="B53" s="722">
        <f t="shared" si="0"/>
        <v>46123</v>
      </c>
      <c r="C53" s="723">
        <f t="shared" si="5"/>
        <v>0</v>
      </c>
      <c r="D53" s="723">
        <f t="shared" si="2"/>
        <v>0</v>
      </c>
      <c r="E53" s="723">
        <f t="shared" si="6"/>
        <v>0</v>
      </c>
      <c r="F53" s="723">
        <f t="shared" si="3"/>
        <v>0</v>
      </c>
      <c r="G53" s="724">
        <f t="shared" si="4"/>
        <v>0</v>
      </c>
    </row>
    <row r="54" spans="1:7" ht="16.5" x14ac:dyDescent="0.3">
      <c r="A54" s="718">
        <f t="shared" si="1"/>
        <v>32</v>
      </c>
      <c r="B54" s="722">
        <f t="shared" si="0"/>
        <v>46153</v>
      </c>
      <c r="C54" s="723">
        <f t="shared" si="5"/>
        <v>0</v>
      </c>
      <c r="D54" s="723">
        <f t="shared" si="2"/>
        <v>0</v>
      </c>
      <c r="E54" s="723">
        <f t="shared" si="6"/>
        <v>0</v>
      </c>
      <c r="F54" s="723">
        <f t="shared" si="3"/>
        <v>0</v>
      </c>
      <c r="G54" s="724">
        <f t="shared" si="4"/>
        <v>0</v>
      </c>
    </row>
    <row r="55" spans="1:7" ht="16.5" x14ac:dyDescent="0.3">
      <c r="A55" s="718">
        <f t="shared" si="1"/>
        <v>33</v>
      </c>
      <c r="B55" s="722">
        <f t="shared" si="0"/>
        <v>46184</v>
      </c>
      <c r="C55" s="723">
        <f t="shared" si="5"/>
        <v>0</v>
      </c>
      <c r="D55" s="723">
        <f t="shared" si="2"/>
        <v>0</v>
      </c>
      <c r="E55" s="723">
        <f t="shared" si="6"/>
        <v>0</v>
      </c>
      <c r="F55" s="723">
        <f t="shared" si="3"/>
        <v>0</v>
      </c>
      <c r="G55" s="724">
        <f t="shared" si="4"/>
        <v>0</v>
      </c>
    </row>
    <row r="56" spans="1:7" ht="16.5" x14ac:dyDescent="0.3">
      <c r="A56" s="718">
        <f t="shared" si="1"/>
        <v>34</v>
      </c>
      <c r="B56" s="722">
        <f t="shared" si="0"/>
        <v>46214</v>
      </c>
      <c r="C56" s="723">
        <f t="shared" si="5"/>
        <v>0</v>
      </c>
      <c r="D56" s="723">
        <f t="shared" si="2"/>
        <v>0</v>
      </c>
      <c r="E56" s="723">
        <f t="shared" si="6"/>
        <v>0</v>
      </c>
      <c r="F56" s="723">
        <f t="shared" si="3"/>
        <v>0</v>
      </c>
      <c r="G56" s="724">
        <f t="shared" si="4"/>
        <v>0</v>
      </c>
    </row>
    <row r="57" spans="1:7" ht="16.5" x14ac:dyDescent="0.3">
      <c r="A57" s="718">
        <f t="shared" si="1"/>
        <v>35</v>
      </c>
      <c r="B57" s="722">
        <f t="shared" si="0"/>
        <v>46245</v>
      </c>
      <c r="C57" s="723">
        <f t="shared" si="5"/>
        <v>0</v>
      </c>
      <c r="D57" s="723">
        <f t="shared" si="2"/>
        <v>0</v>
      </c>
      <c r="E57" s="723">
        <f t="shared" si="6"/>
        <v>0</v>
      </c>
      <c r="F57" s="723">
        <f t="shared" si="3"/>
        <v>0</v>
      </c>
      <c r="G57" s="724">
        <f t="shared" si="4"/>
        <v>0</v>
      </c>
    </row>
    <row r="58" spans="1:7" ht="16.5" x14ac:dyDescent="0.3">
      <c r="A58" s="718">
        <f t="shared" si="1"/>
        <v>36</v>
      </c>
      <c r="B58" s="722">
        <f t="shared" si="0"/>
        <v>46276</v>
      </c>
      <c r="C58" s="723">
        <f t="shared" si="5"/>
        <v>0</v>
      </c>
      <c r="D58" s="723">
        <f t="shared" si="2"/>
        <v>0</v>
      </c>
      <c r="E58" s="723">
        <f t="shared" si="6"/>
        <v>0</v>
      </c>
      <c r="F58" s="723">
        <f t="shared" si="3"/>
        <v>0</v>
      </c>
      <c r="G58" s="724">
        <f t="shared" si="4"/>
        <v>0</v>
      </c>
    </row>
    <row r="59" spans="1:7" ht="16.5" x14ac:dyDescent="0.3">
      <c r="A59" s="718">
        <f t="shared" si="1"/>
        <v>37</v>
      </c>
      <c r="B59" s="722">
        <f t="shared" si="0"/>
        <v>46306</v>
      </c>
      <c r="C59" s="723">
        <f t="shared" si="5"/>
        <v>0</v>
      </c>
      <c r="D59" s="723">
        <f t="shared" si="2"/>
        <v>0</v>
      </c>
      <c r="E59" s="723">
        <f t="shared" si="6"/>
        <v>0</v>
      </c>
      <c r="F59" s="723">
        <f t="shared" si="3"/>
        <v>0</v>
      </c>
      <c r="G59" s="724">
        <f t="shared" si="4"/>
        <v>0</v>
      </c>
    </row>
    <row r="60" spans="1:7" ht="16.5" x14ac:dyDescent="0.3">
      <c r="A60" s="718">
        <f t="shared" si="1"/>
        <v>38</v>
      </c>
      <c r="B60" s="722">
        <f t="shared" si="0"/>
        <v>46337</v>
      </c>
      <c r="C60" s="723">
        <f t="shared" si="5"/>
        <v>0</v>
      </c>
      <c r="D60" s="723">
        <f t="shared" si="2"/>
        <v>0</v>
      </c>
      <c r="E60" s="723">
        <f t="shared" si="6"/>
        <v>0</v>
      </c>
      <c r="F60" s="723">
        <f t="shared" si="3"/>
        <v>0</v>
      </c>
      <c r="G60" s="724">
        <f t="shared" si="4"/>
        <v>0</v>
      </c>
    </row>
    <row r="61" spans="1:7" ht="16.5" x14ac:dyDescent="0.3">
      <c r="A61" s="718">
        <f t="shared" si="1"/>
        <v>39</v>
      </c>
      <c r="B61" s="722">
        <f t="shared" si="0"/>
        <v>46367</v>
      </c>
      <c r="C61" s="723">
        <f t="shared" si="5"/>
        <v>0</v>
      </c>
      <c r="D61" s="723">
        <f t="shared" si="2"/>
        <v>0</v>
      </c>
      <c r="E61" s="723">
        <f t="shared" si="6"/>
        <v>0</v>
      </c>
      <c r="F61" s="723">
        <f t="shared" si="3"/>
        <v>0</v>
      </c>
      <c r="G61" s="724">
        <f t="shared" si="4"/>
        <v>0</v>
      </c>
    </row>
    <row r="62" spans="1:7" ht="16.5" x14ac:dyDescent="0.3">
      <c r="A62" s="718">
        <f t="shared" si="1"/>
        <v>40</v>
      </c>
      <c r="B62" s="722">
        <f t="shared" si="0"/>
        <v>46398</v>
      </c>
      <c r="C62" s="723">
        <f t="shared" si="5"/>
        <v>0</v>
      </c>
      <c r="D62" s="723">
        <f t="shared" si="2"/>
        <v>0</v>
      </c>
      <c r="E62" s="723">
        <f t="shared" si="6"/>
        <v>0</v>
      </c>
      <c r="F62" s="723">
        <f t="shared" si="3"/>
        <v>0</v>
      </c>
      <c r="G62" s="724">
        <f t="shared" si="4"/>
        <v>0</v>
      </c>
    </row>
    <row r="63" spans="1:7" ht="16.5" x14ac:dyDescent="0.3">
      <c r="A63" s="718">
        <f t="shared" si="1"/>
        <v>41</v>
      </c>
      <c r="B63" s="722">
        <f t="shared" si="0"/>
        <v>46429</v>
      </c>
      <c r="C63" s="723">
        <f t="shared" si="5"/>
        <v>0</v>
      </c>
      <c r="D63" s="723">
        <f t="shared" si="2"/>
        <v>0</v>
      </c>
      <c r="E63" s="723">
        <f t="shared" si="6"/>
        <v>0</v>
      </c>
      <c r="F63" s="723">
        <f t="shared" si="3"/>
        <v>0</v>
      </c>
      <c r="G63" s="724">
        <f t="shared" si="4"/>
        <v>0</v>
      </c>
    </row>
    <row r="64" spans="1:7" ht="16.5" x14ac:dyDescent="0.3">
      <c r="A64" s="718">
        <f t="shared" si="1"/>
        <v>42</v>
      </c>
      <c r="B64" s="722">
        <f t="shared" si="0"/>
        <v>46457</v>
      </c>
      <c r="C64" s="723">
        <f t="shared" si="5"/>
        <v>0</v>
      </c>
      <c r="D64" s="723">
        <f t="shared" si="2"/>
        <v>0</v>
      </c>
      <c r="E64" s="723">
        <f t="shared" si="6"/>
        <v>0</v>
      </c>
      <c r="F64" s="723">
        <f t="shared" si="3"/>
        <v>0</v>
      </c>
      <c r="G64" s="724">
        <f t="shared" si="4"/>
        <v>0</v>
      </c>
    </row>
    <row r="65" spans="1:15" ht="16.5" x14ac:dyDescent="0.3">
      <c r="A65" s="718">
        <f t="shared" si="1"/>
        <v>43</v>
      </c>
      <c r="B65" s="722">
        <f t="shared" si="0"/>
        <v>46488</v>
      </c>
      <c r="C65" s="723">
        <f t="shared" si="5"/>
        <v>0</v>
      </c>
      <c r="D65" s="723">
        <f t="shared" si="2"/>
        <v>0</v>
      </c>
      <c r="E65" s="723">
        <f t="shared" si="6"/>
        <v>0</v>
      </c>
      <c r="F65" s="723">
        <f t="shared" si="3"/>
        <v>0</v>
      </c>
      <c r="G65" s="724">
        <f t="shared" si="4"/>
        <v>0</v>
      </c>
    </row>
    <row r="66" spans="1:15" ht="16.5" x14ac:dyDescent="0.3">
      <c r="A66" s="718">
        <f t="shared" si="1"/>
        <v>44</v>
      </c>
      <c r="B66" s="722">
        <f t="shared" si="0"/>
        <v>46518</v>
      </c>
      <c r="C66" s="723">
        <f t="shared" si="5"/>
        <v>0</v>
      </c>
      <c r="D66" s="723">
        <f t="shared" si="2"/>
        <v>0</v>
      </c>
      <c r="E66" s="723">
        <f t="shared" si="6"/>
        <v>0</v>
      </c>
      <c r="F66" s="723">
        <f t="shared" si="3"/>
        <v>0</v>
      </c>
      <c r="G66" s="724">
        <f t="shared" si="4"/>
        <v>0</v>
      </c>
    </row>
    <row r="67" spans="1:15" ht="16.5" x14ac:dyDescent="0.3">
      <c r="A67" s="718">
        <f t="shared" si="1"/>
        <v>45</v>
      </c>
      <c r="B67" s="722">
        <f t="shared" si="0"/>
        <v>46549</v>
      </c>
      <c r="C67" s="723">
        <f t="shared" si="5"/>
        <v>0</v>
      </c>
      <c r="D67" s="723">
        <f t="shared" si="2"/>
        <v>0</v>
      </c>
      <c r="E67" s="723">
        <f t="shared" si="6"/>
        <v>0</v>
      </c>
      <c r="F67" s="723">
        <f t="shared" si="3"/>
        <v>0</v>
      </c>
      <c r="G67" s="724">
        <f t="shared" si="4"/>
        <v>0</v>
      </c>
    </row>
    <row r="68" spans="1:15" ht="16.5" x14ac:dyDescent="0.3">
      <c r="A68" s="718">
        <f t="shared" si="1"/>
        <v>46</v>
      </c>
      <c r="B68" s="722">
        <f t="shared" si="0"/>
        <v>46579</v>
      </c>
      <c r="C68" s="723">
        <f t="shared" si="5"/>
        <v>0</v>
      </c>
      <c r="D68" s="723">
        <f t="shared" si="2"/>
        <v>0</v>
      </c>
      <c r="E68" s="723">
        <f t="shared" si="6"/>
        <v>0</v>
      </c>
      <c r="F68" s="723">
        <f t="shared" si="3"/>
        <v>0</v>
      </c>
      <c r="G68" s="724">
        <f t="shared" si="4"/>
        <v>0</v>
      </c>
    </row>
    <row r="69" spans="1:15" ht="16.5" x14ac:dyDescent="0.3">
      <c r="A69" s="718">
        <f t="shared" si="1"/>
        <v>47</v>
      </c>
      <c r="B69" s="722">
        <f t="shared" si="0"/>
        <v>46610</v>
      </c>
      <c r="C69" s="723">
        <f t="shared" si="5"/>
        <v>0</v>
      </c>
      <c r="D69" s="723">
        <f t="shared" si="2"/>
        <v>0</v>
      </c>
      <c r="E69" s="723">
        <f t="shared" si="6"/>
        <v>0</v>
      </c>
      <c r="F69" s="723">
        <f t="shared" si="3"/>
        <v>0</v>
      </c>
      <c r="G69" s="724">
        <f t="shared" si="4"/>
        <v>0</v>
      </c>
    </row>
    <row r="70" spans="1:15" ht="16.5" x14ac:dyDescent="0.3">
      <c r="A70" s="718">
        <f t="shared" si="1"/>
        <v>48</v>
      </c>
      <c r="B70" s="722">
        <f t="shared" si="0"/>
        <v>46641</v>
      </c>
      <c r="C70" s="723">
        <f t="shared" si="5"/>
        <v>0</v>
      </c>
      <c r="D70" s="723">
        <f t="shared" si="2"/>
        <v>0</v>
      </c>
      <c r="E70" s="723">
        <f t="shared" si="6"/>
        <v>0</v>
      </c>
      <c r="F70" s="723">
        <f t="shared" si="3"/>
        <v>0</v>
      </c>
      <c r="G70" s="724">
        <f t="shared" si="4"/>
        <v>0</v>
      </c>
    </row>
    <row r="71" spans="1:15" ht="16.5" x14ac:dyDescent="0.3">
      <c r="A71" s="718">
        <f t="shared" si="1"/>
        <v>49</v>
      </c>
      <c r="B71" s="722">
        <f t="shared" si="0"/>
        <v>46671</v>
      </c>
      <c r="C71" s="723">
        <f t="shared" si="5"/>
        <v>0</v>
      </c>
      <c r="D71" s="723">
        <f t="shared" si="2"/>
        <v>0</v>
      </c>
      <c r="E71" s="723">
        <f t="shared" si="6"/>
        <v>0</v>
      </c>
      <c r="F71" s="723">
        <f t="shared" si="3"/>
        <v>0</v>
      </c>
      <c r="G71" s="724">
        <f t="shared" si="4"/>
        <v>0</v>
      </c>
    </row>
    <row r="72" spans="1:15" ht="16.5" x14ac:dyDescent="0.3">
      <c r="A72" s="718">
        <f t="shared" si="1"/>
        <v>50</v>
      </c>
      <c r="B72" s="722">
        <f t="shared" si="0"/>
        <v>46702</v>
      </c>
      <c r="C72" s="723">
        <f t="shared" si="5"/>
        <v>0</v>
      </c>
      <c r="D72" s="723">
        <f t="shared" si="2"/>
        <v>0</v>
      </c>
      <c r="E72" s="723">
        <f t="shared" si="6"/>
        <v>0</v>
      </c>
      <c r="F72" s="723">
        <f t="shared" si="3"/>
        <v>0</v>
      </c>
      <c r="G72" s="724">
        <f t="shared" si="4"/>
        <v>0</v>
      </c>
    </row>
    <row r="73" spans="1:15" ht="16.5" x14ac:dyDescent="0.3">
      <c r="A73" s="718">
        <f t="shared" si="1"/>
        <v>51</v>
      </c>
      <c r="B73" s="722">
        <f t="shared" si="0"/>
        <v>46732</v>
      </c>
      <c r="C73" s="723">
        <f t="shared" si="5"/>
        <v>0</v>
      </c>
      <c r="D73" s="723">
        <f t="shared" si="2"/>
        <v>0</v>
      </c>
      <c r="E73" s="723">
        <f t="shared" si="6"/>
        <v>0</v>
      </c>
      <c r="F73" s="723">
        <f t="shared" si="3"/>
        <v>0</v>
      </c>
      <c r="G73" s="724">
        <f t="shared" si="4"/>
        <v>0</v>
      </c>
    </row>
    <row r="74" spans="1:15" ht="16.5" x14ac:dyDescent="0.3">
      <c r="A74" s="718">
        <f t="shared" si="1"/>
        <v>52</v>
      </c>
      <c r="B74" s="722">
        <f t="shared" si="0"/>
        <v>46763</v>
      </c>
      <c r="C74" s="723">
        <f t="shared" si="5"/>
        <v>0</v>
      </c>
      <c r="D74" s="723">
        <f t="shared" si="2"/>
        <v>0</v>
      </c>
      <c r="E74" s="723">
        <f t="shared" si="6"/>
        <v>0</v>
      </c>
      <c r="F74" s="723">
        <f t="shared" si="3"/>
        <v>0</v>
      </c>
      <c r="G74" s="724">
        <f t="shared" si="4"/>
        <v>0</v>
      </c>
    </row>
    <row r="75" spans="1:15" ht="16.5" x14ac:dyDescent="0.3">
      <c r="A75" s="718">
        <f t="shared" si="1"/>
        <v>53</v>
      </c>
      <c r="B75" s="722">
        <f t="shared" si="0"/>
        <v>46794</v>
      </c>
      <c r="C75" s="723">
        <f t="shared" si="5"/>
        <v>0</v>
      </c>
      <c r="D75" s="723">
        <f t="shared" si="2"/>
        <v>0</v>
      </c>
      <c r="E75" s="723">
        <f t="shared" si="6"/>
        <v>0</v>
      </c>
      <c r="F75" s="723">
        <f t="shared" si="3"/>
        <v>0</v>
      </c>
      <c r="G75" s="724">
        <f t="shared" si="4"/>
        <v>0</v>
      </c>
    </row>
    <row r="76" spans="1:15" ht="16.5" x14ac:dyDescent="0.3">
      <c r="A76" s="718">
        <f t="shared" si="1"/>
        <v>54</v>
      </c>
      <c r="B76" s="722">
        <f t="shared" si="0"/>
        <v>46823</v>
      </c>
      <c r="C76" s="723">
        <f t="shared" si="5"/>
        <v>0</v>
      </c>
      <c r="D76" s="723">
        <f t="shared" si="2"/>
        <v>0</v>
      </c>
      <c r="E76" s="723">
        <f t="shared" si="6"/>
        <v>0</v>
      </c>
      <c r="F76" s="723">
        <f t="shared" si="3"/>
        <v>0</v>
      </c>
      <c r="G76" s="724">
        <f t="shared" si="4"/>
        <v>0</v>
      </c>
    </row>
    <row r="77" spans="1:15" ht="16.5" x14ac:dyDescent="0.3">
      <c r="A77" s="718">
        <f t="shared" si="1"/>
        <v>55</v>
      </c>
      <c r="B77" s="722">
        <f t="shared" si="0"/>
        <v>46854</v>
      </c>
      <c r="C77" s="723">
        <f t="shared" si="5"/>
        <v>0</v>
      </c>
      <c r="D77" s="723">
        <f t="shared" si="2"/>
        <v>0</v>
      </c>
      <c r="E77" s="723">
        <f t="shared" si="6"/>
        <v>0</v>
      </c>
      <c r="F77" s="723">
        <f t="shared" si="3"/>
        <v>0</v>
      </c>
      <c r="G77" s="724">
        <f t="shared" si="4"/>
        <v>0</v>
      </c>
    </row>
    <row r="78" spans="1:15" ht="16.5" x14ac:dyDescent="0.3">
      <c r="A78" s="718">
        <f t="shared" si="1"/>
        <v>56</v>
      </c>
      <c r="B78" s="722">
        <f t="shared" si="0"/>
        <v>46884</v>
      </c>
      <c r="C78" s="723">
        <f t="shared" si="5"/>
        <v>0</v>
      </c>
      <c r="D78" s="723">
        <f t="shared" si="2"/>
        <v>0</v>
      </c>
      <c r="E78" s="723">
        <f t="shared" si="6"/>
        <v>0</v>
      </c>
      <c r="F78" s="723">
        <f t="shared" si="3"/>
        <v>0</v>
      </c>
      <c r="G78" s="724">
        <f t="shared" si="4"/>
        <v>0</v>
      </c>
    </row>
    <row r="79" spans="1:15" ht="16.5" x14ac:dyDescent="0.3">
      <c r="A79" s="718">
        <f t="shared" si="1"/>
        <v>57</v>
      </c>
      <c r="B79" s="722">
        <f t="shared" si="0"/>
        <v>46915</v>
      </c>
      <c r="C79" s="723">
        <f t="shared" si="5"/>
        <v>0</v>
      </c>
      <c r="D79" s="723">
        <f t="shared" si="2"/>
        <v>0</v>
      </c>
      <c r="E79" s="723">
        <f t="shared" si="6"/>
        <v>0</v>
      </c>
      <c r="F79" s="723">
        <f t="shared" si="3"/>
        <v>0</v>
      </c>
      <c r="G79" s="724">
        <f t="shared" si="4"/>
        <v>0</v>
      </c>
    </row>
    <row r="80" spans="1:15" ht="16.5" x14ac:dyDescent="0.3">
      <c r="A80" s="718">
        <f t="shared" si="1"/>
        <v>58</v>
      </c>
      <c r="B80" s="722">
        <f t="shared" si="0"/>
        <v>46945</v>
      </c>
      <c r="C80" s="723">
        <f t="shared" si="5"/>
        <v>0</v>
      </c>
      <c r="D80" s="723">
        <f t="shared" si="2"/>
        <v>0</v>
      </c>
      <c r="E80" s="723">
        <f t="shared" si="6"/>
        <v>0</v>
      </c>
      <c r="F80" s="723">
        <f t="shared" si="3"/>
        <v>0</v>
      </c>
      <c r="G80" s="724">
        <f t="shared" si="4"/>
        <v>0</v>
      </c>
      <c r="I80" s="725"/>
      <c r="J80" s="726"/>
      <c r="K80" s="727"/>
      <c r="L80" s="727"/>
      <c r="M80" s="727"/>
      <c r="N80" s="727"/>
      <c r="O80" s="704"/>
    </row>
    <row r="81" spans="1:15" ht="16.5" x14ac:dyDescent="0.3">
      <c r="A81" s="718">
        <f t="shared" si="1"/>
        <v>59</v>
      </c>
      <c r="B81" s="722">
        <f t="shared" si="0"/>
        <v>46976</v>
      </c>
      <c r="C81" s="723">
        <f t="shared" si="5"/>
        <v>0</v>
      </c>
      <c r="D81" s="723">
        <f t="shared" si="2"/>
        <v>0</v>
      </c>
      <c r="E81" s="723">
        <f t="shared" si="6"/>
        <v>0</v>
      </c>
      <c r="F81" s="723">
        <f t="shared" si="3"/>
        <v>0</v>
      </c>
      <c r="G81" s="724">
        <f t="shared" si="4"/>
        <v>0</v>
      </c>
      <c r="J81" s="728"/>
      <c r="K81" s="705"/>
      <c r="L81" s="705"/>
      <c r="M81" s="705"/>
      <c r="N81" s="705"/>
      <c r="O81" s="704"/>
    </row>
    <row r="82" spans="1:15" ht="16.5" x14ac:dyDescent="0.3">
      <c r="A82" s="718">
        <f t="shared" si="1"/>
        <v>60</v>
      </c>
      <c r="B82" s="722">
        <f t="shared" si="0"/>
        <v>47007</v>
      </c>
      <c r="C82" s="723">
        <f t="shared" si="5"/>
        <v>0</v>
      </c>
      <c r="D82" s="723">
        <f t="shared" si="2"/>
        <v>0</v>
      </c>
      <c r="E82" s="723">
        <f t="shared" si="6"/>
        <v>0</v>
      </c>
      <c r="F82" s="723">
        <f t="shared" si="3"/>
        <v>0</v>
      </c>
      <c r="G82" s="724">
        <f t="shared" si="4"/>
        <v>0</v>
      </c>
      <c r="J82" s="728"/>
      <c r="K82" s="705"/>
      <c r="L82" s="705"/>
      <c r="M82" s="705"/>
      <c r="N82" s="705"/>
      <c r="O82" s="704"/>
    </row>
    <row r="83" spans="1:15" ht="16.5" x14ac:dyDescent="0.3">
      <c r="A83" s="718">
        <f t="shared" si="1"/>
        <v>61</v>
      </c>
      <c r="B83" s="722">
        <f t="shared" si="0"/>
        <v>47037</v>
      </c>
      <c r="C83" s="723">
        <f t="shared" si="5"/>
        <v>0</v>
      </c>
      <c r="D83" s="723">
        <f t="shared" si="2"/>
        <v>0</v>
      </c>
      <c r="E83" s="723">
        <f t="shared" si="6"/>
        <v>0</v>
      </c>
      <c r="F83" s="723">
        <f t="shared" si="3"/>
        <v>0</v>
      </c>
      <c r="G83" s="724">
        <f t="shared" si="4"/>
        <v>0</v>
      </c>
      <c r="J83" s="728"/>
      <c r="K83" s="705"/>
      <c r="L83" s="705"/>
      <c r="M83" s="705"/>
      <c r="N83" s="705"/>
      <c r="O83" s="704"/>
    </row>
    <row r="84" spans="1:15" ht="16.5" x14ac:dyDescent="0.3">
      <c r="A84" s="718">
        <f t="shared" si="1"/>
        <v>62</v>
      </c>
      <c r="B84" s="722">
        <f t="shared" si="0"/>
        <v>47068</v>
      </c>
      <c r="C84" s="723">
        <f t="shared" si="5"/>
        <v>0</v>
      </c>
      <c r="D84" s="723">
        <f t="shared" si="2"/>
        <v>0</v>
      </c>
      <c r="E84" s="723">
        <f t="shared" si="6"/>
        <v>0</v>
      </c>
      <c r="F84" s="723">
        <f t="shared" si="3"/>
        <v>0</v>
      </c>
      <c r="G84" s="724">
        <f t="shared" si="4"/>
        <v>0</v>
      </c>
      <c r="J84" s="728"/>
      <c r="K84" s="705"/>
      <c r="L84" s="705"/>
      <c r="M84" s="705"/>
      <c r="N84" s="705"/>
      <c r="O84" s="704"/>
    </row>
    <row r="85" spans="1:15" ht="16.5" x14ac:dyDescent="0.3">
      <c r="A85" s="718">
        <f t="shared" si="1"/>
        <v>63</v>
      </c>
      <c r="B85" s="722">
        <f t="shared" si="0"/>
        <v>47098</v>
      </c>
      <c r="C85" s="723">
        <f t="shared" si="5"/>
        <v>0</v>
      </c>
      <c r="D85" s="723">
        <f t="shared" si="2"/>
        <v>0</v>
      </c>
      <c r="E85" s="723">
        <f t="shared" si="6"/>
        <v>0</v>
      </c>
      <c r="F85" s="723">
        <f t="shared" si="3"/>
        <v>0</v>
      </c>
      <c r="G85" s="724">
        <f t="shared" si="4"/>
        <v>0</v>
      </c>
      <c r="J85" s="728"/>
      <c r="K85" s="705"/>
      <c r="L85" s="705"/>
      <c r="M85" s="705"/>
      <c r="N85" s="705"/>
      <c r="O85" s="704"/>
    </row>
    <row r="86" spans="1:15" ht="16.5" x14ac:dyDescent="0.3">
      <c r="A86" s="718">
        <f t="shared" si="1"/>
        <v>64</v>
      </c>
      <c r="B86" s="722">
        <f t="shared" si="0"/>
        <v>47129</v>
      </c>
      <c r="C86" s="723">
        <f t="shared" si="5"/>
        <v>0</v>
      </c>
      <c r="D86" s="723">
        <f t="shared" si="2"/>
        <v>0</v>
      </c>
      <c r="E86" s="723">
        <f t="shared" si="6"/>
        <v>0</v>
      </c>
      <c r="F86" s="723">
        <f t="shared" si="3"/>
        <v>0</v>
      </c>
      <c r="G86" s="724">
        <f t="shared" si="4"/>
        <v>0</v>
      </c>
      <c r="J86" s="728"/>
      <c r="K86" s="705"/>
      <c r="L86" s="705"/>
      <c r="M86" s="705"/>
      <c r="N86" s="705"/>
      <c r="O86" s="704"/>
    </row>
    <row r="87" spans="1:15" ht="16.5" x14ac:dyDescent="0.3">
      <c r="A87" s="718">
        <f t="shared" si="1"/>
        <v>65</v>
      </c>
      <c r="B87" s="722">
        <f t="shared" ref="B87:B150" si="7">EDATE($D$13,A87)</f>
        <v>47160</v>
      </c>
      <c r="C87" s="723">
        <f t="shared" si="5"/>
        <v>0</v>
      </c>
      <c r="D87" s="723">
        <f t="shared" si="2"/>
        <v>0</v>
      </c>
      <c r="E87" s="723">
        <f t="shared" si="6"/>
        <v>0</v>
      </c>
      <c r="F87" s="723">
        <f t="shared" si="3"/>
        <v>0</v>
      </c>
      <c r="G87" s="724">
        <f t="shared" si="4"/>
        <v>0</v>
      </c>
      <c r="J87" s="728"/>
      <c r="K87" s="705"/>
      <c r="L87" s="705"/>
      <c r="M87" s="705"/>
      <c r="N87" s="705"/>
      <c r="O87" s="704"/>
    </row>
    <row r="88" spans="1:15" ht="16.5" x14ac:dyDescent="0.3">
      <c r="A88" s="718">
        <f t="shared" ref="A88:A151" si="8">A87+1</f>
        <v>66</v>
      </c>
      <c r="B88" s="722">
        <f t="shared" si="7"/>
        <v>47188</v>
      </c>
      <c r="C88" s="723">
        <f t="shared" si="5"/>
        <v>0</v>
      </c>
      <c r="D88" s="723">
        <f t="shared" ref="D88:D151" si="9">MIN(G88-F88-E88,C88)</f>
        <v>0</v>
      </c>
      <c r="E88" s="723">
        <f t="shared" si="6"/>
        <v>0</v>
      </c>
      <c r="F88" s="723">
        <f t="shared" ref="F88:F151" si="10">IF(C88&lt;&gt;0,$D$11)+IF(AND($D$12="Да",C88&lt;&gt;0),69)</f>
        <v>0</v>
      </c>
      <c r="G88" s="724">
        <f t="shared" ref="G88:G151" si="11">IF(C88&gt;0,$D$15,0)</f>
        <v>0</v>
      </c>
      <c r="J88" s="728"/>
      <c r="K88" s="705"/>
      <c r="L88" s="705"/>
      <c r="M88" s="705"/>
      <c r="N88" s="705"/>
      <c r="O88" s="704"/>
    </row>
    <row r="89" spans="1:15" ht="16.5" x14ac:dyDescent="0.3">
      <c r="A89" s="718">
        <f t="shared" si="8"/>
        <v>67</v>
      </c>
      <c r="B89" s="722">
        <f t="shared" si="7"/>
        <v>47219</v>
      </c>
      <c r="C89" s="723">
        <f t="shared" ref="C89:C152" si="12">ROUNDDOWN(C88-D88,2)</f>
        <v>0</v>
      </c>
      <c r="D89" s="723">
        <f t="shared" si="9"/>
        <v>0</v>
      </c>
      <c r="E89" s="723">
        <f t="shared" si="6"/>
        <v>0</v>
      </c>
      <c r="F89" s="723">
        <f t="shared" si="10"/>
        <v>0</v>
      </c>
      <c r="G89" s="724">
        <f t="shared" si="11"/>
        <v>0</v>
      </c>
      <c r="O89" s="701"/>
    </row>
    <row r="90" spans="1:15" ht="16.5" x14ac:dyDescent="0.3">
      <c r="A90" s="718">
        <f t="shared" si="8"/>
        <v>68</v>
      </c>
      <c r="B90" s="722">
        <f t="shared" si="7"/>
        <v>47249</v>
      </c>
      <c r="C90" s="723">
        <f t="shared" si="12"/>
        <v>0</v>
      </c>
      <c r="D90" s="723">
        <f t="shared" si="9"/>
        <v>0</v>
      </c>
      <c r="E90" s="723">
        <f t="shared" ref="E90:E153" si="13">C90*$D$10/12</f>
        <v>0</v>
      </c>
      <c r="F90" s="723">
        <f t="shared" si="10"/>
        <v>0</v>
      </c>
      <c r="G90" s="724">
        <f t="shared" si="11"/>
        <v>0</v>
      </c>
      <c r="O90" s="701"/>
    </row>
    <row r="91" spans="1:15" ht="16.5" x14ac:dyDescent="0.3">
      <c r="A91" s="718">
        <f t="shared" si="8"/>
        <v>69</v>
      </c>
      <c r="B91" s="722">
        <f t="shared" si="7"/>
        <v>47280</v>
      </c>
      <c r="C91" s="723">
        <f t="shared" si="12"/>
        <v>0</v>
      </c>
      <c r="D91" s="723">
        <f t="shared" si="9"/>
        <v>0</v>
      </c>
      <c r="E91" s="723">
        <f t="shared" si="13"/>
        <v>0</v>
      </c>
      <c r="F91" s="723">
        <f t="shared" si="10"/>
        <v>0</v>
      </c>
      <c r="G91" s="724">
        <f t="shared" si="11"/>
        <v>0</v>
      </c>
      <c r="O91" s="701"/>
    </row>
    <row r="92" spans="1:15" ht="16.5" x14ac:dyDescent="0.3">
      <c r="A92" s="718">
        <f t="shared" si="8"/>
        <v>70</v>
      </c>
      <c r="B92" s="722">
        <f t="shared" si="7"/>
        <v>47310</v>
      </c>
      <c r="C92" s="723">
        <f t="shared" si="12"/>
        <v>0</v>
      </c>
      <c r="D92" s="723">
        <f t="shared" si="9"/>
        <v>0</v>
      </c>
      <c r="E92" s="723">
        <f t="shared" si="13"/>
        <v>0</v>
      </c>
      <c r="F92" s="723">
        <f t="shared" si="10"/>
        <v>0</v>
      </c>
      <c r="G92" s="724">
        <f t="shared" si="11"/>
        <v>0</v>
      </c>
      <c r="O92" s="701"/>
    </row>
    <row r="93" spans="1:15" ht="16.5" x14ac:dyDescent="0.3">
      <c r="A93" s="718">
        <f t="shared" si="8"/>
        <v>71</v>
      </c>
      <c r="B93" s="722">
        <f t="shared" si="7"/>
        <v>47341</v>
      </c>
      <c r="C93" s="723">
        <f t="shared" si="12"/>
        <v>0</v>
      </c>
      <c r="D93" s="723">
        <f t="shared" si="9"/>
        <v>0</v>
      </c>
      <c r="E93" s="723">
        <f t="shared" si="13"/>
        <v>0</v>
      </c>
      <c r="F93" s="723">
        <f t="shared" si="10"/>
        <v>0</v>
      </c>
      <c r="G93" s="724">
        <f t="shared" si="11"/>
        <v>0</v>
      </c>
      <c r="O93" s="701"/>
    </row>
    <row r="94" spans="1:15" ht="16.5" x14ac:dyDescent="0.3">
      <c r="A94" s="718">
        <f t="shared" si="8"/>
        <v>72</v>
      </c>
      <c r="B94" s="722">
        <f t="shared" si="7"/>
        <v>47372</v>
      </c>
      <c r="C94" s="723">
        <f t="shared" si="12"/>
        <v>0</v>
      </c>
      <c r="D94" s="723">
        <f t="shared" si="9"/>
        <v>0</v>
      </c>
      <c r="E94" s="723">
        <f t="shared" si="13"/>
        <v>0</v>
      </c>
      <c r="F94" s="723">
        <f t="shared" si="10"/>
        <v>0</v>
      </c>
      <c r="G94" s="724">
        <f t="shared" si="11"/>
        <v>0</v>
      </c>
      <c r="O94" s="701"/>
    </row>
    <row r="95" spans="1:15" ht="16.5" x14ac:dyDescent="0.3">
      <c r="A95" s="718">
        <f t="shared" si="8"/>
        <v>73</v>
      </c>
      <c r="B95" s="722">
        <f t="shared" si="7"/>
        <v>47402</v>
      </c>
      <c r="C95" s="723">
        <f t="shared" si="12"/>
        <v>0</v>
      </c>
      <c r="D95" s="723">
        <f t="shared" si="9"/>
        <v>0</v>
      </c>
      <c r="E95" s="723">
        <f t="shared" si="13"/>
        <v>0</v>
      </c>
      <c r="F95" s="723">
        <f t="shared" si="10"/>
        <v>0</v>
      </c>
      <c r="G95" s="724">
        <f t="shared" si="11"/>
        <v>0</v>
      </c>
      <c r="O95" s="701"/>
    </row>
    <row r="96" spans="1:15" ht="16.5" x14ac:dyDescent="0.3">
      <c r="A96" s="718">
        <f t="shared" si="8"/>
        <v>74</v>
      </c>
      <c r="B96" s="722">
        <f t="shared" si="7"/>
        <v>47433</v>
      </c>
      <c r="C96" s="723">
        <f t="shared" si="12"/>
        <v>0</v>
      </c>
      <c r="D96" s="723">
        <f t="shared" si="9"/>
        <v>0</v>
      </c>
      <c r="E96" s="723">
        <f t="shared" si="13"/>
        <v>0</v>
      </c>
      <c r="F96" s="723">
        <f t="shared" si="10"/>
        <v>0</v>
      </c>
      <c r="G96" s="724">
        <f t="shared" si="11"/>
        <v>0</v>
      </c>
      <c r="O96" s="701"/>
    </row>
    <row r="97" spans="1:15" ht="16.5" x14ac:dyDescent="0.3">
      <c r="A97" s="718">
        <f t="shared" si="8"/>
        <v>75</v>
      </c>
      <c r="B97" s="722">
        <f t="shared" si="7"/>
        <v>47463</v>
      </c>
      <c r="C97" s="723">
        <f t="shared" si="12"/>
        <v>0</v>
      </c>
      <c r="D97" s="723">
        <f t="shared" si="9"/>
        <v>0</v>
      </c>
      <c r="E97" s="723">
        <f t="shared" si="13"/>
        <v>0</v>
      </c>
      <c r="F97" s="723">
        <f t="shared" si="10"/>
        <v>0</v>
      </c>
      <c r="G97" s="724">
        <f t="shared" si="11"/>
        <v>0</v>
      </c>
      <c r="O97" s="701"/>
    </row>
    <row r="98" spans="1:15" ht="16.5" x14ac:dyDescent="0.3">
      <c r="A98" s="718">
        <f t="shared" si="8"/>
        <v>76</v>
      </c>
      <c r="B98" s="722">
        <f t="shared" si="7"/>
        <v>47494</v>
      </c>
      <c r="C98" s="723">
        <f t="shared" si="12"/>
        <v>0</v>
      </c>
      <c r="D98" s="723">
        <f t="shared" si="9"/>
        <v>0</v>
      </c>
      <c r="E98" s="723">
        <f t="shared" si="13"/>
        <v>0</v>
      </c>
      <c r="F98" s="723">
        <f t="shared" si="10"/>
        <v>0</v>
      </c>
      <c r="G98" s="724">
        <f t="shared" si="11"/>
        <v>0</v>
      </c>
      <c r="O98" s="701"/>
    </row>
    <row r="99" spans="1:15" ht="16.5" x14ac:dyDescent="0.3">
      <c r="A99" s="718">
        <f t="shared" si="8"/>
        <v>77</v>
      </c>
      <c r="B99" s="722">
        <f t="shared" si="7"/>
        <v>47525</v>
      </c>
      <c r="C99" s="723">
        <f t="shared" si="12"/>
        <v>0</v>
      </c>
      <c r="D99" s="723">
        <f t="shared" si="9"/>
        <v>0</v>
      </c>
      <c r="E99" s="723">
        <f t="shared" si="13"/>
        <v>0</v>
      </c>
      <c r="F99" s="723">
        <f t="shared" si="10"/>
        <v>0</v>
      </c>
      <c r="G99" s="724">
        <f t="shared" si="11"/>
        <v>0</v>
      </c>
      <c r="O99" s="701"/>
    </row>
    <row r="100" spans="1:15" ht="16.5" x14ac:dyDescent="0.3">
      <c r="A100" s="718">
        <f t="shared" si="8"/>
        <v>78</v>
      </c>
      <c r="B100" s="722">
        <f t="shared" si="7"/>
        <v>47553</v>
      </c>
      <c r="C100" s="723">
        <f t="shared" si="12"/>
        <v>0</v>
      </c>
      <c r="D100" s="723">
        <f t="shared" si="9"/>
        <v>0</v>
      </c>
      <c r="E100" s="723">
        <f t="shared" si="13"/>
        <v>0</v>
      </c>
      <c r="F100" s="723">
        <f t="shared" si="10"/>
        <v>0</v>
      </c>
      <c r="G100" s="724">
        <f t="shared" si="11"/>
        <v>0</v>
      </c>
      <c r="O100" s="701"/>
    </row>
    <row r="101" spans="1:15" ht="16.5" x14ac:dyDescent="0.3">
      <c r="A101" s="718">
        <f t="shared" si="8"/>
        <v>79</v>
      </c>
      <c r="B101" s="722">
        <f t="shared" si="7"/>
        <v>47584</v>
      </c>
      <c r="C101" s="723">
        <f t="shared" si="12"/>
        <v>0</v>
      </c>
      <c r="D101" s="723">
        <f t="shared" si="9"/>
        <v>0</v>
      </c>
      <c r="E101" s="723">
        <f t="shared" si="13"/>
        <v>0</v>
      </c>
      <c r="F101" s="723">
        <f t="shared" si="10"/>
        <v>0</v>
      </c>
      <c r="G101" s="724">
        <f t="shared" si="11"/>
        <v>0</v>
      </c>
      <c r="O101" s="701"/>
    </row>
    <row r="102" spans="1:15" ht="16.5" x14ac:dyDescent="0.3">
      <c r="A102" s="718">
        <f t="shared" si="8"/>
        <v>80</v>
      </c>
      <c r="B102" s="722">
        <f t="shared" si="7"/>
        <v>47614</v>
      </c>
      <c r="C102" s="723">
        <f t="shared" si="12"/>
        <v>0</v>
      </c>
      <c r="D102" s="723">
        <f t="shared" si="9"/>
        <v>0</v>
      </c>
      <c r="E102" s="723">
        <f t="shared" si="13"/>
        <v>0</v>
      </c>
      <c r="F102" s="723">
        <f t="shared" si="10"/>
        <v>0</v>
      </c>
      <c r="G102" s="724">
        <f t="shared" si="11"/>
        <v>0</v>
      </c>
      <c r="O102" s="701"/>
    </row>
    <row r="103" spans="1:15" ht="16.5" x14ac:dyDescent="0.3">
      <c r="A103" s="718">
        <f t="shared" si="8"/>
        <v>81</v>
      </c>
      <c r="B103" s="722">
        <f t="shared" si="7"/>
        <v>47645</v>
      </c>
      <c r="C103" s="723">
        <f t="shared" si="12"/>
        <v>0</v>
      </c>
      <c r="D103" s="723">
        <f t="shared" si="9"/>
        <v>0</v>
      </c>
      <c r="E103" s="723">
        <f t="shared" si="13"/>
        <v>0</v>
      </c>
      <c r="F103" s="723">
        <f t="shared" si="10"/>
        <v>0</v>
      </c>
      <c r="G103" s="724">
        <f t="shared" si="11"/>
        <v>0</v>
      </c>
      <c r="O103" s="701"/>
    </row>
    <row r="104" spans="1:15" ht="16.5" x14ac:dyDescent="0.3">
      <c r="A104" s="718">
        <f t="shared" si="8"/>
        <v>82</v>
      </c>
      <c r="B104" s="722">
        <f t="shared" si="7"/>
        <v>47675</v>
      </c>
      <c r="C104" s="723">
        <f t="shared" si="12"/>
        <v>0</v>
      </c>
      <c r="D104" s="723">
        <f t="shared" si="9"/>
        <v>0</v>
      </c>
      <c r="E104" s="723">
        <f t="shared" si="13"/>
        <v>0</v>
      </c>
      <c r="F104" s="723">
        <f t="shared" si="10"/>
        <v>0</v>
      </c>
      <c r="G104" s="724">
        <f t="shared" si="11"/>
        <v>0</v>
      </c>
      <c r="O104" s="701"/>
    </row>
    <row r="105" spans="1:15" ht="16.5" x14ac:dyDescent="0.3">
      <c r="A105" s="718">
        <f t="shared" si="8"/>
        <v>83</v>
      </c>
      <c r="B105" s="722">
        <f t="shared" si="7"/>
        <v>47706</v>
      </c>
      <c r="C105" s="723">
        <f t="shared" si="12"/>
        <v>0</v>
      </c>
      <c r="D105" s="723">
        <f t="shared" si="9"/>
        <v>0</v>
      </c>
      <c r="E105" s="723">
        <f t="shared" si="13"/>
        <v>0</v>
      </c>
      <c r="F105" s="723">
        <f t="shared" si="10"/>
        <v>0</v>
      </c>
      <c r="G105" s="724">
        <f t="shared" si="11"/>
        <v>0</v>
      </c>
      <c r="O105" s="701"/>
    </row>
    <row r="106" spans="1:15" ht="16.5" x14ac:dyDescent="0.3">
      <c r="A106" s="718">
        <f t="shared" si="8"/>
        <v>84</v>
      </c>
      <c r="B106" s="722">
        <f t="shared" si="7"/>
        <v>47737</v>
      </c>
      <c r="C106" s="723">
        <f t="shared" si="12"/>
        <v>0</v>
      </c>
      <c r="D106" s="723">
        <f t="shared" si="9"/>
        <v>0</v>
      </c>
      <c r="E106" s="723">
        <f t="shared" si="13"/>
        <v>0</v>
      </c>
      <c r="F106" s="723">
        <f t="shared" si="10"/>
        <v>0</v>
      </c>
      <c r="G106" s="724">
        <f t="shared" si="11"/>
        <v>0</v>
      </c>
      <c r="O106" s="701"/>
    </row>
    <row r="107" spans="1:15" ht="16.5" x14ac:dyDescent="0.3">
      <c r="A107" s="718">
        <f t="shared" si="8"/>
        <v>85</v>
      </c>
      <c r="B107" s="722">
        <f t="shared" si="7"/>
        <v>47767</v>
      </c>
      <c r="C107" s="723">
        <f t="shared" si="12"/>
        <v>0</v>
      </c>
      <c r="D107" s="723">
        <f t="shared" si="9"/>
        <v>0</v>
      </c>
      <c r="E107" s="723">
        <f t="shared" si="13"/>
        <v>0</v>
      </c>
      <c r="F107" s="723">
        <f t="shared" si="10"/>
        <v>0</v>
      </c>
      <c r="G107" s="724">
        <f t="shared" si="11"/>
        <v>0</v>
      </c>
      <c r="O107" s="701"/>
    </row>
    <row r="108" spans="1:15" ht="16.5" x14ac:dyDescent="0.3">
      <c r="A108" s="718">
        <f t="shared" si="8"/>
        <v>86</v>
      </c>
      <c r="B108" s="722">
        <f t="shared" si="7"/>
        <v>47798</v>
      </c>
      <c r="C108" s="723">
        <f t="shared" si="12"/>
        <v>0</v>
      </c>
      <c r="D108" s="723">
        <f t="shared" si="9"/>
        <v>0</v>
      </c>
      <c r="E108" s="723">
        <f t="shared" si="13"/>
        <v>0</v>
      </c>
      <c r="F108" s="723">
        <f t="shared" si="10"/>
        <v>0</v>
      </c>
      <c r="G108" s="724">
        <f t="shared" si="11"/>
        <v>0</v>
      </c>
      <c r="O108" s="701"/>
    </row>
    <row r="109" spans="1:15" ht="16.5" x14ac:dyDescent="0.3">
      <c r="A109" s="718">
        <f t="shared" si="8"/>
        <v>87</v>
      </c>
      <c r="B109" s="722">
        <f t="shared" si="7"/>
        <v>47828</v>
      </c>
      <c r="C109" s="723">
        <f t="shared" si="12"/>
        <v>0</v>
      </c>
      <c r="D109" s="723">
        <f t="shared" si="9"/>
        <v>0</v>
      </c>
      <c r="E109" s="723">
        <f t="shared" si="13"/>
        <v>0</v>
      </c>
      <c r="F109" s="723">
        <f t="shared" si="10"/>
        <v>0</v>
      </c>
      <c r="G109" s="724">
        <f t="shared" si="11"/>
        <v>0</v>
      </c>
      <c r="O109" s="701"/>
    </row>
    <row r="110" spans="1:15" ht="16.5" x14ac:dyDescent="0.3">
      <c r="A110" s="718">
        <f t="shared" si="8"/>
        <v>88</v>
      </c>
      <c r="B110" s="722">
        <f t="shared" si="7"/>
        <v>47859</v>
      </c>
      <c r="C110" s="723">
        <f t="shared" si="12"/>
        <v>0</v>
      </c>
      <c r="D110" s="723">
        <f t="shared" si="9"/>
        <v>0</v>
      </c>
      <c r="E110" s="723">
        <f t="shared" si="13"/>
        <v>0</v>
      </c>
      <c r="F110" s="723">
        <f t="shared" si="10"/>
        <v>0</v>
      </c>
      <c r="G110" s="724">
        <f t="shared" si="11"/>
        <v>0</v>
      </c>
      <c r="O110" s="701"/>
    </row>
    <row r="111" spans="1:15" ht="16.5" x14ac:dyDescent="0.3">
      <c r="A111" s="718">
        <f t="shared" si="8"/>
        <v>89</v>
      </c>
      <c r="B111" s="722">
        <f t="shared" si="7"/>
        <v>47890</v>
      </c>
      <c r="C111" s="723">
        <f t="shared" si="12"/>
        <v>0</v>
      </c>
      <c r="D111" s="723">
        <f t="shared" si="9"/>
        <v>0</v>
      </c>
      <c r="E111" s="723">
        <f t="shared" si="13"/>
        <v>0</v>
      </c>
      <c r="F111" s="723">
        <f t="shared" si="10"/>
        <v>0</v>
      </c>
      <c r="G111" s="724">
        <f t="shared" si="11"/>
        <v>0</v>
      </c>
      <c r="O111" s="701"/>
    </row>
    <row r="112" spans="1:15" ht="16.5" x14ac:dyDescent="0.3">
      <c r="A112" s="718">
        <f t="shared" si="8"/>
        <v>90</v>
      </c>
      <c r="B112" s="722">
        <f t="shared" si="7"/>
        <v>47918</v>
      </c>
      <c r="C112" s="723">
        <f t="shared" si="12"/>
        <v>0</v>
      </c>
      <c r="D112" s="723">
        <f t="shared" si="9"/>
        <v>0</v>
      </c>
      <c r="E112" s="723">
        <f t="shared" si="13"/>
        <v>0</v>
      </c>
      <c r="F112" s="723">
        <f t="shared" si="10"/>
        <v>0</v>
      </c>
      <c r="G112" s="724">
        <f t="shared" si="11"/>
        <v>0</v>
      </c>
      <c r="O112" s="701"/>
    </row>
    <row r="113" spans="1:15" ht="16.5" x14ac:dyDescent="0.3">
      <c r="A113" s="718">
        <f t="shared" si="8"/>
        <v>91</v>
      </c>
      <c r="B113" s="722">
        <f t="shared" si="7"/>
        <v>47949</v>
      </c>
      <c r="C113" s="723">
        <f t="shared" si="12"/>
        <v>0</v>
      </c>
      <c r="D113" s="723">
        <f t="shared" si="9"/>
        <v>0</v>
      </c>
      <c r="E113" s="723">
        <f t="shared" si="13"/>
        <v>0</v>
      </c>
      <c r="F113" s="723">
        <f t="shared" si="10"/>
        <v>0</v>
      </c>
      <c r="G113" s="724">
        <f t="shared" si="11"/>
        <v>0</v>
      </c>
      <c r="O113" s="701"/>
    </row>
    <row r="114" spans="1:15" ht="16.5" x14ac:dyDescent="0.3">
      <c r="A114" s="718">
        <f t="shared" si="8"/>
        <v>92</v>
      </c>
      <c r="B114" s="722">
        <f t="shared" si="7"/>
        <v>47979</v>
      </c>
      <c r="C114" s="723">
        <f t="shared" si="12"/>
        <v>0</v>
      </c>
      <c r="D114" s="723">
        <f t="shared" si="9"/>
        <v>0</v>
      </c>
      <c r="E114" s="723">
        <f t="shared" si="13"/>
        <v>0</v>
      </c>
      <c r="F114" s="723">
        <f t="shared" si="10"/>
        <v>0</v>
      </c>
      <c r="G114" s="724">
        <f t="shared" si="11"/>
        <v>0</v>
      </c>
      <c r="O114" s="701"/>
    </row>
    <row r="115" spans="1:15" ht="16.5" x14ac:dyDescent="0.3">
      <c r="A115" s="718">
        <f t="shared" si="8"/>
        <v>93</v>
      </c>
      <c r="B115" s="722">
        <f t="shared" si="7"/>
        <v>48010</v>
      </c>
      <c r="C115" s="723">
        <f t="shared" si="12"/>
        <v>0</v>
      </c>
      <c r="D115" s="723">
        <f t="shared" si="9"/>
        <v>0</v>
      </c>
      <c r="E115" s="723">
        <f t="shared" si="13"/>
        <v>0</v>
      </c>
      <c r="F115" s="723">
        <f t="shared" si="10"/>
        <v>0</v>
      </c>
      <c r="G115" s="724">
        <f t="shared" si="11"/>
        <v>0</v>
      </c>
      <c r="O115" s="701"/>
    </row>
    <row r="116" spans="1:15" ht="16.5" x14ac:dyDescent="0.3">
      <c r="A116" s="718">
        <f t="shared" si="8"/>
        <v>94</v>
      </c>
      <c r="B116" s="722">
        <f t="shared" si="7"/>
        <v>48040</v>
      </c>
      <c r="C116" s="723">
        <f t="shared" si="12"/>
        <v>0</v>
      </c>
      <c r="D116" s="723">
        <f t="shared" si="9"/>
        <v>0</v>
      </c>
      <c r="E116" s="723">
        <f t="shared" si="13"/>
        <v>0</v>
      </c>
      <c r="F116" s="723">
        <f t="shared" si="10"/>
        <v>0</v>
      </c>
      <c r="G116" s="724">
        <f t="shared" si="11"/>
        <v>0</v>
      </c>
      <c r="O116" s="701"/>
    </row>
    <row r="117" spans="1:15" ht="16.5" x14ac:dyDescent="0.3">
      <c r="A117" s="718">
        <f t="shared" si="8"/>
        <v>95</v>
      </c>
      <c r="B117" s="722">
        <f t="shared" si="7"/>
        <v>48071</v>
      </c>
      <c r="C117" s="723">
        <f t="shared" si="12"/>
        <v>0</v>
      </c>
      <c r="D117" s="723">
        <f t="shared" si="9"/>
        <v>0</v>
      </c>
      <c r="E117" s="723">
        <f t="shared" si="13"/>
        <v>0</v>
      </c>
      <c r="F117" s="723">
        <f t="shared" si="10"/>
        <v>0</v>
      </c>
      <c r="G117" s="724">
        <f t="shared" si="11"/>
        <v>0</v>
      </c>
      <c r="O117" s="701"/>
    </row>
    <row r="118" spans="1:15" ht="16.5" x14ac:dyDescent="0.3">
      <c r="A118" s="718">
        <f t="shared" si="8"/>
        <v>96</v>
      </c>
      <c r="B118" s="722">
        <f t="shared" si="7"/>
        <v>48102</v>
      </c>
      <c r="C118" s="723">
        <f t="shared" si="12"/>
        <v>0</v>
      </c>
      <c r="D118" s="723">
        <f t="shared" si="9"/>
        <v>0</v>
      </c>
      <c r="E118" s="723">
        <f t="shared" si="13"/>
        <v>0</v>
      </c>
      <c r="F118" s="723">
        <f t="shared" si="10"/>
        <v>0</v>
      </c>
      <c r="G118" s="724">
        <f t="shared" si="11"/>
        <v>0</v>
      </c>
      <c r="O118" s="701"/>
    </row>
    <row r="119" spans="1:15" ht="16.5" x14ac:dyDescent="0.3">
      <c r="A119" s="718">
        <f t="shared" si="8"/>
        <v>97</v>
      </c>
      <c r="B119" s="722">
        <f t="shared" si="7"/>
        <v>48132</v>
      </c>
      <c r="C119" s="723">
        <f t="shared" si="12"/>
        <v>0</v>
      </c>
      <c r="D119" s="723">
        <f t="shared" si="9"/>
        <v>0</v>
      </c>
      <c r="E119" s="723">
        <f t="shared" si="13"/>
        <v>0</v>
      </c>
      <c r="F119" s="723">
        <f t="shared" si="10"/>
        <v>0</v>
      </c>
      <c r="G119" s="724">
        <f t="shared" si="11"/>
        <v>0</v>
      </c>
      <c r="O119" s="701"/>
    </row>
    <row r="120" spans="1:15" ht="16.5" x14ac:dyDescent="0.3">
      <c r="A120" s="718">
        <f t="shared" si="8"/>
        <v>98</v>
      </c>
      <c r="B120" s="722">
        <f t="shared" si="7"/>
        <v>48163</v>
      </c>
      <c r="C120" s="723">
        <f t="shared" si="12"/>
        <v>0</v>
      </c>
      <c r="D120" s="723">
        <f t="shared" si="9"/>
        <v>0</v>
      </c>
      <c r="E120" s="723">
        <f t="shared" si="13"/>
        <v>0</v>
      </c>
      <c r="F120" s="723">
        <f t="shared" si="10"/>
        <v>0</v>
      </c>
      <c r="G120" s="724">
        <f t="shared" si="11"/>
        <v>0</v>
      </c>
      <c r="O120" s="701"/>
    </row>
    <row r="121" spans="1:15" ht="16.5" x14ac:dyDescent="0.3">
      <c r="A121" s="718">
        <f t="shared" si="8"/>
        <v>99</v>
      </c>
      <c r="B121" s="722">
        <f t="shared" si="7"/>
        <v>48193</v>
      </c>
      <c r="C121" s="723">
        <f t="shared" si="12"/>
        <v>0</v>
      </c>
      <c r="D121" s="723">
        <f t="shared" si="9"/>
        <v>0</v>
      </c>
      <c r="E121" s="723">
        <f t="shared" si="13"/>
        <v>0</v>
      </c>
      <c r="F121" s="723">
        <f t="shared" si="10"/>
        <v>0</v>
      </c>
      <c r="G121" s="724">
        <f t="shared" si="11"/>
        <v>0</v>
      </c>
      <c r="O121" s="701"/>
    </row>
    <row r="122" spans="1:15" ht="16.5" x14ac:dyDescent="0.3">
      <c r="A122" s="718">
        <f t="shared" si="8"/>
        <v>100</v>
      </c>
      <c r="B122" s="722">
        <f t="shared" si="7"/>
        <v>48224</v>
      </c>
      <c r="C122" s="723">
        <f t="shared" si="12"/>
        <v>0</v>
      </c>
      <c r="D122" s="723">
        <f t="shared" si="9"/>
        <v>0</v>
      </c>
      <c r="E122" s="723">
        <f t="shared" si="13"/>
        <v>0</v>
      </c>
      <c r="F122" s="723">
        <f t="shared" si="10"/>
        <v>0</v>
      </c>
      <c r="G122" s="724">
        <f t="shared" si="11"/>
        <v>0</v>
      </c>
      <c r="O122" s="701"/>
    </row>
    <row r="123" spans="1:15" ht="16.5" x14ac:dyDescent="0.3">
      <c r="A123" s="718">
        <f t="shared" si="8"/>
        <v>101</v>
      </c>
      <c r="B123" s="722">
        <f t="shared" si="7"/>
        <v>48255</v>
      </c>
      <c r="C123" s="723">
        <f t="shared" si="12"/>
        <v>0</v>
      </c>
      <c r="D123" s="723">
        <f t="shared" si="9"/>
        <v>0</v>
      </c>
      <c r="E123" s="723">
        <f t="shared" si="13"/>
        <v>0</v>
      </c>
      <c r="F123" s="723">
        <f t="shared" si="10"/>
        <v>0</v>
      </c>
      <c r="G123" s="724">
        <f t="shared" si="11"/>
        <v>0</v>
      </c>
      <c r="O123" s="701"/>
    </row>
    <row r="124" spans="1:15" ht="16.5" x14ac:dyDescent="0.3">
      <c r="A124" s="718">
        <f t="shared" si="8"/>
        <v>102</v>
      </c>
      <c r="B124" s="722">
        <f t="shared" si="7"/>
        <v>48284</v>
      </c>
      <c r="C124" s="723">
        <f t="shared" si="12"/>
        <v>0</v>
      </c>
      <c r="D124" s="723">
        <f t="shared" si="9"/>
        <v>0</v>
      </c>
      <c r="E124" s="723">
        <f t="shared" si="13"/>
        <v>0</v>
      </c>
      <c r="F124" s="723">
        <f t="shared" si="10"/>
        <v>0</v>
      </c>
      <c r="G124" s="724">
        <f t="shared" si="11"/>
        <v>0</v>
      </c>
      <c r="O124" s="701"/>
    </row>
    <row r="125" spans="1:15" ht="16.5" x14ac:dyDescent="0.3">
      <c r="A125" s="718">
        <f t="shared" si="8"/>
        <v>103</v>
      </c>
      <c r="B125" s="722">
        <f t="shared" si="7"/>
        <v>48315</v>
      </c>
      <c r="C125" s="723">
        <f t="shared" si="12"/>
        <v>0</v>
      </c>
      <c r="D125" s="723">
        <f t="shared" si="9"/>
        <v>0</v>
      </c>
      <c r="E125" s="723">
        <f t="shared" si="13"/>
        <v>0</v>
      </c>
      <c r="F125" s="723">
        <f t="shared" si="10"/>
        <v>0</v>
      </c>
      <c r="G125" s="724">
        <f t="shared" si="11"/>
        <v>0</v>
      </c>
      <c r="O125" s="701"/>
    </row>
    <row r="126" spans="1:15" ht="16.5" x14ac:dyDescent="0.3">
      <c r="A126" s="718">
        <f t="shared" si="8"/>
        <v>104</v>
      </c>
      <c r="B126" s="722">
        <f t="shared" si="7"/>
        <v>48345</v>
      </c>
      <c r="C126" s="723">
        <f t="shared" si="12"/>
        <v>0</v>
      </c>
      <c r="D126" s="723">
        <f t="shared" si="9"/>
        <v>0</v>
      </c>
      <c r="E126" s="723">
        <f t="shared" si="13"/>
        <v>0</v>
      </c>
      <c r="F126" s="723">
        <f t="shared" si="10"/>
        <v>0</v>
      </c>
      <c r="G126" s="724">
        <f t="shared" si="11"/>
        <v>0</v>
      </c>
      <c r="O126" s="701"/>
    </row>
    <row r="127" spans="1:15" ht="16.5" x14ac:dyDescent="0.3">
      <c r="A127" s="718">
        <f t="shared" si="8"/>
        <v>105</v>
      </c>
      <c r="B127" s="722">
        <f t="shared" si="7"/>
        <v>48376</v>
      </c>
      <c r="C127" s="723">
        <f t="shared" si="12"/>
        <v>0</v>
      </c>
      <c r="D127" s="723">
        <f t="shared" si="9"/>
        <v>0</v>
      </c>
      <c r="E127" s="723">
        <f t="shared" si="13"/>
        <v>0</v>
      </c>
      <c r="F127" s="723">
        <f t="shared" si="10"/>
        <v>0</v>
      </c>
      <c r="G127" s="724">
        <f t="shared" si="11"/>
        <v>0</v>
      </c>
      <c r="O127" s="701"/>
    </row>
    <row r="128" spans="1:15" ht="16.5" x14ac:dyDescent="0.3">
      <c r="A128" s="718">
        <f t="shared" si="8"/>
        <v>106</v>
      </c>
      <c r="B128" s="722">
        <f t="shared" si="7"/>
        <v>48406</v>
      </c>
      <c r="C128" s="723">
        <f t="shared" si="12"/>
        <v>0</v>
      </c>
      <c r="D128" s="723">
        <f t="shared" si="9"/>
        <v>0</v>
      </c>
      <c r="E128" s="723">
        <f t="shared" si="13"/>
        <v>0</v>
      </c>
      <c r="F128" s="723">
        <f t="shared" si="10"/>
        <v>0</v>
      </c>
      <c r="G128" s="724">
        <f t="shared" si="11"/>
        <v>0</v>
      </c>
      <c r="O128" s="701"/>
    </row>
    <row r="129" spans="1:15" ht="16.5" x14ac:dyDescent="0.3">
      <c r="A129" s="718">
        <f t="shared" si="8"/>
        <v>107</v>
      </c>
      <c r="B129" s="722">
        <f t="shared" si="7"/>
        <v>48437</v>
      </c>
      <c r="C129" s="723">
        <f t="shared" si="12"/>
        <v>0</v>
      </c>
      <c r="D129" s="723">
        <f t="shared" si="9"/>
        <v>0</v>
      </c>
      <c r="E129" s="723">
        <f t="shared" si="13"/>
        <v>0</v>
      </c>
      <c r="F129" s="723">
        <f t="shared" si="10"/>
        <v>0</v>
      </c>
      <c r="G129" s="724">
        <f t="shared" si="11"/>
        <v>0</v>
      </c>
      <c r="O129" s="701"/>
    </row>
    <row r="130" spans="1:15" ht="16.5" x14ac:dyDescent="0.3">
      <c r="A130" s="718">
        <f t="shared" si="8"/>
        <v>108</v>
      </c>
      <c r="B130" s="722">
        <f t="shared" si="7"/>
        <v>48468</v>
      </c>
      <c r="C130" s="723">
        <f t="shared" si="12"/>
        <v>0</v>
      </c>
      <c r="D130" s="723">
        <f t="shared" si="9"/>
        <v>0</v>
      </c>
      <c r="E130" s="723">
        <f t="shared" si="13"/>
        <v>0</v>
      </c>
      <c r="F130" s="723">
        <f t="shared" si="10"/>
        <v>0</v>
      </c>
      <c r="G130" s="724">
        <f t="shared" si="11"/>
        <v>0</v>
      </c>
      <c r="O130" s="701"/>
    </row>
    <row r="131" spans="1:15" ht="16.5" x14ac:dyDescent="0.3">
      <c r="A131" s="718">
        <f t="shared" si="8"/>
        <v>109</v>
      </c>
      <c r="B131" s="722">
        <f t="shared" si="7"/>
        <v>48498</v>
      </c>
      <c r="C131" s="723">
        <f t="shared" si="12"/>
        <v>0</v>
      </c>
      <c r="D131" s="723">
        <f t="shared" si="9"/>
        <v>0</v>
      </c>
      <c r="E131" s="723">
        <f t="shared" si="13"/>
        <v>0</v>
      </c>
      <c r="F131" s="723">
        <f t="shared" si="10"/>
        <v>0</v>
      </c>
      <c r="G131" s="724">
        <f t="shared" si="11"/>
        <v>0</v>
      </c>
      <c r="O131" s="701"/>
    </row>
    <row r="132" spans="1:15" ht="16.5" x14ac:dyDescent="0.3">
      <c r="A132" s="718">
        <f t="shared" si="8"/>
        <v>110</v>
      </c>
      <c r="B132" s="722">
        <f t="shared" si="7"/>
        <v>48529</v>
      </c>
      <c r="C132" s="723">
        <f t="shared" si="12"/>
        <v>0</v>
      </c>
      <c r="D132" s="723">
        <f t="shared" si="9"/>
        <v>0</v>
      </c>
      <c r="E132" s="723">
        <f t="shared" si="13"/>
        <v>0</v>
      </c>
      <c r="F132" s="723">
        <f t="shared" si="10"/>
        <v>0</v>
      </c>
      <c r="G132" s="724">
        <f t="shared" si="11"/>
        <v>0</v>
      </c>
      <c r="O132" s="701"/>
    </row>
    <row r="133" spans="1:15" ht="16.5" x14ac:dyDescent="0.3">
      <c r="A133" s="718">
        <f t="shared" si="8"/>
        <v>111</v>
      </c>
      <c r="B133" s="722">
        <f t="shared" si="7"/>
        <v>48559</v>
      </c>
      <c r="C133" s="723">
        <f t="shared" si="12"/>
        <v>0</v>
      </c>
      <c r="D133" s="723">
        <f t="shared" si="9"/>
        <v>0</v>
      </c>
      <c r="E133" s="723">
        <f t="shared" si="13"/>
        <v>0</v>
      </c>
      <c r="F133" s="723">
        <f t="shared" si="10"/>
        <v>0</v>
      </c>
      <c r="G133" s="724">
        <f t="shared" si="11"/>
        <v>0</v>
      </c>
      <c r="O133" s="701"/>
    </row>
    <row r="134" spans="1:15" ht="16.5" x14ac:dyDescent="0.3">
      <c r="A134" s="718">
        <f t="shared" si="8"/>
        <v>112</v>
      </c>
      <c r="B134" s="722">
        <f t="shared" si="7"/>
        <v>48590</v>
      </c>
      <c r="C134" s="723">
        <f t="shared" si="12"/>
        <v>0</v>
      </c>
      <c r="D134" s="723">
        <f t="shared" si="9"/>
        <v>0</v>
      </c>
      <c r="E134" s="723">
        <f t="shared" si="13"/>
        <v>0</v>
      </c>
      <c r="F134" s="723">
        <f t="shared" si="10"/>
        <v>0</v>
      </c>
      <c r="G134" s="724">
        <f t="shared" si="11"/>
        <v>0</v>
      </c>
      <c r="O134" s="701"/>
    </row>
    <row r="135" spans="1:15" ht="16.5" x14ac:dyDescent="0.3">
      <c r="A135" s="718">
        <f t="shared" si="8"/>
        <v>113</v>
      </c>
      <c r="B135" s="722">
        <f t="shared" si="7"/>
        <v>48621</v>
      </c>
      <c r="C135" s="723">
        <f t="shared" si="12"/>
        <v>0</v>
      </c>
      <c r="D135" s="723">
        <f t="shared" si="9"/>
        <v>0</v>
      </c>
      <c r="E135" s="723">
        <f t="shared" si="13"/>
        <v>0</v>
      </c>
      <c r="F135" s="723">
        <f t="shared" si="10"/>
        <v>0</v>
      </c>
      <c r="G135" s="724">
        <f t="shared" si="11"/>
        <v>0</v>
      </c>
      <c r="O135" s="701"/>
    </row>
    <row r="136" spans="1:15" ht="16.5" x14ac:dyDescent="0.3">
      <c r="A136" s="718">
        <f t="shared" si="8"/>
        <v>114</v>
      </c>
      <c r="B136" s="722">
        <f t="shared" si="7"/>
        <v>48649</v>
      </c>
      <c r="C136" s="723">
        <f t="shared" si="12"/>
        <v>0</v>
      </c>
      <c r="D136" s="723">
        <f t="shared" si="9"/>
        <v>0</v>
      </c>
      <c r="E136" s="723">
        <f t="shared" si="13"/>
        <v>0</v>
      </c>
      <c r="F136" s="723">
        <f t="shared" si="10"/>
        <v>0</v>
      </c>
      <c r="G136" s="724">
        <f t="shared" si="11"/>
        <v>0</v>
      </c>
      <c r="O136" s="701"/>
    </row>
    <row r="137" spans="1:15" ht="16.5" x14ac:dyDescent="0.3">
      <c r="A137" s="718">
        <f t="shared" si="8"/>
        <v>115</v>
      </c>
      <c r="B137" s="722">
        <f t="shared" si="7"/>
        <v>48680</v>
      </c>
      <c r="C137" s="723">
        <f t="shared" si="12"/>
        <v>0</v>
      </c>
      <c r="D137" s="723">
        <f t="shared" si="9"/>
        <v>0</v>
      </c>
      <c r="E137" s="723">
        <f t="shared" si="13"/>
        <v>0</v>
      </c>
      <c r="F137" s="723">
        <f t="shared" si="10"/>
        <v>0</v>
      </c>
      <c r="G137" s="724">
        <f t="shared" si="11"/>
        <v>0</v>
      </c>
      <c r="O137" s="701"/>
    </row>
    <row r="138" spans="1:15" ht="16.5" x14ac:dyDescent="0.3">
      <c r="A138" s="718">
        <f t="shared" si="8"/>
        <v>116</v>
      </c>
      <c r="B138" s="722">
        <f t="shared" si="7"/>
        <v>48710</v>
      </c>
      <c r="C138" s="723">
        <f t="shared" si="12"/>
        <v>0</v>
      </c>
      <c r="D138" s="723">
        <f t="shared" si="9"/>
        <v>0</v>
      </c>
      <c r="E138" s="723">
        <f t="shared" si="13"/>
        <v>0</v>
      </c>
      <c r="F138" s="723">
        <f t="shared" si="10"/>
        <v>0</v>
      </c>
      <c r="G138" s="724">
        <f t="shared" si="11"/>
        <v>0</v>
      </c>
      <c r="O138" s="701"/>
    </row>
    <row r="139" spans="1:15" ht="16.5" x14ac:dyDescent="0.3">
      <c r="A139" s="718">
        <f t="shared" si="8"/>
        <v>117</v>
      </c>
      <c r="B139" s="722">
        <f t="shared" si="7"/>
        <v>48741</v>
      </c>
      <c r="C139" s="723">
        <f t="shared" si="12"/>
        <v>0</v>
      </c>
      <c r="D139" s="723">
        <f t="shared" si="9"/>
        <v>0</v>
      </c>
      <c r="E139" s="723">
        <f t="shared" si="13"/>
        <v>0</v>
      </c>
      <c r="F139" s="723">
        <f t="shared" si="10"/>
        <v>0</v>
      </c>
      <c r="G139" s="724">
        <f t="shared" si="11"/>
        <v>0</v>
      </c>
      <c r="O139" s="701"/>
    </row>
    <row r="140" spans="1:15" ht="16.5" x14ac:dyDescent="0.3">
      <c r="A140" s="718">
        <f t="shared" si="8"/>
        <v>118</v>
      </c>
      <c r="B140" s="722">
        <f t="shared" si="7"/>
        <v>48771</v>
      </c>
      <c r="C140" s="723">
        <f t="shared" si="12"/>
        <v>0</v>
      </c>
      <c r="D140" s="723">
        <f t="shared" si="9"/>
        <v>0</v>
      </c>
      <c r="E140" s="723">
        <f t="shared" si="13"/>
        <v>0</v>
      </c>
      <c r="F140" s="723">
        <f t="shared" si="10"/>
        <v>0</v>
      </c>
      <c r="G140" s="724">
        <f t="shared" si="11"/>
        <v>0</v>
      </c>
      <c r="O140" s="701"/>
    </row>
    <row r="141" spans="1:15" ht="16.5" x14ac:dyDescent="0.3">
      <c r="A141" s="718">
        <f t="shared" si="8"/>
        <v>119</v>
      </c>
      <c r="B141" s="722">
        <f t="shared" si="7"/>
        <v>48802</v>
      </c>
      <c r="C141" s="723">
        <f t="shared" si="12"/>
        <v>0</v>
      </c>
      <c r="D141" s="723">
        <f t="shared" si="9"/>
        <v>0</v>
      </c>
      <c r="E141" s="723">
        <f t="shared" si="13"/>
        <v>0</v>
      </c>
      <c r="F141" s="723">
        <f t="shared" si="10"/>
        <v>0</v>
      </c>
      <c r="G141" s="724">
        <f t="shared" si="11"/>
        <v>0</v>
      </c>
      <c r="O141" s="701"/>
    </row>
    <row r="142" spans="1:15" ht="16.5" x14ac:dyDescent="0.3">
      <c r="A142" s="718">
        <f t="shared" si="8"/>
        <v>120</v>
      </c>
      <c r="B142" s="722">
        <f t="shared" si="7"/>
        <v>48833</v>
      </c>
      <c r="C142" s="723">
        <f t="shared" si="12"/>
        <v>0</v>
      </c>
      <c r="D142" s="723">
        <f t="shared" si="9"/>
        <v>0</v>
      </c>
      <c r="E142" s="723">
        <f t="shared" si="13"/>
        <v>0</v>
      </c>
      <c r="F142" s="723">
        <f t="shared" si="10"/>
        <v>0</v>
      </c>
      <c r="G142" s="724">
        <f t="shared" si="11"/>
        <v>0</v>
      </c>
      <c r="O142" s="701"/>
    </row>
    <row r="143" spans="1:15" ht="16.5" x14ac:dyDescent="0.3">
      <c r="A143" s="718">
        <f t="shared" si="8"/>
        <v>121</v>
      </c>
      <c r="B143" s="722">
        <f t="shared" si="7"/>
        <v>48863</v>
      </c>
      <c r="C143" s="723">
        <f t="shared" si="12"/>
        <v>0</v>
      </c>
      <c r="D143" s="723">
        <f t="shared" si="9"/>
        <v>0</v>
      </c>
      <c r="E143" s="723">
        <f t="shared" si="13"/>
        <v>0</v>
      </c>
      <c r="F143" s="723">
        <f t="shared" si="10"/>
        <v>0</v>
      </c>
      <c r="G143" s="724">
        <f t="shared" si="11"/>
        <v>0</v>
      </c>
      <c r="O143" s="701"/>
    </row>
    <row r="144" spans="1:15" ht="16.5" x14ac:dyDescent="0.3">
      <c r="A144" s="718">
        <f t="shared" si="8"/>
        <v>122</v>
      </c>
      <c r="B144" s="722">
        <f t="shared" si="7"/>
        <v>48894</v>
      </c>
      <c r="C144" s="723">
        <f t="shared" si="12"/>
        <v>0</v>
      </c>
      <c r="D144" s="723">
        <f t="shared" si="9"/>
        <v>0</v>
      </c>
      <c r="E144" s="723">
        <f t="shared" si="13"/>
        <v>0</v>
      </c>
      <c r="F144" s="723">
        <f t="shared" si="10"/>
        <v>0</v>
      </c>
      <c r="G144" s="724">
        <f t="shared" si="11"/>
        <v>0</v>
      </c>
      <c r="O144" s="701"/>
    </row>
    <row r="145" spans="1:15" ht="16.5" x14ac:dyDescent="0.3">
      <c r="A145" s="718">
        <f t="shared" si="8"/>
        <v>123</v>
      </c>
      <c r="B145" s="722">
        <f t="shared" si="7"/>
        <v>48924</v>
      </c>
      <c r="C145" s="723">
        <f t="shared" si="12"/>
        <v>0</v>
      </c>
      <c r="D145" s="723">
        <f t="shared" si="9"/>
        <v>0</v>
      </c>
      <c r="E145" s="723">
        <f t="shared" si="13"/>
        <v>0</v>
      </c>
      <c r="F145" s="723">
        <f t="shared" si="10"/>
        <v>0</v>
      </c>
      <c r="G145" s="724">
        <f t="shared" si="11"/>
        <v>0</v>
      </c>
      <c r="O145" s="701"/>
    </row>
    <row r="146" spans="1:15" ht="16.5" x14ac:dyDescent="0.3">
      <c r="A146" s="718">
        <f t="shared" si="8"/>
        <v>124</v>
      </c>
      <c r="B146" s="722">
        <f t="shared" si="7"/>
        <v>48955</v>
      </c>
      <c r="C146" s="723">
        <f t="shared" si="12"/>
        <v>0</v>
      </c>
      <c r="D146" s="723">
        <f t="shared" si="9"/>
        <v>0</v>
      </c>
      <c r="E146" s="723">
        <f t="shared" si="13"/>
        <v>0</v>
      </c>
      <c r="F146" s="723">
        <f t="shared" si="10"/>
        <v>0</v>
      </c>
      <c r="G146" s="724">
        <f t="shared" si="11"/>
        <v>0</v>
      </c>
      <c r="O146" s="701"/>
    </row>
    <row r="147" spans="1:15" ht="16.5" x14ac:dyDescent="0.3">
      <c r="A147" s="718">
        <f t="shared" si="8"/>
        <v>125</v>
      </c>
      <c r="B147" s="722">
        <f t="shared" si="7"/>
        <v>48986</v>
      </c>
      <c r="C147" s="723">
        <f t="shared" si="12"/>
        <v>0</v>
      </c>
      <c r="D147" s="723">
        <f t="shared" si="9"/>
        <v>0</v>
      </c>
      <c r="E147" s="723">
        <f t="shared" si="13"/>
        <v>0</v>
      </c>
      <c r="F147" s="723">
        <f t="shared" si="10"/>
        <v>0</v>
      </c>
      <c r="G147" s="724">
        <f t="shared" si="11"/>
        <v>0</v>
      </c>
      <c r="O147" s="701"/>
    </row>
    <row r="148" spans="1:15" ht="16.5" x14ac:dyDescent="0.3">
      <c r="A148" s="718">
        <f t="shared" si="8"/>
        <v>126</v>
      </c>
      <c r="B148" s="722">
        <f t="shared" si="7"/>
        <v>49014</v>
      </c>
      <c r="C148" s="723">
        <f t="shared" si="12"/>
        <v>0</v>
      </c>
      <c r="D148" s="723">
        <f t="shared" si="9"/>
        <v>0</v>
      </c>
      <c r="E148" s="723">
        <f t="shared" si="13"/>
        <v>0</v>
      </c>
      <c r="F148" s="723">
        <f t="shared" si="10"/>
        <v>0</v>
      </c>
      <c r="G148" s="724">
        <f t="shared" si="11"/>
        <v>0</v>
      </c>
      <c r="O148" s="701"/>
    </row>
    <row r="149" spans="1:15" ht="16.5" x14ac:dyDescent="0.3">
      <c r="A149" s="718">
        <f t="shared" si="8"/>
        <v>127</v>
      </c>
      <c r="B149" s="722">
        <f t="shared" si="7"/>
        <v>49045</v>
      </c>
      <c r="C149" s="723">
        <f t="shared" si="12"/>
        <v>0</v>
      </c>
      <c r="D149" s="723">
        <f t="shared" si="9"/>
        <v>0</v>
      </c>
      <c r="E149" s="723">
        <f t="shared" si="13"/>
        <v>0</v>
      </c>
      <c r="F149" s="723">
        <f t="shared" si="10"/>
        <v>0</v>
      </c>
      <c r="G149" s="724">
        <f t="shared" si="11"/>
        <v>0</v>
      </c>
      <c r="O149" s="701"/>
    </row>
    <row r="150" spans="1:15" ht="16.5" x14ac:dyDescent="0.3">
      <c r="A150" s="718">
        <f t="shared" si="8"/>
        <v>128</v>
      </c>
      <c r="B150" s="722">
        <f t="shared" si="7"/>
        <v>49075</v>
      </c>
      <c r="C150" s="723">
        <f t="shared" si="12"/>
        <v>0</v>
      </c>
      <c r="D150" s="723">
        <f t="shared" si="9"/>
        <v>0</v>
      </c>
      <c r="E150" s="723">
        <f t="shared" si="13"/>
        <v>0</v>
      </c>
      <c r="F150" s="723">
        <f t="shared" si="10"/>
        <v>0</v>
      </c>
      <c r="G150" s="724">
        <f t="shared" si="11"/>
        <v>0</v>
      </c>
      <c r="O150" s="701"/>
    </row>
    <row r="151" spans="1:15" ht="16.5" x14ac:dyDescent="0.3">
      <c r="A151" s="718">
        <f t="shared" si="8"/>
        <v>129</v>
      </c>
      <c r="B151" s="722">
        <f t="shared" ref="B151:B174" si="14">EDATE($D$13,A151)</f>
        <v>49106</v>
      </c>
      <c r="C151" s="723">
        <f t="shared" si="12"/>
        <v>0</v>
      </c>
      <c r="D151" s="723">
        <f t="shared" si="9"/>
        <v>0</v>
      </c>
      <c r="E151" s="723">
        <f t="shared" si="13"/>
        <v>0</v>
      </c>
      <c r="F151" s="723">
        <f t="shared" si="10"/>
        <v>0</v>
      </c>
      <c r="G151" s="724">
        <f t="shared" si="11"/>
        <v>0</v>
      </c>
      <c r="O151" s="701"/>
    </row>
    <row r="152" spans="1:15" ht="16.5" x14ac:dyDescent="0.3">
      <c r="A152" s="718">
        <f t="shared" ref="A152:A174" si="15">A151+1</f>
        <v>130</v>
      </c>
      <c r="B152" s="722">
        <f t="shared" si="14"/>
        <v>49136</v>
      </c>
      <c r="C152" s="723">
        <f t="shared" si="12"/>
        <v>0</v>
      </c>
      <c r="D152" s="723">
        <f t="shared" ref="D152:D174" si="16">MIN(G152-F152-E152,C152)</f>
        <v>0</v>
      </c>
      <c r="E152" s="723">
        <f t="shared" si="13"/>
        <v>0</v>
      </c>
      <c r="F152" s="723">
        <f t="shared" ref="F152:F174" si="17">IF(C152&lt;&gt;0,$D$11)+IF(AND($D$12="Да",C152&lt;&gt;0),69)</f>
        <v>0</v>
      </c>
      <c r="G152" s="724">
        <f t="shared" ref="G152:G174" si="18">IF(C152&gt;0,$D$15,0)</f>
        <v>0</v>
      </c>
      <c r="O152" s="701"/>
    </row>
    <row r="153" spans="1:15" ht="16.5" x14ac:dyDescent="0.3">
      <c r="A153" s="718">
        <f t="shared" si="15"/>
        <v>131</v>
      </c>
      <c r="B153" s="722">
        <f t="shared" si="14"/>
        <v>49167</v>
      </c>
      <c r="C153" s="723">
        <f t="shared" ref="C153:C174" si="19">ROUNDDOWN(C152-D152,2)</f>
        <v>0</v>
      </c>
      <c r="D153" s="723">
        <f t="shared" si="16"/>
        <v>0</v>
      </c>
      <c r="E153" s="723">
        <f t="shared" si="13"/>
        <v>0</v>
      </c>
      <c r="F153" s="723">
        <f t="shared" si="17"/>
        <v>0</v>
      </c>
      <c r="G153" s="724">
        <f t="shared" si="18"/>
        <v>0</v>
      </c>
      <c r="O153" s="701"/>
    </row>
    <row r="154" spans="1:15" ht="16.5" x14ac:dyDescent="0.3">
      <c r="A154" s="718">
        <f t="shared" si="15"/>
        <v>132</v>
      </c>
      <c r="B154" s="722">
        <f t="shared" si="14"/>
        <v>49198</v>
      </c>
      <c r="C154" s="723">
        <f t="shared" si="19"/>
        <v>0</v>
      </c>
      <c r="D154" s="723">
        <f t="shared" si="16"/>
        <v>0</v>
      </c>
      <c r="E154" s="723">
        <f t="shared" ref="E154:E174" si="20">C154*$D$10/12</f>
        <v>0</v>
      </c>
      <c r="F154" s="723">
        <f t="shared" si="17"/>
        <v>0</v>
      </c>
      <c r="G154" s="724">
        <f t="shared" si="18"/>
        <v>0</v>
      </c>
      <c r="O154" s="701"/>
    </row>
    <row r="155" spans="1:15" ht="16.5" x14ac:dyDescent="0.3">
      <c r="A155" s="718">
        <f t="shared" si="15"/>
        <v>133</v>
      </c>
      <c r="B155" s="722">
        <f t="shared" si="14"/>
        <v>49228</v>
      </c>
      <c r="C155" s="723">
        <f t="shared" si="19"/>
        <v>0</v>
      </c>
      <c r="D155" s="723">
        <f t="shared" si="16"/>
        <v>0</v>
      </c>
      <c r="E155" s="723">
        <f t="shared" si="20"/>
        <v>0</v>
      </c>
      <c r="F155" s="723">
        <f t="shared" si="17"/>
        <v>0</v>
      </c>
      <c r="G155" s="724">
        <f t="shared" si="18"/>
        <v>0</v>
      </c>
      <c r="O155" s="701"/>
    </row>
    <row r="156" spans="1:15" ht="16.5" x14ac:dyDescent="0.3">
      <c r="A156" s="718">
        <f t="shared" si="15"/>
        <v>134</v>
      </c>
      <c r="B156" s="722">
        <f t="shared" si="14"/>
        <v>49259</v>
      </c>
      <c r="C156" s="723">
        <f t="shared" si="19"/>
        <v>0</v>
      </c>
      <c r="D156" s="723">
        <f t="shared" si="16"/>
        <v>0</v>
      </c>
      <c r="E156" s="723">
        <f t="shared" si="20"/>
        <v>0</v>
      </c>
      <c r="F156" s="723">
        <f t="shared" si="17"/>
        <v>0</v>
      </c>
      <c r="G156" s="724">
        <f t="shared" si="18"/>
        <v>0</v>
      </c>
      <c r="O156" s="701"/>
    </row>
    <row r="157" spans="1:15" ht="16.5" x14ac:dyDescent="0.3">
      <c r="A157" s="718">
        <f t="shared" si="15"/>
        <v>135</v>
      </c>
      <c r="B157" s="722">
        <f t="shared" si="14"/>
        <v>49289</v>
      </c>
      <c r="C157" s="723">
        <f t="shared" si="19"/>
        <v>0</v>
      </c>
      <c r="D157" s="723">
        <f t="shared" si="16"/>
        <v>0</v>
      </c>
      <c r="E157" s="723">
        <f t="shared" si="20"/>
        <v>0</v>
      </c>
      <c r="F157" s="723">
        <f t="shared" si="17"/>
        <v>0</v>
      </c>
      <c r="G157" s="724">
        <f t="shared" si="18"/>
        <v>0</v>
      </c>
      <c r="O157" s="701"/>
    </row>
    <row r="158" spans="1:15" ht="16.5" x14ac:dyDescent="0.3">
      <c r="A158" s="718">
        <f t="shared" si="15"/>
        <v>136</v>
      </c>
      <c r="B158" s="722">
        <f t="shared" si="14"/>
        <v>49320</v>
      </c>
      <c r="C158" s="723">
        <f t="shared" si="19"/>
        <v>0</v>
      </c>
      <c r="D158" s="723">
        <f t="shared" si="16"/>
        <v>0</v>
      </c>
      <c r="E158" s="723">
        <f t="shared" si="20"/>
        <v>0</v>
      </c>
      <c r="F158" s="723">
        <f t="shared" si="17"/>
        <v>0</v>
      </c>
      <c r="G158" s="724">
        <f t="shared" si="18"/>
        <v>0</v>
      </c>
      <c r="O158" s="701"/>
    </row>
    <row r="159" spans="1:15" ht="16.5" x14ac:dyDescent="0.3">
      <c r="A159" s="718">
        <f t="shared" si="15"/>
        <v>137</v>
      </c>
      <c r="B159" s="722">
        <f t="shared" si="14"/>
        <v>49351</v>
      </c>
      <c r="C159" s="723">
        <f t="shared" si="19"/>
        <v>0</v>
      </c>
      <c r="D159" s="723">
        <f t="shared" si="16"/>
        <v>0</v>
      </c>
      <c r="E159" s="723">
        <f t="shared" si="20"/>
        <v>0</v>
      </c>
      <c r="F159" s="723">
        <f t="shared" si="17"/>
        <v>0</v>
      </c>
      <c r="G159" s="724">
        <f t="shared" si="18"/>
        <v>0</v>
      </c>
      <c r="O159" s="701"/>
    </row>
    <row r="160" spans="1:15" ht="16.5" x14ac:dyDescent="0.3">
      <c r="A160" s="718">
        <f t="shared" si="15"/>
        <v>138</v>
      </c>
      <c r="B160" s="722">
        <f t="shared" si="14"/>
        <v>49379</v>
      </c>
      <c r="C160" s="723">
        <f t="shared" si="19"/>
        <v>0</v>
      </c>
      <c r="D160" s="723">
        <f t="shared" si="16"/>
        <v>0</v>
      </c>
      <c r="E160" s="723">
        <f t="shared" si="20"/>
        <v>0</v>
      </c>
      <c r="F160" s="723">
        <f t="shared" si="17"/>
        <v>0</v>
      </c>
      <c r="G160" s="724">
        <f t="shared" si="18"/>
        <v>0</v>
      </c>
      <c r="O160" s="701"/>
    </row>
    <row r="161" spans="1:15" ht="16.5" x14ac:dyDescent="0.3">
      <c r="A161" s="718">
        <f t="shared" si="15"/>
        <v>139</v>
      </c>
      <c r="B161" s="722">
        <f t="shared" si="14"/>
        <v>49410</v>
      </c>
      <c r="C161" s="723">
        <f t="shared" si="19"/>
        <v>0</v>
      </c>
      <c r="D161" s="723">
        <f t="shared" si="16"/>
        <v>0</v>
      </c>
      <c r="E161" s="723">
        <f t="shared" si="20"/>
        <v>0</v>
      </c>
      <c r="F161" s="723">
        <f t="shared" si="17"/>
        <v>0</v>
      </c>
      <c r="G161" s="724">
        <f t="shared" si="18"/>
        <v>0</v>
      </c>
      <c r="O161" s="701"/>
    </row>
    <row r="162" spans="1:15" ht="16.5" x14ac:dyDescent="0.3">
      <c r="A162" s="718">
        <f t="shared" si="15"/>
        <v>140</v>
      </c>
      <c r="B162" s="722">
        <f t="shared" si="14"/>
        <v>49440</v>
      </c>
      <c r="C162" s="723">
        <f t="shared" si="19"/>
        <v>0</v>
      </c>
      <c r="D162" s="723">
        <f t="shared" si="16"/>
        <v>0</v>
      </c>
      <c r="E162" s="723">
        <f t="shared" si="20"/>
        <v>0</v>
      </c>
      <c r="F162" s="723">
        <f t="shared" si="17"/>
        <v>0</v>
      </c>
      <c r="G162" s="724">
        <f t="shared" si="18"/>
        <v>0</v>
      </c>
      <c r="O162" s="701"/>
    </row>
    <row r="163" spans="1:15" ht="16.5" x14ac:dyDescent="0.3">
      <c r="A163" s="718">
        <f t="shared" si="15"/>
        <v>141</v>
      </c>
      <c r="B163" s="722">
        <f t="shared" si="14"/>
        <v>49471</v>
      </c>
      <c r="C163" s="723">
        <f t="shared" si="19"/>
        <v>0</v>
      </c>
      <c r="D163" s="723">
        <f t="shared" si="16"/>
        <v>0</v>
      </c>
      <c r="E163" s="723">
        <f t="shared" si="20"/>
        <v>0</v>
      </c>
      <c r="F163" s="723">
        <f t="shared" si="17"/>
        <v>0</v>
      </c>
      <c r="G163" s="724">
        <f t="shared" si="18"/>
        <v>0</v>
      </c>
      <c r="O163" s="701"/>
    </row>
    <row r="164" spans="1:15" ht="16.5" x14ac:dyDescent="0.3">
      <c r="A164" s="718">
        <f t="shared" si="15"/>
        <v>142</v>
      </c>
      <c r="B164" s="722">
        <f t="shared" si="14"/>
        <v>49501</v>
      </c>
      <c r="C164" s="723">
        <f t="shared" si="19"/>
        <v>0</v>
      </c>
      <c r="D164" s="723">
        <f t="shared" si="16"/>
        <v>0</v>
      </c>
      <c r="E164" s="723">
        <f t="shared" si="20"/>
        <v>0</v>
      </c>
      <c r="F164" s="723">
        <f t="shared" si="17"/>
        <v>0</v>
      </c>
      <c r="G164" s="724">
        <f t="shared" si="18"/>
        <v>0</v>
      </c>
      <c r="O164" s="701"/>
    </row>
    <row r="165" spans="1:15" ht="16.5" x14ac:dyDescent="0.3">
      <c r="A165" s="718">
        <f t="shared" si="15"/>
        <v>143</v>
      </c>
      <c r="B165" s="722">
        <f t="shared" si="14"/>
        <v>49532</v>
      </c>
      <c r="C165" s="723">
        <f t="shared" si="19"/>
        <v>0</v>
      </c>
      <c r="D165" s="723">
        <f t="shared" si="16"/>
        <v>0</v>
      </c>
      <c r="E165" s="723">
        <f t="shared" si="20"/>
        <v>0</v>
      </c>
      <c r="F165" s="723">
        <f t="shared" si="17"/>
        <v>0</v>
      </c>
      <c r="G165" s="724">
        <f t="shared" si="18"/>
        <v>0</v>
      </c>
      <c r="O165" s="701"/>
    </row>
    <row r="166" spans="1:15" ht="16.5" x14ac:dyDescent="0.3">
      <c r="A166" s="718">
        <f t="shared" si="15"/>
        <v>144</v>
      </c>
      <c r="B166" s="722">
        <f t="shared" si="14"/>
        <v>49563</v>
      </c>
      <c r="C166" s="723">
        <f t="shared" si="19"/>
        <v>0</v>
      </c>
      <c r="D166" s="723">
        <f t="shared" si="16"/>
        <v>0</v>
      </c>
      <c r="E166" s="723">
        <f t="shared" si="20"/>
        <v>0</v>
      </c>
      <c r="F166" s="723">
        <f t="shared" si="17"/>
        <v>0</v>
      </c>
      <c r="G166" s="724">
        <f t="shared" si="18"/>
        <v>0</v>
      </c>
      <c r="O166" s="701"/>
    </row>
    <row r="167" spans="1:15" ht="16.5" x14ac:dyDescent="0.3">
      <c r="A167" s="718">
        <f t="shared" si="15"/>
        <v>145</v>
      </c>
      <c r="B167" s="722">
        <f t="shared" si="14"/>
        <v>49593</v>
      </c>
      <c r="C167" s="723">
        <f t="shared" si="19"/>
        <v>0</v>
      </c>
      <c r="D167" s="723">
        <f t="shared" si="16"/>
        <v>0</v>
      </c>
      <c r="E167" s="723">
        <f t="shared" si="20"/>
        <v>0</v>
      </c>
      <c r="F167" s="723">
        <f t="shared" si="17"/>
        <v>0</v>
      </c>
      <c r="G167" s="724">
        <f t="shared" si="18"/>
        <v>0</v>
      </c>
      <c r="O167" s="701"/>
    </row>
    <row r="168" spans="1:15" ht="16.5" x14ac:dyDescent="0.3">
      <c r="A168" s="718">
        <f t="shared" si="15"/>
        <v>146</v>
      </c>
      <c r="B168" s="722">
        <f t="shared" si="14"/>
        <v>49624</v>
      </c>
      <c r="C168" s="723">
        <f t="shared" si="19"/>
        <v>0</v>
      </c>
      <c r="D168" s="723">
        <f t="shared" si="16"/>
        <v>0</v>
      </c>
      <c r="E168" s="723">
        <f t="shared" si="20"/>
        <v>0</v>
      </c>
      <c r="F168" s="723">
        <f t="shared" si="17"/>
        <v>0</v>
      </c>
      <c r="G168" s="724">
        <f t="shared" si="18"/>
        <v>0</v>
      </c>
      <c r="O168" s="701"/>
    </row>
    <row r="169" spans="1:15" ht="16.5" x14ac:dyDescent="0.3">
      <c r="A169" s="718">
        <f t="shared" si="15"/>
        <v>147</v>
      </c>
      <c r="B169" s="722">
        <f t="shared" si="14"/>
        <v>49654</v>
      </c>
      <c r="C169" s="723">
        <f t="shared" si="19"/>
        <v>0</v>
      </c>
      <c r="D169" s="723">
        <f t="shared" si="16"/>
        <v>0</v>
      </c>
      <c r="E169" s="723">
        <f t="shared" si="20"/>
        <v>0</v>
      </c>
      <c r="F169" s="723">
        <f t="shared" si="17"/>
        <v>0</v>
      </c>
      <c r="G169" s="724">
        <f t="shared" si="18"/>
        <v>0</v>
      </c>
      <c r="O169" s="701"/>
    </row>
    <row r="170" spans="1:15" ht="16.5" x14ac:dyDescent="0.3">
      <c r="A170" s="718">
        <f t="shared" si="15"/>
        <v>148</v>
      </c>
      <c r="B170" s="722">
        <f t="shared" si="14"/>
        <v>49685</v>
      </c>
      <c r="C170" s="723">
        <f t="shared" si="19"/>
        <v>0</v>
      </c>
      <c r="D170" s="723">
        <f t="shared" si="16"/>
        <v>0</v>
      </c>
      <c r="E170" s="723">
        <f t="shared" si="20"/>
        <v>0</v>
      </c>
      <c r="F170" s="723">
        <f t="shared" si="17"/>
        <v>0</v>
      </c>
      <c r="G170" s="724">
        <f t="shared" si="18"/>
        <v>0</v>
      </c>
      <c r="O170" s="701"/>
    </row>
    <row r="171" spans="1:15" ht="16.5" x14ac:dyDescent="0.3">
      <c r="A171" s="718">
        <f t="shared" si="15"/>
        <v>149</v>
      </c>
      <c r="B171" s="722">
        <f t="shared" si="14"/>
        <v>49716</v>
      </c>
      <c r="C171" s="723">
        <f t="shared" si="19"/>
        <v>0</v>
      </c>
      <c r="D171" s="723">
        <f t="shared" si="16"/>
        <v>0</v>
      </c>
      <c r="E171" s="723">
        <f t="shared" si="20"/>
        <v>0</v>
      </c>
      <c r="F171" s="723">
        <f t="shared" si="17"/>
        <v>0</v>
      </c>
      <c r="G171" s="724">
        <f t="shared" si="18"/>
        <v>0</v>
      </c>
      <c r="O171" s="701"/>
    </row>
    <row r="172" spans="1:15" ht="16.5" x14ac:dyDescent="0.3">
      <c r="A172" s="718">
        <f t="shared" si="15"/>
        <v>150</v>
      </c>
      <c r="B172" s="722">
        <f t="shared" si="14"/>
        <v>49745</v>
      </c>
      <c r="C172" s="723">
        <f t="shared" si="19"/>
        <v>0</v>
      </c>
      <c r="D172" s="723">
        <f t="shared" si="16"/>
        <v>0</v>
      </c>
      <c r="E172" s="723">
        <f t="shared" si="20"/>
        <v>0</v>
      </c>
      <c r="F172" s="723">
        <f t="shared" si="17"/>
        <v>0</v>
      </c>
      <c r="G172" s="724">
        <f t="shared" si="18"/>
        <v>0</v>
      </c>
      <c r="O172" s="701"/>
    </row>
    <row r="173" spans="1:15" ht="16.5" x14ac:dyDescent="0.3">
      <c r="A173" s="718">
        <f t="shared" si="15"/>
        <v>151</v>
      </c>
      <c r="B173" s="722">
        <f t="shared" si="14"/>
        <v>49776</v>
      </c>
      <c r="C173" s="723">
        <f t="shared" si="19"/>
        <v>0</v>
      </c>
      <c r="D173" s="723">
        <f t="shared" si="16"/>
        <v>0</v>
      </c>
      <c r="E173" s="723">
        <f t="shared" si="20"/>
        <v>0</v>
      </c>
      <c r="F173" s="723">
        <f t="shared" si="17"/>
        <v>0</v>
      </c>
      <c r="G173" s="724">
        <f t="shared" si="18"/>
        <v>0</v>
      </c>
      <c r="O173" s="701"/>
    </row>
    <row r="174" spans="1:15" ht="16.5" x14ac:dyDescent="0.3">
      <c r="A174" s="718">
        <f t="shared" si="15"/>
        <v>152</v>
      </c>
      <c r="B174" s="722">
        <f t="shared" si="14"/>
        <v>49806</v>
      </c>
      <c r="C174" s="723">
        <f t="shared" si="19"/>
        <v>0</v>
      </c>
      <c r="D174" s="723">
        <f t="shared" si="16"/>
        <v>0</v>
      </c>
      <c r="E174" s="723">
        <f t="shared" si="20"/>
        <v>0</v>
      </c>
      <c r="F174" s="723">
        <f t="shared" si="17"/>
        <v>0</v>
      </c>
      <c r="G174" s="724">
        <f t="shared" si="18"/>
        <v>0</v>
      </c>
      <c r="O174" s="701"/>
    </row>
    <row r="175" spans="1:15" x14ac:dyDescent="0.25">
      <c r="O175" s="701"/>
    </row>
    <row r="176" spans="1:15" x14ac:dyDescent="0.25">
      <c r="O176" s="701"/>
    </row>
    <row r="177" spans="15:15" x14ac:dyDescent="0.25">
      <c r="O177" s="701"/>
    </row>
    <row r="178" spans="15:15" x14ac:dyDescent="0.25">
      <c r="O178" s="701"/>
    </row>
    <row r="179" spans="15:15" x14ac:dyDescent="0.25">
      <c r="O179" s="701"/>
    </row>
    <row r="180" spans="15:15" x14ac:dyDescent="0.25">
      <c r="O180" s="701"/>
    </row>
    <row r="181" spans="15:15" x14ac:dyDescent="0.25">
      <c r="O181" s="701"/>
    </row>
    <row r="182" spans="15:15" x14ac:dyDescent="0.25">
      <c r="O182" s="701"/>
    </row>
    <row r="183" spans="15:15" x14ac:dyDescent="0.25">
      <c r="O183" s="701"/>
    </row>
    <row r="184" spans="15:15" x14ac:dyDescent="0.25">
      <c r="O184" s="701"/>
    </row>
    <row r="185" spans="15:15" x14ac:dyDescent="0.25">
      <c r="O185" s="701"/>
    </row>
    <row r="186" spans="15:15" x14ac:dyDescent="0.25">
      <c r="O186" s="701"/>
    </row>
    <row r="187" spans="15:15" x14ac:dyDescent="0.25">
      <c r="O187" s="701"/>
    </row>
    <row r="188" spans="15:15" x14ac:dyDescent="0.25">
      <c r="O188" s="701"/>
    </row>
    <row r="189" spans="15:15" x14ac:dyDescent="0.25">
      <c r="O189" s="701"/>
    </row>
    <row r="190" spans="15:15" x14ac:dyDescent="0.25">
      <c r="O190" s="701"/>
    </row>
    <row r="191" spans="15:15" x14ac:dyDescent="0.25">
      <c r="O191" s="701"/>
    </row>
    <row r="192" spans="15:15" x14ac:dyDescent="0.25">
      <c r="O192" s="701"/>
    </row>
    <row r="193" spans="15:15" x14ac:dyDescent="0.25">
      <c r="O193" s="701"/>
    </row>
    <row r="194" spans="15:15" x14ac:dyDescent="0.25">
      <c r="O194" s="701"/>
    </row>
    <row r="195" spans="15:15" x14ac:dyDescent="0.25">
      <c r="O195" s="701"/>
    </row>
    <row r="196" spans="15:15" x14ac:dyDescent="0.25">
      <c r="O196" s="701"/>
    </row>
    <row r="197" spans="15:15" x14ac:dyDescent="0.25">
      <c r="O197" s="701"/>
    </row>
    <row r="198" spans="15:15" x14ac:dyDescent="0.25">
      <c r="O198" s="701"/>
    </row>
    <row r="199" spans="15:15" x14ac:dyDescent="0.25">
      <c r="O199" s="701"/>
    </row>
    <row r="200" spans="15:15" x14ac:dyDescent="0.25">
      <c r="O200" s="701"/>
    </row>
    <row r="201" spans="15:15" x14ac:dyDescent="0.25">
      <c r="O201" s="701"/>
    </row>
    <row r="202" spans="15:15" x14ac:dyDescent="0.25">
      <c r="O202" s="701"/>
    </row>
    <row r="203" spans="15:15" x14ac:dyDescent="0.25">
      <c r="O203" s="701"/>
    </row>
    <row r="204" spans="15:15" x14ac:dyDescent="0.25">
      <c r="O204" s="701"/>
    </row>
    <row r="205" spans="15:15" x14ac:dyDescent="0.25">
      <c r="O205" s="701"/>
    </row>
    <row r="206" spans="15:15" x14ac:dyDescent="0.25">
      <c r="O206" s="701"/>
    </row>
    <row r="207" spans="15:15" x14ac:dyDescent="0.25">
      <c r="O207" s="701"/>
    </row>
    <row r="208" spans="15:15" x14ac:dyDescent="0.25">
      <c r="O208" s="701"/>
    </row>
    <row r="209" spans="15:15" x14ac:dyDescent="0.25">
      <c r="O209" s="701"/>
    </row>
    <row r="210" spans="15:15" x14ac:dyDescent="0.25">
      <c r="O210" s="701"/>
    </row>
    <row r="211" spans="15:15" x14ac:dyDescent="0.25">
      <c r="O211" s="701"/>
    </row>
    <row r="212" spans="15:15" x14ac:dyDescent="0.25">
      <c r="O212" s="701"/>
    </row>
    <row r="213" spans="15:15" x14ac:dyDescent="0.25">
      <c r="O213" s="701"/>
    </row>
    <row r="214" spans="15:15" x14ac:dyDescent="0.25">
      <c r="O214" s="701"/>
    </row>
    <row r="215" spans="15:15" x14ac:dyDescent="0.25">
      <c r="O215" s="701"/>
    </row>
    <row r="216" spans="15:15" x14ac:dyDescent="0.25">
      <c r="O216" s="701"/>
    </row>
    <row r="217" spans="15:15" x14ac:dyDescent="0.25">
      <c r="O217" s="701"/>
    </row>
    <row r="218" spans="15:15" x14ac:dyDescent="0.25">
      <c r="O218" s="701"/>
    </row>
    <row r="219" spans="15:15" x14ac:dyDescent="0.25">
      <c r="O219" s="701"/>
    </row>
    <row r="220" spans="15:15" x14ac:dyDescent="0.25">
      <c r="O220" s="701"/>
    </row>
    <row r="221" spans="15:15" x14ac:dyDescent="0.25">
      <c r="O221" s="701"/>
    </row>
    <row r="222" spans="15:15" x14ac:dyDescent="0.25">
      <c r="O222" s="701"/>
    </row>
    <row r="223" spans="15:15" x14ac:dyDescent="0.25">
      <c r="O223" s="701"/>
    </row>
    <row r="224" spans="15:15" x14ac:dyDescent="0.25">
      <c r="O224" s="701"/>
    </row>
    <row r="225" spans="15:15" x14ac:dyDescent="0.25">
      <c r="O225" s="701"/>
    </row>
    <row r="226" spans="15:15" x14ac:dyDescent="0.25">
      <c r="O226" s="701"/>
    </row>
    <row r="227" spans="15:15" x14ac:dyDescent="0.25">
      <c r="O227" s="701"/>
    </row>
    <row r="228" spans="15:15" x14ac:dyDescent="0.25">
      <c r="O228" s="701"/>
    </row>
    <row r="229" spans="15:15" x14ac:dyDescent="0.25">
      <c r="O229" s="701"/>
    </row>
    <row r="230" spans="15:15" x14ac:dyDescent="0.25">
      <c r="O230" s="701"/>
    </row>
    <row r="231" spans="15:15" x14ac:dyDescent="0.25">
      <c r="O231" s="701"/>
    </row>
    <row r="232" spans="15:15" x14ac:dyDescent="0.25">
      <c r="O232" s="701"/>
    </row>
    <row r="233" spans="15:15" x14ac:dyDescent="0.25">
      <c r="O233" s="701"/>
    </row>
    <row r="234" spans="15:15" x14ac:dyDescent="0.25">
      <c r="O234" s="701"/>
    </row>
    <row r="235" spans="15:15" x14ac:dyDescent="0.25">
      <c r="O235" s="701"/>
    </row>
    <row r="236" spans="15:15" x14ac:dyDescent="0.25">
      <c r="O236" s="701"/>
    </row>
    <row r="237" spans="15:15" x14ac:dyDescent="0.25">
      <c r="O237" s="701"/>
    </row>
    <row r="238" spans="15:15" x14ac:dyDescent="0.25">
      <c r="O238" s="701"/>
    </row>
    <row r="239" spans="15:15" x14ac:dyDescent="0.25">
      <c r="O239" s="701"/>
    </row>
    <row r="240" spans="15:15" x14ac:dyDescent="0.25">
      <c r="O240" s="701"/>
    </row>
    <row r="241" spans="15:15" x14ac:dyDescent="0.25">
      <c r="O241" s="701"/>
    </row>
    <row r="242" spans="15:15" x14ac:dyDescent="0.25">
      <c r="O242" s="701"/>
    </row>
    <row r="243" spans="15:15" x14ac:dyDescent="0.25">
      <c r="O243" s="701"/>
    </row>
    <row r="244" spans="15:15" x14ac:dyDescent="0.25">
      <c r="O244" s="701"/>
    </row>
    <row r="245" spans="15:15" x14ac:dyDescent="0.25">
      <c r="O245" s="701"/>
    </row>
    <row r="246" spans="15:15" x14ac:dyDescent="0.25">
      <c r="O246" s="701"/>
    </row>
    <row r="247" spans="15:15" x14ac:dyDescent="0.25">
      <c r="O247" s="701"/>
    </row>
    <row r="248" spans="15:15" x14ac:dyDescent="0.25">
      <c r="O248" s="701"/>
    </row>
    <row r="249" spans="15:15" x14ac:dyDescent="0.25">
      <c r="O249" s="701"/>
    </row>
    <row r="250" spans="15:15" x14ac:dyDescent="0.25">
      <c r="O250" s="701"/>
    </row>
    <row r="251" spans="15:15" x14ac:dyDescent="0.25">
      <c r="O251" s="701"/>
    </row>
    <row r="252" spans="15:15" x14ac:dyDescent="0.25">
      <c r="O252" s="701"/>
    </row>
    <row r="253" spans="15:15" x14ac:dyDescent="0.25">
      <c r="O253" s="701"/>
    </row>
    <row r="254" spans="15:15" x14ac:dyDescent="0.25">
      <c r="O254" s="701"/>
    </row>
    <row r="255" spans="15:15" x14ac:dyDescent="0.25">
      <c r="O255" s="701"/>
    </row>
    <row r="256" spans="15:15" x14ac:dyDescent="0.25">
      <c r="O256" s="701"/>
    </row>
    <row r="257" spans="15:15" x14ac:dyDescent="0.25">
      <c r="O257" s="701"/>
    </row>
    <row r="258" spans="15:15" x14ac:dyDescent="0.25">
      <c r="O258" s="701"/>
    </row>
    <row r="259" spans="15:15" x14ac:dyDescent="0.25">
      <c r="O259" s="701"/>
    </row>
    <row r="260" spans="15:15" x14ac:dyDescent="0.25">
      <c r="O260" s="701"/>
    </row>
    <row r="261" spans="15:15" x14ac:dyDescent="0.25">
      <c r="O261" s="701"/>
    </row>
    <row r="262" spans="15:15" x14ac:dyDescent="0.25">
      <c r="O262" s="701"/>
    </row>
    <row r="263" spans="15:15" x14ac:dyDescent="0.25">
      <c r="O263" s="701"/>
    </row>
    <row r="264" spans="15:15" x14ac:dyDescent="0.25">
      <c r="O264" s="701"/>
    </row>
    <row r="265" spans="15:15" x14ac:dyDescent="0.25">
      <c r="O265" s="701"/>
    </row>
    <row r="266" spans="15:15" x14ac:dyDescent="0.25">
      <c r="O266" s="701"/>
    </row>
    <row r="267" spans="15:15" x14ac:dyDescent="0.25">
      <c r="O267" s="701"/>
    </row>
    <row r="268" spans="15:15" x14ac:dyDescent="0.25">
      <c r="O268" s="701"/>
    </row>
    <row r="269" spans="15:15" x14ac:dyDescent="0.25">
      <c r="O269" s="701"/>
    </row>
    <row r="270" spans="15:15" x14ac:dyDescent="0.25">
      <c r="O270" s="701"/>
    </row>
    <row r="271" spans="15:15" x14ac:dyDescent="0.25">
      <c r="O271" s="701"/>
    </row>
    <row r="272" spans="15:15" x14ac:dyDescent="0.25">
      <c r="O272" s="701"/>
    </row>
    <row r="273" spans="15:15" x14ac:dyDescent="0.25">
      <c r="O273" s="701"/>
    </row>
    <row r="274" spans="15:15" x14ac:dyDescent="0.25">
      <c r="O274" s="701"/>
    </row>
    <row r="275" spans="15:15" x14ac:dyDescent="0.25">
      <c r="O275" s="701"/>
    </row>
    <row r="276" spans="15:15" x14ac:dyDescent="0.25">
      <c r="O276" s="701"/>
    </row>
    <row r="277" spans="15:15" x14ac:dyDescent="0.25">
      <c r="O277" s="701"/>
    </row>
    <row r="278" spans="15:15" x14ac:dyDescent="0.25">
      <c r="O278" s="701"/>
    </row>
    <row r="279" spans="15:15" x14ac:dyDescent="0.25">
      <c r="O279" s="701"/>
    </row>
    <row r="280" spans="15:15" x14ac:dyDescent="0.25">
      <c r="O280" s="701"/>
    </row>
    <row r="281" spans="15:15" x14ac:dyDescent="0.25">
      <c r="O281" s="701"/>
    </row>
    <row r="282" spans="15:15" x14ac:dyDescent="0.25">
      <c r="O282" s="701"/>
    </row>
    <row r="283" spans="15:15" x14ac:dyDescent="0.25">
      <c r="O283" s="701"/>
    </row>
    <row r="284" spans="15:15" x14ac:dyDescent="0.25">
      <c r="O284" s="701"/>
    </row>
    <row r="285" spans="15:15" x14ac:dyDescent="0.25">
      <c r="O285" s="701"/>
    </row>
    <row r="286" spans="15:15" x14ac:dyDescent="0.25">
      <c r="O286" s="701"/>
    </row>
    <row r="287" spans="15:15" x14ac:dyDescent="0.25">
      <c r="O287" s="701"/>
    </row>
    <row r="288" spans="15:15" x14ac:dyDescent="0.25">
      <c r="O288" s="701"/>
    </row>
    <row r="289" spans="15:15" x14ac:dyDescent="0.25">
      <c r="O289" s="701"/>
    </row>
    <row r="290" spans="15:15" x14ac:dyDescent="0.25">
      <c r="O290" s="701"/>
    </row>
    <row r="291" spans="15:15" x14ac:dyDescent="0.25">
      <c r="O291" s="701"/>
    </row>
    <row r="292" spans="15:15" x14ac:dyDescent="0.25">
      <c r="O292" s="701"/>
    </row>
    <row r="293" spans="15:15" x14ac:dyDescent="0.25">
      <c r="O293" s="701"/>
    </row>
    <row r="294" spans="15:15" x14ac:dyDescent="0.25">
      <c r="O294" s="701"/>
    </row>
    <row r="295" spans="15:15" x14ac:dyDescent="0.25">
      <c r="O295" s="701"/>
    </row>
    <row r="296" spans="15:15" x14ac:dyDescent="0.25">
      <c r="O296" s="701"/>
    </row>
    <row r="297" spans="15:15" x14ac:dyDescent="0.25">
      <c r="O297" s="701"/>
    </row>
    <row r="298" spans="15:15" x14ac:dyDescent="0.25">
      <c r="O298" s="701"/>
    </row>
    <row r="299" spans="15:15" x14ac:dyDescent="0.25">
      <c r="O299" s="701"/>
    </row>
    <row r="300" spans="15:15" x14ac:dyDescent="0.25">
      <c r="O300" s="701"/>
    </row>
    <row r="301" spans="15:15" x14ac:dyDescent="0.25">
      <c r="O301" s="701"/>
    </row>
    <row r="302" spans="15:15" x14ac:dyDescent="0.25">
      <c r="O302" s="701"/>
    </row>
    <row r="303" spans="15:15" x14ac:dyDescent="0.25">
      <c r="O303" s="701"/>
    </row>
    <row r="304" spans="15:15" x14ac:dyDescent="0.25">
      <c r="O304" s="701"/>
    </row>
    <row r="305" spans="15:15" x14ac:dyDescent="0.25">
      <c r="O305" s="701"/>
    </row>
    <row r="306" spans="15:15" x14ac:dyDescent="0.25">
      <c r="O306" s="701"/>
    </row>
    <row r="307" spans="15:15" x14ac:dyDescent="0.25">
      <c r="O307" s="701"/>
    </row>
    <row r="308" spans="15:15" x14ac:dyDescent="0.25">
      <c r="O308" s="701"/>
    </row>
    <row r="309" spans="15:15" x14ac:dyDescent="0.25">
      <c r="O309" s="701"/>
    </row>
    <row r="310" spans="15:15" x14ac:dyDescent="0.25">
      <c r="O310" s="701"/>
    </row>
    <row r="311" spans="15:15" x14ac:dyDescent="0.25">
      <c r="O311" s="701"/>
    </row>
    <row r="312" spans="15:15" x14ac:dyDescent="0.25">
      <c r="O312" s="701"/>
    </row>
    <row r="313" spans="15:15" x14ac:dyDescent="0.25">
      <c r="O313" s="701"/>
    </row>
    <row r="314" spans="15:15" x14ac:dyDescent="0.25">
      <c r="O314" s="701"/>
    </row>
    <row r="315" spans="15:15" x14ac:dyDescent="0.25">
      <c r="O315" s="701"/>
    </row>
    <row r="316" spans="15:15" x14ac:dyDescent="0.25">
      <c r="O316" s="701"/>
    </row>
    <row r="317" spans="15:15" x14ac:dyDescent="0.25">
      <c r="O317" s="701"/>
    </row>
    <row r="318" spans="15:15" x14ac:dyDescent="0.25">
      <c r="O318" s="701"/>
    </row>
    <row r="319" spans="15:15" x14ac:dyDescent="0.25">
      <c r="O319" s="701"/>
    </row>
    <row r="320" spans="15:15" x14ac:dyDescent="0.25">
      <c r="O320" s="701"/>
    </row>
    <row r="321" spans="15:15" x14ac:dyDescent="0.25">
      <c r="O321" s="701"/>
    </row>
    <row r="322" spans="15:15" x14ac:dyDescent="0.25">
      <c r="O322" s="701"/>
    </row>
    <row r="323" spans="15:15" x14ac:dyDescent="0.25">
      <c r="O323" s="701"/>
    </row>
    <row r="324" spans="15:15" x14ac:dyDescent="0.25">
      <c r="O324" s="701"/>
    </row>
  </sheetData>
  <sheetProtection sheet="1" objects="1" scenarios="1"/>
  <mergeCells count="38">
    <mergeCell ref="B5:C5"/>
    <mergeCell ref="D5:E5"/>
    <mergeCell ref="C1:F1"/>
    <mergeCell ref="B3:C3"/>
    <mergeCell ref="D3:E3"/>
    <mergeCell ref="B4:C4"/>
    <mergeCell ref="D4:E4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20:C20"/>
    <mergeCell ref="A21:A22"/>
    <mergeCell ref="B21:B22"/>
    <mergeCell ref="C21:C22"/>
    <mergeCell ref="D21:G21"/>
  </mergeCells>
  <conditionalFormatting sqref="A1:C1 D19:XFD19 F14:XFD18 A16:A19 A20:H79 A2:A3 F3:XFD3 D4:XFD4 A4:B4 D14:D15 G1:XFD2 A6:B15 A5 F5:XFD5 K23:N25 P20:XFD79 D6:M8 O6:XFD9 O11:XFD13 P10:XFD10 N6:N10 D10:M13 D9 F9:M9 A80:XFD1048576">
    <cfRule type="expression" priority="5">
      <formula>IF(1=1,1,0)</formula>
    </cfRule>
  </conditionalFormatting>
  <conditionalFormatting sqref="A23:G174">
    <cfRule type="expression" dxfId="0" priority="4">
      <formula>IF(#REF!=0,1,0)</formula>
    </cfRule>
  </conditionalFormatting>
  <conditionalFormatting sqref="B16:B18 D16:D18">
    <cfRule type="expression" priority="3">
      <formula>IF(1=1,1,0)</formula>
    </cfRule>
  </conditionalFormatting>
  <conditionalFormatting sqref="B5:E5">
    <cfRule type="expression" priority="2">
      <formula>IF(1=1,1,0)</formula>
    </cfRule>
  </conditionalFormatting>
  <conditionalFormatting sqref="K26:O27">
    <cfRule type="expression" priority="1">
      <formula>IF(1=1,1,0)</formula>
    </cfRule>
  </conditionalFormatting>
  <dataValidations count="7">
    <dataValidation allowBlank="1" showInputMessage="1" showErrorMessage="1" promptTitle="Важно!" prompt="Обязательный ежемесячный платеж не может быть меньше, чем предусмотрен условиями договора" sqref="D15:E15"/>
    <dataValidation type="list" allowBlank="1" showInputMessage="1" showErrorMessage="1" promptTitle="Выберите из списка" prompt="Укажите, подключил ли клиент услугу &quot;СМС-информирование&quot;" sqref="D12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>
      <formula1>$L$23:$O$23</formula1>
    </dataValidation>
  </dataValidation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24"/>
  <sheetViews>
    <sheetView showGridLines="0" zoomScale="70" zoomScaleNormal="70" workbookViewId="0">
      <selection activeCell="B3" sqref="B3"/>
    </sheetView>
  </sheetViews>
  <sheetFormatPr defaultColWidth="8.7109375" defaultRowHeight="12.75" x14ac:dyDescent="0.2"/>
  <cols>
    <col min="1" max="1" width="41.7109375" customWidth="1"/>
    <col min="2" max="2" width="27.42578125" customWidth="1"/>
    <col min="3" max="3" width="23.28515625" customWidth="1"/>
    <col min="4" max="6" width="21.7109375" customWidth="1"/>
    <col min="7" max="7" width="2.42578125" customWidth="1"/>
    <col min="8" max="8" width="13" customWidth="1"/>
    <col min="9" max="9" width="6.28515625" customWidth="1"/>
    <col min="19" max="47" width="0" hidden="1" customWidth="1"/>
  </cols>
  <sheetData>
    <row r="1" spans="1:13" ht="21" customHeight="1" x14ac:dyDescent="0.2">
      <c r="A1" s="999" t="s">
        <v>251</v>
      </c>
      <c r="B1" s="999"/>
      <c r="C1" s="91"/>
      <c r="D1" s="1001"/>
      <c r="E1" s="1001"/>
      <c r="F1" s="1001"/>
      <c r="G1" s="91"/>
      <c r="H1" s="61"/>
    </row>
    <row r="2" spans="1:13" ht="40.15" customHeight="1" thickBot="1" x14ac:dyDescent="0.25">
      <c r="A2" s="1000"/>
      <c r="B2" s="1000"/>
      <c r="C2" s="91"/>
      <c r="D2" s="1001"/>
      <c r="E2" s="1001"/>
      <c r="F2" s="1001"/>
      <c r="G2" s="91"/>
      <c r="H2" s="92" t="s">
        <v>57</v>
      </c>
      <c r="I2" s="92"/>
      <c r="J2" s="92"/>
      <c r="K2" s="92">
        <f>IF(DAY(B7)&lt;4,DAY(B7)+3,IF(DAY(B7)&gt;28,DAY(B7)-3,DAY(B7)))</f>
        <v>26</v>
      </c>
      <c r="L2" s="92"/>
      <c r="M2" s="93" t="s">
        <v>335</v>
      </c>
    </row>
    <row r="3" spans="1:13" ht="18" customHeight="1" x14ac:dyDescent="0.2">
      <c r="A3" s="391" t="s">
        <v>250</v>
      </c>
      <c r="B3" s="394" t="s">
        <v>103</v>
      </c>
      <c r="C3" s="396" t="s">
        <v>263</v>
      </c>
      <c r="D3" s="1001"/>
      <c r="E3" s="1001"/>
      <c r="F3" s="1001"/>
      <c r="G3" s="91"/>
      <c r="H3" s="92" t="s">
        <v>58</v>
      </c>
      <c r="I3" s="93">
        <v>0.39900000000000002</v>
      </c>
      <c r="J3" s="94">
        <v>4.9000000000000002E-2</v>
      </c>
      <c r="K3" s="92">
        <f>MONTH(EDATE(B7,1))</f>
        <v>10</v>
      </c>
      <c r="L3" s="92" t="s">
        <v>20</v>
      </c>
      <c r="M3" s="93" t="s">
        <v>20</v>
      </c>
    </row>
    <row r="4" spans="1:13" ht="30" customHeight="1" x14ac:dyDescent="0.2">
      <c r="A4" s="392" t="s">
        <v>252</v>
      </c>
      <c r="B4" s="387" t="s">
        <v>29</v>
      </c>
      <c r="C4" s="396" t="s">
        <v>264</v>
      </c>
      <c r="D4" s="1001"/>
      <c r="E4" s="1001"/>
      <c r="F4" s="1001"/>
      <c r="G4" s="91"/>
      <c r="H4" s="92" t="s">
        <v>103</v>
      </c>
      <c r="I4" s="93">
        <v>0.39900000000000002</v>
      </c>
      <c r="J4" s="94">
        <v>4.9000000000000002E-2</v>
      </c>
      <c r="K4" s="92">
        <f>YEAR(EDATE(B7,1))</f>
        <v>2021</v>
      </c>
      <c r="L4" s="92" t="s">
        <v>29</v>
      </c>
      <c r="M4" s="93" t="s">
        <v>20</v>
      </c>
    </row>
    <row r="5" spans="1:13" ht="22.15" customHeight="1" x14ac:dyDescent="0.2">
      <c r="A5" s="391" t="s">
        <v>254</v>
      </c>
      <c r="B5" s="387">
        <v>10000</v>
      </c>
      <c r="C5" s="396" t="s">
        <v>267</v>
      </c>
      <c r="D5" s="1001"/>
      <c r="E5" s="1001"/>
      <c r="F5" s="1001"/>
      <c r="G5" s="91"/>
      <c r="H5" s="92"/>
      <c r="I5" s="93"/>
      <c r="J5" s="94"/>
    </row>
    <row r="6" spans="1:13" ht="22.9" customHeight="1" x14ac:dyDescent="0.2">
      <c r="A6" s="391" t="s">
        <v>253</v>
      </c>
      <c r="B6" s="387">
        <v>20000</v>
      </c>
      <c r="C6" s="396" t="s">
        <v>265</v>
      </c>
      <c r="D6" s="1001"/>
      <c r="E6" s="1001"/>
      <c r="F6" s="1001"/>
      <c r="G6" s="91"/>
      <c r="H6" s="92"/>
      <c r="I6" s="93"/>
      <c r="J6" s="94"/>
    </row>
    <row r="7" spans="1:13" ht="22.9" customHeight="1" x14ac:dyDescent="0.2">
      <c r="A7" s="391" t="s">
        <v>59</v>
      </c>
      <c r="B7" s="395">
        <v>44465</v>
      </c>
      <c r="C7" s="396" t="s">
        <v>266</v>
      </c>
      <c r="D7" s="1001"/>
      <c r="E7" s="1001"/>
      <c r="F7" s="1001"/>
      <c r="G7" s="91"/>
    </row>
    <row r="8" spans="1:13" ht="22.9" customHeight="1" x14ac:dyDescent="0.2">
      <c r="A8" s="391" t="s">
        <v>255</v>
      </c>
      <c r="B8" s="388">
        <f>DATE(K4,K3,K2)</f>
        <v>44495</v>
      </c>
    </row>
    <row r="9" spans="1:13" ht="24" customHeight="1" x14ac:dyDescent="0.2">
      <c r="A9" s="1002" t="s">
        <v>256</v>
      </c>
      <c r="B9" s="1002"/>
    </row>
    <row r="10" spans="1:13" ht="16.899999999999999" customHeight="1" x14ac:dyDescent="0.2">
      <c r="A10" s="391" t="s">
        <v>337</v>
      </c>
      <c r="B10" s="389">
        <f>ROUNDUP(B12+B13+B14+B15+B16,-2)</f>
        <v>1800</v>
      </c>
    </row>
    <row r="11" spans="1:13" ht="21" customHeight="1" x14ac:dyDescent="0.2">
      <c r="A11" s="996" t="s">
        <v>262</v>
      </c>
      <c r="B11" s="997"/>
    </row>
    <row r="12" spans="1:13" ht="16.899999999999999" customHeight="1" x14ac:dyDescent="0.2">
      <c r="A12" s="391" t="s">
        <v>257</v>
      </c>
      <c r="B12" s="389">
        <f>IF(B6&lt;&gt;"",B6*3%,0)</f>
        <v>600</v>
      </c>
    </row>
    <row r="13" spans="1:13" ht="16.899999999999999" customHeight="1" x14ac:dyDescent="0.2">
      <c r="A13" s="391" t="s">
        <v>258</v>
      </c>
      <c r="B13" s="389">
        <f>IF(B5&lt;&gt;"",B5*3%,0)</f>
        <v>300</v>
      </c>
    </row>
    <row r="14" spans="1:13" ht="16.899999999999999" customHeight="1" x14ac:dyDescent="0.2">
      <c r="A14" s="391" t="s">
        <v>259</v>
      </c>
      <c r="B14" s="389">
        <f>0</f>
        <v>0</v>
      </c>
    </row>
    <row r="15" spans="1:13" ht="16.899999999999999" customHeight="1" x14ac:dyDescent="0.2">
      <c r="A15" s="391" t="s">
        <v>260</v>
      </c>
      <c r="B15" s="389">
        <f>IF(B5=0,0,B5*VLOOKUP(B3,H3:J4,3,FALSE)+390)</f>
        <v>880</v>
      </c>
    </row>
    <row r="16" spans="1:13" ht="16.899999999999999" customHeight="1" thickBot="1" x14ac:dyDescent="0.25">
      <c r="A16" s="393" t="s">
        <v>261</v>
      </c>
      <c r="B16" s="390">
        <f>IF(VLOOKUP(B3,H3:M4,6,FALSE)="да",0,B5*VLOOKUP(B3,H3:I6,2,FALSE)*(B8-B7)/365)</f>
        <v>0</v>
      </c>
      <c r="C16" s="1003" t="s">
        <v>336</v>
      </c>
      <c r="D16" s="1004"/>
      <c r="E16" s="529"/>
    </row>
    <row r="18" spans="1:3" x14ac:dyDescent="0.2">
      <c r="A18" s="998" t="s">
        <v>268</v>
      </c>
      <c r="B18" s="998"/>
      <c r="C18" s="998"/>
    </row>
    <row r="19" spans="1:3" x14ac:dyDescent="0.2">
      <c r="A19" s="998"/>
      <c r="B19" s="998"/>
      <c r="C19" s="998"/>
    </row>
    <row r="20" spans="1:3" x14ac:dyDescent="0.2">
      <c r="A20" s="998"/>
      <c r="B20" s="998"/>
      <c r="C20" s="998"/>
    </row>
    <row r="21" spans="1:3" x14ac:dyDescent="0.2">
      <c r="A21" s="998"/>
      <c r="B21" s="998"/>
      <c r="C21" s="998"/>
    </row>
    <row r="22" spans="1:3" x14ac:dyDescent="0.2">
      <c r="A22" s="998"/>
      <c r="B22" s="998"/>
      <c r="C22" s="998"/>
    </row>
    <row r="23" spans="1:3" x14ac:dyDescent="0.2">
      <c r="A23" s="998"/>
      <c r="B23" s="998"/>
      <c r="C23" s="998"/>
    </row>
    <row r="24" spans="1:3" x14ac:dyDescent="0.2">
      <c r="A24" s="998"/>
      <c r="B24" s="998"/>
      <c r="C24" s="998"/>
    </row>
  </sheetData>
  <sheetProtection sheet="1" objects="1" scenarios="1"/>
  <mergeCells count="6">
    <mergeCell ref="A11:B11"/>
    <mergeCell ref="A18:C24"/>
    <mergeCell ref="A1:B2"/>
    <mergeCell ref="D1:F7"/>
    <mergeCell ref="A9:B9"/>
    <mergeCell ref="C16:D16"/>
  </mergeCells>
  <dataValidations count="2">
    <dataValidation type="list" allowBlank="1" showInputMessage="1" showErrorMessage="1" sqref="B4">
      <formula1>$L$3:$L$4</formula1>
    </dataValidation>
    <dataValidation type="list" allowBlank="1" showInputMessage="1" showErrorMessage="1" sqref="B3">
      <formula1>$H$3:$H$4</formula1>
    </dataValidation>
  </dataValidation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AU199"/>
  <sheetViews>
    <sheetView showGridLines="0" workbookViewId="0">
      <selection activeCell="F3" sqref="F3"/>
    </sheetView>
  </sheetViews>
  <sheetFormatPr defaultColWidth="8.7109375" defaultRowHeight="12.75" x14ac:dyDescent="0.2"/>
  <cols>
    <col min="1" max="1" width="30.7109375" style="2" customWidth="1"/>
    <col min="2" max="2" width="20.7109375" style="2" customWidth="1"/>
    <col min="3" max="3" width="15.7109375" style="1" customWidth="1"/>
    <col min="4" max="4" width="16.7109375" style="1" customWidth="1"/>
    <col min="5" max="5" width="6" style="1" customWidth="1"/>
    <col min="6" max="6" width="12.140625" style="1" customWidth="1"/>
    <col min="7" max="7" width="10.7109375" style="1" customWidth="1"/>
    <col min="8" max="8" width="15.7109375" style="1" customWidth="1"/>
    <col min="9" max="9" width="15.7109375" style="2" customWidth="1"/>
    <col min="10" max="11" width="15.7109375" style="2" hidden="1" customWidth="1"/>
    <col min="12" max="14" width="15.7109375" style="57" hidden="1" customWidth="1"/>
    <col min="15" max="15" width="15.7109375" style="1" customWidth="1"/>
    <col min="16" max="16" width="15" style="3" customWidth="1"/>
    <col min="17" max="21" width="15" style="3" hidden="1" customWidth="1"/>
    <col min="22" max="22" width="15.7109375" style="2" customWidth="1"/>
    <col min="23" max="23" width="11.140625" style="2" customWidth="1"/>
    <col min="24" max="24" width="11.42578125" style="44" hidden="1" customWidth="1"/>
    <col min="25" max="25" width="2.42578125" style="2" hidden="1" customWidth="1"/>
    <col min="26" max="26" width="11.7109375" style="2" hidden="1" customWidth="1"/>
    <col min="27" max="27" width="16.140625" style="2" hidden="1" customWidth="1"/>
    <col min="28" max="28" width="16.140625" style="2" customWidth="1"/>
    <col min="29" max="30" width="15" style="2" customWidth="1"/>
    <col min="31" max="31" width="12.42578125" style="2" customWidth="1"/>
    <col min="32" max="32" width="11.42578125" style="2" customWidth="1"/>
    <col min="33" max="36" width="15" style="3" customWidth="1"/>
    <col min="37" max="37" width="14" style="2" customWidth="1"/>
    <col min="38" max="38" width="6.42578125" style="2" customWidth="1"/>
    <col min="39" max="39" width="9.7109375" style="57" customWidth="1"/>
    <col min="40" max="40" width="17.140625" style="2" customWidth="1"/>
    <col min="41" max="47" width="14.28515625" style="2" customWidth="1"/>
    <col min="48" max="16384" width="8.7109375" style="2"/>
  </cols>
  <sheetData>
    <row r="1" spans="1:47" ht="79.900000000000006" customHeight="1" x14ac:dyDescent="0.2">
      <c r="A1" s="1015" t="s">
        <v>233</v>
      </c>
      <c r="B1" s="1016"/>
      <c r="C1" s="1016"/>
      <c r="D1" s="1017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95"/>
      <c r="AG1" s="2"/>
      <c r="AH1" s="2"/>
      <c r="AI1" s="2"/>
      <c r="AJ1" s="2"/>
      <c r="AM1" s="62"/>
    </row>
    <row r="2" spans="1:47" ht="25.9" customHeight="1" x14ac:dyDescent="0.2">
      <c r="A2" s="1018" t="s">
        <v>235</v>
      </c>
      <c r="B2" s="1019"/>
      <c r="C2" s="1019"/>
      <c r="D2" s="1020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95"/>
      <c r="AG2" s="2"/>
      <c r="AH2" s="2"/>
      <c r="AI2" s="2"/>
      <c r="AJ2" s="2"/>
    </row>
    <row r="3" spans="1:47" hidden="1" x14ac:dyDescent="0.2">
      <c r="A3" s="5" t="s">
        <v>11</v>
      </c>
      <c r="B3" s="4"/>
      <c r="C3" s="37"/>
      <c r="D3" s="38"/>
      <c r="E3" s="1" t="s">
        <v>20</v>
      </c>
      <c r="F3" s="6" t="s">
        <v>15</v>
      </c>
      <c r="G3" s="6"/>
      <c r="H3" s="6">
        <v>100</v>
      </c>
      <c r="I3" s="27">
        <v>41274</v>
      </c>
      <c r="J3" s="2">
        <v>6</v>
      </c>
      <c r="K3" s="6" t="s">
        <v>0</v>
      </c>
      <c r="L3" s="6"/>
      <c r="M3" s="1"/>
      <c r="N3" s="7">
        <f>G11</f>
        <v>42998</v>
      </c>
      <c r="O3" s="2" t="s">
        <v>60</v>
      </c>
      <c r="P3" s="2" t="s">
        <v>61</v>
      </c>
      <c r="Q3" s="2" t="s">
        <v>62</v>
      </c>
      <c r="R3" s="2" t="s">
        <v>63</v>
      </c>
      <c r="S3" s="2" t="s">
        <v>64</v>
      </c>
      <c r="T3" s="2" t="s">
        <v>65</v>
      </c>
      <c r="U3" s="2"/>
      <c r="V3" s="2">
        <f>IF(C18&lt;=50000,0.399,IF(C18&lt;=100000,0.369,0.299))</f>
        <v>0.29899999999999999</v>
      </c>
      <c r="X3" s="6"/>
      <c r="Y3" s="6"/>
      <c r="Z3" s="6"/>
      <c r="AA3" s="6"/>
      <c r="AD3" s="61"/>
      <c r="AG3" s="2"/>
      <c r="AH3" s="2"/>
      <c r="AI3" s="2"/>
      <c r="AJ3" s="2"/>
      <c r="AM3" s="2"/>
    </row>
    <row r="4" spans="1:47" ht="12" hidden="1" x14ac:dyDescent="0.2">
      <c r="A4" s="8" t="s">
        <v>10</v>
      </c>
      <c r="B4" s="8"/>
      <c r="C4" s="37"/>
      <c r="D4" s="39"/>
      <c r="E4" s="9" t="s">
        <v>29</v>
      </c>
      <c r="F4" s="2" t="s">
        <v>17</v>
      </c>
      <c r="G4" s="2"/>
      <c r="H4" s="2">
        <v>7.4000000000000003E-3</v>
      </c>
      <c r="I4" s="59">
        <v>41750</v>
      </c>
      <c r="J4" s="2">
        <v>48</v>
      </c>
      <c r="K4" s="11" t="s">
        <v>18</v>
      </c>
      <c r="L4" s="11"/>
      <c r="M4" s="10"/>
      <c r="N4" s="13">
        <f>(C18+J7)*C22/12*(1+C22/12)^(C20-I7)/((1+C22/12)^(C20-I7)-1)</f>
        <v>22783.127420768928</v>
      </c>
      <c r="O4" s="2">
        <f>IF(C14&lt;G5,V3,IF(C14&lt;G6,V4,IF(C14&lt;F7,V5,IF(C18&lt;=100000,0.499,IF(C18&lt;=300000,0.399,0.299)))))</f>
        <v>0.29899999999999999</v>
      </c>
      <c r="P4" s="2">
        <f>IF(C18&lt;=100000,0.499,IF(C18&lt;=300000,0.399,0.299))</f>
        <v>0.29899999999999999</v>
      </c>
      <c r="Q4" s="2">
        <f>0.299</f>
        <v>0.29899999999999999</v>
      </c>
      <c r="R4" s="2">
        <f>0.299</f>
        <v>0.29899999999999999</v>
      </c>
      <c r="S4" s="2">
        <f>0.199</f>
        <v>0.19900000000000001</v>
      </c>
      <c r="T4" s="2">
        <v>0.15</v>
      </c>
      <c r="U4" s="2"/>
      <c r="V4" s="2">
        <f>IF(C18&lt;=50000,0.499,IF(C18&lt;=100000,0.399,0.299))</f>
        <v>0.29899999999999999</v>
      </c>
      <c r="X4" s="11"/>
      <c r="Y4" s="11"/>
      <c r="Z4" s="11"/>
      <c r="AA4" s="11"/>
      <c r="AD4" s="57"/>
      <c r="AG4" s="2"/>
      <c r="AH4" s="2"/>
      <c r="AI4" s="2"/>
      <c r="AJ4" s="2"/>
      <c r="AM4" s="2"/>
    </row>
    <row r="5" spans="1:47" hidden="1" x14ac:dyDescent="0.2">
      <c r="A5" s="8" t="s">
        <v>8</v>
      </c>
      <c r="B5" s="8"/>
      <c r="C5" s="37"/>
      <c r="D5" s="41"/>
      <c r="E5" s="12">
        <v>0</v>
      </c>
      <c r="F5" s="123">
        <v>50000</v>
      </c>
      <c r="G5" s="53">
        <v>41365</v>
      </c>
      <c r="H5" s="1">
        <v>500</v>
      </c>
      <c r="I5" s="2">
        <f>ROUNDUP(($N$4)/H3,0)*H3</f>
        <v>22800</v>
      </c>
      <c r="J5" s="2" t="e">
        <f>CEILING(LOG((C11/C18)/(C11/C18-C22/12),1+C22/12),1)</f>
        <v>#NUM!</v>
      </c>
      <c r="K5" s="3" t="s">
        <v>22</v>
      </c>
      <c r="L5" s="3"/>
      <c r="M5" s="2">
        <f>ROUNDUP((N5+D23)/H3,0)*H3</f>
        <v>14400</v>
      </c>
      <c r="N5" s="13">
        <f>(C18+J7)*M6/12*(1+M6/12)^(C20+N6)/((1+M6/12)^(C20+N6)-1)</f>
        <v>13338.684797987125</v>
      </c>
      <c r="O5" s="2">
        <f>IF(C14&lt;G5,0.199,IF(C14&lt;G6,IF(C18&lt;=50000,0.399,IF(C18&lt;=100000,0.299,0.199)),IF(C14&lt;F7,IF(C18&lt;=75000,0.399,IF(C18&lt;=200000,0.299,0.199)),O4)))</f>
        <v>0.29899999999999999</v>
      </c>
      <c r="P5" s="2">
        <f>P4-0.1</f>
        <v>0.19899999999999998</v>
      </c>
      <c r="Q5" s="2">
        <f>0.199</f>
        <v>0.19900000000000001</v>
      </c>
      <c r="R5" s="2">
        <f>0.199</f>
        <v>0.19900000000000001</v>
      </c>
      <c r="S5" s="2">
        <f>0.199</f>
        <v>0.19900000000000001</v>
      </c>
      <c r="T5" s="2">
        <f>T4</f>
        <v>0.15</v>
      </c>
      <c r="U5" s="2"/>
      <c r="V5" s="2">
        <f>IF(C18&lt;=75000,0.499,IF(C18&lt;=200000,0.399,0.299))</f>
        <v>0.29899999999999999</v>
      </c>
      <c r="X5" s="3"/>
      <c r="Y5" s="3"/>
      <c r="Z5" s="3"/>
      <c r="AA5" s="3"/>
      <c r="AD5" s="61"/>
      <c r="AG5" s="2"/>
      <c r="AH5" s="2"/>
      <c r="AI5" s="2"/>
      <c r="AJ5" s="2"/>
      <c r="AM5" s="2"/>
    </row>
    <row r="6" spans="1:47" ht="13.5" hidden="1" thickBot="1" x14ac:dyDescent="0.25">
      <c r="A6" s="5" t="s">
        <v>1</v>
      </c>
      <c r="B6" s="8"/>
      <c r="C6" s="40"/>
      <c r="D6" s="42"/>
      <c r="E6" s="14"/>
      <c r="F6" s="123">
        <f>IF(C14&lt;G5,300000,2000000)</f>
        <v>2000000</v>
      </c>
      <c r="G6" s="53">
        <v>41501</v>
      </c>
      <c r="H6" s="53">
        <v>41882</v>
      </c>
      <c r="I6" s="2">
        <f>IF(C14&gt;H6,XIRR(Z11:Z191,AA11:AA191)*12,XIRR(Z11:Z191,G11:G191))</f>
        <v>0.51606942415237422</v>
      </c>
      <c r="J6" s="66">
        <f>IRR($Z$11:$Z$191)*12</f>
        <v>0.51606941652657401</v>
      </c>
      <c r="K6" s="3"/>
      <c r="L6" s="3"/>
      <c r="M6" s="15">
        <f>IF(C14&gt;I4,C22,C22+0.05)</f>
        <v>9.9000000000000005E-2</v>
      </c>
      <c r="N6" s="2">
        <f xml:space="preserve"> IF(C14&gt;I4,36,24)</f>
        <v>36</v>
      </c>
      <c r="O6" s="2" t="s">
        <v>68</v>
      </c>
      <c r="P6" s="2" t="s">
        <v>35</v>
      </c>
      <c r="Q6" s="2"/>
      <c r="R6" s="2"/>
      <c r="S6" s="2"/>
      <c r="V6" s="3"/>
      <c r="W6" s="3"/>
      <c r="X6" s="2"/>
      <c r="Y6" s="57"/>
      <c r="AG6" s="2"/>
      <c r="AH6" s="2"/>
      <c r="AI6" s="2"/>
      <c r="AJ6" s="2"/>
      <c r="AM6" s="2"/>
    </row>
    <row r="7" spans="1:47" hidden="1" x14ac:dyDescent="0.2">
      <c r="A7" s="5"/>
      <c r="B7" s="8"/>
      <c r="C7" s="40"/>
      <c r="D7" s="42"/>
      <c r="E7" s="58"/>
      <c r="F7" s="53">
        <v>41632</v>
      </c>
      <c r="G7" s="53">
        <v>41820</v>
      </c>
      <c r="H7" s="53">
        <v>41857</v>
      </c>
      <c r="I7" s="2">
        <f>C11*C12+3</f>
        <v>15</v>
      </c>
      <c r="J7" s="2">
        <f>IF(CODE(C16)=209,V11*0.03,0)</f>
        <v>0</v>
      </c>
      <c r="K7" s="3"/>
      <c r="L7" s="3"/>
      <c r="M7" s="15"/>
      <c r="N7" s="2"/>
      <c r="O7" s="15">
        <v>1E-3</v>
      </c>
      <c r="P7" s="2">
        <v>0</v>
      </c>
      <c r="Q7" s="2"/>
      <c r="R7" s="2"/>
      <c r="S7" s="2"/>
      <c r="V7" s="3"/>
      <c r="W7" s="3"/>
      <c r="X7" s="2"/>
      <c r="Y7" s="57"/>
      <c r="Z7" s="57"/>
      <c r="AC7" s="96"/>
      <c r="AD7" s="96"/>
      <c r="AE7" s="96"/>
      <c r="AF7" s="96"/>
      <c r="AG7" s="96"/>
      <c r="AH7" s="96"/>
      <c r="AI7" s="2"/>
      <c r="AJ7" s="2"/>
      <c r="AM7" s="2"/>
    </row>
    <row r="8" spans="1:47" ht="12" customHeight="1" x14ac:dyDescent="0.2">
      <c r="A8" s="775" t="s">
        <v>164</v>
      </c>
      <c r="B8" s="775"/>
      <c r="C8" s="775" t="s">
        <v>165</v>
      </c>
      <c r="D8" s="775"/>
      <c r="E8" s="2"/>
      <c r="F8" s="1024" t="s">
        <v>248</v>
      </c>
      <c r="G8" s="1024"/>
      <c r="H8" s="1024"/>
      <c r="I8" s="1024"/>
      <c r="J8" s="1024"/>
      <c r="K8" s="1024"/>
      <c r="L8" s="1024"/>
      <c r="M8" s="1024"/>
      <c r="N8" s="1024"/>
      <c r="O8" s="1024"/>
      <c r="P8" s="1024"/>
      <c r="Q8" s="1024"/>
      <c r="R8" s="1024"/>
      <c r="S8" s="1024"/>
      <c r="T8" s="1024"/>
      <c r="U8" s="1024"/>
      <c r="V8" s="1024"/>
      <c r="W8" s="1024"/>
      <c r="X8" s="49"/>
      <c r="AA8" s="3"/>
      <c r="AB8" s="15"/>
      <c r="AC8" s="13"/>
      <c r="AD8" s="13"/>
      <c r="AE8" s="13"/>
      <c r="AG8" s="2"/>
      <c r="AH8" s="2"/>
      <c r="AI8" s="2"/>
      <c r="AJ8" s="2"/>
      <c r="AN8" s="65"/>
      <c r="AO8" s="65"/>
      <c r="AP8" s="65"/>
      <c r="AQ8" s="65"/>
      <c r="AR8" s="65"/>
      <c r="AS8" s="65"/>
      <c r="AT8" s="65"/>
      <c r="AU8" s="65"/>
    </row>
    <row r="9" spans="1:47" ht="12" customHeight="1" x14ac:dyDescent="0.2">
      <c r="A9" s="775"/>
      <c r="B9" s="775"/>
      <c r="C9" s="775"/>
      <c r="D9" s="775"/>
      <c r="E9" s="2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49"/>
      <c r="AA9" s="3"/>
      <c r="AB9" s="15"/>
      <c r="AC9" s="13"/>
      <c r="AD9" s="13"/>
      <c r="AE9" s="13"/>
      <c r="AG9" s="2"/>
      <c r="AH9" s="2"/>
      <c r="AI9" s="2"/>
      <c r="AJ9" s="2"/>
    </row>
    <row r="10" spans="1:47" ht="43.9" customHeight="1" x14ac:dyDescent="0.2">
      <c r="A10" s="1021" t="s">
        <v>236</v>
      </c>
      <c r="B10" s="1021"/>
      <c r="C10" s="1025">
        <v>300000</v>
      </c>
      <c r="D10" s="1025"/>
      <c r="F10" s="326" t="s">
        <v>148</v>
      </c>
      <c r="G10" s="326" t="s">
        <v>244</v>
      </c>
      <c r="H10" s="326" t="s">
        <v>245</v>
      </c>
      <c r="I10" s="326" t="s">
        <v>191</v>
      </c>
      <c r="J10" s="237"/>
      <c r="K10" s="237"/>
      <c r="L10" s="385"/>
      <c r="M10" s="385"/>
      <c r="N10" s="385"/>
      <c r="O10" s="326" t="s">
        <v>192</v>
      </c>
      <c r="P10" s="326" t="s">
        <v>246</v>
      </c>
      <c r="Q10" s="237" t="s">
        <v>39</v>
      </c>
      <c r="R10" s="237" t="s">
        <v>38</v>
      </c>
      <c r="S10" s="237" t="s">
        <v>37</v>
      </c>
      <c r="T10" s="237" t="s">
        <v>40</v>
      </c>
      <c r="U10" s="237"/>
      <c r="V10" s="326" t="s">
        <v>193</v>
      </c>
      <c r="W10" s="386" t="s">
        <v>247</v>
      </c>
      <c r="X10" s="50" t="s">
        <v>31</v>
      </c>
      <c r="Y10" s="16"/>
      <c r="Z10" s="16"/>
      <c r="AC10" s="57"/>
      <c r="AD10" s="96"/>
      <c r="AE10" s="96"/>
      <c r="AF10" s="96"/>
      <c r="AG10" s="96"/>
      <c r="AH10" s="96"/>
      <c r="AI10" s="96"/>
      <c r="AJ10" s="96"/>
      <c r="AK10" s="96"/>
      <c r="AM10" s="2"/>
    </row>
    <row r="11" spans="1:47" ht="18" customHeight="1" x14ac:dyDescent="0.2">
      <c r="A11" s="1011" t="s">
        <v>237</v>
      </c>
      <c r="B11" s="1011"/>
      <c r="C11" s="1012">
        <v>3</v>
      </c>
      <c r="D11" s="1012"/>
      <c r="F11" s="379"/>
      <c r="G11" s="380">
        <f>C14</f>
        <v>42998</v>
      </c>
      <c r="H11" s="381">
        <f>-C18/C11</f>
        <v>-300000</v>
      </c>
      <c r="I11" s="340"/>
      <c r="J11" s="340"/>
      <c r="K11" s="340"/>
      <c r="L11" s="382">
        <f t="shared" ref="L11:L12" si="0">DATEVALUE(CONCATENATE("01/01/",YEAR(G11)))</f>
        <v>42736</v>
      </c>
      <c r="M11" s="382">
        <f t="shared" ref="M11:M12" si="1">DATEVALUE(CONCATENATE("01/01/",YEAR(G11)+1))</f>
        <v>43101</v>
      </c>
      <c r="N11" s="382">
        <f t="shared" ref="N11:N12" si="2">DATEVALUE(CONCATENATE("01/01/",YEAR(G11)-1))</f>
        <v>42370</v>
      </c>
      <c r="O11" s="197"/>
      <c r="P11" s="197"/>
      <c r="Q11" s="197"/>
      <c r="R11" s="197"/>
      <c r="S11" s="197"/>
      <c r="T11" s="197"/>
      <c r="U11" s="197"/>
      <c r="V11" s="341">
        <f>C18/C11</f>
        <v>300000</v>
      </c>
      <c r="W11" s="197"/>
      <c r="X11" s="36"/>
      <c r="Y11" s="16"/>
      <c r="Z11" s="34">
        <f>H11-P11</f>
        <v>-300000</v>
      </c>
      <c r="AA11" s="57">
        <f>G11</f>
        <v>42998</v>
      </c>
      <c r="AB11" s="96"/>
      <c r="AC11" s="96"/>
      <c r="AD11" s="96"/>
      <c r="AE11" s="96"/>
      <c r="AF11" s="96"/>
      <c r="AG11" s="96"/>
      <c r="AH11" s="96"/>
      <c r="AI11" s="96"/>
      <c r="AJ11" s="2"/>
      <c r="AM11" s="2"/>
    </row>
    <row r="12" spans="1:47" ht="18" customHeight="1" x14ac:dyDescent="0.3">
      <c r="A12" s="1011" t="s">
        <v>66</v>
      </c>
      <c r="B12" s="1011"/>
      <c r="C12" s="1013">
        <v>4</v>
      </c>
      <c r="D12" s="1013"/>
      <c r="F12" s="383">
        <f>1</f>
        <v>1</v>
      </c>
      <c r="G12" s="384">
        <f t="shared" ref="G12:G75" si="3">IF((OR(DAY($N$3)=29,DAY($N$3)=30,DAY($N$3)=31)),(EDATE($C$14-3,F12)),(IF((OR(DAY($N$3)=1,DAY($N$3)=2,DAY($N$3)=3)),(EDATE($C$14,F12)+3),EDATE($C$14,F12))))</f>
        <v>43028</v>
      </c>
      <c r="H12" s="340">
        <f t="shared" ref="H12:H43" si="4">IF(F12&lt;=$I$7,I12+P12,IF(AND(V11+P12+I12&gt;H11,H11&lt;&gt;0),$C$21,IF(V11=0,0,V11+P12+I12+I13)))</f>
        <v>3431.1</v>
      </c>
      <c r="I12" s="340">
        <f t="shared" ref="I12:I75" si="5">IF($C$14&gt;$G$7,IF(L12=L11,J12,K12),IF(L11=L10,J12,K12))</f>
        <v>2441.1</v>
      </c>
      <c r="J12" s="340">
        <f>IF($C$14&gt;$G$7,ROUND(V11*$C$22/(M11-L11)*(G12-G11),2),0)</f>
        <v>2441.1</v>
      </c>
      <c r="K12" s="340">
        <f>IF($C$14&gt;$G$7,ROUND(V11*$C$22/(M11-L11)*(G12-L11+1),2)+ROUND(V11*$C$22/(L11-N11)*(L11-G11-1),2),0)</f>
        <v>2499.5699999999997</v>
      </c>
      <c r="L12" s="382">
        <f t="shared" si="0"/>
        <v>42736</v>
      </c>
      <c r="M12" s="382">
        <f t="shared" si="1"/>
        <v>43101</v>
      </c>
      <c r="N12" s="382">
        <f t="shared" si="2"/>
        <v>42370</v>
      </c>
      <c r="O12" s="340">
        <f t="shared" ref="O12:O75" si="6">IF(W12=0,0,IF(W12=1,V11,IF(V11+P12+I12&gt;H11,H12-I12-P12,V11)))</f>
        <v>0</v>
      </c>
      <c r="P12" s="340">
        <f>IF(R12&gt;$C$21,$C$21-I12,IF(X12=0,0,$D$23)+IF(CODE(C16)=209,J7,0))</f>
        <v>990</v>
      </c>
      <c r="Q12" s="340"/>
      <c r="R12" s="340">
        <f t="shared" ref="R12:R75" si="7">I12+S12</f>
        <v>3431.1</v>
      </c>
      <c r="S12" s="340">
        <f>IF(X12=0,0,$D$23)+IF(CODE(C16)=209,J7,0)</f>
        <v>990</v>
      </c>
      <c r="T12" s="340">
        <f t="shared" ref="T12:T75" si="8">IF(X12=0,0,$D$23)</f>
        <v>990</v>
      </c>
      <c r="U12" s="340">
        <f>IF(AND(F12&lt;$I$7-3,MOD(F12,$C$12)=0),1,0)</f>
        <v>0</v>
      </c>
      <c r="V12" s="340">
        <f t="shared" ref="V12:V75" si="9">IF(OR(W12=1,V11=0),0,V11-O12)+U12*$C$10</f>
        <v>300000</v>
      </c>
      <c r="W12" s="198">
        <f>C20</f>
        <v>63</v>
      </c>
      <c r="X12" s="36">
        <f>IF(ISERR(CEILING(FLOOR(NPER($C$22/12,-$N$4,V11),0.1),1))=TRUE,0,CEILING(FLOOR(NPER($C$22/12,-$N$4,V11),0.1),1))</f>
        <v>14</v>
      </c>
      <c r="Z12" s="34">
        <f t="shared" ref="Z12:Z75" si="10">I12+O12+P12-T12</f>
        <v>2441.1</v>
      </c>
      <c r="AA12" s="57">
        <f t="shared" ref="AA12:AA75" si="11">IF((OR(DAY($N$3)=29,DAY($N$3)=30,DAY($N$3)=31)),($C$14-3+F12*365),(IF((OR(DAY($N$3)=1,DAY($N$3)=2,DAY($N$3)=3)),($C$14+F12*365+3),($C$14+F12*365))))</f>
        <v>43363</v>
      </c>
      <c r="AB12" s="96"/>
      <c r="AC12" s="96"/>
      <c r="AD12" s="96"/>
      <c r="AE12" s="96"/>
      <c r="AF12" s="96"/>
      <c r="AG12" s="96"/>
      <c r="AH12" s="96"/>
      <c r="AI12" s="96"/>
      <c r="AJ12" s="2"/>
      <c r="AM12" s="2"/>
    </row>
    <row r="13" spans="1:47" ht="18" customHeight="1" x14ac:dyDescent="0.2">
      <c r="A13" s="1011" t="s">
        <v>238</v>
      </c>
      <c r="B13" s="1011"/>
      <c r="C13" s="1026" t="s">
        <v>68</v>
      </c>
      <c r="D13" s="1026"/>
      <c r="F13" s="383">
        <f>F12+1</f>
        <v>2</v>
      </c>
      <c r="G13" s="384">
        <f t="shared" si="3"/>
        <v>43059</v>
      </c>
      <c r="H13" s="340">
        <f t="shared" si="4"/>
        <v>3512.47</v>
      </c>
      <c r="I13" s="340">
        <f t="shared" si="5"/>
        <v>2522.4699999999998</v>
      </c>
      <c r="J13" s="340">
        <f t="shared" ref="J13:J76" si="12">IF($C$14&gt;$G$7,ROUND(V12*$C$22/(M13-L13)*(G13-G12),2),ROUND(V11*$C$22/(M12-L12)*(G12-G11),2))</f>
        <v>2522.4699999999998</v>
      </c>
      <c r="K13" s="340">
        <f t="shared" ref="K13:K76" si="13">IF($C$14&gt;$G$7,ROUND(V12*$C$22/(M13-L13)*(G13-L13+1),2)+ROUND(V12*$C$22/(L13-N13)*(L13-G12-1),2),ROUND(V11*$C$22/(M12-L12)*(G12-L12),2)+ROUND(V11*$C$22/(L12-N12)*(L12-G11),2))</f>
        <v>2587.6100000000006</v>
      </c>
      <c r="L13" s="382">
        <f>DATEVALUE(CONCATENATE("01/01/",YEAR(G13)))</f>
        <v>42736</v>
      </c>
      <c r="M13" s="382">
        <f>DATEVALUE(CONCATENATE("01/01/",YEAR(G13)+1))</f>
        <v>43101</v>
      </c>
      <c r="N13" s="382">
        <f>DATEVALUE(CONCATENATE("01/01/",YEAR(G13)-1))</f>
        <v>42370</v>
      </c>
      <c r="O13" s="340">
        <f t="shared" si="6"/>
        <v>0</v>
      </c>
      <c r="P13" s="340">
        <f>IF(R13&gt;$C$21,$C$21-I13,IF(X13=0,0,S13))</f>
        <v>990</v>
      </c>
      <c r="Q13" s="340">
        <f>S12-P12</f>
        <v>0</v>
      </c>
      <c r="R13" s="340">
        <f t="shared" si="7"/>
        <v>3512.47</v>
      </c>
      <c r="S13" s="340">
        <f>IF(X13=0,0,$D$23)+Q13</f>
        <v>990</v>
      </c>
      <c r="T13" s="340">
        <f t="shared" si="8"/>
        <v>990</v>
      </c>
      <c r="U13" s="340">
        <f t="shared" ref="U13:U76" si="14">IF(AND(F13&lt;$I$7-3,MOD(F13,$C$12)=0),1,0)</f>
        <v>0</v>
      </c>
      <c r="V13" s="340">
        <f t="shared" si="9"/>
        <v>300000</v>
      </c>
      <c r="W13" s="198">
        <f>IF((W12-1)&lt;0,0,W12-1)</f>
        <v>62</v>
      </c>
      <c r="X13" s="36">
        <f t="shared" ref="X13:X75" si="15">IF(ISERR(CEILING(FLOOR(NPER($C$22/12,-$N$4,V12),0.1),1))=TRUE,0,CEILING(FLOOR(NPER($C$22/12,-$N$4,V12),0.1),1))</f>
        <v>14</v>
      </c>
      <c r="Z13" s="34">
        <f t="shared" si="10"/>
        <v>2522.4699999999998</v>
      </c>
      <c r="AA13" s="57">
        <f t="shared" si="11"/>
        <v>43728</v>
      </c>
      <c r="AB13" s="96"/>
      <c r="AC13" s="96"/>
      <c r="AD13" s="96"/>
      <c r="AE13" s="96"/>
      <c r="AF13" s="96"/>
      <c r="AG13" s="96"/>
      <c r="AH13" s="96"/>
      <c r="AI13" s="96"/>
      <c r="AJ13" s="2"/>
      <c r="AM13" s="2"/>
    </row>
    <row r="14" spans="1:47" ht="18" customHeight="1" x14ac:dyDescent="0.2">
      <c r="A14" s="1011" t="s">
        <v>239</v>
      </c>
      <c r="B14" s="1011"/>
      <c r="C14" s="1027">
        <v>42998</v>
      </c>
      <c r="D14" s="1027"/>
      <c r="F14" s="383">
        <f t="shared" ref="F14:F77" si="16">F13+1</f>
        <v>3</v>
      </c>
      <c r="G14" s="384">
        <f t="shared" si="3"/>
        <v>43089</v>
      </c>
      <c r="H14" s="340">
        <f t="shared" si="4"/>
        <v>3431.1</v>
      </c>
      <c r="I14" s="340">
        <f t="shared" si="5"/>
        <v>2441.1</v>
      </c>
      <c r="J14" s="340">
        <f t="shared" si="12"/>
        <v>2441.1</v>
      </c>
      <c r="K14" s="340">
        <f t="shared" si="13"/>
        <v>2513.130000000001</v>
      </c>
      <c r="L14" s="382">
        <f t="shared" ref="L14:L77" si="17">DATEVALUE(CONCATENATE("01/01/",YEAR(G14)))</f>
        <v>42736</v>
      </c>
      <c r="M14" s="382">
        <f t="shared" ref="M14:M77" si="18">DATEVALUE(CONCATENATE("01/01/",YEAR(G14)+1))</f>
        <v>43101</v>
      </c>
      <c r="N14" s="382">
        <f t="shared" ref="N14:N77" si="19">DATEVALUE(CONCATENATE("01/01/",YEAR(G14)-1))</f>
        <v>42370</v>
      </c>
      <c r="O14" s="340">
        <f t="shared" si="6"/>
        <v>0</v>
      </c>
      <c r="P14" s="340">
        <f>IF(R14&gt;$C$21,$C$21-I14,IF(X14=0,0,S14))</f>
        <v>990</v>
      </c>
      <c r="Q14" s="340">
        <f t="shared" ref="Q14:Q77" si="20">S13-P13</f>
        <v>0</v>
      </c>
      <c r="R14" s="340">
        <f t="shared" si="7"/>
        <v>3431.1</v>
      </c>
      <c r="S14" s="340">
        <f>IF(X14=0,0,$D$23)+Q14</f>
        <v>990</v>
      </c>
      <c r="T14" s="340">
        <f t="shared" si="8"/>
        <v>990</v>
      </c>
      <c r="U14" s="340">
        <f t="shared" si="14"/>
        <v>0</v>
      </c>
      <c r="V14" s="340">
        <f t="shared" si="9"/>
        <v>300000</v>
      </c>
      <c r="W14" s="198">
        <f t="shared" ref="W14:W77" si="21">IF((W13-1)&lt;0,0,W13-1)</f>
        <v>61</v>
      </c>
      <c r="X14" s="36">
        <f t="shared" si="15"/>
        <v>14</v>
      </c>
      <c r="Z14" s="34">
        <f t="shared" si="10"/>
        <v>2441.1</v>
      </c>
      <c r="AA14" s="57">
        <f t="shared" si="11"/>
        <v>44093</v>
      </c>
      <c r="AB14" s="96"/>
      <c r="AC14" s="96"/>
      <c r="AD14" s="96"/>
      <c r="AE14" s="96"/>
      <c r="AF14" s="96"/>
      <c r="AG14" s="96"/>
      <c r="AH14" s="96"/>
      <c r="AI14" s="96"/>
      <c r="AJ14" s="2"/>
      <c r="AM14" s="2"/>
    </row>
    <row r="15" spans="1:47" ht="18" customHeight="1" x14ac:dyDescent="0.2">
      <c r="A15" s="1011" t="s">
        <v>240</v>
      </c>
      <c r="B15" s="1011"/>
      <c r="C15" s="1014">
        <v>48</v>
      </c>
      <c r="D15" s="1014"/>
      <c r="F15" s="383">
        <f t="shared" si="16"/>
        <v>4</v>
      </c>
      <c r="G15" s="384">
        <f t="shared" si="3"/>
        <v>43120</v>
      </c>
      <c r="H15" s="340">
        <f t="shared" si="4"/>
        <v>3512.4700000000003</v>
      </c>
      <c r="I15" s="340">
        <f t="shared" si="5"/>
        <v>2522.4700000000003</v>
      </c>
      <c r="J15" s="340">
        <f t="shared" si="12"/>
        <v>2522.4699999999998</v>
      </c>
      <c r="K15" s="340">
        <f t="shared" si="13"/>
        <v>2522.4700000000003</v>
      </c>
      <c r="L15" s="382">
        <f t="shared" si="17"/>
        <v>43101</v>
      </c>
      <c r="M15" s="382">
        <f t="shared" si="18"/>
        <v>43466</v>
      </c>
      <c r="N15" s="382">
        <f t="shared" si="19"/>
        <v>42736</v>
      </c>
      <c r="O15" s="340">
        <f t="shared" si="6"/>
        <v>0</v>
      </c>
      <c r="P15" s="340">
        <f>IF(R15&gt;$C$21,$C$21-I15,IF(X15=0,0,S15))</f>
        <v>990</v>
      </c>
      <c r="Q15" s="340">
        <f t="shared" si="20"/>
        <v>0</v>
      </c>
      <c r="R15" s="340">
        <f t="shared" si="7"/>
        <v>3512.4700000000003</v>
      </c>
      <c r="S15" s="340">
        <f>IF(X15=0,0,$D$23)+Q15</f>
        <v>990</v>
      </c>
      <c r="T15" s="340">
        <f t="shared" si="8"/>
        <v>990</v>
      </c>
      <c r="U15" s="340">
        <f t="shared" si="14"/>
        <v>1</v>
      </c>
      <c r="V15" s="340">
        <f t="shared" si="9"/>
        <v>600000</v>
      </c>
      <c r="W15" s="198">
        <f t="shared" si="21"/>
        <v>60</v>
      </c>
      <c r="X15" s="36">
        <f t="shared" si="15"/>
        <v>14</v>
      </c>
      <c r="Y15" s="97"/>
      <c r="Z15" s="34">
        <f t="shared" si="10"/>
        <v>2522.4700000000003</v>
      </c>
      <c r="AA15" s="57">
        <f t="shared" si="11"/>
        <v>44458</v>
      </c>
      <c r="AB15" s="96"/>
      <c r="AC15" s="96"/>
      <c r="AD15" s="96"/>
      <c r="AE15" s="96"/>
      <c r="AF15" s="96"/>
      <c r="AG15" s="96"/>
      <c r="AH15" s="96"/>
      <c r="AI15" s="96"/>
      <c r="AJ15" s="2"/>
      <c r="AM15" s="2"/>
    </row>
    <row r="16" spans="1:47" ht="18" customHeight="1" x14ac:dyDescent="0.2">
      <c r="A16" s="1011" t="s">
        <v>234</v>
      </c>
      <c r="B16" s="1011"/>
      <c r="C16" s="1014" t="s">
        <v>60</v>
      </c>
      <c r="D16" s="1014"/>
      <c r="F16" s="383">
        <f>F15+1</f>
        <v>5</v>
      </c>
      <c r="G16" s="384">
        <f t="shared" si="3"/>
        <v>43151</v>
      </c>
      <c r="H16" s="340">
        <f t="shared" si="4"/>
        <v>6034.93</v>
      </c>
      <c r="I16" s="340">
        <f t="shared" si="5"/>
        <v>5044.93</v>
      </c>
      <c r="J16" s="340">
        <f t="shared" si="12"/>
        <v>5044.93</v>
      </c>
      <c r="K16" s="340">
        <f t="shared" si="13"/>
        <v>5044.9399999999996</v>
      </c>
      <c r="L16" s="382">
        <f t="shared" si="17"/>
        <v>43101</v>
      </c>
      <c r="M16" s="382">
        <f t="shared" si="18"/>
        <v>43466</v>
      </c>
      <c r="N16" s="382">
        <f t="shared" si="19"/>
        <v>42736</v>
      </c>
      <c r="O16" s="340">
        <f t="shared" si="6"/>
        <v>0</v>
      </c>
      <c r="P16" s="340">
        <f>IF(R16&gt;$C$21,$C$21-I16,IF(X16=0,0,S16))</f>
        <v>990</v>
      </c>
      <c r="Q16" s="340">
        <f t="shared" si="20"/>
        <v>0</v>
      </c>
      <c r="R16" s="340">
        <f t="shared" si="7"/>
        <v>6034.93</v>
      </c>
      <c r="S16" s="340">
        <f>IF(X16=0,0,$D$23)+Q16</f>
        <v>990</v>
      </c>
      <c r="T16" s="340">
        <f t="shared" si="8"/>
        <v>990</v>
      </c>
      <c r="U16" s="340">
        <f t="shared" si="14"/>
        <v>0</v>
      </c>
      <c r="V16" s="340">
        <f t="shared" si="9"/>
        <v>600000</v>
      </c>
      <c r="W16" s="198">
        <f>IF((W15-1)&lt;0,0,W15-1)</f>
        <v>59</v>
      </c>
      <c r="X16" s="36">
        <f t="shared" si="15"/>
        <v>30</v>
      </c>
      <c r="Y16" s="16"/>
      <c r="Z16" s="34">
        <f t="shared" si="10"/>
        <v>5044.93</v>
      </c>
      <c r="AA16" s="57">
        <f t="shared" si="11"/>
        <v>44823</v>
      </c>
      <c r="AB16" s="96"/>
      <c r="AC16" s="96"/>
      <c r="AD16" s="96"/>
      <c r="AE16" s="96"/>
      <c r="AF16" s="96"/>
      <c r="AG16" s="96"/>
      <c r="AH16" s="96"/>
      <c r="AI16" s="96"/>
      <c r="AJ16" s="2"/>
      <c r="AM16" s="2"/>
    </row>
    <row r="17" spans="1:39" ht="25.9" customHeight="1" x14ac:dyDescent="0.2">
      <c r="A17" s="883" t="s">
        <v>19</v>
      </c>
      <c r="B17" s="883"/>
      <c r="C17" s="883"/>
      <c r="D17" s="883"/>
      <c r="F17" s="383">
        <f>F16+1</f>
        <v>6</v>
      </c>
      <c r="G17" s="384">
        <f t="shared" si="3"/>
        <v>43179</v>
      </c>
      <c r="H17" s="340">
        <f t="shared" si="4"/>
        <v>5546.71</v>
      </c>
      <c r="I17" s="340">
        <f t="shared" si="5"/>
        <v>4556.71</v>
      </c>
      <c r="J17" s="340">
        <f t="shared" si="12"/>
        <v>4556.71</v>
      </c>
      <c r="K17" s="340">
        <f t="shared" si="13"/>
        <v>4556.7100000000009</v>
      </c>
      <c r="L17" s="382">
        <f t="shared" si="17"/>
        <v>43101</v>
      </c>
      <c r="M17" s="382">
        <f t="shared" si="18"/>
        <v>43466</v>
      </c>
      <c r="N17" s="382">
        <f t="shared" si="19"/>
        <v>42736</v>
      </c>
      <c r="O17" s="340">
        <f>IF(W17=0,0,IF(W17=1,V16,IF(V16+P17+I17&gt;H16,H17-I17-P17,V16)))</f>
        <v>0</v>
      </c>
      <c r="P17" s="340">
        <f>IF(R17&gt;$C$21,$C$21-I17,IF(X17=0,0,S17))</f>
        <v>990</v>
      </c>
      <c r="Q17" s="340">
        <f t="shared" si="20"/>
        <v>0</v>
      </c>
      <c r="R17" s="340">
        <f t="shared" si="7"/>
        <v>5546.71</v>
      </c>
      <c r="S17" s="340">
        <f t="shared" ref="S17:S80" si="22">IF(X17=0,0,$D$23)</f>
        <v>990</v>
      </c>
      <c r="T17" s="340">
        <f t="shared" si="8"/>
        <v>990</v>
      </c>
      <c r="U17" s="340">
        <f t="shared" si="14"/>
        <v>0</v>
      </c>
      <c r="V17" s="340">
        <f>IF(OR(W17=1,V16=0),0,V16-O17)+U17*$C$10</f>
        <v>600000</v>
      </c>
      <c r="W17" s="198">
        <f>IF((W16-1)&lt;0,0,W16-1)</f>
        <v>58</v>
      </c>
      <c r="X17" s="36">
        <f t="shared" si="15"/>
        <v>30</v>
      </c>
      <c r="Z17" s="34">
        <f t="shared" si="10"/>
        <v>4556.71</v>
      </c>
      <c r="AA17" s="57">
        <f t="shared" si="11"/>
        <v>45188</v>
      </c>
      <c r="AB17" s="96"/>
      <c r="AC17" s="96"/>
      <c r="AD17" s="96"/>
      <c r="AE17" s="96"/>
      <c r="AF17" s="96"/>
      <c r="AG17" s="96"/>
      <c r="AH17" s="96"/>
      <c r="AI17" s="96"/>
      <c r="AJ17" s="2"/>
      <c r="AM17" s="2"/>
    </row>
    <row r="18" spans="1:39" ht="18" customHeight="1" x14ac:dyDescent="0.3">
      <c r="A18" s="1010" t="s">
        <v>9</v>
      </c>
      <c r="B18" s="1005"/>
      <c r="C18" s="1022">
        <f>IF(C10*C11&lt;F5,"&lt; мин",IF(C10*C11&gt;F6,"&gt; мах",C10*C11))</f>
        <v>900000</v>
      </c>
      <c r="D18" s="1022"/>
      <c r="F18" s="383">
        <f t="shared" si="16"/>
        <v>7</v>
      </c>
      <c r="G18" s="384">
        <f t="shared" si="3"/>
        <v>43210</v>
      </c>
      <c r="H18" s="340">
        <f t="shared" si="4"/>
        <v>6034.93</v>
      </c>
      <c r="I18" s="340">
        <f t="shared" si="5"/>
        <v>5044.93</v>
      </c>
      <c r="J18" s="340">
        <f t="shared" si="12"/>
        <v>5044.93</v>
      </c>
      <c r="K18" s="340">
        <f t="shared" si="13"/>
        <v>5044.9299999999985</v>
      </c>
      <c r="L18" s="382">
        <f t="shared" si="17"/>
        <v>43101</v>
      </c>
      <c r="M18" s="382">
        <f t="shared" si="18"/>
        <v>43466</v>
      </c>
      <c r="N18" s="382">
        <f t="shared" si="19"/>
        <v>42736</v>
      </c>
      <c r="O18" s="340">
        <f t="shared" si="6"/>
        <v>0</v>
      </c>
      <c r="P18" s="340">
        <f>IF(R18&gt;$C$21,$C$21-I18,IF(W18=0,0,S18))</f>
        <v>990</v>
      </c>
      <c r="Q18" s="340">
        <f t="shared" si="20"/>
        <v>0</v>
      </c>
      <c r="R18" s="340">
        <f t="shared" si="7"/>
        <v>6034.93</v>
      </c>
      <c r="S18" s="340">
        <f t="shared" si="22"/>
        <v>990</v>
      </c>
      <c r="T18" s="340">
        <f t="shared" si="8"/>
        <v>990</v>
      </c>
      <c r="U18" s="340">
        <f t="shared" si="14"/>
        <v>0</v>
      </c>
      <c r="V18" s="340">
        <f t="shared" si="9"/>
        <v>600000</v>
      </c>
      <c r="W18" s="198">
        <f t="shared" si="21"/>
        <v>57</v>
      </c>
      <c r="X18" s="36">
        <f t="shared" si="15"/>
        <v>30</v>
      </c>
      <c r="Z18" s="34">
        <f t="shared" si="10"/>
        <v>5044.93</v>
      </c>
      <c r="AA18" s="57">
        <f t="shared" si="11"/>
        <v>45553</v>
      </c>
      <c r="AB18" s="96"/>
      <c r="AC18" s="96"/>
      <c r="AD18" s="96"/>
      <c r="AE18" s="96"/>
      <c r="AF18" s="96"/>
      <c r="AG18" s="96"/>
      <c r="AH18" s="96"/>
      <c r="AI18" s="96"/>
      <c r="AJ18" s="2"/>
      <c r="AM18" s="2"/>
    </row>
    <row r="19" spans="1:39" ht="18" customHeight="1" x14ac:dyDescent="0.3">
      <c r="A19" s="1005" t="s">
        <v>241</v>
      </c>
      <c r="B19" s="1005"/>
      <c r="C19" s="1023">
        <f>C18</f>
        <v>900000</v>
      </c>
      <c r="D19" s="1023"/>
      <c r="F19" s="383">
        <f t="shared" si="16"/>
        <v>8</v>
      </c>
      <c r="G19" s="384">
        <f t="shared" si="3"/>
        <v>43240</v>
      </c>
      <c r="H19" s="340">
        <f t="shared" si="4"/>
        <v>5872.19</v>
      </c>
      <c r="I19" s="340">
        <f t="shared" si="5"/>
        <v>4882.1899999999996</v>
      </c>
      <c r="J19" s="340">
        <f t="shared" si="12"/>
        <v>4882.1899999999996</v>
      </c>
      <c r="K19" s="340">
        <f t="shared" si="13"/>
        <v>4882.1900000000023</v>
      </c>
      <c r="L19" s="382">
        <f t="shared" si="17"/>
        <v>43101</v>
      </c>
      <c r="M19" s="382">
        <f t="shared" si="18"/>
        <v>43466</v>
      </c>
      <c r="N19" s="382">
        <f t="shared" si="19"/>
        <v>42736</v>
      </c>
      <c r="O19" s="340">
        <f t="shared" si="6"/>
        <v>0</v>
      </c>
      <c r="P19" s="340">
        <f t="shared" ref="P19:P50" si="23">IF(R19&gt;$C$21,$C$21-I19,IF(X19=0,0,S19))</f>
        <v>990</v>
      </c>
      <c r="Q19" s="340">
        <f t="shared" si="20"/>
        <v>0</v>
      </c>
      <c r="R19" s="340">
        <f t="shared" si="7"/>
        <v>5872.19</v>
      </c>
      <c r="S19" s="340">
        <f t="shared" si="22"/>
        <v>990</v>
      </c>
      <c r="T19" s="340">
        <f t="shared" si="8"/>
        <v>990</v>
      </c>
      <c r="U19" s="340">
        <f t="shared" si="14"/>
        <v>1</v>
      </c>
      <c r="V19" s="340">
        <f t="shared" si="9"/>
        <v>900000</v>
      </c>
      <c r="W19" s="198">
        <f t="shared" si="21"/>
        <v>56</v>
      </c>
      <c r="X19" s="36">
        <f t="shared" si="15"/>
        <v>30</v>
      </c>
      <c r="Z19" s="34">
        <f t="shared" si="10"/>
        <v>4882.1899999999996</v>
      </c>
      <c r="AA19" s="57">
        <f t="shared" si="11"/>
        <v>45918</v>
      </c>
      <c r="AB19" s="96"/>
      <c r="AC19" s="96"/>
      <c r="AD19" s="96"/>
      <c r="AE19" s="96"/>
      <c r="AF19" s="96"/>
      <c r="AG19" s="96"/>
      <c r="AH19" s="96"/>
      <c r="AI19" s="96"/>
      <c r="AJ19" s="2"/>
      <c r="AM19" s="2"/>
    </row>
    <row r="20" spans="1:39" ht="18" customHeight="1" x14ac:dyDescent="0.3">
      <c r="A20" s="1005" t="s">
        <v>242</v>
      </c>
      <c r="B20" s="1005"/>
      <c r="C20" s="1007">
        <f>C11*C12+3+C15</f>
        <v>63</v>
      </c>
      <c r="D20" s="1007"/>
      <c r="F20" s="383">
        <f t="shared" si="16"/>
        <v>9</v>
      </c>
      <c r="G20" s="384">
        <f t="shared" si="3"/>
        <v>43271</v>
      </c>
      <c r="H20" s="340">
        <f t="shared" si="4"/>
        <v>8557.4</v>
      </c>
      <c r="I20" s="340">
        <f t="shared" si="5"/>
        <v>7567.4</v>
      </c>
      <c r="J20" s="340">
        <f t="shared" si="12"/>
        <v>7567.4</v>
      </c>
      <c r="K20" s="340">
        <f t="shared" si="13"/>
        <v>7567.4000000000015</v>
      </c>
      <c r="L20" s="382">
        <f t="shared" si="17"/>
        <v>43101</v>
      </c>
      <c r="M20" s="382">
        <f t="shared" si="18"/>
        <v>43466</v>
      </c>
      <c r="N20" s="382">
        <f t="shared" si="19"/>
        <v>42736</v>
      </c>
      <c r="O20" s="340">
        <f t="shared" si="6"/>
        <v>0</v>
      </c>
      <c r="P20" s="340">
        <f t="shared" si="23"/>
        <v>990</v>
      </c>
      <c r="Q20" s="340">
        <f t="shared" si="20"/>
        <v>0</v>
      </c>
      <c r="R20" s="340">
        <f t="shared" si="7"/>
        <v>8557.4</v>
      </c>
      <c r="S20" s="340">
        <f t="shared" si="22"/>
        <v>990</v>
      </c>
      <c r="T20" s="340">
        <f t="shared" si="8"/>
        <v>990</v>
      </c>
      <c r="U20" s="340">
        <f t="shared" si="14"/>
        <v>0</v>
      </c>
      <c r="V20" s="340">
        <f t="shared" si="9"/>
        <v>900000</v>
      </c>
      <c r="W20" s="198">
        <f t="shared" si="21"/>
        <v>55</v>
      </c>
      <c r="X20" s="36">
        <f t="shared" si="15"/>
        <v>48</v>
      </c>
      <c r="Z20" s="34">
        <f t="shared" si="10"/>
        <v>7567.4</v>
      </c>
      <c r="AA20" s="57">
        <f t="shared" si="11"/>
        <v>46283</v>
      </c>
      <c r="AB20" s="96"/>
      <c r="AC20" s="96"/>
      <c r="AD20" s="96"/>
      <c r="AE20" s="96"/>
      <c r="AF20" s="96"/>
      <c r="AG20" s="96"/>
      <c r="AH20" s="96"/>
      <c r="AI20" s="96"/>
      <c r="AJ20" s="2"/>
      <c r="AM20" s="2"/>
    </row>
    <row r="21" spans="1:39" ht="18" customHeight="1" x14ac:dyDescent="0.3">
      <c r="A21" s="1005" t="s">
        <v>243</v>
      </c>
      <c r="B21" s="1005"/>
      <c r="C21" s="1008">
        <f>ROUNDUP(($N$4+$D$23)/H3,0)*H3</f>
        <v>23800</v>
      </c>
      <c r="D21" s="1008"/>
      <c r="F21" s="383">
        <f t="shared" si="16"/>
        <v>10</v>
      </c>
      <c r="G21" s="384">
        <f t="shared" si="3"/>
        <v>43301</v>
      </c>
      <c r="H21" s="340">
        <f t="shared" si="4"/>
        <v>8313.2900000000009</v>
      </c>
      <c r="I21" s="340">
        <f t="shared" si="5"/>
        <v>7323.29</v>
      </c>
      <c r="J21" s="340">
        <f t="shared" si="12"/>
        <v>7323.29</v>
      </c>
      <c r="K21" s="340">
        <f t="shared" si="13"/>
        <v>7323.2900000000009</v>
      </c>
      <c r="L21" s="382">
        <f t="shared" si="17"/>
        <v>43101</v>
      </c>
      <c r="M21" s="382">
        <f t="shared" si="18"/>
        <v>43466</v>
      </c>
      <c r="N21" s="382">
        <f t="shared" si="19"/>
        <v>42736</v>
      </c>
      <c r="O21" s="340">
        <f t="shared" si="6"/>
        <v>9.0949470177292824E-13</v>
      </c>
      <c r="P21" s="340">
        <f t="shared" si="23"/>
        <v>990</v>
      </c>
      <c r="Q21" s="340">
        <f t="shared" si="20"/>
        <v>0</v>
      </c>
      <c r="R21" s="340">
        <f t="shared" si="7"/>
        <v>8313.2900000000009</v>
      </c>
      <c r="S21" s="340">
        <f t="shared" si="22"/>
        <v>990</v>
      </c>
      <c r="T21" s="340">
        <f t="shared" si="8"/>
        <v>990</v>
      </c>
      <c r="U21" s="340">
        <f t="shared" si="14"/>
        <v>0</v>
      </c>
      <c r="V21" s="340">
        <f t="shared" si="9"/>
        <v>900000</v>
      </c>
      <c r="W21" s="198">
        <f t="shared" si="21"/>
        <v>54</v>
      </c>
      <c r="X21" s="36">
        <f t="shared" si="15"/>
        <v>48</v>
      </c>
      <c r="Z21" s="34">
        <f t="shared" si="10"/>
        <v>7323.2900000000009</v>
      </c>
      <c r="AA21" s="57">
        <f t="shared" si="11"/>
        <v>46648</v>
      </c>
      <c r="AB21" s="96"/>
      <c r="AC21" s="96"/>
      <c r="AD21" s="96"/>
      <c r="AE21" s="96"/>
      <c r="AF21" s="96"/>
      <c r="AG21" s="96"/>
      <c r="AH21" s="96"/>
      <c r="AI21" s="96"/>
      <c r="AJ21" s="2"/>
      <c r="AM21" s="2"/>
    </row>
    <row r="22" spans="1:39" ht="18" customHeight="1" x14ac:dyDescent="0.3">
      <c r="A22" s="1005" t="s">
        <v>2</v>
      </c>
      <c r="B22" s="1005"/>
      <c r="C22" s="1009">
        <v>9.9000000000000005E-2</v>
      </c>
      <c r="D22" s="1009"/>
      <c r="F22" s="383">
        <f t="shared" si="16"/>
        <v>11</v>
      </c>
      <c r="G22" s="384">
        <f t="shared" si="3"/>
        <v>43332</v>
      </c>
      <c r="H22" s="340">
        <f t="shared" si="4"/>
        <v>8557.4</v>
      </c>
      <c r="I22" s="340">
        <f t="shared" si="5"/>
        <v>7567.4</v>
      </c>
      <c r="J22" s="340">
        <f t="shared" si="12"/>
        <v>7567.4</v>
      </c>
      <c r="K22" s="340">
        <f t="shared" si="13"/>
        <v>7567.3899999999994</v>
      </c>
      <c r="L22" s="382">
        <f t="shared" si="17"/>
        <v>43101</v>
      </c>
      <c r="M22" s="382">
        <f t="shared" si="18"/>
        <v>43466</v>
      </c>
      <c r="N22" s="382">
        <f t="shared" si="19"/>
        <v>42736</v>
      </c>
      <c r="O22" s="340">
        <f t="shared" si="6"/>
        <v>0</v>
      </c>
      <c r="P22" s="340">
        <f t="shared" si="23"/>
        <v>990</v>
      </c>
      <c r="Q22" s="340">
        <f t="shared" si="20"/>
        <v>0</v>
      </c>
      <c r="R22" s="340">
        <f t="shared" si="7"/>
        <v>8557.4</v>
      </c>
      <c r="S22" s="340">
        <f t="shared" si="22"/>
        <v>990</v>
      </c>
      <c r="T22" s="340">
        <f t="shared" si="8"/>
        <v>990</v>
      </c>
      <c r="U22" s="340">
        <f t="shared" si="14"/>
        <v>0</v>
      </c>
      <c r="V22" s="340">
        <f t="shared" si="9"/>
        <v>900000</v>
      </c>
      <c r="W22" s="198">
        <f t="shared" si="21"/>
        <v>53</v>
      </c>
      <c r="X22" s="36">
        <f t="shared" si="15"/>
        <v>48</v>
      </c>
      <c r="Z22" s="34">
        <f t="shared" si="10"/>
        <v>7567.4</v>
      </c>
      <c r="AA22" s="57">
        <f t="shared" si="11"/>
        <v>47013</v>
      </c>
      <c r="AB22" s="96"/>
      <c r="AC22" s="96"/>
      <c r="AD22" s="96"/>
      <c r="AE22" s="96"/>
      <c r="AF22" s="96"/>
      <c r="AG22" s="96"/>
      <c r="AH22" s="96"/>
      <c r="AI22" s="96"/>
      <c r="AJ22" s="2"/>
      <c r="AM22" s="2"/>
    </row>
    <row r="23" spans="1:39" ht="18" customHeight="1" x14ac:dyDescent="0.3">
      <c r="A23" s="1005" t="s">
        <v>83</v>
      </c>
      <c r="B23" s="1005"/>
      <c r="C23" s="375">
        <f>IF(C13=O6,O7,IF(C13=P6,P7,P6))</f>
        <v>1E-3</v>
      </c>
      <c r="D23" s="376">
        <f>ROUNDUP($C$18*110%*$C$23,2)</f>
        <v>990</v>
      </c>
      <c r="F23" s="383">
        <f t="shared" si="16"/>
        <v>12</v>
      </c>
      <c r="G23" s="384">
        <f t="shared" si="3"/>
        <v>43363</v>
      </c>
      <c r="H23" s="340">
        <f t="shared" si="4"/>
        <v>8557.4</v>
      </c>
      <c r="I23" s="340">
        <f t="shared" si="5"/>
        <v>7567.4</v>
      </c>
      <c r="J23" s="340">
        <f t="shared" si="12"/>
        <v>7567.4</v>
      </c>
      <c r="K23" s="340">
        <f t="shared" si="13"/>
        <v>7567.4000000000015</v>
      </c>
      <c r="L23" s="382">
        <f t="shared" si="17"/>
        <v>43101</v>
      </c>
      <c r="M23" s="382">
        <f t="shared" si="18"/>
        <v>43466</v>
      </c>
      <c r="N23" s="382">
        <f t="shared" si="19"/>
        <v>42736</v>
      </c>
      <c r="O23" s="340">
        <f t="shared" si="6"/>
        <v>0</v>
      </c>
      <c r="P23" s="340">
        <f t="shared" si="23"/>
        <v>990</v>
      </c>
      <c r="Q23" s="340">
        <f t="shared" si="20"/>
        <v>0</v>
      </c>
      <c r="R23" s="340">
        <f t="shared" si="7"/>
        <v>8557.4</v>
      </c>
      <c r="S23" s="340">
        <f t="shared" si="22"/>
        <v>990</v>
      </c>
      <c r="T23" s="340">
        <f t="shared" si="8"/>
        <v>990</v>
      </c>
      <c r="U23" s="340">
        <f t="shared" si="14"/>
        <v>0</v>
      </c>
      <c r="V23" s="340">
        <f>IF(OR(W23=1,V22=0),0,V22-O23)+U23*$C$10</f>
        <v>900000</v>
      </c>
      <c r="W23" s="198">
        <f t="shared" si="21"/>
        <v>52</v>
      </c>
      <c r="X23" s="36">
        <f t="shared" si="15"/>
        <v>48</v>
      </c>
      <c r="Z23" s="34">
        <f t="shared" si="10"/>
        <v>7567.4</v>
      </c>
      <c r="AA23" s="57">
        <f t="shared" si="11"/>
        <v>47378</v>
      </c>
      <c r="AB23" s="96"/>
      <c r="AC23" s="96"/>
      <c r="AD23" s="96"/>
      <c r="AE23" s="96"/>
      <c r="AF23" s="96"/>
      <c r="AG23" s="96"/>
      <c r="AH23" s="96"/>
      <c r="AI23" s="96"/>
      <c r="AJ23" s="2"/>
      <c r="AM23" s="2"/>
    </row>
    <row r="24" spans="1:39" ht="18" customHeight="1" thickBot="1" x14ac:dyDescent="0.35">
      <c r="A24" s="1006" t="s">
        <v>67</v>
      </c>
      <c r="B24" s="1006"/>
      <c r="C24" s="377">
        <f>IF($J$6&lt;C22,C22,$J$6)</f>
        <v>0.51606941652657401</v>
      </c>
      <c r="D24" s="378">
        <f>H192</f>
        <v>1237325.1700000002</v>
      </c>
      <c r="F24" s="383">
        <f t="shared" si="16"/>
        <v>13</v>
      </c>
      <c r="G24" s="384">
        <f t="shared" si="3"/>
        <v>43393</v>
      </c>
      <c r="H24" s="340">
        <f t="shared" si="4"/>
        <v>8313.2900000000009</v>
      </c>
      <c r="I24" s="340">
        <f>IF($C$14&gt;$G$7,IF(L24=L23,J24,K24),IF(L23=L22,J24,K24))</f>
        <v>7323.29</v>
      </c>
      <c r="J24" s="340">
        <f>IF($C$14&gt;$G$7,ROUND(V23*$C$22/(M24-L24)*(G24-G23),2),ROUND(V22*$C$22/(M23-L23)*(G23-G22),2))</f>
        <v>7323.29</v>
      </c>
      <c r="K24" s="340">
        <f t="shared" si="13"/>
        <v>7323.2900000000009</v>
      </c>
      <c r="L24" s="382">
        <f t="shared" si="17"/>
        <v>43101</v>
      </c>
      <c r="M24" s="382">
        <f t="shared" si="18"/>
        <v>43466</v>
      </c>
      <c r="N24" s="382">
        <f t="shared" si="19"/>
        <v>42736</v>
      </c>
      <c r="O24" s="340">
        <f t="shared" si="6"/>
        <v>9.0949470177292824E-13</v>
      </c>
      <c r="P24" s="340">
        <f t="shared" si="23"/>
        <v>990</v>
      </c>
      <c r="Q24" s="340">
        <f t="shared" si="20"/>
        <v>0</v>
      </c>
      <c r="R24" s="340">
        <f t="shared" si="7"/>
        <v>8313.2900000000009</v>
      </c>
      <c r="S24" s="340">
        <f t="shared" si="22"/>
        <v>990</v>
      </c>
      <c r="T24" s="340">
        <f t="shared" si="8"/>
        <v>990</v>
      </c>
      <c r="U24" s="340">
        <f t="shared" si="14"/>
        <v>0</v>
      </c>
      <c r="V24" s="340">
        <f t="shared" si="9"/>
        <v>900000</v>
      </c>
      <c r="W24" s="198">
        <f t="shared" si="21"/>
        <v>51</v>
      </c>
      <c r="X24" s="36">
        <f t="shared" si="15"/>
        <v>48</v>
      </c>
      <c r="Z24" s="34">
        <f t="shared" si="10"/>
        <v>7323.2900000000009</v>
      </c>
      <c r="AA24" s="57">
        <f t="shared" si="11"/>
        <v>47743</v>
      </c>
      <c r="AB24" s="96"/>
      <c r="AC24" s="96"/>
      <c r="AD24" s="96"/>
      <c r="AE24" s="96"/>
      <c r="AF24" s="96"/>
      <c r="AG24" s="96"/>
      <c r="AH24" s="96"/>
      <c r="AI24" s="96"/>
      <c r="AJ24" s="2"/>
      <c r="AM24" s="2"/>
    </row>
    <row r="25" spans="1:39" ht="12" x14ac:dyDescent="0.2">
      <c r="C25" s="16"/>
      <c r="D25" s="2"/>
      <c r="F25" s="383">
        <f t="shared" si="16"/>
        <v>14</v>
      </c>
      <c r="G25" s="384">
        <f t="shared" si="3"/>
        <v>43424</v>
      </c>
      <c r="H25" s="340">
        <f t="shared" si="4"/>
        <v>8557.4</v>
      </c>
      <c r="I25" s="340">
        <f t="shared" si="5"/>
        <v>7567.4</v>
      </c>
      <c r="J25" s="340">
        <f t="shared" si="12"/>
        <v>7567.4</v>
      </c>
      <c r="K25" s="340">
        <f t="shared" si="13"/>
        <v>7567.3999999999942</v>
      </c>
      <c r="L25" s="382">
        <f t="shared" si="17"/>
        <v>43101</v>
      </c>
      <c r="M25" s="382">
        <f t="shared" si="18"/>
        <v>43466</v>
      </c>
      <c r="N25" s="382">
        <f t="shared" si="19"/>
        <v>42736</v>
      </c>
      <c r="O25" s="340">
        <f t="shared" si="6"/>
        <v>0</v>
      </c>
      <c r="P25" s="340">
        <f t="shared" si="23"/>
        <v>990</v>
      </c>
      <c r="Q25" s="340">
        <f t="shared" si="20"/>
        <v>0</v>
      </c>
      <c r="R25" s="340">
        <f t="shared" si="7"/>
        <v>8557.4</v>
      </c>
      <c r="S25" s="340">
        <f t="shared" si="22"/>
        <v>990</v>
      </c>
      <c r="T25" s="340">
        <f t="shared" si="8"/>
        <v>990</v>
      </c>
      <c r="U25" s="340">
        <f t="shared" si="14"/>
        <v>0</v>
      </c>
      <c r="V25" s="340">
        <f t="shared" si="9"/>
        <v>900000</v>
      </c>
      <c r="W25" s="198">
        <f t="shared" si="21"/>
        <v>50</v>
      </c>
      <c r="X25" s="36">
        <f t="shared" si="15"/>
        <v>48</v>
      </c>
      <c r="Z25" s="34">
        <f t="shared" si="10"/>
        <v>7567.4</v>
      </c>
      <c r="AA25" s="57">
        <f t="shared" si="11"/>
        <v>48108</v>
      </c>
      <c r="AB25" s="96"/>
      <c r="AC25" s="96"/>
      <c r="AD25" s="96"/>
      <c r="AE25" s="96"/>
      <c r="AF25" s="96"/>
      <c r="AG25" s="96"/>
      <c r="AH25" s="96"/>
      <c r="AI25" s="96"/>
      <c r="AJ25" s="2"/>
      <c r="AM25" s="2"/>
    </row>
    <row r="26" spans="1:39" ht="12" x14ac:dyDescent="0.2">
      <c r="C26" s="98"/>
      <c r="D26" s="46"/>
      <c r="F26" s="383">
        <f t="shared" si="16"/>
        <v>15</v>
      </c>
      <c r="G26" s="384">
        <f t="shared" si="3"/>
        <v>43454</v>
      </c>
      <c r="H26" s="340">
        <f t="shared" si="4"/>
        <v>8313.2900000000009</v>
      </c>
      <c r="I26" s="340">
        <f t="shared" si="5"/>
        <v>7323.29</v>
      </c>
      <c r="J26" s="340">
        <f t="shared" si="12"/>
        <v>7323.29</v>
      </c>
      <c r="K26" s="340">
        <f t="shared" si="13"/>
        <v>7323.2799999999988</v>
      </c>
      <c r="L26" s="382">
        <f t="shared" si="17"/>
        <v>43101</v>
      </c>
      <c r="M26" s="382">
        <f t="shared" si="18"/>
        <v>43466</v>
      </c>
      <c r="N26" s="382">
        <f t="shared" si="19"/>
        <v>42736</v>
      </c>
      <c r="O26" s="340">
        <f>IF(W26=0,0,IF(W26=1,V25,IF(V25+P26+I26&gt;H25,H26-I26-P26,V25)))</f>
        <v>9.0949470177292824E-13</v>
      </c>
      <c r="P26" s="340">
        <f t="shared" si="23"/>
        <v>990</v>
      </c>
      <c r="Q26" s="340">
        <f t="shared" si="20"/>
        <v>0</v>
      </c>
      <c r="R26" s="340">
        <f t="shared" si="7"/>
        <v>8313.2900000000009</v>
      </c>
      <c r="S26" s="340">
        <f t="shared" si="22"/>
        <v>990</v>
      </c>
      <c r="T26" s="340">
        <f t="shared" si="8"/>
        <v>990</v>
      </c>
      <c r="U26" s="340">
        <f t="shared" si="14"/>
        <v>0</v>
      </c>
      <c r="V26" s="340">
        <f t="shared" si="9"/>
        <v>900000</v>
      </c>
      <c r="W26" s="198">
        <f t="shared" si="21"/>
        <v>49</v>
      </c>
      <c r="X26" s="36">
        <f t="shared" si="15"/>
        <v>48</v>
      </c>
      <c r="Z26" s="34">
        <f t="shared" si="10"/>
        <v>7323.2900000000009</v>
      </c>
      <c r="AA26" s="57">
        <f t="shared" si="11"/>
        <v>48473</v>
      </c>
      <c r="AB26" s="96"/>
      <c r="AC26" s="96"/>
      <c r="AD26" s="96"/>
      <c r="AE26" s="96"/>
      <c r="AF26" s="96"/>
      <c r="AG26" s="96"/>
      <c r="AH26" s="96"/>
      <c r="AI26" s="96"/>
      <c r="AJ26" s="2"/>
      <c r="AM26" s="2"/>
    </row>
    <row r="27" spans="1:39" s="16" customFormat="1" ht="12" x14ac:dyDescent="0.2">
      <c r="A27" s="2"/>
      <c r="B27" s="2"/>
      <c r="C27" s="2"/>
      <c r="D27" s="13"/>
      <c r="F27" s="383">
        <f t="shared" si="16"/>
        <v>16</v>
      </c>
      <c r="G27" s="384">
        <f t="shared" si="3"/>
        <v>43485</v>
      </c>
      <c r="H27" s="340">
        <f t="shared" si="4"/>
        <v>23800</v>
      </c>
      <c r="I27" s="340">
        <f t="shared" si="5"/>
        <v>7567.4</v>
      </c>
      <c r="J27" s="340">
        <f t="shared" si="12"/>
        <v>7567.4</v>
      </c>
      <c r="K27" s="340">
        <f t="shared" si="13"/>
        <v>7567.4</v>
      </c>
      <c r="L27" s="382">
        <f t="shared" si="17"/>
        <v>43466</v>
      </c>
      <c r="M27" s="382">
        <f t="shared" si="18"/>
        <v>43831</v>
      </c>
      <c r="N27" s="382">
        <f t="shared" si="19"/>
        <v>43101</v>
      </c>
      <c r="O27" s="340">
        <f t="shared" si="6"/>
        <v>15242.6</v>
      </c>
      <c r="P27" s="340">
        <f t="shared" si="23"/>
        <v>990</v>
      </c>
      <c r="Q27" s="340">
        <f t="shared" si="20"/>
        <v>0</v>
      </c>
      <c r="R27" s="340">
        <f t="shared" si="7"/>
        <v>8557.4</v>
      </c>
      <c r="S27" s="340">
        <f t="shared" si="22"/>
        <v>990</v>
      </c>
      <c r="T27" s="340">
        <f t="shared" si="8"/>
        <v>990</v>
      </c>
      <c r="U27" s="340">
        <f t="shared" si="14"/>
        <v>0</v>
      </c>
      <c r="V27" s="340">
        <f t="shared" si="9"/>
        <v>884757.4</v>
      </c>
      <c r="W27" s="198">
        <f t="shared" si="21"/>
        <v>48</v>
      </c>
      <c r="X27" s="36">
        <f t="shared" si="15"/>
        <v>48</v>
      </c>
      <c r="Y27" s="2"/>
      <c r="Z27" s="34">
        <f t="shared" si="10"/>
        <v>22810</v>
      </c>
      <c r="AA27" s="57">
        <f t="shared" si="11"/>
        <v>48838</v>
      </c>
      <c r="AB27" s="96"/>
      <c r="AC27" s="96"/>
      <c r="AD27" s="96"/>
      <c r="AE27" s="96"/>
      <c r="AF27" s="96"/>
      <c r="AG27" s="96"/>
      <c r="AH27" s="96"/>
      <c r="AI27" s="96"/>
    </row>
    <row r="28" spans="1:39" s="16" customFormat="1" ht="12" x14ac:dyDescent="0.2">
      <c r="A28" s="2"/>
      <c r="B28" s="2"/>
      <c r="C28" s="13"/>
      <c r="D28" s="13"/>
      <c r="F28" s="383">
        <f t="shared" si="16"/>
        <v>17</v>
      </c>
      <c r="G28" s="384">
        <f t="shared" si="3"/>
        <v>43516</v>
      </c>
      <c r="H28" s="340">
        <f t="shared" si="4"/>
        <v>23800</v>
      </c>
      <c r="I28" s="340">
        <f t="shared" si="5"/>
        <v>7439.23</v>
      </c>
      <c r="J28" s="340">
        <f t="shared" si="12"/>
        <v>7439.23</v>
      </c>
      <c r="K28" s="340">
        <f t="shared" si="13"/>
        <v>7439.23</v>
      </c>
      <c r="L28" s="382">
        <f t="shared" si="17"/>
        <v>43466</v>
      </c>
      <c r="M28" s="382">
        <f t="shared" si="18"/>
        <v>43831</v>
      </c>
      <c r="N28" s="382">
        <f t="shared" si="19"/>
        <v>43101</v>
      </c>
      <c r="O28" s="340">
        <f t="shared" si="6"/>
        <v>15370.77</v>
      </c>
      <c r="P28" s="340">
        <f t="shared" si="23"/>
        <v>990</v>
      </c>
      <c r="Q28" s="340">
        <f t="shared" si="20"/>
        <v>0</v>
      </c>
      <c r="R28" s="340">
        <f t="shared" si="7"/>
        <v>8429.23</v>
      </c>
      <c r="S28" s="340">
        <f t="shared" si="22"/>
        <v>990</v>
      </c>
      <c r="T28" s="340">
        <f t="shared" si="8"/>
        <v>990</v>
      </c>
      <c r="U28" s="340">
        <f t="shared" si="14"/>
        <v>0</v>
      </c>
      <c r="V28" s="340">
        <f t="shared" si="9"/>
        <v>869386.63</v>
      </c>
      <c r="W28" s="198">
        <f t="shared" si="21"/>
        <v>47</v>
      </c>
      <c r="X28" s="36">
        <f t="shared" si="15"/>
        <v>47</v>
      </c>
      <c r="Y28" s="2"/>
      <c r="Z28" s="34">
        <f t="shared" si="10"/>
        <v>22810</v>
      </c>
      <c r="AA28" s="57">
        <f t="shared" si="11"/>
        <v>49203</v>
      </c>
      <c r="AB28" s="96"/>
      <c r="AC28" s="96"/>
      <c r="AD28" s="96"/>
      <c r="AE28" s="96"/>
      <c r="AF28" s="96"/>
      <c r="AG28" s="96"/>
      <c r="AH28" s="96"/>
      <c r="AI28" s="96"/>
    </row>
    <row r="29" spans="1:39" s="16" customFormat="1" ht="12" x14ac:dyDescent="0.2">
      <c r="A29" s="2"/>
      <c r="B29" s="2"/>
      <c r="C29" s="2"/>
      <c r="D29" s="13"/>
      <c r="F29" s="383">
        <f t="shared" si="16"/>
        <v>18</v>
      </c>
      <c r="G29" s="384">
        <f t="shared" si="3"/>
        <v>43544</v>
      </c>
      <c r="H29" s="340">
        <f t="shared" si="4"/>
        <v>23800</v>
      </c>
      <c r="I29" s="340">
        <f t="shared" si="5"/>
        <v>6602.57</v>
      </c>
      <c r="J29" s="340">
        <f t="shared" si="12"/>
        <v>6602.57</v>
      </c>
      <c r="K29" s="340">
        <f t="shared" si="13"/>
        <v>6602.5699999999979</v>
      </c>
      <c r="L29" s="382">
        <f t="shared" si="17"/>
        <v>43466</v>
      </c>
      <c r="M29" s="382">
        <f t="shared" si="18"/>
        <v>43831</v>
      </c>
      <c r="N29" s="382">
        <f t="shared" si="19"/>
        <v>43101</v>
      </c>
      <c r="O29" s="340">
        <f t="shared" si="6"/>
        <v>16207.43</v>
      </c>
      <c r="P29" s="340">
        <f t="shared" si="23"/>
        <v>990</v>
      </c>
      <c r="Q29" s="340">
        <f t="shared" si="20"/>
        <v>0</v>
      </c>
      <c r="R29" s="340">
        <f t="shared" si="7"/>
        <v>7592.57</v>
      </c>
      <c r="S29" s="340">
        <f t="shared" si="22"/>
        <v>990</v>
      </c>
      <c r="T29" s="340">
        <f t="shared" si="8"/>
        <v>990</v>
      </c>
      <c r="U29" s="340">
        <f t="shared" si="14"/>
        <v>0</v>
      </c>
      <c r="V29" s="340">
        <f t="shared" si="9"/>
        <v>853179.2</v>
      </c>
      <c r="W29" s="198">
        <f t="shared" si="21"/>
        <v>46</v>
      </c>
      <c r="X29" s="36">
        <f t="shared" si="15"/>
        <v>46</v>
      </c>
      <c r="Y29" s="2"/>
      <c r="Z29" s="34">
        <f t="shared" si="10"/>
        <v>22810</v>
      </c>
      <c r="AA29" s="57">
        <f t="shared" si="11"/>
        <v>49568</v>
      </c>
      <c r="AB29" s="96"/>
      <c r="AC29" s="96"/>
      <c r="AD29" s="96"/>
      <c r="AE29" s="96"/>
      <c r="AF29" s="96"/>
      <c r="AG29" s="96"/>
      <c r="AH29" s="96"/>
      <c r="AI29" s="96"/>
    </row>
    <row r="30" spans="1:39" s="16" customFormat="1" ht="12" x14ac:dyDescent="0.2">
      <c r="A30" s="2"/>
      <c r="B30" s="2"/>
      <c r="C30" s="2"/>
      <c r="D30" s="13"/>
      <c r="F30" s="383">
        <f t="shared" si="16"/>
        <v>19</v>
      </c>
      <c r="G30" s="384">
        <f t="shared" si="3"/>
        <v>43575</v>
      </c>
      <c r="H30" s="340">
        <f t="shared" si="4"/>
        <v>23800</v>
      </c>
      <c r="I30" s="340">
        <f t="shared" si="5"/>
        <v>7173.72</v>
      </c>
      <c r="J30" s="340">
        <f t="shared" si="12"/>
        <v>7173.72</v>
      </c>
      <c r="K30" s="340">
        <f t="shared" si="13"/>
        <v>7173.7200000000012</v>
      </c>
      <c r="L30" s="382">
        <f t="shared" si="17"/>
        <v>43466</v>
      </c>
      <c r="M30" s="382">
        <f t="shared" si="18"/>
        <v>43831</v>
      </c>
      <c r="N30" s="382">
        <f t="shared" si="19"/>
        <v>43101</v>
      </c>
      <c r="O30" s="340">
        <f t="shared" si="6"/>
        <v>15636.279999999999</v>
      </c>
      <c r="P30" s="340">
        <f t="shared" si="23"/>
        <v>990</v>
      </c>
      <c r="Q30" s="340">
        <f t="shared" si="20"/>
        <v>0</v>
      </c>
      <c r="R30" s="340">
        <f t="shared" si="7"/>
        <v>8163.72</v>
      </c>
      <c r="S30" s="340">
        <f t="shared" si="22"/>
        <v>990</v>
      </c>
      <c r="T30" s="340">
        <f t="shared" si="8"/>
        <v>990</v>
      </c>
      <c r="U30" s="340">
        <f t="shared" si="14"/>
        <v>0</v>
      </c>
      <c r="V30" s="340">
        <f t="shared" si="9"/>
        <v>837542.91999999993</v>
      </c>
      <c r="W30" s="198">
        <f t="shared" si="21"/>
        <v>45</v>
      </c>
      <c r="X30" s="36">
        <f t="shared" si="15"/>
        <v>45</v>
      </c>
      <c r="Y30" s="2"/>
      <c r="Z30" s="34">
        <f t="shared" si="10"/>
        <v>22810</v>
      </c>
      <c r="AA30" s="57">
        <f t="shared" si="11"/>
        <v>49933</v>
      </c>
      <c r="AB30" s="96"/>
      <c r="AC30" s="96"/>
      <c r="AD30" s="96"/>
      <c r="AE30" s="96"/>
      <c r="AF30" s="96"/>
      <c r="AG30" s="96"/>
      <c r="AH30" s="96"/>
      <c r="AI30" s="96"/>
    </row>
    <row r="31" spans="1:39" s="16" customFormat="1" ht="12" customHeight="1" x14ac:dyDescent="0.2">
      <c r="A31" s="2"/>
      <c r="B31" s="2"/>
      <c r="C31" s="2"/>
      <c r="D31" s="2"/>
      <c r="F31" s="383">
        <f t="shared" si="16"/>
        <v>20</v>
      </c>
      <c r="G31" s="384">
        <f t="shared" si="3"/>
        <v>43605</v>
      </c>
      <c r="H31" s="340">
        <f t="shared" si="4"/>
        <v>23800</v>
      </c>
      <c r="I31" s="340">
        <f t="shared" si="5"/>
        <v>6815.08</v>
      </c>
      <c r="J31" s="340">
        <f t="shared" si="12"/>
        <v>6815.08</v>
      </c>
      <c r="K31" s="340">
        <f t="shared" si="13"/>
        <v>6815.07</v>
      </c>
      <c r="L31" s="382">
        <f t="shared" si="17"/>
        <v>43466</v>
      </c>
      <c r="M31" s="382">
        <f t="shared" si="18"/>
        <v>43831</v>
      </c>
      <c r="N31" s="382">
        <f t="shared" si="19"/>
        <v>43101</v>
      </c>
      <c r="O31" s="340">
        <f t="shared" si="6"/>
        <v>15994.919999999998</v>
      </c>
      <c r="P31" s="340">
        <f t="shared" si="23"/>
        <v>990</v>
      </c>
      <c r="Q31" s="340">
        <f t="shared" si="20"/>
        <v>0</v>
      </c>
      <c r="R31" s="340">
        <f t="shared" si="7"/>
        <v>7805.08</v>
      </c>
      <c r="S31" s="340">
        <f t="shared" si="22"/>
        <v>990</v>
      </c>
      <c r="T31" s="340">
        <f t="shared" si="8"/>
        <v>990</v>
      </c>
      <c r="U31" s="340">
        <f t="shared" si="14"/>
        <v>0</v>
      </c>
      <c r="V31" s="340">
        <f t="shared" si="9"/>
        <v>821547.99999999988</v>
      </c>
      <c r="W31" s="198">
        <f t="shared" si="21"/>
        <v>44</v>
      </c>
      <c r="X31" s="36">
        <f t="shared" si="15"/>
        <v>44</v>
      </c>
      <c r="Y31" s="2"/>
      <c r="Z31" s="34">
        <f t="shared" si="10"/>
        <v>22810</v>
      </c>
      <c r="AA31" s="57">
        <f t="shared" si="11"/>
        <v>50298</v>
      </c>
      <c r="AB31" s="96"/>
      <c r="AC31" s="96"/>
      <c r="AD31" s="96"/>
      <c r="AE31" s="96"/>
      <c r="AF31" s="96"/>
      <c r="AG31" s="96"/>
      <c r="AH31" s="96"/>
      <c r="AI31" s="96"/>
    </row>
    <row r="32" spans="1:39" s="16" customFormat="1" ht="12" x14ac:dyDescent="0.2">
      <c r="A32" s="2"/>
      <c r="B32" s="2"/>
      <c r="C32" s="2"/>
      <c r="D32" s="2"/>
      <c r="F32" s="383">
        <f>F31+1</f>
        <v>21</v>
      </c>
      <c r="G32" s="384">
        <f t="shared" si="3"/>
        <v>43636</v>
      </c>
      <c r="H32" s="340">
        <f t="shared" si="4"/>
        <v>23800</v>
      </c>
      <c r="I32" s="340">
        <f t="shared" si="5"/>
        <v>6907.76</v>
      </c>
      <c r="J32" s="340">
        <f t="shared" si="12"/>
        <v>6907.76</v>
      </c>
      <c r="K32" s="340">
        <f t="shared" si="13"/>
        <v>6907.75</v>
      </c>
      <c r="L32" s="382">
        <f t="shared" si="17"/>
        <v>43466</v>
      </c>
      <c r="M32" s="382">
        <f t="shared" si="18"/>
        <v>43831</v>
      </c>
      <c r="N32" s="382">
        <f t="shared" si="19"/>
        <v>43101</v>
      </c>
      <c r="O32" s="340">
        <f t="shared" si="6"/>
        <v>15902.239999999998</v>
      </c>
      <c r="P32" s="340">
        <f t="shared" si="23"/>
        <v>990</v>
      </c>
      <c r="Q32" s="340">
        <f>S31-P31</f>
        <v>0</v>
      </c>
      <c r="R32" s="340">
        <f t="shared" si="7"/>
        <v>7897.76</v>
      </c>
      <c r="S32" s="340">
        <f t="shared" si="22"/>
        <v>990</v>
      </c>
      <c r="T32" s="340">
        <f t="shared" si="8"/>
        <v>990</v>
      </c>
      <c r="U32" s="340">
        <f t="shared" si="14"/>
        <v>0</v>
      </c>
      <c r="V32" s="340">
        <f t="shared" si="9"/>
        <v>805645.75999999989</v>
      </c>
      <c r="W32" s="198">
        <f>IF((W31-1)&lt;0,0,W31-1)</f>
        <v>43</v>
      </c>
      <c r="X32" s="36">
        <f t="shared" si="15"/>
        <v>43</v>
      </c>
      <c r="Y32" s="2"/>
      <c r="Z32" s="34">
        <f t="shared" si="10"/>
        <v>22810</v>
      </c>
      <c r="AA32" s="57">
        <f t="shared" si="11"/>
        <v>50663</v>
      </c>
      <c r="AB32" s="96"/>
      <c r="AC32" s="96"/>
      <c r="AD32" s="96"/>
      <c r="AE32" s="96"/>
      <c r="AF32" s="96"/>
      <c r="AG32" s="96"/>
      <c r="AH32" s="96"/>
      <c r="AI32" s="96"/>
    </row>
    <row r="33" spans="1:35" s="16" customFormat="1" ht="12" x14ac:dyDescent="0.2">
      <c r="A33" s="2"/>
      <c r="B33" s="2"/>
      <c r="C33" s="2"/>
      <c r="D33" s="2"/>
      <c r="F33" s="383">
        <f>F32+1</f>
        <v>22</v>
      </c>
      <c r="G33" s="384">
        <f t="shared" si="3"/>
        <v>43666</v>
      </c>
      <c r="H33" s="340">
        <f t="shared" si="4"/>
        <v>23800</v>
      </c>
      <c r="I33" s="340">
        <f t="shared" si="5"/>
        <v>6555.53</v>
      </c>
      <c r="J33" s="340">
        <f t="shared" si="12"/>
        <v>6555.53</v>
      </c>
      <c r="K33" s="340">
        <f t="shared" si="13"/>
        <v>6555.5299999999988</v>
      </c>
      <c r="L33" s="382">
        <f t="shared" si="17"/>
        <v>43466</v>
      </c>
      <c r="M33" s="382">
        <f t="shared" si="18"/>
        <v>43831</v>
      </c>
      <c r="N33" s="382">
        <f t="shared" si="19"/>
        <v>43101</v>
      </c>
      <c r="O33" s="340">
        <f t="shared" si="6"/>
        <v>16254.470000000001</v>
      </c>
      <c r="P33" s="340">
        <f t="shared" si="23"/>
        <v>990</v>
      </c>
      <c r="Q33" s="340">
        <f>S32-P32</f>
        <v>0</v>
      </c>
      <c r="R33" s="340">
        <f t="shared" si="7"/>
        <v>7545.53</v>
      </c>
      <c r="S33" s="340">
        <f t="shared" si="22"/>
        <v>990</v>
      </c>
      <c r="T33" s="340">
        <f t="shared" si="8"/>
        <v>990</v>
      </c>
      <c r="U33" s="340">
        <f t="shared" si="14"/>
        <v>0</v>
      </c>
      <c r="V33" s="340">
        <f t="shared" si="9"/>
        <v>789391.28999999992</v>
      </c>
      <c r="W33" s="198">
        <f>IF((W32-1)&lt;0,0,W32-1)</f>
        <v>42</v>
      </c>
      <c r="X33" s="36">
        <f t="shared" si="15"/>
        <v>42</v>
      </c>
      <c r="Y33" s="2"/>
      <c r="Z33" s="34">
        <f t="shared" si="10"/>
        <v>22810</v>
      </c>
      <c r="AA33" s="57">
        <f t="shared" si="11"/>
        <v>51028</v>
      </c>
      <c r="AB33" s="96"/>
      <c r="AC33" s="96"/>
      <c r="AD33" s="96"/>
      <c r="AE33" s="96"/>
      <c r="AF33" s="96"/>
      <c r="AG33" s="96"/>
      <c r="AH33" s="96"/>
      <c r="AI33" s="96"/>
    </row>
    <row r="34" spans="1:35" s="16" customFormat="1" ht="12" x14ac:dyDescent="0.2">
      <c r="A34" s="2"/>
      <c r="B34" s="2"/>
      <c r="C34" s="2"/>
      <c r="D34" s="2"/>
      <c r="E34" s="2"/>
      <c r="F34" s="383">
        <f t="shared" si="16"/>
        <v>23</v>
      </c>
      <c r="G34" s="384">
        <f t="shared" si="3"/>
        <v>43697</v>
      </c>
      <c r="H34" s="340">
        <f t="shared" si="4"/>
        <v>23800</v>
      </c>
      <c r="I34" s="340">
        <f t="shared" si="5"/>
        <v>6637.37</v>
      </c>
      <c r="J34" s="340">
        <f t="shared" si="12"/>
        <v>6637.37</v>
      </c>
      <c r="K34" s="340">
        <f t="shared" si="13"/>
        <v>6637.3800000000047</v>
      </c>
      <c r="L34" s="382">
        <f t="shared" si="17"/>
        <v>43466</v>
      </c>
      <c r="M34" s="382">
        <f t="shared" si="18"/>
        <v>43831</v>
      </c>
      <c r="N34" s="382">
        <f t="shared" si="19"/>
        <v>43101</v>
      </c>
      <c r="O34" s="340">
        <f t="shared" si="6"/>
        <v>16172.630000000001</v>
      </c>
      <c r="P34" s="340">
        <f t="shared" si="23"/>
        <v>990</v>
      </c>
      <c r="Q34" s="340">
        <f t="shared" si="20"/>
        <v>0</v>
      </c>
      <c r="R34" s="340">
        <f t="shared" si="7"/>
        <v>7627.37</v>
      </c>
      <c r="S34" s="340">
        <f t="shared" si="22"/>
        <v>990</v>
      </c>
      <c r="T34" s="340">
        <f t="shared" si="8"/>
        <v>990</v>
      </c>
      <c r="U34" s="340">
        <f t="shared" si="14"/>
        <v>0</v>
      </c>
      <c r="V34" s="340">
        <f t="shared" si="9"/>
        <v>773218.65999999992</v>
      </c>
      <c r="W34" s="198">
        <f t="shared" si="21"/>
        <v>41</v>
      </c>
      <c r="X34" s="36">
        <f t="shared" si="15"/>
        <v>41</v>
      </c>
      <c r="Y34" s="2"/>
      <c r="Z34" s="34">
        <f t="shared" si="10"/>
        <v>22810</v>
      </c>
      <c r="AA34" s="57">
        <f t="shared" si="11"/>
        <v>51393</v>
      </c>
      <c r="AB34" s="96"/>
      <c r="AC34" s="96"/>
      <c r="AD34" s="96"/>
      <c r="AE34" s="96"/>
      <c r="AF34" s="96"/>
      <c r="AG34" s="96"/>
      <c r="AH34" s="96"/>
      <c r="AI34" s="96"/>
    </row>
    <row r="35" spans="1:35" s="16" customFormat="1" ht="12" x14ac:dyDescent="0.2">
      <c r="A35" s="2"/>
      <c r="B35" s="2"/>
      <c r="C35" s="2"/>
      <c r="D35" s="2"/>
      <c r="E35" s="2"/>
      <c r="F35" s="383">
        <f t="shared" si="16"/>
        <v>24</v>
      </c>
      <c r="G35" s="384">
        <f t="shared" si="3"/>
        <v>43728</v>
      </c>
      <c r="H35" s="340">
        <f t="shared" si="4"/>
        <v>23800</v>
      </c>
      <c r="I35" s="340">
        <f t="shared" si="5"/>
        <v>6501.39</v>
      </c>
      <c r="J35" s="340">
        <f t="shared" si="12"/>
        <v>6501.39</v>
      </c>
      <c r="K35" s="340">
        <f t="shared" si="13"/>
        <v>6501.3899999999994</v>
      </c>
      <c r="L35" s="382">
        <f t="shared" si="17"/>
        <v>43466</v>
      </c>
      <c r="M35" s="382">
        <f t="shared" si="18"/>
        <v>43831</v>
      </c>
      <c r="N35" s="382">
        <f t="shared" si="19"/>
        <v>43101</v>
      </c>
      <c r="O35" s="340">
        <f t="shared" si="6"/>
        <v>16308.61</v>
      </c>
      <c r="P35" s="340">
        <f t="shared" si="23"/>
        <v>990</v>
      </c>
      <c r="Q35" s="340">
        <f t="shared" si="20"/>
        <v>0</v>
      </c>
      <c r="R35" s="340">
        <f t="shared" si="7"/>
        <v>7491.39</v>
      </c>
      <c r="S35" s="340">
        <f t="shared" si="22"/>
        <v>990</v>
      </c>
      <c r="T35" s="340">
        <f t="shared" si="8"/>
        <v>990</v>
      </c>
      <c r="U35" s="340">
        <f t="shared" si="14"/>
        <v>0</v>
      </c>
      <c r="V35" s="340">
        <f t="shared" si="9"/>
        <v>756910.04999999993</v>
      </c>
      <c r="W35" s="198">
        <f t="shared" si="21"/>
        <v>40</v>
      </c>
      <c r="X35" s="36">
        <f t="shared" si="15"/>
        <v>40</v>
      </c>
      <c r="Y35" s="2"/>
      <c r="Z35" s="34">
        <f t="shared" si="10"/>
        <v>22810</v>
      </c>
      <c r="AA35" s="57">
        <f t="shared" si="11"/>
        <v>51758</v>
      </c>
      <c r="AB35" s="96"/>
      <c r="AC35" s="96"/>
      <c r="AD35" s="96"/>
      <c r="AE35" s="96"/>
      <c r="AF35" s="96"/>
      <c r="AG35" s="96"/>
      <c r="AH35" s="96"/>
      <c r="AI35" s="96"/>
    </row>
    <row r="36" spans="1:35" s="16" customFormat="1" ht="12" x14ac:dyDescent="0.2">
      <c r="A36" s="2"/>
      <c r="B36" s="2"/>
      <c r="C36" s="2"/>
      <c r="D36" s="2"/>
      <c r="E36" s="2"/>
      <c r="F36" s="383">
        <f t="shared" si="16"/>
        <v>25</v>
      </c>
      <c r="G36" s="384">
        <f t="shared" si="3"/>
        <v>43758</v>
      </c>
      <c r="H36" s="340">
        <f t="shared" si="4"/>
        <v>23800</v>
      </c>
      <c r="I36" s="340">
        <f t="shared" si="5"/>
        <v>6158.97</v>
      </c>
      <c r="J36" s="340">
        <f t="shared" si="12"/>
        <v>6158.97</v>
      </c>
      <c r="K36" s="340">
        <f t="shared" si="13"/>
        <v>6158.9599999999991</v>
      </c>
      <c r="L36" s="382">
        <f t="shared" si="17"/>
        <v>43466</v>
      </c>
      <c r="M36" s="382">
        <f t="shared" si="18"/>
        <v>43831</v>
      </c>
      <c r="N36" s="382">
        <f t="shared" si="19"/>
        <v>43101</v>
      </c>
      <c r="O36" s="340">
        <f t="shared" si="6"/>
        <v>16651.03</v>
      </c>
      <c r="P36" s="340">
        <f t="shared" si="23"/>
        <v>990</v>
      </c>
      <c r="Q36" s="340">
        <f t="shared" si="20"/>
        <v>0</v>
      </c>
      <c r="R36" s="340">
        <f t="shared" si="7"/>
        <v>7148.97</v>
      </c>
      <c r="S36" s="340">
        <f t="shared" si="22"/>
        <v>990</v>
      </c>
      <c r="T36" s="340">
        <f t="shared" si="8"/>
        <v>990</v>
      </c>
      <c r="U36" s="340">
        <f t="shared" si="14"/>
        <v>0</v>
      </c>
      <c r="V36" s="340">
        <f t="shared" si="9"/>
        <v>740259.0199999999</v>
      </c>
      <c r="W36" s="198">
        <f t="shared" si="21"/>
        <v>39</v>
      </c>
      <c r="X36" s="36">
        <f t="shared" si="15"/>
        <v>39</v>
      </c>
      <c r="Y36" s="2"/>
      <c r="Z36" s="34">
        <f t="shared" si="10"/>
        <v>22810</v>
      </c>
      <c r="AA36" s="57">
        <f t="shared" si="11"/>
        <v>52123</v>
      </c>
      <c r="AB36" s="96"/>
      <c r="AC36" s="96"/>
      <c r="AD36" s="96"/>
      <c r="AE36" s="96"/>
      <c r="AF36" s="96"/>
      <c r="AG36" s="96"/>
      <c r="AH36" s="96"/>
      <c r="AI36" s="96"/>
    </row>
    <row r="37" spans="1:35" s="16" customFormat="1" ht="12" x14ac:dyDescent="0.2">
      <c r="A37" s="2"/>
      <c r="B37" s="2"/>
      <c r="C37" s="2"/>
      <c r="D37" s="2"/>
      <c r="E37" s="2"/>
      <c r="F37" s="383">
        <f t="shared" si="16"/>
        <v>26</v>
      </c>
      <c r="G37" s="384">
        <f t="shared" si="3"/>
        <v>43789</v>
      </c>
      <c r="H37" s="340">
        <f t="shared" si="4"/>
        <v>23800</v>
      </c>
      <c r="I37" s="340">
        <f t="shared" si="5"/>
        <v>6224.26</v>
      </c>
      <c r="J37" s="340">
        <f t="shared" si="12"/>
        <v>6224.26</v>
      </c>
      <c r="K37" s="340">
        <f t="shared" si="13"/>
        <v>6224.2599999999948</v>
      </c>
      <c r="L37" s="382">
        <f t="shared" si="17"/>
        <v>43466</v>
      </c>
      <c r="M37" s="382">
        <f t="shared" si="18"/>
        <v>43831</v>
      </c>
      <c r="N37" s="382">
        <f t="shared" si="19"/>
        <v>43101</v>
      </c>
      <c r="O37" s="340">
        <f t="shared" si="6"/>
        <v>16585.739999999998</v>
      </c>
      <c r="P37" s="340">
        <f t="shared" si="23"/>
        <v>990</v>
      </c>
      <c r="Q37" s="340">
        <f t="shared" si="20"/>
        <v>0</v>
      </c>
      <c r="R37" s="340">
        <f t="shared" si="7"/>
        <v>7214.26</v>
      </c>
      <c r="S37" s="340">
        <f t="shared" si="22"/>
        <v>990</v>
      </c>
      <c r="T37" s="340">
        <f t="shared" si="8"/>
        <v>990</v>
      </c>
      <c r="U37" s="340">
        <f t="shared" si="14"/>
        <v>0</v>
      </c>
      <c r="V37" s="340">
        <f t="shared" si="9"/>
        <v>723673.27999999991</v>
      </c>
      <c r="W37" s="198">
        <f t="shared" si="21"/>
        <v>38</v>
      </c>
      <c r="X37" s="36">
        <f t="shared" si="15"/>
        <v>38</v>
      </c>
      <c r="Y37" s="2"/>
      <c r="Z37" s="34">
        <f t="shared" si="10"/>
        <v>22810</v>
      </c>
      <c r="AA37" s="57">
        <f t="shared" si="11"/>
        <v>52488</v>
      </c>
      <c r="AB37" s="96"/>
      <c r="AC37" s="96"/>
      <c r="AD37" s="96"/>
      <c r="AE37" s="96"/>
      <c r="AF37" s="96"/>
      <c r="AG37" s="96"/>
      <c r="AH37" s="96"/>
      <c r="AI37" s="96"/>
    </row>
    <row r="38" spans="1:35" s="16" customFormat="1" ht="12" x14ac:dyDescent="0.2">
      <c r="A38" s="2"/>
      <c r="B38" s="2"/>
      <c r="C38" s="13"/>
      <c r="D38" s="2"/>
      <c r="E38" s="2"/>
      <c r="F38" s="383">
        <f t="shared" si="16"/>
        <v>27</v>
      </c>
      <c r="G38" s="384">
        <f t="shared" si="3"/>
        <v>43819</v>
      </c>
      <c r="H38" s="340">
        <f t="shared" si="4"/>
        <v>23800</v>
      </c>
      <c r="I38" s="340">
        <f t="shared" si="5"/>
        <v>5888.52</v>
      </c>
      <c r="J38" s="340">
        <f t="shared" si="12"/>
        <v>5888.52</v>
      </c>
      <c r="K38" s="340">
        <f t="shared" si="13"/>
        <v>5888.5199999999968</v>
      </c>
      <c r="L38" s="382">
        <f t="shared" si="17"/>
        <v>43466</v>
      </c>
      <c r="M38" s="382">
        <f t="shared" si="18"/>
        <v>43831</v>
      </c>
      <c r="N38" s="382">
        <f t="shared" si="19"/>
        <v>43101</v>
      </c>
      <c r="O38" s="340">
        <f t="shared" si="6"/>
        <v>16921.48</v>
      </c>
      <c r="P38" s="340">
        <f t="shared" si="23"/>
        <v>990</v>
      </c>
      <c r="Q38" s="340">
        <f t="shared" si="20"/>
        <v>0</v>
      </c>
      <c r="R38" s="340">
        <f t="shared" si="7"/>
        <v>6878.52</v>
      </c>
      <c r="S38" s="340">
        <f t="shared" si="22"/>
        <v>990</v>
      </c>
      <c r="T38" s="340">
        <f t="shared" si="8"/>
        <v>990</v>
      </c>
      <c r="U38" s="340">
        <f t="shared" si="14"/>
        <v>0</v>
      </c>
      <c r="V38" s="340">
        <f t="shared" si="9"/>
        <v>706751.79999999993</v>
      </c>
      <c r="W38" s="198">
        <f t="shared" si="21"/>
        <v>37</v>
      </c>
      <c r="X38" s="36">
        <f t="shared" si="15"/>
        <v>37</v>
      </c>
      <c r="Y38" s="2"/>
      <c r="Z38" s="34">
        <f t="shared" si="10"/>
        <v>22810</v>
      </c>
      <c r="AA38" s="57">
        <f t="shared" si="11"/>
        <v>52853</v>
      </c>
      <c r="AB38" s="96"/>
      <c r="AC38" s="96"/>
      <c r="AD38" s="96"/>
      <c r="AE38" s="96"/>
      <c r="AF38" s="96"/>
      <c r="AG38" s="96"/>
      <c r="AH38" s="96"/>
      <c r="AI38" s="96"/>
    </row>
    <row r="39" spans="1:35" s="16" customFormat="1" ht="12" x14ac:dyDescent="0.2">
      <c r="A39" s="2"/>
      <c r="B39" s="2"/>
      <c r="C39" s="2"/>
      <c r="D39" s="13"/>
      <c r="E39" s="2"/>
      <c r="F39" s="383">
        <f t="shared" si="16"/>
        <v>28</v>
      </c>
      <c r="G39" s="384">
        <f t="shared" si="3"/>
        <v>43850</v>
      </c>
      <c r="H39" s="340">
        <f t="shared" si="4"/>
        <v>23800</v>
      </c>
      <c r="I39" s="340">
        <f t="shared" si="5"/>
        <v>5932.0499999999993</v>
      </c>
      <c r="J39" s="340">
        <f t="shared" si="12"/>
        <v>5926.29</v>
      </c>
      <c r="K39" s="340">
        <f t="shared" si="13"/>
        <v>5932.0499999999993</v>
      </c>
      <c r="L39" s="382">
        <f t="shared" si="17"/>
        <v>43831</v>
      </c>
      <c r="M39" s="382">
        <f t="shared" si="18"/>
        <v>44197</v>
      </c>
      <c r="N39" s="382">
        <f t="shared" si="19"/>
        <v>43466</v>
      </c>
      <c r="O39" s="340">
        <f t="shared" si="6"/>
        <v>16877.95</v>
      </c>
      <c r="P39" s="340">
        <f t="shared" si="23"/>
        <v>990</v>
      </c>
      <c r="Q39" s="340">
        <f t="shared" si="20"/>
        <v>0</v>
      </c>
      <c r="R39" s="340">
        <f t="shared" si="7"/>
        <v>6922.0499999999993</v>
      </c>
      <c r="S39" s="340">
        <f t="shared" si="22"/>
        <v>990</v>
      </c>
      <c r="T39" s="340">
        <f t="shared" si="8"/>
        <v>990</v>
      </c>
      <c r="U39" s="340">
        <f t="shared" si="14"/>
        <v>0</v>
      </c>
      <c r="V39" s="340">
        <f t="shared" si="9"/>
        <v>689873.85</v>
      </c>
      <c r="W39" s="198">
        <f t="shared" si="21"/>
        <v>36</v>
      </c>
      <c r="X39" s="36">
        <f t="shared" si="15"/>
        <v>36</v>
      </c>
      <c r="Y39" s="2"/>
      <c r="Z39" s="34">
        <f t="shared" si="10"/>
        <v>22810</v>
      </c>
      <c r="AA39" s="57">
        <f t="shared" si="11"/>
        <v>53218</v>
      </c>
      <c r="AB39" s="96"/>
      <c r="AC39" s="96"/>
      <c r="AD39" s="96"/>
      <c r="AE39" s="96"/>
      <c r="AF39" s="96"/>
      <c r="AG39" s="96"/>
      <c r="AH39" s="96"/>
      <c r="AI39" s="96"/>
    </row>
    <row r="40" spans="1:35" s="16" customFormat="1" ht="12" x14ac:dyDescent="0.2">
      <c r="A40" s="2"/>
      <c r="B40" s="2"/>
      <c r="C40" s="2"/>
      <c r="D40" s="13"/>
      <c r="E40" s="2"/>
      <c r="F40" s="383">
        <f t="shared" si="16"/>
        <v>29</v>
      </c>
      <c r="G40" s="384">
        <f t="shared" si="3"/>
        <v>43881</v>
      </c>
      <c r="H40" s="340">
        <f t="shared" si="4"/>
        <v>23800</v>
      </c>
      <c r="I40" s="340">
        <f t="shared" si="5"/>
        <v>5784.76</v>
      </c>
      <c r="J40" s="340">
        <f t="shared" si="12"/>
        <v>5784.76</v>
      </c>
      <c r="K40" s="340">
        <f t="shared" si="13"/>
        <v>5774.5400000000009</v>
      </c>
      <c r="L40" s="382">
        <f t="shared" si="17"/>
        <v>43831</v>
      </c>
      <c r="M40" s="382">
        <f t="shared" si="18"/>
        <v>44197</v>
      </c>
      <c r="N40" s="382">
        <f t="shared" si="19"/>
        <v>43466</v>
      </c>
      <c r="O40" s="340">
        <f t="shared" si="6"/>
        <v>17025.239999999998</v>
      </c>
      <c r="P40" s="340">
        <f t="shared" si="23"/>
        <v>990</v>
      </c>
      <c r="Q40" s="340">
        <f t="shared" si="20"/>
        <v>0</v>
      </c>
      <c r="R40" s="340">
        <f t="shared" si="7"/>
        <v>6774.76</v>
      </c>
      <c r="S40" s="340">
        <f t="shared" si="22"/>
        <v>990</v>
      </c>
      <c r="T40" s="340">
        <f t="shared" si="8"/>
        <v>990</v>
      </c>
      <c r="U40" s="340">
        <f t="shared" si="14"/>
        <v>0</v>
      </c>
      <c r="V40" s="340">
        <f t="shared" si="9"/>
        <v>672848.61</v>
      </c>
      <c r="W40" s="198">
        <f t="shared" si="21"/>
        <v>35</v>
      </c>
      <c r="X40" s="36">
        <f t="shared" si="15"/>
        <v>35</v>
      </c>
      <c r="Y40" s="2"/>
      <c r="Z40" s="34">
        <f t="shared" si="10"/>
        <v>22810</v>
      </c>
      <c r="AA40" s="57">
        <f t="shared" si="11"/>
        <v>53583</v>
      </c>
      <c r="AB40" s="96"/>
      <c r="AC40" s="96"/>
      <c r="AD40" s="96"/>
      <c r="AE40" s="96"/>
      <c r="AF40" s="96"/>
      <c r="AG40" s="96"/>
      <c r="AH40" s="96"/>
      <c r="AI40" s="96"/>
    </row>
    <row r="41" spans="1:35" s="16" customFormat="1" ht="12" x14ac:dyDescent="0.2">
      <c r="A41" s="2"/>
      <c r="B41" s="2"/>
      <c r="C41" s="2"/>
      <c r="D41" s="2"/>
      <c r="E41" s="2"/>
      <c r="F41" s="383">
        <f t="shared" si="16"/>
        <v>30</v>
      </c>
      <c r="G41" s="384">
        <f t="shared" si="3"/>
        <v>43910</v>
      </c>
      <c r="H41" s="340">
        <f t="shared" si="4"/>
        <v>23800</v>
      </c>
      <c r="I41" s="340">
        <f t="shared" si="5"/>
        <v>5278</v>
      </c>
      <c r="J41" s="340">
        <f t="shared" si="12"/>
        <v>5278</v>
      </c>
      <c r="K41" s="340">
        <f t="shared" si="13"/>
        <v>5252.57</v>
      </c>
      <c r="L41" s="382">
        <f t="shared" si="17"/>
        <v>43831</v>
      </c>
      <c r="M41" s="382">
        <f t="shared" si="18"/>
        <v>44197</v>
      </c>
      <c r="N41" s="382">
        <f t="shared" si="19"/>
        <v>43466</v>
      </c>
      <c r="O41" s="340">
        <f t="shared" si="6"/>
        <v>17532</v>
      </c>
      <c r="P41" s="340">
        <f t="shared" si="23"/>
        <v>990</v>
      </c>
      <c r="Q41" s="340">
        <f t="shared" si="20"/>
        <v>0</v>
      </c>
      <c r="R41" s="340">
        <f t="shared" si="7"/>
        <v>6268</v>
      </c>
      <c r="S41" s="340">
        <f t="shared" si="22"/>
        <v>990</v>
      </c>
      <c r="T41" s="340">
        <f t="shared" si="8"/>
        <v>990</v>
      </c>
      <c r="U41" s="340">
        <f t="shared" si="14"/>
        <v>0</v>
      </c>
      <c r="V41" s="340">
        <f t="shared" si="9"/>
        <v>655316.61</v>
      </c>
      <c r="W41" s="198">
        <f t="shared" si="21"/>
        <v>34</v>
      </c>
      <c r="X41" s="36">
        <f t="shared" si="15"/>
        <v>34</v>
      </c>
      <c r="Y41" s="2"/>
      <c r="Z41" s="34">
        <f t="shared" si="10"/>
        <v>22810</v>
      </c>
      <c r="AA41" s="57">
        <f t="shared" si="11"/>
        <v>53948</v>
      </c>
      <c r="AB41" s="96"/>
      <c r="AC41" s="96"/>
      <c r="AD41" s="96"/>
      <c r="AE41" s="96"/>
      <c r="AF41" s="96"/>
      <c r="AG41" s="96"/>
      <c r="AH41" s="96"/>
      <c r="AI41" s="96"/>
    </row>
    <row r="42" spans="1:35" s="16" customFormat="1" ht="12" x14ac:dyDescent="0.2">
      <c r="A42" s="2"/>
      <c r="B42" s="2"/>
      <c r="C42" s="2"/>
      <c r="D42" s="2"/>
      <c r="E42" s="2"/>
      <c r="F42" s="383">
        <f t="shared" si="16"/>
        <v>31</v>
      </c>
      <c r="G42" s="384">
        <f t="shared" si="3"/>
        <v>43941</v>
      </c>
      <c r="H42" s="340">
        <f t="shared" si="4"/>
        <v>23800</v>
      </c>
      <c r="I42" s="340">
        <f t="shared" si="5"/>
        <v>5494.99</v>
      </c>
      <c r="J42" s="340">
        <f t="shared" si="12"/>
        <v>5494.99</v>
      </c>
      <c r="K42" s="340">
        <f t="shared" si="13"/>
        <v>5456.1400000000012</v>
      </c>
      <c r="L42" s="382">
        <f t="shared" si="17"/>
        <v>43831</v>
      </c>
      <c r="M42" s="382">
        <f t="shared" si="18"/>
        <v>44197</v>
      </c>
      <c r="N42" s="382">
        <f t="shared" si="19"/>
        <v>43466</v>
      </c>
      <c r="O42" s="340">
        <f t="shared" si="6"/>
        <v>17315.010000000002</v>
      </c>
      <c r="P42" s="340">
        <f t="shared" si="23"/>
        <v>990</v>
      </c>
      <c r="Q42" s="340">
        <f t="shared" si="20"/>
        <v>0</v>
      </c>
      <c r="R42" s="340">
        <f t="shared" si="7"/>
        <v>6484.99</v>
      </c>
      <c r="S42" s="340">
        <f t="shared" si="22"/>
        <v>990</v>
      </c>
      <c r="T42" s="340">
        <f t="shared" si="8"/>
        <v>990</v>
      </c>
      <c r="U42" s="340">
        <f t="shared" si="14"/>
        <v>0</v>
      </c>
      <c r="V42" s="340">
        <f t="shared" si="9"/>
        <v>638001.6</v>
      </c>
      <c r="W42" s="198">
        <f t="shared" si="21"/>
        <v>33</v>
      </c>
      <c r="X42" s="36">
        <f t="shared" si="15"/>
        <v>33</v>
      </c>
      <c r="Y42" s="2"/>
      <c r="Z42" s="34">
        <f t="shared" si="10"/>
        <v>22810</v>
      </c>
      <c r="AA42" s="57">
        <f t="shared" si="11"/>
        <v>54313</v>
      </c>
      <c r="AB42" s="96"/>
      <c r="AC42" s="96"/>
      <c r="AD42" s="96"/>
      <c r="AE42" s="96"/>
      <c r="AF42" s="96"/>
      <c r="AG42" s="96"/>
      <c r="AH42" s="96"/>
      <c r="AI42" s="96"/>
    </row>
    <row r="43" spans="1:35" s="16" customFormat="1" ht="12" x14ac:dyDescent="0.2">
      <c r="A43" s="2"/>
      <c r="B43" s="2"/>
      <c r="C43" s="2"/>
      <c r="D43" s="2"/>
      <c r="E43" s="2"/>
      <c r="F43" s="383">
        <f t="shared" si="16"/>
        <v>32</v>
      </c>
      <c r="G43" s="384">
        <f t="shared" si="3"/>
        <v>43971</v>
      </c>
      <c r="H43" s="340">
        <f t="shared" si="4"/>
        <v>23800</v>
      </c>
      <c r="I43" s="340">
        <f t="shared" si="5"/>
        <v>5177.2299999999996</v>
      </c>
      <c r="J43" s="340">
        <f t="shared" si="12"/>
        <v>5177.2299999999996</v>
      </c>
      <c r="K43" s="340">
        <f t="shared" si="13"/>
        <v>5124.739999999998</v>
      </c>
      <c r="L43" s="382">
        <f t="shared" si="17"/>
        <v>43831</v>
      </c>
      <c r="M43" s="382">
        <f t="shared" si="18"/>
        <v>44197</v>
      </c>
      <c r="N43" s="382">
        <f t="shared" si="19"/>
        <v>43466</v>
      </c>
      <c r="O43" s="340">
        <f t="shared" si="6"/>
        <v>17632.77</v>
      </c>
      <c r="P43" s="340">
        <f t="shared" si="23"/>
        <v>990</v>
      </c>
      <c r="Q43" s="340">
        <f t="shared" si="20"/>
        <v>0</v>
      </c>
      <c r="R43" s="340">
        <f t="shared" si="7"/>
        <v>6167.23</v>
      </c>
      <c r="S43" s="340">
        <f t="shared" si="22"/>
        <v>990</v>
      </c>
      <c r="T43" s="340">
        <f t="shared" si="8"/>
        <v>990</v>
      </c>
      <c r="U43" s="340">
        <f t="shared" si="14"/>
        <v>0</v>
      </c>
      <c r="V43" s="340">
        <f t="shared" si="9"/>
        <v>620368.82999999996</v>
      </c>
      <c r="W43" s="198">
        <f t="shared" si="21"/>
        <v>32</v>
      </c>
      <c r="X43" s="36">
        <f t="shared" si="15"/>
        <v>32</v>
      </c>
      <c r="Y43" s="2"/>
      <c r="Z43" s="34">
        <f t="shared" si="10"/>
        <v>22810</v>
      </c>
      <c r="AA43" s="57">
        <f t="shared" si="11"/>
        <v>54678</v>
      </c>
      <c r="AB43" s="96"/>
      <c r="AC43" s="96"/>
      <c r="AD43" s="96"/>
      <c r="AE43" s="96"/>
      <c r="AF43" s="96"/>
      <c r="AG43" s="96"/>
      <c r="AH43" s="96"/>
      <c r="AI43" s="96"/>
    </row>
    <row r="44" spans="1:35" s="16" customFormat="1" ht="12" x14ac:dyDescent="0.2">
      <c r="A44" s="2"/>
      <c r="B44" s="2"/>
      <c r="C44" s="2"/>
      <c r="D44" s="2"/>
      <c r="E44" s="2"/>
      <c r="F44" s="383">
        <f t="shared" si="16"/>
        <v>33</v>
      </c>
      <c r="G44" s="384">
        <f t="shared" si="3"/>
        <v>44002</v>
      </c>
      <c r="H44" s="340">
        <f t="shared" ref="H44:H75" si="24">IF(F44&lt;=$I$7,I44+P44,IF(AND(V43+P44+I44&gt;H43,H43&lt;&gt;0),$C$21,IF(V43=0,0,V43+P44+I44+I45)))</f>
        <v>23800</v>
      </c>
      <c r="I44" s="340">
        <f t="shared" si="5"/>
        <v>5201.95</v>
      </c>
      <c r="J44" s="340">
        <f t="shared" si="12"/>
        <v>5201.95</v>
      </c>
      <c r="K44" s="340">
        <f t="shared" si="13"/>
        <v>5137.130000000001</v>
      </c>
      <c r="L44" s="382">
        <f t="shared" si="17"/>
        <v>43831</v>
      </c>
      <c r="M44" s="382">
        <f t="shared" si="18"/>
        <v>44197</v>
      </c>
      <c r="N44" s="382">
        <f t="shared" si="19"/>
        <v>43466</v>
      </c>
      <c r="O44" s="340">
        <f t="shared" si="6"/>
        <v>17608.05</v>
      </c>
      <c r="P44" s="340">
        <f t="shared" si="23"/>
        <v>990</v>
      </c>
      <c r="Q44" s="340">
        <f t="shared" si="20"/>
        <v>0</v>
      </c>
      <c r="R44" s="340">
        <f t="shared" si="7"/>
        <v>6191.95</v>
      </c>
      <c r="S44" s="340">
        <f t="shared" si="22"/>
        <v>990</v>
      </c>
      <c r="T44" s="340">
        <f t="shared" si="8"/>
        <v>990</v>
      </c>
      <c r="U44" s="340">
        <f t="shared" si="14"/>
        <v>0</v>
      </c>
      <c r="V44" s="340">
        <f t="shared" si="9"/>
        <v>602760.77999999991</v>
      </c>
      <c r="W44" s="198">
        <f t="shared" si="21"/>
        <v>31</v>
      </c>
      <c r="X44" s="36">
        <f t="shared" si="15"/>
        <v>31</v>
      </c>
      <c r="Y44" s="2"/>
      <c r="Z44" s="34">
        <f t="shared" si="10"/>
        <v>22810</v>
      </c>
      <c r="AA44" s="57">
        <f t="shared" si="11"/>
        <v>55043</v>
      </c>
      <c r="AB44" s="96"/>
      <c r="AC44" s="96"/>
      <c r="AD44" s="96"/>
      <c r="AE44" s="96"/>
      <c r="AF44" s="96"/>
      <c r="AG44" s="96"/>
      <c r="AH44" s="96"/>
      <c r="AI44" s="96"/>
    </row>
    <row r="45" spans="1:35" s="16" customFormat="1" ht="12" x14ac:dyDescent="0.2">
      <c r="A45" s="2"/>
      <c r="B45" s="2"/>
      <c r="C45" s="2"/>
      <c r="D45" s="2"/>
      <c r="E45" s="2"/>
      <c r="F45" s="383">
        <f t="shared" si="16"/>
        <v>34</v>
      </c>
      <c r="G45" s="384">
        <f t="shared" si="3"/>
        <v>44032</v>
      </c>
      <c r="H45" s="340">
        <f t="shared" si="24"/>
        <v>23800</v>
      </c>
      <c r="I45" s="340">
        <f t="shared" si="5"/>
        <v>4891.26</v>
      </c>
      <c r="J45" s="340">
        <f t="shared" si="12"/>
        <v>4891.26</v>
      </c>
      <c r="K45" s="340">
        <f t="shared" si="13"/>
        <v>4814.4199999999983</v>
      </c>
      <c r="L45" s="382">
        <f t="shared" si="17"/>
        <v>43831</v>
      </c>
      <c r="M45" s="382">
        <f t="shared" si="18"/>
        <v>44197</v>
      </c>
      <c r="N45" s="382">
        <f t="shared" si="19"/>
        <v>43466</v>
      </c>
      <c r="O45" s="340">
        <f t="shared" si="6"/>
        <v>17918.739999999998</v>
      </c>
      <c r="P45" s="340">
        <f t="shared" si="23"/>
        <v>990</v>
      </c>
      <c r="Q45" s="340">
        <f t="shared" si="20"/>
        <v>0</v>
      </c>
      <c r="R45" s="340">
        <f t="shared" si="7"/>
        <v>5881.26</v>
      </c>
      <c r="S45" s="340">
        <f t="shared" si="22"/>
        <v>990</v>
      </c>
      <c r="T45" s="340">
        <f t="shared" si="8"/>
        <v>990</v>
      </c>
      <c r="U45" s="340">
        <f t="shared" si="14"/>
        <v>0</v>
      </c>
      <c r="V45" s="340">
        <f t="shared" si="9"/>
        <v>584842.03999999992</v>
      </c>
      <c r="W45" s="198">
        <f t="shared" si="21"/>
        <v>30</v>
      </c>
      <c r="X45" s="36">
        <f t="shared" si="15"/>
        <v>30</v>
      </c>
      <c r="Y45" s="2"/>
      <c r="Z45" s="34">
        <f t="shared" si="10"/>
        <v>22810</v>
      </c>
      <c r="AA45" s="57">
        <f t="shared" si="11"/>
        <v>55408</v>
      </c>
      <c r="AB45" s="96"/>
      <c r="AC45" s="96"/>
      <c r="AD45" s="96"/>
      <c r="AE45" s="96"/>
      <c r="AF45" s="96"/>
      <c r="AG45" s="96"/>
      <c r="AH45" s="96"/>
      <c r="AI45" s="96"/>
    </row>
    <row r="46" spans="1:35" s="16" customFormat="1" ht="12" x14ac:dyDescent="0.2">
      <c r="A46" s="2"/>
      <c r="B46" s="2"/>
      <c r="C46" s="2"/>
      <c r="D46" s="2"/>
      <c r="E46" s="2"/>
      <c r="F46" s="383">
        <f t="shared" si="16"/>
        <v>35</v>
      </c>
      <c r="G46" s="384">
        <f t="shared" si="3"/>
        <v>44063</v>
      </c>
      <c r="H46" s="340">
        <f t="shared" si="24"/>
        <v>23800</v>
      </c>
      <c r="I46" s="340">
        <f t="shared" si="5"/>
        <v>4904.04</v>
      </c>
      <c r="J46" s="340">
        <f t="shared" si="12"/>
        <v>4904.04</v>
      </c>
      <c r="K46" s="340">
        <f t="shared" si="13"/>
        <v>4816.5</v>
      </c>
      <c r="L46" s="382">
        <f t="shared" si="17"/>
        <v>43831</v>
      </c>
      <c r="M46" s="382">
        <f t="shared" si="18"/>
        <v>44197</v>
      </c>
      <c r="N46" s="382">
        <f t="shared" si="19"/>
        <v>43466</v>
      </c>
      <c r="O46" s="340">
        <f t="shared" si="6"/>
        <v>17905.96</v>
      </c>
      <c r="P46" s="340">
        <f t="shared" si="23"/>
        <v>990</v>
      </c>
      <c r="Q46" s="340">
        <f t="shared" si="20"/>
        <v>0</v>
      </c>
      <c r="R46" s="340">
        <f t="shared" si="7"/>
        <v>5894.04</v>
      </c>
      <c r="S46" s="340">
        <f t="shared" si="22"/>
        <v>990</v>
      </c>
      <c r="T46" s="340">
        <f t="shared" si="8"/>
        <v>990</v>
      </c>
      <c r="U46" s="340">
        <f t="shared" si="14"/>
        <v>0</v>
      </c>
      <c r="V46" s="340">
        <f t="shared" si="9"/>
        <v>566936.07999999996</v>
      </c>
      <c r="W46" s="198">
        <f t="shared" si="21"/>
        <v>29</v>
      </c>
      <c r="X46" s="36">
        <f t="shared" si="15"/>
        <v>29</v>
      </c>
      <c r="Y46" s="2"/>
      <c r="Z46" s="34">
        <f t="shared" si="10"/>
        <v>22810</v>
      </c>
      <c r="AA46" s="57">
        <f t="shared" si="11"/>
        <v>55773</v>
      </c>
      <c r="AB46" s="96"/>
      <c r="AC46" s="96"/>
      <c r="AD46" s="96"/>
      <c r="AE46" s="96"/>
      <c r="AF46" s="96"/>
      <c r="AG46" s="96"/>
      <c r="AH46" s="96"/>
      <c r="AI46" s="96"/>
    </row>
    <row r="47" spans="1:35" s="16" customFormat="1" ht="12" x14ac:dyDescent="0.2">
      <c r="A47" s="2"/>
      <c r="B47" s="2"/>
      <c r="C47" s="2"/>
      <c r="D47" s="2"/>
      <c r="E47" s="2"/>
      <c r="F47" s="383">
        <f t="shared" si="16"/>
        <v>36</v>
      </c>
      <c r="G47" s="384">
        <f t="shared" si="3"/>
        <v>44094</v>
      </c>
      <c r="H47" s="340">
        <f t="shared" si="24"/>
        <v>23800</v>
      </c>
      <c r="I47" s="340">
        <f t="shared" si="5"/>
        <v>4753.8999999999996</v>
      </c>
      <c r="J47" s="340">
        <f t="shared" si="12"/>
        <v>4753.8999999999996</v>
      </c>
      <c r="K47" s="340">
        <f t="shared" si="13"/>
        <v>4656</v>
      </c>
      <c r="L47" s="382">
        <f t="shared" si="17"/>
        <v>43831</v>
      </c>
      <c r="M47" s="382">
        <f t="shared" si="18"/>
        <v>44197</v>
      </c>
      <c r="N47" s="382">
        <f t="shared" si="19"/>
        <v>43466</v>
      </c>
      <c r="O47" s="340">
        <f t="shared" si="6"/>
        <v>18056.099999999999</v>
      </c>
      <c r="P47" s="340">
        <f t="shared" si="23"/>
        <v>990</v>
      </c>
      <c r="Q47" s="340">
        <f t="shared" si="20"/>
        <v>0</v>
      </c>
      <c r="R47" s="340">
        <f t="shared" si="7"/>
        <v>5743.9</v>
      </c>
      <c r="S47" s="340">
        <f t="shared" si="22"/>
        <v>990</v>
      </c>
      <c r="T47" s="340">
        <f t="shared" si="8"/>
        <v>990</v>
      </c>
      <c r="U47" s="340">
        <f t="shared" si="14"/>
        <v>0</v>
      </c>
      <c r="V47" s="340">
        <f t="shared" si="9"/>
        <v>548879.98</v>
      </c>
      <c r="W47" s="198">
        <f t="shared" si="21"/>
        <v>28</v>
      </c>
      <c r="X47" s="36">
        <f t="shared" si="15"/>
        <v>28</v>
      </c>
      <c r="Y47" s="2"/>
      <c r="Z47" s="34">
        <f t="shared" si="10"/>
        <v>22810</v>
      </c>
      <c r="AA47" s="57">
        <f t="shared" si="11"/>
        <v>56138</v>
      </c>
      <c r="AB47" s="96"/>
      <c r="AC47" s="96"/>
      <c r="AD47" s="96"/>
      <c r="AE47" s="96"/>
      <c r="AF47" s="96"/>
      <c r="AG47" s="96"/>
      <c r="AH47" s="96"/>
      <c r="AI47" s="96"/>
    </row>
    <row r="48" spans="1:35" s="16" customFormat="1" ht="12" x14ac:dyDescent="0.2">
      <c r="A48" s="2"/>
      <c r="B48" s="2"/>
      <c r="C48" s="2"/>
      <c r="D48" s="2"/>
      <c r="E48" s="2"/>
      <c r="F48" s="383">
        <f t="shared" si="16"/>
        <v>37</v>
      </c>
      <c r="G48" s="384">
        <f t="shared" si="3"/>
        <v>44124</v>
      </c>
      <c r="H48" s="340">
        <f t="shared" si="24"/>
        <v>23800</v>
      </c>
      <c r="I48" s="340">
        <f t="shared" si="5"/>
        <v>4454.03</v>
      </c>
      <c r="J48" s="340">
        <f t="shared" si="12"/>
        <v>4454.03</v>
      </c>
      <c r="K48" s="340">
        <f t="shared" si="13"/>
        <v>4346.6500000000015</v>
      </c>
      <c r="L48" s="382">
        <f t="shared" si="17"/>
        <v>43831</v>
      </c>
      <c r="M48" s="382">
        <f t="shared" si="18"/>
        <v>44197</v>
      </c>
      <c r="N48" s="382">
        <f t="shared" si="19"/>
        <v>43466</v>
      </c>
      <c r="O48" s="340">
        <f t="shared" si="6"/>
        <v>18355.97</v>
      </c>
      <c r="P48" s="340">
        <f t="shared" si="23"/>
        <v>990</v>
      </c>
      <c r="Q48" s="340">
        <f t="shared" si="20"/>
        <v>0</v>
      </c>
      <c r="R48" s="340">
        <f t="shared" si="7"/>
        <v>5444.03</v>
      </c>
      <c r="S48" s="340">
        <f t="shared" si="22"/>
        <v>990</v>
      </c>
      <c r="T48" s="340">
        <f t="shared" si="8"/>
        <v>990</v>
      </c>
      <c r="U48" s="340">
        <f t="shared" si="14"/>
        <v>0</v>
      </c>
      <c r="V48" s="340">
        <f t="shared" si="9"/>
        <v>530524.01</v>
      </c>
      <c r="W48" s="198">
        <f t="shared" si="21"/>
        <v>27</v>
      </c>
      <c r="X48" s="36">
        <f t="shared" si="15"/>
        <v>27</v>
      </c>
      <c r="Y48" s="2"/>
      <c r="Z48" s="34">
        <f t="shared" si="10"/>
        <v>22810</v>
      </c>
      <c r="AA48" s="57">
        <f t="shared" si="11"/>
        <v>56503</v>
      </c>
      <c r="AB48" s="96"/>
      <c r="AC48" s="96"/>
      <c r="AD48" s="96"/>
      <c r="AE48" s="96"/>
      <c r="AF48" s="96"/>
      <c r="AG48" s="96"/>
      <c r="AH48" s="96"/>
      <c r="AI48" s="96"/>
    </row>
    <row r="49" spans="1:35" s="16" customFormat="1" ht="12" x14ac:dyDescent="0.2">
      <c r="A49" s="2"/>
      <c r="B49" s="2"/>
      <c r="C49" s="2"/>
      <c r="D49" s="2"/>
      <c r="E49" s="2"/>
      <c r="F49" s="383">
        <f t="shared" si="16"/>
        <v>38</v>
      </c>
      <c r="G49" s="384">
        <f t="shared" si="3"/>
        <v>44155</v>
      </c>
      <c r="H49" s="340">
        <f t="shared" si="24"/>
        <v>23800</v>
      </c>
      <c r="I49" s="340">
        <f t="shared" si="5"/>
        <v>4448.57</v>
      </c>
      <c r="J49" s="340">
        <f t="shared" si="12"/>
        <v>4448.57</v>
      </c>
      <c r="K49" s="340">
        <f t="shared" si="13"/>
        <v>4332.989999999998</v>
      </c>
      <c r="L49" s="382">
        <f t="shared" si="17"/>
        <v>43831</v>
      </c>
      <c r="M49" s="382">
        <f t="shared" si="18"/>
        <v>44197</v>
      </c>
      <c r="N49" s="382">
        <f t="shared" si="19"/>
        <v>43466</v>
      </c>
      <c r="O49" s="340">
        <f t="shared" si="6"/>
        <v>18361.43</v>
      </c>
      <c r="P49" s="340">
        <f t="shared" si="23"/>
        <v>990</v>
      </c>
      <c r="Q49" s="340">
        <f t="shared" si="20"/>
        <v>0</v>
      </c>
      <c r="R49" s="340">
        <f t="shared" si="7"/>
        <v>5438.57</v>
      </c>
      <c r="S49" s="340">
        <f t="shared" si="22"/>
        <v>990</v>
      </c>
      <c r="T49" s="340">
        <f t="shared" si="8"/>
        <v>990</v>
      </c>
      <c r="U49" s="340">
        <f t="shared" si="14"/>
        <v>0</v>
      </c>
      <c r="V49" s="340">
        <f t="shared" si="9"/>
        <v>512162.58</v>
      </c>
      <c r="W49" s="198">
        <f t="shared" si="21"/>
        <v>26</v>
      </c>
      <c r="X49" s="36">
        <f t="shared" si="15"/>
        <v>26</v>
      </c>
      <c r="Y49" s="2"/>
      <c r="Z49" s="34">
        <f t="shared" si="10"/>
        <v>22810</v>
      </c>
      <c r="AA49" s="57">
        <f t="shared" si="11"/>
        <v>56868</v>
      </c>
      <c r="AB49" s="96"/>
      <c r="AC49" s="96"/>
      <c r="AD49" s="96"/>
      <c r="AE49" s="96"/>
      <c r="AF49" s="96"/>
      <c r="AG49" s="96"/>
      <c r="AH49" s="96"/>
      <c r="AI49" s="96"/>
    </row>
    <row r="50" spans="1:35" s="16" customFormat="1" ht="12" x14ac:dyDescent="0.2">
      <c r="A50" s="53"/>
      <c r="C50" s="2"/>
      <c r="D50" s="2"/>
      <c r="E50" s="2"/>
      <c r="F50" s="383">
        <f t="shared" si="16"/>
        <v>39</v>
      </c>
      <c r="G50" s="384">
        <f t="shared" si="3"/>
        <v>44185</v>
      </c>
      <c r="H50" s="340">
        <f t="shared" si="24"/>
        <v>23800</v>
      </c>
      <c r="I50" s="340">
        <f t="shared" si="5"/>
        <v>4156.07</v>
      </c>
      <c r="J50" s="340">
        <f t="shared" si="12"/>
        <v>4156.07</v>
      </c>
      <c r="K50" s="340">
        <f t="shared" si="13"/>
        <v>4032.7199999999939</v>
      </c>
      <c r="L50" s="382">
        <f t="shared" si="17"/>
        <v>43831</v>
      </c>
      <c r="M50" s="382">
        <f t="shared" si="18"/>
        <v>44197</v>
      </c>
      <c r="N50" s="382">
        <f t="shared" si="19"/>
        <v>43466</v>
      </c>
      <c r="O50" s="340">
        <f t="shared" si="6"/>
        <v>18653.93</v>
      </c>
      <c r="P50" s="340">
        <f t="shared" si="23"/>
        <v>990</v>
      </c>
      <c r="Q50" s="340">
        <f t="shared" si="20"/>
        <v>0</v>
      </c>
      <c r="R50" s="340">
        <f t="shared" si="7"/>
        <v>5146.07</v>
      </c>
      <c r="S50" s="340">
        <f t="shared" si="22"/>
        <v>990</v>
      </c>
      <c r="T50" s="340">
        <f t="shared" si="8"/>
        <v>990</v>
      </c>
      <c r="U50" s="340">
        <f t="shared" si="14"/>
        <v>0</v>
      </c>
      <c r="V50" s="340">
        <f t="shared" si="9"/>
        <v>493508.65</v>
      </c>
      <c r="W50" s="198">
        <f t="shared" si="21"/>
        <v>25</v>
      </c>
      <c r="X50" s="36">
        <f t="shared" si="15"/>
        <v>25</v>
      </c>
      <c r="Y50" s="2"/>
      <c r="Z50" s="34">
        <f t="shared" si="10"/>
        <v>22810</v>
      </c>
      <c r="AA50" s="57">
        <f t="shared" si="11"/>
        <v>57233</v>
      </c>
      <c r="AB50" s="96"/>
      <c r="AC50" s="96"/>
      <c r="AD50" s="96"/>
      <c r="AE50" s="96"/>
      <c r="AF50" s="96"/>
      <c r="AG50" s="96"/>
      <c r="AH50" s="96"/>
      <c r="AI50" s="96"/>
    </row>
    <row r="51" spans="1:35" s="16" customFormat="1" ht="12" x14ac:dyDescent="0.2">
      <c r="A51" s="53"/>
      <c r="B51" s="2"/>
      <c r="C51" s="2"/>
      <c r="D51" s="13"/>
      <c r="E51" s="2"/>
      <c r="F51" s="383">
        <f t="shared" si="16"/>
        <v>40</v>
      </c>
      <c r="G51" s="384">
        <f t="shared" si="3"/>
        <v>44216</v>
      </c>
      <c r="H51" s="340">
        <f t="shared" si="24"/>
        <v>23800</v>
      </c>
      <c r="I51" s="340">
        <f t="shared" si="5"/>
        <v>4145.51</v>
      </c>
      <c r="J51" s="340">
        <f t="shared" si="12"/>
        <v>4149.53</v>
      </c>
      <c r="K51" s="340">
        <f t="shared" si="13"/>
        <v>4145.51</v>
      </c>
      <c r="L51" s="382">
        <f t="shared" si="17"/>
        <v>44197</v>
      </c>
      <c r="M51" s="382">
        <f t="shared" si="18"/>
        <v>44562</v>
      </c>
      <c r="N51" s="382">
        <f t="shared" si="19"/>
        <v>43831</v>
      </c>
      <c r="O51" s="340">
        <f t="shared" si="6"/>
        <v>18664.489999999998</v>
      </c>
      <c r="P51" s="340">
        <f t="shared" ref="P51:P82" si="25">IF(R51&gt;$C$21,$C$21-I51,IF(X51=0,0,S51))</f>
        <v>990</v>
      </c>
      <c r="Q51" s="340">
        <f t="shared" si="20"/>
        <v>0</v>
      </c>
      <c r="R51" s="340">
        <f t="shared" si="7"/>
        <v>5135.51</v>
      </c>
      <c r="S51" s="340">
        <f t="shared" si="22"/>
        <v>990</v>
      </c>
      <c r="T51" s="340">
        <f t="shared" si="8"/>
        <v>990</v>
      </c>
      <c r="U51" s="340">
        <f t="shared" si="14"/>
        <v>0</v>
      </c>
      <c r="V51" s="340">
        <f t="shared" si="9"/>
        <v>474844.16000000003</v>
      </c>
      <c r="W51" s="198">
        <f t="shared" si="21"/>
        <v>24</v>
      </c>
      <c r="X51" s="36">
        <f t="shared" si="15"/>
        <v>24</v>
      </c>
      <c r="Y51" s="2"/>
      <c r="Z51" s="34">
        <f t="shared" si="10"/>
        <v>22810</v>
      </c>
      <c r="AA51" s="57">
        <f t="shared" si="11"/>
        <v>57598</v>
      </c>
      <c r="AB51" s="96"/>
      <c r="AC51" s="96"/>
      <c r="AD51" s="96"/>
      <c r="AE51" s="96"/>
      <c r="AF51" s="96"/>
      <c r="AG51" s="96"/>
      <c r="AH51" s="96"/>
      <c r="AI51" s="96"/>
    </row>
    <row r="52" spans="1:35" s="16" customFormat="1" ht="12" x14ac:dyDescent="0.2">
      <c r="A52" s="2"/>
      <c r="B52" s="2"/>
      <c r="C52" s="1"/>
      <c r="D52" s="2"/>
      <c r="E52" s="2"/>
      <c r="F52" s="383">
        <f t="shared" si="16"/>
        <v>41</v>
      </c>
      <c r="G52" s="384">
        <f t="shared" si="3"/>
        <v>44247</v>
      </c>
      <c r="H52" s="340">
        <f t="shared" si="24"/>
        <v>23800</v>
      </c>
      <c r="I52" s="340">
        <f t="shared" si="5"/>
        <v>3992.59</v>
      </c>
      <c r="J52" s="340">
        <f t="shared" si="12"/>
        <v>3992.59</v>
      </c>
      <c r="K52" s="340">
        <f t="shared" si="13"/>
        <v>3999.63</v>
      </c>
      <c r="L52" s="382">
        <f t="shared" si="17"/>
        <v>44197</v>
      </c>
      <c r="M52" s="382">
        <f t="shared" si="18"/>
        <v>44562</v>
      </c>
      <c r="N52" s="382">
        <f t="shared" si="19"/>
        <v>43831</v>
      </c>
      <c r="O52" s="340">
        <f t="shared" si="6"/>
        <v>18817.41</v>
      </c>
      <c r="P52" s="340">
        <f t="shared" si="25"/>
        <v>990</v>
      </c>
      <c r="Q52" s="340">
        <f t="shared" si="20"/>
        <v>0</v>
      </c>
      <c r="R52" s="340">
        <f t="shared" si="7"/>
        <v>4982.59</v>
      </c>
      <c r="S52" s="340">
        <f t="shared" si="22"/>
        <v>990</v>
      </c>
      <c r="T52" s="340">
        <f t="shared" si="8"/>
        <v>990</v>
      </c>
      <c r="U52" s="340">
        <f t="shared" si="14"/>
        <v>0</v>
      </c>
      <c r="V52" s="340">
        <f t="shared" si="9"/>
        <v>456026.75000000006</v>
      </c>
      <c r="W52" s="198">
        <f t="shared" si="21"/>
        <v>23</v>
      </c>
      <c r="X52" s="36">
        <f t="shared" si="15"/>
        <v>23</v>
      </c>
      <c r="Y52" s="2"/>
      <c r="Z52" s="34">
        <f t="shared" si="10"/>
        <v>22810</v>
      </c>
      <c r="AA52" s="57">
        <f t="shared" si="11"/>
        <v>57963</v>
      </c>
      <c r="AB52" s="96"/>
      <c r="AC52" s="96"/>
      <c r="AD52" s="96"/>
      <c r="AE52" s="96"/>
      <c r="AF52" s="96"/>
      <c r="AG52" s="96"/>
      <c r="AH52" s="96"/>
      <c r="AI52" s="96"/>
    </row>
    <row r="53" spans="1:35" s="16" customFormat="1" ht="12" x14ac:dyDescent="0.2">
      <c r="A53" s="2"/>
      <c r="B53" s="2"/>
      <c r="C53" s="98"/>
      <c r="D53" s="1"/>
      <c r="E53" s="2"/>
      <c r="F53" s="383">
        <f t="shared" si="16"/>
        <v>42</v>
      </c>
      <c r="G53" s="384">
        <f t="shared" si="3"/>
        <v>44275</v>
      </c>
      <c r="H53" s="340">
        <f t="shared" si="24"/>
        <v>23800</v>
      </c>
      <c r="I53" s="340">
        <f t="shared" si="5"/>
        <v>3463.3</v>
      </c>
      <c r="J53" s="340">
        <f t="shared" si="12"/>
        <v>3463.3</v>
      </c>
      <c r="K53" s="340">
        <f t="shared" si="13"/>
        <v>3480.5399999999991</v>
      </c>
      <c r="L53" s="382">
        <f t="shared" si="17"/>
        <v>44197</v>
      </c>
      <c r="M53" s="382">
        <f t="shared" si="18"/>
        <v>44562</v>
      </c>
      <c r="N53" s="382">
        <f t="shared" si="19"/>
        <v>43831</v>
      </c>
      <c r="O53" s="340">
        <f t="shared" si="6"/>
        <v>19346.7</v>
      </c>
      <c r="P53" s="340">
        <f t="shared" si="25"/>
        <v>990</v>
      </c>
      <c r="Q53" s="340">
        <f t="shared" si="20"/>
        <v>0</v>
      </c>
      <c r="R53" s="340">
        <f t="shared" si="7"/>
        <v>4453.3</v>
      </c>
      <c r="S53" s="340">
        <f t="shared" si="22"/>
        <v>990</v>
      </c>
      <c r="T53" s="340">
        <f t="shared" si="8"/>
        <v>990</v>
      </c>
      <c r="U53" s="340">
        <f t="shared" si="14"/>
        <v>0</v>
      </c>
      <c r="V53" s="340">
        <f t="shared" si="9"/>
        <v>436680.05000000005</v>
      </c>
      <c r="W53" s="198">
        <f t="shared" si="21"/>
        <v>22</v>
      </c>
      <c r="X53" s="36">
        <f t="shared" si="15"/>
        <v>22</v>
      </c>
      <c r="Y53" s="2"/>
      <c r="Z53" s="34">
        <f t="shared" si="10"/>
        <v>22810</v>
      </c>
      <c r="AA53" s="57">
        <f t="shared" si="11"/>
        <v>58328</v>
      </c>
      <c r="AB53" s="96"/>
      <c r="AC53" s="96"/>
      <c r="AD53" s="96"/>
      <c r="AE53" s="96"/>
      <c r="AF53" s="96"/>
      <c r="AG53" s="96"/>
      <c r="AH53" s="96"/>
      <c r="AI53" s="96"/>
    </row>
    <row r="54" spans="1:35" s="16" customFormat="1" ht="12" x14ac:dyDescent="0.2">
      <c r="A54" s="2"/>
      <c r="B54" s="2"/>
      <c r="C54" s="2"/>
      <c r="D54" s="13"/>
      <c r="E54" s="2"/>
      <c r="F54" s="383">
        <f t="shared" si="16"/>
        <v>43</v>
      </c>
      <c r="G54" s="384">
        <f t="shared" si="3"/>
        <v>44306</v>
      </c>
      <c r="H54" s="340">
        <f t="shared" si="24"/>
        <v>23800</v>
      </c>
      <c r="I54" s="340">
        <f t="shared" si="5"/>
        <v>3671.7</v>
      </c>
      <c r="J54" s="340">
        <f t="shared" si="12"/>
        <v>3671.7</v>
      </c>
      <c r="K54" s="340">
        <f t="shared" si="13"/>
        <v>3697.2700000000004</v>
      </c>
      <c r="L54" s="382">
        <f t="shared" si="17"/>
        <v>44197</v>
      </c>
      <c r="M54" s="382">
        <f t="shared" si="18"/>
        <v>44562</v>
      </c>
      <c r="N54" s="382">
        <f t="shared" si="19"/>
        <v>43831</v>
      </c>
      <c r="O54" s="340">
        <f t="shared" si="6"/>
        <v>19138.3</v>
      </c>
      <c r="P54" s="340">
        <f t="shared" si="25"/>
        <v>990</v>
      </c>
      <c r="Q54" s="340">
        <f t="shared" si="20"/>
        <v>0</v>
      </c>
      <c r="R54" s="340">
        <f t="shared" si="7"/>
        <v>4661.7</v>
      </c>
      <c r="S54" s="340">
        <f t="shared" si="22"/>
        <v>990</v>
      </c>
      <c r="T54" s="340">
        <f t="shared" si="8"/>
        <v>990</v>
      </c>
      <c r="U54" s="340">
        <f t="shared" si="14"/>
        <v>0</v>
      </c>
      <c r="V54" s="340">
        <f t="shared" si="9"/>
        <v>417541.75000000006</v>
      </c>
      <c r="W54" s="198">
        <f t="shared" si="21"/>
        <v>21</v>
      </c>
      <c r="X54" s="36">
        <f t="shared" si="15"/>
        <v>21</v>
      </c>
      <c r="Y54" s="2"/>
      <c r="Z54" s="34">
        <f t="shared" si="10"/>
        <v>22810</v>
      </c>
      <c r="AA54" s="57">
        <f t="shared" si="11"/>
        <v>58693</v>
      </c>
      <c r="AB54" s="96"/>
      <c r="AC54" s="96"/>
      <c r="AD54" s="96"/>
      <c r="AE54" s="96"/>
      <c r="AF54" s="96"/>
      <c r="AG54" s="96"/>
      <c r="AH54" s="96"/>
      <c r="AI54" s="96"/>
    </row>
    <row r="55" spans="1:35" s="16" customFormat="1" ht="12" x14ac:dyDescent="0.2">
      <c r="A55" s="2"/>
      <c r="B55" s="2"/>
      <c r="C55" s="13"/>
      <c r="D55" s="13"/>
      <c r="E55" s="2"/>
      <c r="F55" s="383">
        <f t="shared" si="16"/>
        <v>44</v>
      </c>
      <c r="G55" s="384">
        <f t="shared" si="3"/>
        <v>44336</v>
      </c>
      <c r="H55" s="340">
        <f t="shared" si="24"/>
        <v>23800</v>
      </c>
      <c r="I55" s="340">
        <f t="shared" si="5"/>
        <v>3397.53</v>
      </c>
      <c r="J55" s="340">
        <f t="shared" si="12"/>
        <v>3397.53</v>
      </c>
      <c r="K55" s="340">
        <f t="shared" si="13"/>
        <v>3431.5699999999997</v>
      </c>
      <c r="L55" s="382">
        <f t="shared" si="17"/>
        <v>44197</v>
      </c>
      <c r="M55" s="382">
        <f t="shared" si="18"/>
        <v>44562</v>
      </c>
      <c r="N55" s="382">
        <f t="shared" si="19"/>
        <v>43831</v>
      </c>
      <c r="O55" s="340">
        <f t="shared" si="6"/>
        <v>19412.47</v>
      </c>
      <c r="P55" s="340">
        <f t="shared" si="25"/>
        <v>990</v>
      </c>
      <c r="Q55" s="340">
        <f t="shared" si="20"/>
        <v>0</v>
      </c>
      <c r="R55" s="340">
        <f t="shared" si="7"/>
        <v>4387.5300000000007</v>
      </c>
      <c r="S55" s="340">
        <f t="shared" si="22"/>
        <v>990</v>
      </c>
      <c r="T55" s="340">
        <f t="shared" si="8"/>
        <v>990</v>
      </c>
      <c r="U55" s="340">
        <f t="shared" si="14"/>
        <v>0</v>
      </c>
      <c r="V55" s="340">
        <f t="shared" si="9"/>
        <v>398129.28</v>
      </c>
      <c r="W55" s="198">
        <f t="shared" si="21"/>
        <v>20</v>
      </c>
      <c r="X55" s="36">
        <f t="shared" si="15"/>
        <v>20</v>
      </c>
      <c r="Y55" s="2"/>
      <c r="Z55" s="34">
        <f t="shared" si="10"/>
        <v>22810</v>
      </c>
      <c r="AA55" s="57">
        <f t="shared" si="11"/>
        <v>59058</v>
      </c>
      <c r="AB55" s="96"/>
      <c r="AC55" s="96"/>
      <c r="AD55" s="96"/>
      <c r="AE55" s="96"/>
      <c r="AF55" s="96"/>
      <c r="AG55" s="96"/>
      <c r="AH55" s="96"/>
      <c r="AI55" s="96"/>
    </row>
    <row r="56" spans="1:35" s="16" customFormat="1" ht="12" x14ac:dyDescent="0.2">
      <c r="A56" s="2"/>
      <c r="B56" s="2"/>
      <c r="C56" s="2"/>
      <c r="D56" s="13"/>
      <c r="E56" s="2"/>
      <c r="F56" s="383">
        <f t="shared" si="16"/>
        <v>45</v>
      </c>
      <c r="G56" s="384">
        <f t="shared" si="3"/>
        <v>44367</v>
      </c>
      <c r="H56" s="340">
        <f t="shared" si="24"/>
        <v>23800</v>
      </c>
      <c r="I56" s="340">
        <f t="shared" si="5"/>
        <v>3347.56</v>
      </c>
      <c r="J56" s="340">
        <f t="shared" si="12"/>
        <v>3347.56</v>
      </c>
      <c r="K56" s="340">
        <f t="shared" si="13"/>
        <v>3388.8600000000006</v>
      </c>
      <c r="L56" s="382">
        <f t="shared" si="17"/>
        <v>44197</v>
      </c>
      <c r="M56" s="382">
        <f t="shared" si="18"/>
        <v>44562</v>
      </c>
      <c r="N56" s="382">
        <f t="shared" si="19"/>
        <v>43831</v>
      </c>
      <c r="O56" s="340">
        <f t="shared" si="6"/>
        <v>19462.439999999999</v>
      </c>
      <c r="P56" s="340">
        <f t="shared" si="25"/>
        <v>990</v>
      </c>
      <c r="Q56" s="340">
        <f t="shared" si="20"/>
        <v>0</v>
      </c>
      <c r="R56" s="340">
        <f t="shared" si="7"/>
        <v>4337.5599999999995</v>
      </c>
      <c r="S56" s="340">
        <f t="shared" si="22"/>
        <v>990</v>
      </c>
      <c r="T56" s="340">
        <f t="shared" si="8"/>
        <v>990</v>
      </c>
      <c r="U56" s="340">
        <f t="shared" si="14"/>
        <v>0</v>
      </c>
      <c r="V56" s="340">
        <f t="shared" si="9"/>
        <v>378666.84</v>
      </c>
      <c r="W56" s="198">
        <f t="shared" si="21"/>
        <v>19</v>
      </c>
      <c r="X56" s="36">
        <f t="shared" si="15"/>
        <v>19</v>
      </c>
      <c r="Y56" s="2"/>
      <c r="Z56" s="34">
        <f t="shared" si="10"/>
        <v>22810</v>
      </c>
      <c r="AA56" s="57">
        <f t="shared" si="11"/>
        <v>59423</v>
      </c>
      <c r="AB56" s="96"/>
      <c r="AC56" s="96"/>
      <c r="AD56" s="96"/>
      <c r="AE56" s="96"/>
      <c r="AF56" s="96"/>
      <c r="AG56" s="96"/>
      <c r="AH56" s="96"/>
      <c r="AI56" s="96"/>
    </row>
    <row r="57" spans="1:35" s="16" customFormat="1" ht="12" x14ac:dyDescent="0.2">
      <c r="A57" s="2"/>
      <c r="B57" s="2"/>
      <c r="C57" s="2"/>
      <c r="D57" s="13"/>
      <c r="E57" s="2"/>
      <c r="F57" s="383">
        <f t="shared" si="16"/>
        <v>46</v>
      </c>
      <c r="G57" s="384">
        <f t="shared" si="3"/>
        <v>44397</v>
      </c>
      <c r="H57" s="340">
        <f t="shared" si="24"/>
        <v>23800</v>
      </c>
      <c r="I57" s="340">
        <f t="shared" si="5"/>
        <v>3081.21</v>
      </c>
      <c r="J57" s="340">
        <f t="shared" si="12"/>
        <v>3081.21</v>
      </c>
      <c r="K57" s="340">
        <f t="shared" si="13"/>
        <v>3129.2000000000007</v>
      </c>
      <c r="L57" s="382">
        <f t="shared" si="17"/>
        <v>44197</v>
      </c>
      <c r="M57" s="382">
        <f t="shared" si="18"/>
        <v>44562</v>
      </c>
      <c r="N57" s="382">
        <f t="shared" si="19"/>
        <v>43831</v>
      </c>
      <c r="O57" s="340">
        <f t="shared" si="6"/>
        <v>19728.79</v>
      </c>
      <c r="P57" s="340">
        <f t="shared" si="25"/>
        <v>990</v>
      </c>
      <c r="Q57" s="340">
        <f t="shared" si="20"/>
        <v>0</v>
      </c>
      <c r="R57" s="340">
        <f t="shared" si="7"/>
        <v>4071.21</v>
      </c>
      <c r="S57" s="340">
        <f t="shared" si="22"/>
        <v>990</v>
      </c>
      <c r="T57" s="340">
        <f t="shared" si="8"/>
        <v>990</v>
      </c>
      <c r="U57" s="340">
        <f t="shared" si="14"/>
        <v>0</v>
      </c>
      <c r="V57" s="340">
        <f t="shared" si="9"/>
        <v>358938.05000000005</v>
      </c>
      <c r="W57" s="198">
        <f t="shared" si="21"/>
        <v>18</v>
      </c>
      <c r="X57" s="36">
        <f t="shared" si="15"/>
        <v>18</v>
      </c>
      <c r="Y57" s="2"/>
      <c r="Z57" s="34">
        <f t="shared" si="10"/>
        <v>22810</v>
      </c>
      <c r="AA57" s="57">
        <f t="shared" si="11"/>
        <v>59788</v>
      </c>
      <c r="AB57" s="96"/>
      <c r="AC57" s="96"/>
      <c r="AD57" s="96"/>
      <c r="AE57" s="96"/>
      <c r="AF57" s="96"/>
      <c r="AG57" s="96"/>
      <c r="AH57" s="96"/>
      <c r="AI57" s="96"/>
    </row>
    <row r="58" spans="1:35" s="16" customFormat="1" ht="12" x14ac:dyDescent="0.2">
      <c r="A58" s="2"/>
      <c r="B58" s="2"/>
      <c r="C58" s="2"/>
      <c r="D58" s="2"/>
      <c r="E58" s="2"/>
      <c r="F58" s="383">
        <f t="shared" si="16"/>
        <v>47</v>
      </c>
      <c r="G58" s="384">
        <f t="shared" si="3"/>
        <v>44428</v>
      </c>
      <c r="H58" s="340">
        <f t="shared" si="24"/>
        <v>23800</v>
      </c>
      <c r="I58" s="340">
        <f t="shared" si="5"/>
        <v>3018.03</v>
      </c>
      <c r="J58" s="340">
        <f t="shared" si="12"/>
        <v>3018.03</v>
      </c>
      <c r="K58" s="340">
        <f t="shared" si="13"/>
        <v>3071.5</v>
      </c>
      <c r="L58" s="382">
        <f t="shared" si="17"/>
        <v>44197</v>
      </c>
      <c r="M58" s="382">
        <f t="shared" si="18"/>
        <v>44562</v>
      </c>
      <c r="N58" s="382">
        <f t="shared" si="19"/>
        <v>43831</v>
      </c>
      <c r="O58" s="340">
        <f t="shared" si="6"/>
        <v>19791.97</v>
      </c>
      <c r="P58" s="340">
        <f t="shared" si="25"/>
        <v>990</v>
      </c>
      <c r="Q58" s="340">
        <f t="shared" si="20"/>
        <v>0</v>
      </c>
      <c r="R58" s="340">
        <f t="shared" si="7"/>
        <v>4008.03</v>
      </c>
      <c r="S58" s="340">
        <f t="shared" si="22"/>
        <v>990</v>
      </c>
      <c r="T58" s="340">
        <f t="shared" si="8"/>
        <v>990</v>
      </c>
      <c r="U58" s="340">
        <f t="shared" si="14"/>
        <v>0</v>
      </c>
      <c r="V58" s="340">
        <f t="shared" si="9"/>
        <v>339146.08000000007</v>
      </c>
      <c r="W58" s="198">
        <f t="shared" si="21"/>
        <v>17</v>
      </c>
      <c r="X58" s="36">
        <f t="shared" si="15"/>
        <v>17</v>
      </c>
      <c r="Y58" s="2"/>
      <c r="Z58" s="34">
        <f t="shared" si="10"/>
        <v>22810</v>
      </c>
      <c r="AA58" s="57">
        <f t="shared" si="11"/>
        <v>60153</v>
      </c>
      <c r="AB58" s="96"/>
      <c r="AC58" s="96"/>
      <c r="AD58" s="96"/>
      <c r="AE58" s="96"/>
      <c r="AF58" s="96"/>
      <c r="AG58" s="96"/>
      <c r="AH58" s="96"/>
      <c r="AI58" s="96"/>
    </row>
    <row r="59" spans="1:35" s="16" customFormat="1" ht="12" x14ac:dyDescent="0.2">
      <c r="A59" s="2"/>
      <c r="B59" s="2"/>
      <c r="C59" s="2"/>
      <c r="D59" s="2"/>
      <c r="E59" s="2"/>
      <c r="F59" s="383">
        <f t="shared" si="16"/>
        <v>48</v>
      </c>
      <c r="G59" s="384">
        <f t="shared" si="3"/>
        <v>44459</v>
      </c>
      <c r="H59" s="340">
        <f t="shared" si="24"/>
        <v>23800</v>
      </c>
      <c r="I59" s="340">
        <f t="shared" si="5"/>
        <v>2851.61</v>
      </c>
      <c r="J59" s="340">
        <f t="shared" si="12"/>
        <v>2851.61</v>
      </c>
      <c r="K59" s="340">
        <f t="shared" si="13"/>
        <v>2909.9199999999983</v>
      </c>
      <c r="L59" s="382">
        <f t="shared" si="17"/>
        <v>44197</v>
      </c>
      <c r="M59" s="382">
        <f t="shared" si="18"/>
        <v>44562</v>
      </c>
      <c r="N59" s="382">
        <f t="shared" si="19"/>
        <v>43831</v>
      </c>
      <c r="O59" s="340">
        <f t="shared" si="6"/>
        <v>19958.39</v>
      </c>
      <c r="P59" s="340">
        <f t="shared" si="25"/>
        <v>990</v>
      </c>
      <c r="Q59" s="340">
        <f t="shared" si="20"/>
        <v>0</v>
      </c>
      <c r="R59" s="340">
        <f t="shared" si="7"/>
        <v>3841.61</v>
      </c>
      <c r="S59" s="340">
        <f t="shared" si="22"/>
        <v>990</v>
      </c>
      <c r="T59" s="340">
        <f t="shared" si="8"/>
        <v>990</v>
      </c>
      <c r="U59" s="340">
        <f t="shared" si="14"/>
        <v>0</v>
      </c>
      <c r="V59" s="340">
        <f t="shared" si="9"/>
        <v>319187.69000000006</v>
      </c>
      <c r="W59" s="198">
        <f t="shared" si="21"/>
        <v>16</v>
      </c>
      <c r="X59" s="36">
        <f t="shared" si="15"/>
        <v>16</v>
      </c>
      <c r="Y59" s="2"/>
      <c r="Z59" s="34">
        <f t="shared" si="10"/>
        <v>22810</v>
      </c>
      <c r="AA59" s="57">
        <f t="shared" si="11"/>
        <v>60518</v>
      </c>
      <c r="AB59" s="96"/>
      <c r="AC59" s="96"/>
      <c r="AD59" s="96"/>
      <c r="AE59" s="96"/>
      <c r="AF59" s="96"/>
      <c r="AG59" s="96"/>
      <c r="AH59" s="96"/>
      <c r="AI59" s="96"/>
    </row>
    <row r="60" spans="1:35" s="16" customFormat="1" ht="12" x14ac:dyDescent="0.2">
      <c r="A60" s="2"/>
      <c r="B60" s="2"/>
      <c r="C60" s="2"/>
      <c r="D60" s="2"/>
      <c r="F60" s="383">
        <f t="shared" si="16"/>
        <v>49</v>
      </c>
      <c r="G60" s="384">
        <f t="shared" si="3"/>
        <v>44489</v>
      </c>
      <c r="H60" s="340">
        <f t="shared" si="24"/>
        <v>23800</v>
      </c>
      <c r="I60" s="340">
        <f t="shared" si="5"/>
        <v>2597.23</v>
      </c>
      <c r="J60" s="340">
        <f t="shared" si="12"/>
        <v>2597.23</v>
      </c>
      <c r="K60" s="340">
        <f t="shared" si="13"/>
        <v>2659.4400000000023</v>
      </c>
      <c r="L60" s="382">
        <f t="shared" si="17"/>
        <v>44197</v>
      </c>
      <c r="M60" s="382">
        <f t="shared" si="18"/>
        <v>44562</v>
      </c>
      <c r="N60" s="382">
        <f t="shared" si="19"/>
        <v>43831</v>
      </c>
      <c r="O60" s="340">
        <f t="shared" si="6"/>
        <v>20212.77</v>
      </c>
      <c r="P60" s="340">
        <f t="shared" si="25"/>
        <v>990</v>
      </c>
      <c r="Q60" s="340">
        <f t="shared" si="20"/>
        <v>0</v>
      </c>
      <c r="R60" s="340">
        <f t="shared" si="7"/>
        <v>3587.23</v>
      </c>
      <c r="S60" s="340">
        <f t="shared" si="22"/>
        <v>990</v>
      </c>
      <c r="T60" s="340">
        <f t="shared" si="8"/>
        <v>990</v>
      </c>
      <c r="U60" s="340">
        <f t="shared" si="14"/>
        <v>0</v>
      </c>
      <c r="V60" s="340">
        <f t="shared" si="9"/>
        <v>298974.92000000004</v>
      </c>
      <c r="W60" s="198">
        <f t="shared" si="21"/>
        <v>15</v>
      </c>
      <c r="X60" s="36">
        <f t="shared" si="15"/>
        <v>15</v>
      </c>
      <c r="Y60" s="2"/>
      <c r="Z60" s="34">
        <f t="shared" si="10"/>
        <v>22810</v>
      </c>
      <c r="AA60" s="57">
        <f t="shared" si="11"/>
        <v>60883</v>
      </c>
      <c r="AB60" s="96"/>
      <c r="AC60" s="96"/>
      <c r="AD60" s="96"/>
      <c r="AE60" s="96"/>
      <c r="AF60" s="96"/>
      <c r="AG60" s="96"/>
      <c r="AH60" s="96"/>
      <c r="AI60" s="96"/>
    </row>
    <row r="61" spans="1:35" s="16" customFormat="1" ht="12" x14ac:dyDescent="0.2">
      <c r="A61" s="2"/>
      <c r="B61" s="2"/>
      <c r="C61" s="2"/>
      <c r="D61" s="2"/>
      <c r="E61" s="2"/>
      <c r="F61" s="383">
        <f t="shared" si="16"/>
        <v>50</v>
      </c>
      <c r="G61" s="384">
        <f t="shared" si="3"/>
        <v>44520</v>
      </c>
      <c r="H61" s="340">
        <f t="shared" si="24"/>
        <v>23800</v>
      </c>
      <c r="I61" s="340">
        <f t="shared" si="5"/>
        <v>2513.85</v>
      </c>
      <c r="J61" s="340">
        <f t="shared" si="12"/>
        <v>2513.85</v>
      </c>
      <c r="K61" s="340">
        <f t="shared" si="13"/>
        <v>2578.7599999999984</v>
      </c>
      <c r="L61" s="382">
        <f t="shared" si="17"/>
        <v>44197</v>
      </c>
      <c r="M61" s="382">
        <f t="shared" si="18"/>
        <v>44562</v>
      </c>
      <c r="N61" s="382">
        <f t="shared" si="19"/>
        <v>43831</v>
      </c>
      <c r="O61" s="340">
        <f t="shared" si="6"/>
        <v>20296.150000000001</v>
      </c>
      <c r="P61" s="340">
        <f t="shared" si="25"/>
        <v>990</v>
      </c>
      <c r="Q61" s="340">
        <f t="shared" si="20"/>
        <v>0</v>
      </c>
      <c r="R61" s="340">
        <f t="shared" si="7"/>
        <v>3503.85</v>
      </c>
      <c r="S61" s="340">
        <f t="shared" si="22"/>
        <v>990</v>
      </c>
      <c r="T61" s="340">
        <f t="shared" si="8"/>
        <v>990</v>
      </c>
      <c r="U61" s="340">
        <f t="shared" si="14"/>
        <v>0</v>
      </c>
      <c r="V61" s="340">
        <f t="shared" si="9"/>
        <v>278678.77</v>
      </c>
      <c r="W61" s="198">
        <f t="shared" si="21"/>
        <v>14</v>
      </c>
      <c r="X61" s="36">
        <f t="shared" si="15"/>
        <v>14</v>
      </c>
      <c r="Y61" s="2"/>
      <c r="Z61" s="34">
        <f t="shared" si="10"/>
        <v>22810</v>
      </c>
      <c r="AA61" s="57">
        <f t="shared" si="11"/>
        <v>61248</v>
      </c>
      <c r="AB61" s="96"/>
      <c r="AC61" s="96"/>
      <c r="AD61" s="96"/>
      <c r="AE61" s="96"/>
      <c r="AF61" s="96"/>
      <c r="AG61" s="96"/>
      <c r="AH61" s="96"/>
      <c r="AI61" s="96"/>
    </row>
    <row r="62" spans="1:35" s="16" customFormat="1" ht="12" x14ac:dyDescent="0.2">
      <c r="A62" s="2"/>
      <c r="B62" s="2"/>
      <c r="C62" s="2"/>
      <c r="D62" s="2"/>
      <c r="E62" s="2"/>
      <c r="F62" s="383">
        <f t="shared" si="16"/>
        <v>51</v>
      </c>
      <c r="G62" s="384">
        <f t="shared" si="3"/>
        <v>44550</v>
      </c>
      <c r="H62" s="340">
        <f t="shared" si="24"/>
        <v>23800</v>
      </c>
      <c r="I62" s="340">
        <f t="shared" si="5"/>
        <v>2267.61</v>
      </c>
      <c r="J62" s="340">
        <f t="shared" si="12"/>
        <v>2267.61</v>
      </c>
      <c r="K62" s="340">
        <f t="shared" si="13"/>
        <v>2334.5200000000004</v>
      </c>
      <c r="L62" s="382">
        <f t="shared" si="17"/>
        <v>44197</v>
      </c>
      <c r="M62" s="382">
        <f t="shared" si="18"/>
        <v>44562</v>
      </c>
      <c r="N62" s="382">
        <f t="shared" si="19"/>
        <v>43831</v>
      </c>
      <c r="O62" s="340">
        <f t="shared" si="6"/>
        <v>20542.39</v>
      </c>
      <c r="P62" s="340">
        <f t="shared" si="25"/>
        <v>990</v>
      </c>
      <c r="Q62" s="340">
        <f t="shared" si="20"/>
        <v>0</v>
      </c>
      <c r="R62" s="340">
        <f t="shared" si="7"/>
        <v>3257.61</v>
      </c>
      <c r="S62" s="340">
        <f t="shared" si="22"/>
        <v>990</v>
      </c>
      <c r="T62" s="340">
        <f t="shared" si="8"/>
        <v>990</v>
      </c>
      <c r="U62" s="340">
        <f t="shared" si="14"/>
        <v>0</v>
      </c>
      <c r="V62" s="340">
        <f t="shared" si="9"/>
        <v>258136.38</v>
      </c>
      <c r="W62" s="198">
        <f t="shared" si="21"/>
        <v>13</v>
      </c>
      <c r="X62" s="36">
        <f t="shared" si="15"/>
        <v>13</v>
      </c>
      <c r="Y62" s="2"/>
      <c r="Z62" s="34">
        <f t="shared" si="10"/>
        <v>22810</v>
      </c>
      <c r="AA62" s="57">
        <f t="shared" si="11"/>
        <v>61613</v>
      </c>
      <c r="AB62" s="96"/>
      <c r="AC62" s="96"/>
      <c r="AD62" s="96"/>
      <c r="AE62" s="96"/>
      <c r="AF62" s="96"/>
      <c r="AG62" s="96"/>
      <c r="AH62" s="96"/>
      <c r="AI62" s="96"/>
    </row>
    <row r="63" spans="1:35" s="16" customFormat="1" ht="12" x14ac:dyDescent="0.2">
      <c r="A63" s="2"/>
      <c r="B63" s="2"/>
      <c r="C63" s="2"/>
      <c r="D63" s="2"/>
      <c r="E63" s="2"/>
      <c r="F63" s="383">
        <f t="shared" si="16"/>
        <v>52</v>
      </c>
      <c r="G63" s="384">
        <f t="shared" si="3"/>
        <v>44581</v>
      </c>
      <c r="H63" s="340">
        <f t="shared" si="24"/>
        <v>23800</v>
      </c>
      <c r="I63" s="340">
        <f t="shared" si="5"/>
        <v>2170.4699999999998</v>
      </c>
      <c r="J63" s="340">
        <f t="shared" si="12"/>
        <v>2170.4699999999998</v>
      </c>
      <c r="K63" s="340">
        <f t="shared" si="13"/>
        <v>2170.4699999999998</v>
      </c>
      <c r="L63" s="382">
        <f t="shared" si="17"/>
        <v>44562</v>
      </c>
      <c r="M63" s="382">
        <f t="shared" si="18"/>
        <v>44927</v>
      </c>
      <c r="N63" s="382">
        <f t="shared" si="19"/>
        <v>44197</v>
      </c>
      <c r="O63" s="340">
        <f t="shared" si="6"/>
        <v>20639.53</v>
      </c>
      <c r="P63" s="340">
        <f t="shared" si="25"/>
        <v>990</v>
      </c>
      <c r="Q63" s="340">
        <f t="shared" si="20"/>
        <v>0</v>
      </c>
      <c r="R63" s="340">
        <f t="shared" si="7"/>
        <v>3160.47</v>
      </c>
      <c r="S63" s="340">
        <f t="shared" si="22"/>
        <v>990</v>
      </c>
      <c r="T63" s="340">
        <f t="shared" si="8"/>
        <v>990</v>
      </c>
      <c r="U63" s="340">
        <f t="shared" si="14"/>
        <v>0</v>
      </c>
      <c r="V63" s="340">
        <f t="shared" si="9"/>
        <v>237496.85</v>
      </c>
      <c r="W63" s="198">
        <f t="shared" si="21"/>
        <v>12</v>
      </c>
      <c r="X63" s="36">
        <f t="shared" si="15"/>
        <v>12</v>
      </c>
      <c r="Y63" s="2"/>
      <c r="Z63" s="34">
        <f t="shared" si="10"/>
        <v>22810</v>
      </c>
      <c r="AA63" s="57">
        <f t="shared" si="11"/>
        <v>61978</v>
      </c>
      <c r="AB63" s="96"/>
      <c r="AC63" s="96"/>
      <c r="AD63" s="96"/>
      <c r="AE63" s="96"/>
      <c r="AF63" s="96"/>
      <c r="AG63" s="96"/>
      <c r="AH63" s="96"/>
      <c r="AI63" s="96"/>
    </row>
    <row r="64" spans="1:35" s="16" customFormat="1" ht="12" x14ac:dyDescent="0.2">
      <c r="A64" s="2"/>
      <c r="B64" s="2"/>
      <c r="C64" s="2"/>
      <c r="D64" s="2"/>
      <c r="E64" s="2"/>
      <c r="F64" s="383">
        <f t="shared" si="16"/>
        <v>53</v>
      </c>
      <c r="G64" s="384">
        <f t="shared" si="3"/>
        <v>44612</v>
      </c>
      <c r="H64" s="340">
        <f t="shared" si="24"/>
        <v>23800</v>
      </c>
      <c r="I64" s="340">
        <f t="shared" si="5"/>
        <v>1996.93</v>
      </c>
      <c r="J64" s="340">
        <f t="shared" si="12"/>
        <v>1996.93</v>
      </c>
      <c r="K64" s="340">
        <f t="shared" si="13"/>
        <v>1996.9200000000003</v>
      </c>
      <c r="L64" s="382">
        <f t="shared" si="17"/>
        <v>44562</v>
      </c>
      <c r="M64" s="382">
        <f t="shared" si="18"/>
        <v>44927</v>
      </c>
      <c r="N64" s="382">
        <f t="shared" si="19"/>
        <v>44197</v>
      </c>
      <c r="O64" s="340">
        <f t="shared" si="6"/>
        <v>20813.07</v>
      </c>
      <c r="P64" s="340">
        <f t="shared" si="25"/>
        <v>990</v>
      </c>
      <c r="Q64" s="340">
        <f t="shared" si="20"/>
        <v>0</v>
      </c>
      <c r="R64" s="340">
        <f t="shared" si="7"/>
        <v>2986.9300000000003</v>
      </c>
      <c r="S64" s="340">
        <f t="shared" si="22"/>
        <v>990</v>
      </c>
      <c r="T64" s="340">
        <f t="shared" si="8"/>
        <v>990</v>
      </c>
      <c r="U64" s="340">
        <f t="shared" si="14"/>
        <v>0</v>
      </c>
      <c r="V64" s="340">
        <f t="shared" si="9"/>
        <v>216683.78</v>
      </c>
      <c r="W64" s="198">
        <f t="shared" si="21"/>
        <v>11</v>
      </c>
      <c r="X64" s="36">
        <f t="shared" si="15"/>
        <v>11</v>
      </c>
      <c r="Y64" s="2"/>
      <c r="Z64" s="34">
        <f t="shared" si="10"/>
        <v>22810</v>
      </c>
      <c r="AA64" s="57">
        <f t="shared" si="11"/>
        <v>62343</v>
      </c>
      <c r="AB64" s="96"/>
      <c r="AC64" s="96"/>
      <c r="AD64" s="96"/>
      <c r="AE64" s="96"/>
      <c r="AF64" s="96"/>
      <c r="AG64" s="96"/>
      <c r="AH64" s="96"/>
      <c r="AI64" s="96"/>
    </row>
    <row r="65" spans="1:35" s="16" customFormat="1" ht="12" x14ac:dyDescent="0.2">
      <c r="A65" s="2"/>
      <c r="B65" s="2"/>
      <c r="C65" s="13"/>
      <c r="D65" s="2"/>
      <c r="E65" s="2"/>
      <c r="F65" s="383">
        <f t="shared" si="16"/>
        <v>54</v>
      </c>
      <c r="G65" s="384">
        <f t="shared" si="3"/>
        <v>44640</v>
      </c>
      <c r="H65" s="340">
        <f t="shared" si="24"/>
        <v>23800</v>
      </c>
      <c r="I65" s="340">
        <f t="shared" si="5"/>
        <v>1645.61</v>
      </c>
      <c r="J65" s="340">
        <f t="shared" si="12"/>
        <v>1645.61</v>
      </c>
      <c r="K65" s="340">
        <f t="shared" si="13"/>
        <v>1645.6100000000001</v>
      </c>
      <c r="L65" s="382">
        <f t="shared" si="17"/>
        <v>44562</v>
      </c>
      <c r="M65" s="382">
        <f t="shared" si="18"/>
        <v>44927</v>
      </c>
      <c r="N65" s="382">
        <f t="shared" si="19"/>
        <v>44197</v>
      </c>
      <c r="O65" s="340">
        <f t="shared" si="6"/>
        <v>21164.39</v>
      </c>
      <c r="P65" s="340">
        <f t="shared" si="25"/>
        <v>990</v>
      </c>
      <c r="Q65" s="340">
        <f t="shared" si="20"/>
        <v>0</v>
      </c>
      <c r="R65" s="340">
        <f t="shared" si="7"/>
        <v>2635.6099999999997</v>
      </c>
      <c r="S65" s="340">
        <f t="shared" si="22"/>
        <v>990</v>
      </c>
      <c r="T65" s="340">
        <f t="shared" si="8"/>
        <v>990</v>
      </c>
      <c r="U65" s="340">
        <f t="shared" si="14"/>
        <v>0</v>
      </c>
      <c r="V65" s="340">
        <f t="shared" si="9"/>
        <v>195519.39</v>
      </c>
      <c r="W65" s="198">
        <f t="shared" si="21"/>
        <v>10</v>
      </c>
      <c r="X65" s="36">
        <f t="shared" si="15"/>
        <v>10</v>
      </c>
      <c r="Y65" s="2"/>
      <c r="Z65" s="34">
        <f t="shared" si="10"/>
        <v>22810</v>
      </c>
      <c r="AA65" s="57">
        <f t="shared" si="11"/>
        <v>62708</v>
      </c>
      <c r="AB65" s="96"/>
      <c r="AC65" s="96"/>
      <c r="AD65" s="96"/>
      <c r="AE65" s="96"/>
      <c r="AF65" s="96"/>
      <c r="AG65" s="96"/>
      <c r="AH65" s="96"/>
      <c r="AI65" s="96"/>
    </row>
    <row r="66" spans="1:35" s="16" customFormat="1" ht="12" x14ac:dyDescent="0.2">
      <c r="A66" s="2"/>
      <c r="B66" s="2"/>
      <c r="C66" s="2"/>
      <c r="D66" s="13"/>
      <c r="E66" s="2"/>
      <c r="F66" s="383">
        <f t="shared" si="16"/>
        <v>55</v>
      </c>
      <c r="G66" s="384">
        <f t="shared" si="3"/>
        <v>44671</v>
      </c>
      <c r="H66" s="340">
        <f t="shared" si="24"/>
        <v>23800</v>
      </c>
      <c r="I66" s="340">
        <f t="shared" si="5"/>
        <v>1643.97</v>
      </c>
      <c r="J66" s="340">
        <f t="shared" si="12"/>
        <v>1643.97</v>
      </c>
      <c r="K66" s="340">
        <f t="shared" si="13"/>
        <v>1643.9699999999993</v>
      </c>
      <c r="L66" s="382">
        <f t="shared" si="17"/>
        <v>44562</v>
      </c>
      <c r="M66" s="382">
        <f t="shared" si="18"/>
        <v>44927</v>
      </c>
      <c r="N66" s="382">
        <f t="shared" si="19"/>
        <v>44197</v>
      </c>
      <c r="O66" s="340">
        <f t="shared" si="6"/>
        <v>21166.03</v>
      </c>
      <c r="P66" s="340">
        <f t="shared" si="25"/>
        <v>990</v>
      </c>
      <c r="Q66" s="340">
        <f t="shared" si="20"/>
        <v>0</v>
      </c>
      <c r="R66" s="340">
        <f t="shared" si="7"/>
        <v>2633.9700000000003</v>
      </c>
      <c r="S66" s="340">
        <f t="shared" si="22"/>
        <v>990</v>
      </c>
      <c r="T66" s="340">
        <f t="shared" si="8"/>
        <v>990</v>
      </c>
      <c r="U66" s="340">
        <f t="shared" si="14"/>
        <v>0</v>
      </c>
      <c r="V66" s="340">
        <f t="shared" si="9"/>
        <v>174353.36000000002</v>
      </c>
      <c r="W66" s="198">
        <f t="shared" si="21"/>
        <v>9</v>
      </c>
      <c r="X66" s="36">
        <f t="shared" si="15"/>
        <v>9</v>
      </c>
      <c r="Y66" s="2"/>
      <c r="Z66" s="34">
        <f t="shared" si="10"/>
        <v>22810</v>
      </c>
      <c r="AA66" s="57">
        <f t="shared" si="11"/>
        <v>63073</v>
      </c>
      <c r="AB66" s="96"/>
      <c r="AC66" s="96"/>
      <c r="AD66" s="96"/>
      <c r="AE66" s="96"/>
      <c r="AF66" s="96"/>
      <c r="AG66" s="96"/>
      <c r="AH66" s="96"/>
      <c r="AI66" s="96"/>
    </row>
    <row r="67" spans="1:35" s="16" customFormat="1" ht="12" x14ac:dyDescent="0.2">
      <c r="A67" s="2"/>
      <c r="B67" s="2"/>
      <c r="C67" s="2"/>
      <c r="D67" s="13"/>
      <c r="E67" s="2"/>
      <c r="F67" s="383">
        <f t="shared" si="16"/>
        <v>56</v>
      </c>
      <c r="G67" s="384">
        <f t="shared" si="3"/>
        <v>44701</v>
      </c>
      <c r="H67" s="340">
        <f t="shared" si="24"/>
        <v>23800</v>
      </c>
      <c r="I67" s="340">
        <f t="shared" si="5"/>
        <v>1418.71</v>
      </c>
      <c r="J67" s="340">
        <f t="shared" si="12"/>
        <v>1418.71</v>
      </c>
      <c r="K67" s="340">
        <f t="shared" si="13"/>
        <v>1418.71</v>
      </c>
      <c r="L67" s="382">
        <f t="shared" si="17"/>
        <v>44562</v>
      </c>
      <c r="M67" s="382">
        <f t="shared" si="18"/>
        <v>44927</v>
      </c>
      <c r="N67" s="382">
        <f t="shared" si="19"/>
        <v>44197</v>
      </c>
      <c r="O67" s="340">
        <f t="shared" si="6"/>
        <v>21391.29</v>
      </c>
      <c r="P67" s="340">
        <f t="shared" si="25"/>
        <v>990</v>
      </c>
      <c r="Q67" s="340">
        <f t="shared" si="20"/>
        <v>0</v>
      </c>
      <c r="R67" s="340">
        <f t="shared" si="7"/>
        <v>2408.71</v>
      </c>
      <c r="S67" s="340">
        <f t="shared" si="22"/>
        <v>990</v>
      </c>
      <c r="T67" s="340">
        <f t="shared" si="8"/>
        <v>990</v>
      </c>
      <c r="U67" s="340">
        <f t="shared" si="14"/>
        <v>0</v>
      </c>
      <c r="V67" s="340">
        <f t="shared" si="9"/>
        <v>152962.07</v>
      </c>
      <c r="W67" s="198">
        <f t="shared" si="21"/>
        <v>8</v>
      </c>
      <c r="X67" s="36">
        <f t="shared" si="15"/>
        <v>8</v>
      </c>
      <c r="Y67" s="2"/>
      <c r="Z67" s="34">
        <f t="shared" si="10"/>
        <v>22810</v>
      </c>
      <c r="AA67" s="57">
        <f t="shared" si="11"/>
        <v>63438</v>
      </c>
      <c r="AB67" s="96"/>
      <c r="AC67" s="96"/>
      <c r="AD67" s="96"/>
      <c r="AE67" s="96"/>
      <c r="AF67" s="96"/>
      <c r="AG67" s="96"/>
      <c r="AH67" s="96"/>
      <c r="AI67" s="96"/>
    </row>
    <row r="68" spans="1:35" s="16" customFormat="1" ht="12" x14ac:dyDescent="0.2">
      <c r="A68" s="2"/>
      <c r="B68" s="2"/>
      <c r="C68" s="2"/>
      <c r="D68" s="2"/>
      <c r="E68" s="2"/>
      <c r="F68" s="383">
        <f t="shared" si="16"/>
        <v>57</v>
      </c>
      <c r="G68" s="384">
        <f t="shared" si="3"/>
        <v>44732</v>
      </c>
      <c r="H68" s="340">
        <f t="shared" si="24"/>
        <v>23800</v>
      </c>
      <c r="I68" s="340">
        <f t="shared" si="5"/>
        <v>1286.1400000000001</v>
      </c>
      <c r="J68" s="340">
        <f t="shared" si="12"/>
        <v>1286.1400000000001</v>
      </c>
      <c r="K68" s="340">
        <f t="shared" si="13"/>
        <v>1286.1400000000003</v>
      </c>
      <c r="L68" s="382">
        <f t="shared" si="17"/>
        <v>44562</v>
      </c>
      <c r="M68" s="382">
        <f t="shared" si="18"/>
        <v>44927</v>
      </c>
      <c r="N68" s="382">
        <f t="shared" si="19"/>
        <v>44197</v>
      </c>
      <c r="O68" s="340">
        <f t="shared" si="6"/>
        <v>21523.86</v>
      </c>
      <c r="P68" s="340">
        <f t="shared" si="25"/>
        <v>990</v>
      </c>
      <c r="Q68" s="340">
        <f t="shared" si="20"/>
        <v>0</v>
      </c>
      <c r="R68" s="340">
        <f t="shared" si="7"/>
        <v>2276.1400000000003</v>
      </c>
      <c r="S68" s="340">
        <f t="shared" si="22"/>
        <v>990</v>
      </c>
      <c r="T68" s="340">
        <f t="shared" si="8"/>
        <v>990</v>
      </c>
      <c r="U68" s="340">
        <f t="shared" si="14"/>
        <v>0</v>
      </c>
      <c r="V68" s="340">
        <f t="shared" si="9"/>
        <v>131438.21000000002</v>
      </c>
      <c r="W68" s="198">
        <f t="shared" si="21"/>
        <v>7</v>
      </c>
      <c r="X68" s="36">
        <f t="shared" si="15"/>
        <v>7</v>
      </c>
      <c r="Y68" s="2"/>
      <c r="Z68" s="34">
        <f t="shared" si="10"/>
        <v>22810</v>
      </c>
      <c r="AA68" s="57">
        <f t="shared" si="11"/>
        <v>63803</v>
      </c>
      <c r="AB68" s="96"/>
      <c r="AC68" s="96"/>
      <c r="AD68" s="96"/>
      <c r="AE68" s="96"/>
      <c r="AF68" s="96"/>
      <c r="AG68" s="96"/>
      <c r="AH68" s="96"/>
      <c r="AI68" s="96"/>
    </row>
    <row r="69" spans="1:35" s="16" customFormat="1" ht="12" x14ac:dyDescent="0.2">
      <c r="A69" s="2"/>
      <c r="B69" s="2"/>
      <c r="C69" s="2"/>
      <c r="D69" s="2"/>
      <c r="E69" s="2"/>
      <c r="F69" s="383">
        <f t="shared" si="16"/>
        <v>58</v>
      </c>
      <c r="G69" s="384">
        <f t="shared" si="3"/>
        <v>44762</v>
      </c>
      <c r="H69" s="340">
        <f t="shared" si="24"/>
        <v>23800</v>
      </c>
      <c r="I69" s="340">
        <f t="shared" si="5"/>
        <v>1069.51</v>
      </c>
      <c r="J69" s="340">
        <f t="shared" si="12"/>
        <v>1069.51</v>
      </c>
      <c r="K69" s="340">
        <f t="shared" si="13"/>
        <v>1069.5100000000002</v>
      </c>
      <c r="L69" s="382">
        <f t="shared" si="17"/>
        <v>44562</v>
      </c>
      <c r="M69" s="382">
        <f t="shared" si="18"/>
        <v>44927</v>
      </c>
      <c r="N69" s="382">
        <f t="shared" si="19"/>
        <v>44197</v>
      </c>
      <c r="O69" s="340">
        <f t="shared" si="6"/>
        <v>21740.49</v>
      </c>
      <c r="P69" s="340">
        <f t="shared" si="25"/>
        <v>990</v>
      </c>
      <c r="Q69" s="340">
        <f t="shared" si="20"/>
        <v>0</v>
      </c>
      <c r="R69" s="340">
        <f t="shared" si="7"/>
        <v>2059.5100000000002</v>
      </c>
      <c r="S69" s="340">
        <f t="shared" si="22"/>
        <v>990</v>
      </c>
      <c r="T69" s="340">
        <f t="shared" si="8"/>
        <v>990</v>
      </c>
      <c r="U69" s="340">
        <f t="shared" si="14"/>
        <v>0</v>
      </c>
      <c r="V69" s="340">
        <f t="shared" si="9"/>
        <v>109697.72000000002</v>
      </c>
      <c r="W69" s="198">
        <f t="shared" si="21"/>
        <v>6</v>
      </c>
      <c r="X69" s="36">
        <f t="shared" si="15"/>
        <v>6</v>
      </c>
      <c r="Y69" s="2"/>
      <c r="Z69" s="34">
        <f t="shared" si="10"/>
        <v>22810</v>
      </c>
      <c r="AA69" s="57">
        <f t="shared" si="11"/>
        <v>64168</v>
      </c>
      <c r="AB69" s="96"/>
      <c r="AC69" s="96"/>
      <c r="AD69" s="96"/>
      <c r="AE69" s="96"/>
      <c r="AF69" s="96"/>
      <c r="AG69" s="96"/>
      <c r="AH69" s="96"/>
      <c r="AI69" s="96"/>
    </row>
    <row r="70" spans="1:35" s="16" customFormat="1" ht="12" x14ac:dyDescent="0.2">
      <c r="A70" s="2"/>
      <c r="B70" s="2"/>
      <c r="C70" s="2"/>
      <c r="D70" s="2"/>
      <c r="E70" s="2"/>
      <c r="F70" s="383">
        <f t="shared" si="16"/>
        <v>59</v>
      </c>
      <c r="G70" s="384">
        <f t="shared" si="3"/>
        <v>44793</v>
      </c>
      <c r="H70" s="340">
        <f t="shared" si="24"/>
        <v>23800</v>
      </c>
      <c r="I70" s="340">
        <f t="shared" si="5"/>
        <v>922.36</v>
      </c>
      <c r="J70" s="340">
        <f t="shared" si="12"/>
        <v>922.36</v>
      </c>
      <c r="K70" s="340">
        <f t="shared" si="13"/>
        <v>922.36000000000058</v>
      </c>
      <c r="L70" s="382">
        <f t="shared" si="17"/>
        <v>44562</v>
      </c>
      <c r="M70" s="382">
        <f t="shared" si="18"/>
        <v>44927</v>
      </c>
      <c r="N70" s="382">
        <f t="shared" si="19"/>
        <v>44197</v>
      </c>
      <c r="O70" s="340">
        <f t="shared" si="6"/>
        <v>21887.64</v>
      </c>
      <c r="P70" s="340">
        <f t="shared" si="25"/>
        <v>990</v>
      </c>
      <c r="Q70" s="340">
        <f t="shared" si="20"/>
        <v>0</v>
      </c>
      <c r="R70" s="340">
        <f t="shared" si="7"/>
        <v>1912.3600000000001</v>
      </c>
      <c r="S70" s="340">
        <f t="shared" si="22"/>
        <v>990</v>
      </c>
      <c r="T70" s="340">
        <f t="shared" si="8"/>
        <v>990</v>
      </c>
      <c r="U70" s="340">
        <f t="shared" si="14"/>
        <v>0</v>
      </c>
      <c r="V70" s="340">
        <f t="shared" si="9"/>
        <v>87810.080000000016</v>
      </c>
      <c r="W70" s="198">
        <f t="shared" si="21"/>
        <v>5</v>
      </c>
      <c r="X70" s="36">
        <f t="shared" si="15"/>
        <v>5</v>
      </c>
      <c r="Y70" s="2"/>
      <c r="Z70" s="34">
        <f t="shared" si="10"/>
        <v>22810</v>
      </c>
      <c r="AA70" s="57">
        <f t="shared" si="11"/>
        <v>64533</v>
      </c>
      <c r="AB70" s="96"/>
      <c r="AC70" s="96"/>
      <c r="AD70" s="96"/>
      <c r="AE70" s="96"/>
      <c r="AF70" s="96"/>
      <c r="AG70" s="96"/>
      <c r="AH70" s="96"/>
      <c r="AI70" s="96"/>
    </row>
    <row r="71" spans="1:35" s="16" customFormat="1" ht="12" x14ac:dyDescent="0.2">
      <c r="A71" s="2"/>
      <c r="B71" s="2"/>
      <c r="C71" s="2"/>
      <c r="D71" s="2"/>
      <c r="E71" s="2"/>
      <c r="F71" s="383">
        <f t="shared" si="16"/>
        <v>60</v>
      </c>
      <c r="G71" s="384">
        <f t="shared" si="3"/>
        <v>44824</v>
      </c>
      <c r="H71" s="340">
        <f t="shared" si="24"/>
        <v>23800</v>
      </c>
      <c r="I71" s="340">
        <f t="shared" si="5"/>
        <v>738.33</v>
      </c>
      <c r="J71" s="340">
        <f t="shared" si="12"/>
        <v>738.33</v>
      </c>
      <c r="K71" s="340">
        <f t="shared" si="13"/>
        <v>738.32999999999993</v>
      </c>
      <c r="L71" s="382">
        <f t="shared" si="17"/>
        <v>44562</v>
      </c>
      <c r="M71" s="382">
        <f t="shared" si="18"/>
        <v>44927</v>
      </c>
      <c r="N71" s="382">
        <f t="shared" si="19"/>
        <v>44197</v>
      </c>
      <c r="O71" s="340">
        <f t="shared" si="6"/>
        <v>22071.67</v>
      </c>
      <c r="P71" s="340">
        <f t="shared" si="25"/>
        <v>990</v>
      </c>
      <c r="Q71" s="340">
        <f t="shared" si="20"/>
        <v>0</v>
      </c>
      <c r="R71" s="340">
        <f t="shared" si="7"/>
        <v>1728.33</v>
      </c>
      <c r="S71" s="340">
        <f t="shared" si="22"/>
        <v>990</v>
      </c>
      <c r="T71" s="340">
        <f t="shared" si="8"/>
        <v>990</v>
      </c>
      <c r="U71" s="340">
        <f t="shared" si="14"/>
        <v>0</v>
      </c>
      <c r="V71" s="340">
        <f t="shared" si="9"/>
        <v>65738.410000000018</v>
      </c>
      <c r="W71" s="198">
        <f t="shared" si="21"/>
        <v>4</v>
      </c>
      <c r="X71" s="36">
        <f t="shared" si="15"/>
        <v>4</v>
      </c>
      <c r="Y71" s="2"/>
      <c r="Z71" s="34">
        <f t="shared" si="10"/>
        <v>22810</v>
      </c>
      <c r="AA71" s="57">
        <f t="shared" si="11"/>
        <v>64898</v>
      </c>
      <c r="AB71" s="96"/>
      <c r="AC71" s="96"/>
      <c r="AD71" s="96"/>
      <c r="AE71" s="96"/>
      <c r="AF71" s="96"/>
      <c r="AG71" s="96"/>
      <c r="AH71" s="96"/>
      <c r="AI71" s="96"/>
    </row>
    <row r="72" spans="1:35" s="16" customFormat="1" ht="12" x14ac:dyDescent="0.2">
      <c r="A72" s="2"/>
      <c r="B72" s="2"/>
      <c r="C72" s="2"/>
      <c r="D72" s="2"/>
      <c r="E72" s="2"/>
      <c r="F72" s="383">
        <f t="shared" si="16"/>
        <v>61</v>
      </c>
      <c r="G72" s="384">
        <f t="shared" si="3"/>
        <v>44854</v>
      </c>
      <c r="H72" s="340">
        <f t="shared" si="24"/>
        <v>23800</v>
      </c>
      <c r="I72" s="340">
        <f t="shared" si="5"/>
        <v>534.91</v>
      </c>
      <c r="J72" s="340">
        <f t="shared" si="12"/>
        <v>534.91</v>
      </c>
      <c r="K72" s="340">
        <f t="shared" si="13"/>
        <v>534.91000000000076</v>
      </c>
      <c r="L72" s="382">
        <f t="shared" si="17"/>
        <v>44562</v>
      </c>
      <c r="M72" s="382">
        <f t="shared" si="18"/>
        <v>44927</v>
      </c>
      <c r="N72" s="382">
        <f t="shared" si="19"/>
        <v>44197</v>
      </c>
      <c r="O72" s="340">
        <f t="shared" si="6"/>
        <v>22275.09</v>
      </c>
      <c r="P72" s="340">
        <f t="shared" si="25"/>
        <v>990</v>
      </c>
      <c r="Q72" s="340">
        <f t="shared" si="20"/>
        <v>0</v>
      </c>
      <c r="R72" s="340">
        <f t="shared" si="7"/>
        <v>1524.9099999999999</v>
      </c>
      <c r="S72" s="340">
        <f t="shared" si="22"/>
        <v>990</v>
      </c>
      <c r="T72" s="340">
        <f t="shared" si="8"/>
        <v>990</v>
      </c>
      <c r="U72" s="340">
        <f t="shared" si="14"/>
        <v>0</v>
      </c>
      <c r="V72" s="340">
        <f t="shared" si="9"/>
        <v>43463.320000000022</v>
      </c>
      <c r="W72" s="198">
        <f t="shared" si="21"/>
        <v>3</v>
      </c>
      <c r="X72" s="36">
        <f t="shared" si="15"/>
        <v>3</v>
      </c>
      <c r="Y72" s="2"/>
      <c r="Z72" s="34">
        <f t="shared" si="10"/>
        <v>22810</v>
      </c>
      <c r="AA72" s="57">
        <f t="shared" si="11"/>
        <v>65263</v>
      </c>
      <c r="AB72" s="96"/>
      <c r="AC72" s="96"/>
      <c r="AD72" s="96"/>
      <c r="AE72" s="96"/>
      <c r="AF72" s="96"/>
      <c r="AG72" s="96"/>
      <c r="AH72" s="96"/>
      <c r="AI72" s="96"/>
    </row>
    <row r="73" spans="1:35" s="16" customFormat="1" ht="12" x14ac:dyDescent="0.2">
      <c r="A73" s="2"/>
      <c r="B73" s="2"/>
      <c r="C73" s="2"/>
      <c r="D73" s="2"/>
      <c r="E73" s="2"/>
      <c r="F73" s="383">
        <f t="shared" si="16"/>
        <v>62</v>
      </c>
      <c r="G73" s="384">
        <f t="shared" si="3"/>
        <v>44885</v>
      </c>
      <c r="H73" s="340">
        <f t="shared" si="24"/>
        <v>23800</v>
      </c>
      <c r="I73" s="340">
        <f t="shared" si="5"/>
        <v>365.45</v>
      </c>
      <c r="J73" s="340">
        <f t="shared" si="12"/>
        <v>365.45</v>
      </c>
      <c r="K73" s="340">
        <f t="shared" si="13"/>
        <v>365.45000000000027</v>
      </c>
      <c r="L73" s="382">
        <f t="shared" si="17"/>
        <v>44562</v>
      </c>
      <c r="M73" s="382">
        <f t="shared" si="18"/>
        <v>44927</v>
      </c>
      <c r="N73" s="382">
        <f t="shared" si="19"/>
        <v>44197</v>
      </c>
      <c r="O73" s="340">
        <f t="shared" si="6"/>
        <v>22444.55</v>
      </c>
      <c r="P73" s="340">
        <f t="shared" si="25"/>
        <v>990</v>
      </c>
      <c r="Q73" s="340">
        <f t="shared" si="20"/>
        <v>0</v>
      </c>
      <c r="R73" s="340">
        <f t="shared" si="7"/>
        <v>1355.45</v>
      </c>
      <c r="S73" s="340">
        <f t="shared" si="22"/>
        <v>990</v>
      </c>
      <c r="T73" s="340">
        <f t="shared" si="8"/>
        <v>990</v>
      </c>
      <c r="U73" s="340">
        <f t="shared" si="14"/>
        <v>0</v>
      </c>
      <c r="V73" s="340">
        <f t="shared" si="9"/>
        <v>21018.770000000022</v>
      </c>
      <c r="W73" s="198">
        <f t="shared" si="21"/>
        <v>2</v>
      </c>
      <c r="X73" s="36">
        <f t="shared" si="15"/>
        <v>2</v>
      </c>
      <c r="Y73" s="2"/>
      <c r="Z73" s="34">
        <f t="shared" si="10"/>
        <v>22810</v>
      </c>
      <c r="AA73" s="57">
        <f t="shared" si="11"/>
        <v>65628</v>
      </c>
      <c r="AB73" s="96"/>
      <c r="AC73" s="96"/>
      <c r="AD73" s="96"/>
      <c r="AE73" s="96"/>
      <c r="AF73" s="96"/>
      <c r="AG73" s="96"/>
      <c r="AH73" s="96"/>
      <c r="AI73" s="96"/>
    </row>
    <row r="74" spans="1:35" s="16" customFormat="1" ht="12" x14ac:dyDescent="0.2">
      <c r="A74" s="2"/>
      <c r="B74" s="2"/>
      <c r="C74" s="2"/>
      <c r="D74" s="2"/>
      <c r="E74" s="2"/>
      <c r="F74" s="383">
        <f t="shared" si="16"/>
        <v>63</v>
      </c>
      <c r="G74" s="384">
        <f t="shared" si="3"/>
        <v>44915</v>
      </c>
      <c r="H74" s="340">
        <f t="shared" si="24"/>
        <v>22179.800000000021</v>
      </c>
      <c r="I74" s="340">
        <f t="shared" si="5"/>
        <v>171.03</v>
      </c>
      <c r="J74" s="340">
        <f t="shared" si="12"/>
        <v>171.03</v>
      </c>
      <c r="K74" s="340">
        <f t="shared" si="13"/>
        <v>171.0300000000002</v>
      </c>
      <c r="L74" s="382">
        <f t="shared" si="17"/>
        <v>44562</v>
      </c>
      <c r="M74" s="382">
        <f t="shared" si="18"/>
        <v>44927</v>
      </c>
      <c r="N74" s="382">
        <f t="shared" si="19"/>
        <v>44197</v>
      </c>
      <c r="O74" s="340">
        <f t="shared" si="6"/>
        <v>21018.770000000022</v>
      </c>
      <c r="P74" s="340">
        <f t="shared" si="25"/>
        <v>990</v>
      </c>
      <c r="Q74" s="340">
        <f t="shared" si="20"/>
        <v>0</v>
      </c>
      <c r="R74" s="340">
        <f t="shared" si="7"/>
        <v>1161.03</v>
      </c>
      <c r="S74" s="340">
        <f t="shared" si="22"/>
        <v>990</v>
      </c>
      <c r="T74" s="340">
        <f t="shared" si="8"/>
        <v>990</v>
      </c>
      <c r="U74" s="340">
        <f t="shared" si="14"/>
        <v>0</v>
      </c>
      <c r="V74" s="340">
        <f t="shared" si="9"/>
        <v>0</v>
      </c>
      <c r="W74" s="198">
        <f t="shared" si="21"/>
        <v>1</v>
      </c>
      <c r="X74" s="36">
        <f t="shared" si="15"/>
        <v>1</v>
      </c>
      <c r="Y74" s="2"/>
      <c r="Z74" s="34">
        <f t="shared" si="10"/>
        <v>21189.800000000021</v>
      </c>
      <c r="AA74" s="57">
        <f t="shared" si="11"/>
        <v>65993</v>
      </c>
      <c r="AB74" s="96"/>
      <c r="AC74" s="96"/>
      <c r="AD74" s="96"/>
      <c r="AE74" s="96"/>
      <c r="AF74" s="96"/>
      <c r="AG74" s="96"/>
      <c r="AH74" s="96"/>
      <c r="AI74" s="96"/>
    </row>
    <row r="75" spans="1:35" s="16" customFormat="1" ht="12" x14ac:dyDescent="0.2">
      <c r="A75" s="2"/>
      <c r="B75" s="2"/>
      <c r="C75" s="2"/>
      <c r="D75" s="2"/>
      <c r="E75" s="2"/>
      <c r="F75" s="383">
        <f t="shared" si="16"/>
        <v>64</v>
      </c>
      <c r="G75" s="384">
        <f t="shared" si="3"/>
        <v>44946</v>
      </c>
      <c r="H75" s="340">
        <f t="shared" si="24"/>
        <v>0</v>
      </c>
      <c r="I75" s="340">
        <f t="shared" si="5"/>
        <v>0</v>
      </c>
      <c r="J75" s="340">
        <f t="shared" si="12"/>
        <v>0</v>
      </c>
      <c r="K75" s="340">
        <f t="shared" si="13"/>
        <v>0</v>
      </c>
      <c r="L75" s="382">
        <f t="shared" si="17"/>
        <v>44927</v>
      </c>
      <c r="M75" s="382">
        <f t="shared" si="18"/>
        <v>45292</v>
      </c>
      <c r="N75" s="382">
        <f t="shared" si="19"/>
        <v>44562</v>
      </c>
      <c r="O75" s="340">
        <f t="shared" si="6"/>
        <v>0</v>
      </c>
      <c r="P75" s="340">
        <f t="shared" si="25"/>
        <v>0</v>
      </c>
      <c r="Q75" s="340">
        <f t="shared" si="20"/>
        <v>0</v>
      </c>
      <c r="R75" s="340">
        <f t="shared" si="7"/>
        <v>0</v>
      </c>
      <c r="S75" s="340">
        <f t="shared" si="22"/>
        <v>0</v>
      </c>
      <c r="T75" s="340">
        <f t="shared" si="8"/>
        <v>0</v>
      </c>
      <c r="U75" s="340">
        <f t="shared" si="14"/>
        <v>0</v>
      </c>
      <c r="V75" s="340">
        <f t="shared" si="9"/>
        <v>0</v>
      </c>
      <c r="W75" s="198">
        <f t="shared" si="21"/>
        <v>0</v>
      </c>
      <c r="X75" s="36">
        <f t="shared" si="15"/>
        <v>0</v>
      </c>
      <c r="Y75" s="2"/>
      <c r="Z75" s="34">
        <f t="shared" si="10"/>
        <v>0</v>
      </c>
      <c r="AA75" s="57">
        <f t="shared" si="11"/>
        <v>66358</v>
      </c>
      <c r="AB75" s="96"/>
      <c r="AC75" s="96"/>
      <c r="AD75" s="96"/>
      <c r="AE75" s="96"/>
      <c r="AF75" s="96"/>
      <c r="AG75" s="96"/>
      <c r="AH75" s="96"/>
      <c r="AI75" s="96"/>
    </row>
    <row r="76" spans="1:35" s="16" customFormat="1" ht="12" x14ac:dyDescent="0.2">
      <c r="A76" s="2"/>
      <c r="B76" s="2"/>
      <c r="C76" s="2"/>
      <c r="D76" s="2"/>
      <c r="E76" s="2"/>
      <c r="F76" s="383">
        <f t="shared" si="16"/>
        <v>65</v>
      </c>
      <c r="G76" s="384">
        <f t="shared" ref="G76:G139" si="26">IF((OR(DAY($N$3)=29,DAY($N$3)=30,DAY($N$3)=31)),(EDATE($C$14-3,F76)),(IF((OR(DAY($N$3)=1,DAY($N$3)=2,DAY($N$3)=3)),(EDATE($C$14,F76)+3),EDATE($C$14,F76))))</f>
        <v>44977</v>
      </c>
      <c r="H76" s="340">
        <f t="shared" ref="H76:H107" si="27">IF(F76&lt;=$I$7,I76+P76,IF(AND(V75+P76+I76&gt;H75,H75&lt;&gt;0),$C$21,IF(V75=0,0,V75+P76+I76+I77)))</f>
        <v>0</v>
      </c>
      <c r="I76" s="340">
        <f t="shared" ref="I76:I139" si="28">IF($C$14&gt;$G$7,IF(L76=L75,J76,K76),IF(L75=L74,J76,K76))</f>
        <v>0</v>
      </c>
      <c r="J76" s="340">
        <f t="shared" si="12"/>
        <v>0</v>
      </c>
      <c r="K76" s="340">
        <f t="shared" si="13"/>
        <v>0</v>
      </c>
      <c r="L76" s="382">
        <f t="shared" si="17"/>
        <v>44927</v>
      </c>
      <c r="M76" s="382">
        <f t="shared" si="18"/>
        <v>45292</v>
      </c>
      <c r="N76" s="382">
        <f t="shared" si="19"/>
        <v>44562</v>
      </c>
      <c r="O76" s="340">
        <f t="shared" ref="O76:O139" si="29">IF(W76=0,0,IF(W76=1,V75,IF(V75+P76+I76&gt;H75,H76-I76-P76,V75)))</f>
        <v>0</v>
      </c>
      <c r="P76" s="340">
        <f t="shared" si="25"/>
        <v>0</v>
      </c>
      <c r="Q76" s="340">
        <f t="shared" si="20"/>
        <v>0</v>
      </c>
      <c r="R76" s="340">
        <f t="shared" ref="R76:R139" si="30">I76+S76</f>
        <v>0</v>
      </c>
      <c r="S76" s="340">
        <f t="shared" si="22"/>
        <v>0</v>
      </c>
      <c r="T76" s="340">
        <f t="shared" ref="T76:T139" si="31">IF(X76=0,0,$D$23)</f>
        <v>0</v>
      </c>
      <c r="U76" s="340">
        <f t="shared" si="14"/>
        <v>0</v>
      </c>
      <c r="V76" s="340">
        <f t="shared" ref="V76:V139" si="32">IF(OR(W76=1,V75=0),0,V75-O76)+U76*$C$10</f>
        <v>0</v>
      </c>
      <c r="W76" s="198">
        <f t="shared" si="21"/>
        <v>0</v>
      </c>
      <c r="X76" s="36">
        <f t="shared" ref="X76:X139" si="33">IF(ISERR(CEILING(FLOOR(NPER($C$22/12,-$N$4,V75),0.1),1))=TRUE,0,CEILING(FLOOR(NPER($C$22/12,-$N$4,V75),0.1),1))</f>
        <v>0</v>
      </c>
      <c r="Y76" s="2"/>
      <c r="Z76" s="34">
        <f t="shared" ref="Z76:Z139" si="34">I76+O76+P76-T76</f>
        <v>0</v>
      </c>
      <c r="AA76" s="57">
        <f t="shared" ref="AA76:AA139" si="35">IF((OR(DAY($N$3)=29,DAY($N$3)=30,DAY($N$3)=31)),($C$14-3+F76*365),(IF((OR(DAY($N$3)=1,DAY($N$3)=2,DAY($N$3)=3)),($C$14+F76*365+3),($C$14+F76*365))))</f>
        <v>66723</v>
      </c>
      <c r="AB76" s="96"/>
      <c r="AC76" s="96"/>
      <c r="AD76" s="96"/>
      <c r="AE76" s="96"/>
      <c r="AF76" s="96"/>
      <c r="AG76" s="96"/>
      <c r="AH76" s="96"/>
      <c r="AI76" s="96"/>
    </row>
    <row r="77" spans="1:35" s="16" customFormat="1" ht="12" x14ac:dyDescent="0.2">
      <c r="A77" s="53"/>
      <c r="C77" s="2"/>
      <c r="D77" s="2"/>
      <c r="E77" s="2"/>
      <c r="F77" s="383">
        <f t="shared" si="16"/>
        <v>66</v>
      </c>
      <c r="G77" s="384">
        <f t="shared" si="26"/>
        <v>45005</v>
      </c>
      <c r="H77" s="340">
        <f t="shared" si="27"/>
        <v>0</v>
      </c>
      <c r="I77" s="340">
        <f t="shared" si="28"/>
        <v>0</v>
      </c>
      <c r="J77" s="340">
        <f t="shared" ref="J77:J140" si="36">IF($C$14&gt;$G$7,ROUND(V76*$C$22/(M77-L77)*(G77-G76),2),ROUND(V75*$C$22/(M76-L76)*(G76-G75),2))</f>
        <v>0</v>
      </c>
      <c r="K77" s="340">
        <f t="shared" ref="K77:K140" si="37">IF($C$14&gt;$G$7,ROUND(V76*$C$22/(M77-L77)*(G77-L77+1),2)+ROUND(V76*$C$22/(L77-N77)*(L77-G76-1),2),ROUND(V75*$C$22/(M76-L76)*(G76-L76),2)+ROUND(V75*$C$22/(L76-N76)*(L76-G75),2))</f>
        <v>0</v>
      </c>
      <c r="L77" s="382">
        <f t="shared" si="17"/>
        <v>44927</v>
      </c>
      <c r="M77" s="382">
        <f t="shared" si="18"/>
        <v>45292</v>
      </c>
      <c r="N77" s="382">
        <f t="shared" si="19"/>
        <v>44562</v>
      </c>
      <c r="O77" s="340">
        <f t="shared" si="29"/>
        <v>0</v>
      </c>
      <c r="P77" s="340">
        <f t="shared" si="25"/>
        <v>0</v>
      </c>
      <c r="Q77" s="340">
        <f t="shared" si="20"/>
        <v>0</v>
      </c>
      <c r="R77" s="340">
        <f t="shared" si="30"/>
        <v>0</v>
      </c>
      <c r="S77" s="340">
        <f t="shared" si="22"/>
        <v>0</v>
      </c>
      <c r="T77" s="340">
        <f t="shared" si="31"/>
        <v>0</v>
      </c>
      <c r="U77" s="340">
        <f t="shared" ref="U77:U140" si="38">IF(AND(F77&lt;$I$7-3,MOD(F77,$C$12)=0),1,0)</f>
        <v>0</v>
      </c>
      <c r="V77" s="340">
        <f t="shared" si="32"/>
        <v>0</v>
      </c>
      <c r="W77" s="198">
        <f t="shared" si="21"/>
        <v>0</v>
      </c>
      <c r="X77" s="36">
        <f t="shared" si="33"/>
        <v>0</v>
      </c>
      <c r="Y77" s="2"/>
      <c r="Z77" s="34">
        <f t="shared" si="34"/>
        <v>0</v>
      </c>
      <c r="AA77" s="57">
        <f t="shared" si="35"/>
        <v>67088</v>
      </c>
      <c r="AB77" s="96"/>
      <c r="AC77" s="96"/>
      <c r="AD77" s="96"/>
      <c r="AE77" s="96"/>
      <c r="AF77" s="96"/>
      <c r="AG77" s="96"/>
      <c r="AH77" s="96"/>
      <c r="AI77" s="96"/>
    </row>
    <row r="78" spans="1:35" s="16" customFormat="1" ht="12" x14ac:dyDescent="0.2">
      <c r="A78" s="53"/>
      <c r="B78" s="2"/>
      <c r="C78" s="2"/>
      <c r="D78" s="13"/>
      <c r="E78" s="2"/>
      <c r="F78" s="383">
        <f t="shared" ref="F78:F141" si="39">F77+1</f>
        <v>67</v>
      </c>
      <c r="G78" s="384">
        <f t="shared" si="26"/>
        <v>45036</v>
      </c>
      <c r="H78" s="340">
        <f t="shared" si="27"/>
        <v>0</v>
      </c>
      <c r="I78" s="340">
        <f t="shared" si="28"/>
        <v>0</v>
      </c>
      <c r="J78" s="340">
        <f t="shared" si="36"/>
        <v>0</v>
      </c>
      <c r="K78" s="340">
        <f t="shared" si="37"/>
        <v>0</v>
      </c>
      <c r="L78" s="382">
        <f t="shared" ref="L78:L141" si="40">DATEVALUE(CONCATENATE("01/01/",YEAR(G78)))</f>
        <v>44927</v>
      </c>
      <c r="M78" s="382">
        <f t="shared" ref="M78:M141" si="41">DATEVALUE(CONCATENATE("01/01/",YEAR(G78)+1))</f>
        <v>45292</v>
      </c>
      <c r="N78" s="382">
        <f t="shared" ref="N78:N141" si="42">DATEVALUE(CONCATENATE("01/01/",YEAR(G78)-1))</f>
        <v>44562</v>
      </c>
      <c r="O78" s="340">
        <f t="shared" si="29"/>
        <v>0</v>
      </c>
      <c r="P78" s="340">
        <f t="shared" si="25"/>
        <v>0</v>
      </c>
      <c r="Q78" s="340">
        <f t="shared" ref="Q78:Q141" si="43">S77-P77</f>
        <v>0</v>
      </c>
      <c r="R78" s="340">
        <f t="shared" si="30"/>
        <v>0</v>
      </c>
      <c r="S78" s="340">
        <f t="shared" si="22"/>
        <v>0</v>
      </c>
      <c r="T78" s="340">
        <f t="shared" si="31"/>
        <v>0</v>
      </c>
      <c r="U78" s="340">
        <f t="shared" si="38"/>
        <v>0</v>
      </c>
      <c r="V78" s="340">
        <f t="shared" si="32"/>
        <v>0</v>
      </c>
      <c r="W78" s="198">
        <f t="shared" ref="W78:W141" si="44">IF((W77-1)&lt;0,0,W77-1)</f>
        <v>0</v>
      </c>
      <c r="X78" s="36">
        <f t="shared" si="33"/>
        <v>0</v>
      </c>
      <c r="Y78" s="2"/>
      <c r="Z78" s="34">
        <f t="shared" si="34"/>
        <v>0</v>
      </c>
      <c r="AA78" s="57">
        <f t="shared" si="35"/>
        <v>67453</v>
      </c>
      <c r="AB78" s="96"/>
      <c r="AC78" s="96"/>
      <c r="AD78" s="96"/>
      <c r="AE78" s="96"/>
      <c r="AF78" s="96"/>
      <c r="AG78" s="96"/>
      <c r="AH78" s="96"/>
      <c r="AI78" s="96"/>
    </row>
    <row r="79" spans="1:35" s="16" customFormat="1" ht="12" x14ac:dyDescent="0.2">
      <c r="A79" s="2"/>
      <c r="B79" s="2"/>
      <c r="C79" s="1"/>
      <c r="D79" s="2"/>
      <c r="E79" s="2"/>
      <c r="F79" s="383">
        <f t="shared" si="39"/>
        <v>68</v>
      </c>
      <c r="G79" s="384">
        <f t="shared" si="26"/>
        <v>45066</v>
      </c>
      <c r="H79" s="340">
        <f t="shared" si="27"/>
        <v>0</v>
      </c>
      <c r="I79" s="340">
        <f t="shared" si="28"/>
        <v>0</v>
      </c>
      <c r="J79" s="340">
        <f t="shared" si="36"/>
        <v>0</v>
      </c>
      <c r="K79" s="340">
        <f t="shared" si="37"/>
        <v>0</v>
      </c>
      <c r="L79" s="382">
        <f t="shared" si="40"/>
        <v>44927</v>
      </c>
      <c r="M79" s="382">
        <f t="shared" si="41"/>
        <v>45292</v>
      </c>
      <c r="N79" s="382">
        <f t="shared" si="42"/>
        <v>44562</v>
      </c>
      <c r="O79" s="340">
        <f t="shared" si="29"/>
        <v>0</v>
      </c>
      <c r="P79" s="340">
        <f t="shared" si="25"/>
        <v>0</v>
      </c>
      <c r="Q79" s="340">
        <f t="shared" si="43"/>
        <v>0</v>
      </c>
      <c r="R79" s="340">
        <f t="shared" si="30"/>
        <v>0</v>
      </c>
      <c r="S79" s="340">
        <f t="shared" si="22"/>
        <v>0</v>
      </c>
      <c r="T79" s="340">
        <f t="shared" si="31"/>
        <v>0</v>
      </c>
      <c r="U79" s="340">
        <f t="shared" si="38"/>
        <v>0</v>
      </c>
      <c r="V79" s="340">
        <f t="shared" si="32"/>
        <v>0</v>
      </c>
      <c r="W79" s="198">
        <f t="shared" si="44"/>
        <v>0</v>
      </c>
      <c r="X79" s="36">
        <f t="shared" si="33"/>
        <v>0</v>
      </c>
      <c r="Y79" s="2"/>
      <c r="Z79" s="34">
        <f t="shared" si="34"/>
        <v>0</v>
      </c>
      <c r="AA79" s="57">
        <f t="shared" si="35"/>
        <v>67818</v>
      </c>
      <c r="AB79" s="96"/>
      <c r="AC79" s="96"/>
      <c r="AD79" s="96"/>
      <c r="AE79" s="96"/>
      <c r="AF79" s="96"/>
      <c r="AG79" s="96"/>
      <c r="AH79" s="96"/>
      <c r="AI79" s="96"/>
    </row>
    <row r="80" spans="1:35" s="16" customFormat="1" ht="12" x14ac:dyDescent="0.2">
      <c r="A80" s="2"/>
      <c r="B80" s="2"/>
      <c r="C80" s="98"/>
      <c r="D80" s="1"/>
      <c r="E80" s="2"/>
      <c r="F80" s="383">
        <f t="shared" si="39"/>
        <v>69</v>
      </c>
      <c r="G80" s="384">
        <f t="shared" si="26"/>
        <v>45097</v>
      </c>
      <c r="H80" s="340">
        <f t="shared" si="27"/>
        <v>0</v>
      </c>
      <c r="I80" s="340">
        <f t="shared" si="28"/>
        <v>0</v>
      </c>
      <c r="J80" s="340">
        <f t="shared" si="36"/>
        <v>0</v>
      </c>
      <c r="K80" s="340">
        <f t="shared" si="37"/>
        <v>0</v>
      </c>
      <c r="L80" s="382">
        <f t="shared" si="40"/>
        <v>44927</v>
      </c>
      <c r="M80" s="382">
        <f t="shared" si="41"/>
        <v>45292</v>
      </c>
      <c r="N80" s="382">
        <f t="shared" si="42"/>
        <v>44562</v>
      </c>
      <c r="O80" s="340">
        <f t="shared" si="29"/>
        <v>0</v>
      </c>
      <c r="P80" s="340">
        <f t="shared" si="25"/>
        <v>0</v>
      </c>
      <c r="Q80" s="340">
        <f t="shared" si="43"/>
        <v>0</v>
      </c>
      <c r="R80" s="340">
        <f t="shared" si="30"/>
        <v>0</v>
      </c>
      <c r="S80" s="340">
        <f t="shared" si="22"/>
        <v>0</v>
      </c>
      <c r="T80" s="340">
        <f t="shared" si="31"/>
        <v>0</v>
      </c>
      <c r="U80" s="340">
        <f t="shared" si="38"/>
        <v>0</v>
      </c>
      <c r="V80" s="340">
        <f t="shared" si="32"/>
        <v>0</v>
      </c>
      <c r="W80" s="198">
        <f t="shared" si="44"/>
        <v>0</v>
      </c>
      <c r="X80" s="36">
        <f t="shared" si="33"/>
        <v>0</v>
      </c>
      <c r="Y80" s="2"/>
      <c r="Z80" s="34">
        <f t="shared" si="34"/>
        <v>0</v>
      </c>
      <c r="AA80" s="57">
        <f t="shared" si="35"/>
        <v>68183</v>
      </c>
      <c r="AB80" s="96"/>
      <c r="AC80" s="96"/>
      <c r="AD80" s="96"/>
      <c r="AE80" s="96"/>
      <c r="AF80" s="96"/>
      <c r="AG80" s="96"/>
      <c r="AH80" s="96"/>
      <c r="AI80" s="96"/>
    </row>
    <row r="81" spans="1:35" s="16" customFormat="1" ht="12" x14ac:dyDescent="0.2">
      <c r="A81" s="2"/>
      <c r="B81" s="2"/>
      <c r="C81" s="2"/>
      <c r="D81" s="13"/>
      <c r="E81" s="2"/>
      <c r="F81" s="383">
        <f t="shared" si="39"/>
        <v>70</v>
      </c>
      <c r="G81" s="384">
        <f t="shared" si="26"/>
        <v>45127</v>
      </c>
      <c r="H81" s="340">
        <f t="shared" si="27"/>
        <v>0</v>
      </c>
      <c r="I81" s="340">
        <f t="shared" si="28"/>
        <v>0</v>
      </c>
      <c r="J81" s="340">
        <f t="shared" si="36"/>
        <v>0</v>
      </c>
      <c r="K81" s="340">
        <f t="shared" si="37"/>
        <v>0</v>
      </c>
      <c r="L81" s="382">
        <f t="shared" si="40"/>
        <v>44927</v>
      </c>
      <c r="M81" s="382">
        <f t="shared" si="41"/>
        <v>45292</v>
      </c>
      <c r="N81" s="382">
        <f t="shared" si="42"/>
        <v>44562</v>
      </c>
      <c r="O81" s="340">
        <f t="shared" si="29"/>
        <v>0</v>
      </c>
      <c r="P81" s="340">
        <f t="shared" si="25"/>
        <v>0</v>
      </c>
      <c r="Q81" s="340">
        <f t="shared" si="43"/>
        <v>0</v>
      </c>
      <c r="R81" s="340">
        <f t="shared" si="30"/>
        <v>0</v>
      </c>
      <c r="S81" s="340">
        <f t="shared" ref="S81:S144" si="45">IF(X81=0,0,$D$23)</f>
        <v>0</v>
      </c>
      <c r="T81" s="340">
        <f t="shared" si="31"/>
        <v>0</v>
      </c>
      <c r="U81" s="340">
        <f t="shared" si="38"/>
        <v>0</v>
      </c>
      <c r="V81" s="340">
        <f t="shared" si="32"/>
        <v>0</v>
      </c>
      <c r="W81" s="198">
        <f t="shared" si="44"/>
        <v>0</v>
      </c>
      <c r="X81" s="36">
        <f t="shared" si="33"/>
        <v>0</v>
      </c>
      <c r="Y81" s="2"/>
      <c r="Z81" s="34">
        <f t="shared" si="34"/>
        <v>0</v>
      </c>
      <c r="AA81" s="57">
        <f t="shared" si="35"/>
        <v>68548</v>
      </c>
      <c r="AB81" s="96"/>
      <c r="AC81" s="96"/>
      <c r="AD81" s="96"/>
      <c r="AE81" s="96"/>
      <c r="AF81" s="96"/>
      <c r="AG81" s="96"/>
      <c r="AH81" s="96"/>
      <c r="AI81" s="96"/>
    </row>
    <row r="82" spans="1:35" s="16" customFormat="1" ht="12" x14ac:dyDescent="0.2">
      <c r="A82" s="2"/>
      <c r="B82" s="2"/>
      <c r="C82" s="13"/>
      <c r="D82" s="13"/>
      <c r="E82" s="2"/>
      <c r="F82" s="383">
        <f t="shared" si="39"/>
        <v>71</v>
      </c>
      <c r="G82" s="384">
        <f t="shared" si="26"/>
        <v>45158</v>
      </c>
      <c r="H82" s="340">
        <f t="shared" si="27"/>
        <v>0</v>
      </c>
      <c r="I82" s="340">
        <f t="shared" si="28"/>
        <v>0</v>
      </c>
      <c r="J82" s="340">
        <f t="shared" si="36"/>
        <v>0</v>
      </c>
      <c r="K82" s="340">
        <f t="shared" si="37"/>
        <v>0</v>
      </c>
      <c r="L82" s="382">
        <f t="shared" si="40"/>
        <v>44927</v>
      </c>
      <c r="M82" s="382">
        <f t="shared" si="41"/>
        <v>45292</v>
      </c>
      <c r="N82" s="382">
        <f t="shared" si="42"/>
        <v>44562</v>
      </c>
      <c r="O82" s="340">
        <f t="shared" si="29"/>
        <v>0</v>
      </c>
      <c r="P82" s="340">
        <f t="shared" si="25"/>
        <v>0</v>
      </c>
      <c r="Q82" s="340">
        <f t="shared" si="43"/>
        <v>0</v>
      </c>
      <c r="R82" s="340">
        <f t="shared" si="30"/>
        <v>0</v>
      </c>
      <c r="S82" s="340">
        <f t="shared" si="45"/>
        <v>0</v>
      </c>
      <c r="T82" s="340">
        <f t="shared" si="31"/>
        <v>0</v>
      </c>
      <c r="U82" s="340">
        <f t="shared" si="38"/>
        <v>0</v>
      </c>
      <c r="V82" s="340">
        <f t="shared" si="32"/>
        <v>0</v>
      </c>
      <c r="W82" s="198">
        <f t="shared" si="44"/>
        <v>0</v>
      </c>
      <c r="X82" s="36">
        <f t="shared" si="33"/>
        <v>0</v>
      </c>
      <c r="Y82" s="2"/>
      <c r="Z82" s="34">
        <f t="shared" si="34"/>
        <v>0</v>
      </c>
      <c r="AA82" s="57">
        <f t="shared" si="35"/>
        <v>68913</v>
      </c>
      <c r="AB82" s="96"/>
      <c r="AC82" s="96"/>
      <c r="AD82" s="96"/>
      <c r="AE82" s="96"/>
      <c r="AF82" s="96"/>
      <c r="AG82" s="96"/>
      <c r="AH82" s="96"/>
      <c r="AI82" s="96"/>
    </row>
    <row r="83" spans="1:35" s="16" customFormat="1" ht="12" x14ac:dyDescent="0.2">
      <c r="A83" s="2"/>
      <c r="B83" s="2"/>
      <c r="C83" s="2"/>
      <c r="D83" s="13"/>
      <c r="E83" s="2"/>
      <c r="F83" s="383">
        <f t="shared" si="39"/>
        <v>72</v>
      </c>
      <c r="G83" s="384">
        <f t="shared" si="26"/>
        <v>45189</v>
      </c>
      <c r="H83" s="340">
        <f t="shared" si="27"/>
        <v>0</v>
      </c>
      <c r="I83" s="340">
        <f t="shared" si="28"/>
        <v>0</v>
      </c>
      <c r="J83" s="340">
        <f t="shared" si="36"/>
        <v>0</v>
      </c>
      <c r="K83" s="340">
        <f t="shared" si="37"/>
        <v>0</v>
      </c>
      <c r="L83" s="382">
        <f t="shared" si="40"/>
        <v>44927</v>
      </c>
      <c r="M83" s="382">
        <f t="shared" si="41"/>
        <v>45292</v>
      </c>
      <c r="N83" s="382">
        <f t="shared" si="42"/>
        <v>44562</v>
      </c>
      <c r="O83" s="340">
        <f t="shared" si="29"/>
        <v>0</v>
      </c>
      <c r="P83" s="340">
        <f t="shared" ref="P83:P114" si="46">IF(R83&gt;$C$21,$C$21-I83,IF(X83=0,0,S83))</f>
        <v>0</v>
      </c>
      <c r="Q83" s="340">
        <f t="shared" si="43"/>
        <v>0</v>
      </c>
      <c r="R83" s="340">
        <f t="shared" si="30"/>
        <v>0</v>
      </c>
      <c r="S83" s="340">
        <f t="shared" si="45"/>
        <v>0</v>
      </c>
      <c r="T83" s="340">
        <f t="shared" si="31"/>
        <v>0</v>
      </c>
      <c r="U83" s="340">
        <f t="shared" si="38"/>
        <v>0</v>
      </c>
      <c r="V83" s="340">
        <f t="shared" si="32"/>
        <v>0</v>
      </c>
      <c r="W83" s="198">
        <f t="shared" si="44"/>
        <v>0</v>
      </c>
      <c r="X83" s="36">
        <f t="shared" si="33"/>
        <v>0</v>
      </c>
      <c r="Y83" s="2"/>
      <c r="Z83" s="34">
        <f t="shared" si="34"/>
        <v>0</v>
      </c>
      <c r="AA83" s="57">
        <f t="shared" si="35"/>
        <v>69278</v>
      </c>
      <c r="AB83" s="96"/>
      <c r="AC83" s="96"/>
      <c r="AD83" s="96"/>
      <c r="AE83" s="96"/>
      <c r="AF83" s="96"/>
      <c r="AG83" s="96"/>
      <c r="AH83" s="96"/>
      <c r="AI83" s="96"/>
    </row>
    <row r="84" spans="1:35" s="16" customFormat="1" ht="12" x14ac:dyDescent="0.2">
      <c r="A84" s="2"/>
      <c r="B84" s="2"/>
      <c r="C84" s="2"/>
      <c r="D84" s="13"/>
      <c r="E84" s="2"/>
      <c r="F84" s="383">
        <f t="shared" si="39"/>
        <v>73</v>
      </c>
      <c r="G84" s="384">
        <f t="shared" si="26"/>
        <v>45219</v>
      </c>
      <c r="H84" s="340">
        <f t="shared" si="27"/>
        <v>0</v>
      </c>
      <c r="I84" s="340">
        <f t="shared" si="28"/>
        <v>0</v>
      </c>
      <c r="J84" s="340">
        <f t="shared" si="36"/>
        <v>0</v>
      </c>
      <c r="K84" s="340">
        <f t="shared" si="37"/>
        <v>0</v>
      </c>
      <c r="L84" s="382">
        <f t="shared" si="40"/>
        <v>44927</v>
      </c>
      <c r="M84" s="382">
        <f t="shared" si="41"/>
        <v>45292</v>
      </c>
      <c r="N84" s="382">
        <f t="shared" si="42"/>
        <v>44562</v>
      </c>
      <c r="O84" s="340">
        <f t="shared" si="29"/>
        <v>0</v>
      </c>
      <c r="P84" s="340">
        <f t="shared" si="46"/>
        <v>0</v>
      </c>
      <c r="Q84" s="340">
        <f t="shared" si="43"/>
        <v>0</v>
      </c>
      <c r="R84" s="340">
        <f t="shared" si="30"/>
        <v>0</v>
      </c>
      <c r="S84" s="340">
        <f t="shared" si="45"/>
        <v>0</v>
      </c>
      <c r="T84" s="340">
        <f t="shared" si="31"/>
        <v>0</v>
      </c>
      <c r="U84" s="340">
        <f t="shared" si="38"/>
        <v>0</v>
      </c>
      <c r="V84" s="340">
        <f t="shared" si="32"/>
        <v>0</v>
      </c>
      <c r="W84" s="198">
        <f t="shared" si="44"/>
        <v>0</v>
      </c>
      <c r="X84" s="36">
        <f t="shared" si="33"/>
        <v>0</v>
      </c>
      <c r="Y84" s="2"/>
      <c r="Z84" s="34">
        <f t="shared" si="34"/>
        <v>0</v>
      </c>
      <c r="AA84" s="57">
        <f t="shared" si="35"/>
        <v>69643</v>
      </c>
      <c r="AB84" s="96"/>
      <c r="AC84" s="96"/>
      <c r="AD84" s="96"/>
      <c r="AE84" s="96"/>
      <c r="AF84" s="96"/>
      <c r="AG84" s="96"/>
      <c r="AH84" s="96"/>
      <c r="AI84" s="96"/>
    </row>
    <row r="85" spans="1:35" s="16" customFormat="1" ht="12" x14ac:dyDescent="0.2">
      <c r="A85" s="2"/>
      <c r="B85" s="2"/>
      <c r="C85" s="2"/>
      <c r="D85" s="2"/>
      <c r="E85" s="2"/>
      <c r="F85" s="383">
        <f t="shared" si="39"/>
        <v>74</v>
      </c>
      <c r="G85" s="384">
        <f t="shared" si="26"/>
        <v>45250</v>
      </c>
      <c r="H85" s="340">
        <f t="shared" si="27"/>
        <v>0</v>
      </c>
      <c r="I85" s="340">
        <f t="shared" si="28"/>
        <v>0</v>
      </c>
      <c r="J85" s="340">
        <f t="shared" si="36"/>
        <v>0</v>
      </c>
      <c r="K85" s="340">
        <f t="shared" si="37"/>
        <v>0</v>
      </c>
      <c r="L85" s="382">
        <f t="shared" si="40"/>
        <v>44927</v>
      </c>
      <c r="M85" s="382">
        <f t="shared" si="41"/>
        <v>45292</v>
      </c>
      <c r="N85" s="382">
        <f t="shared" si="42"/>
        <v>44562</v>
      </c>
      <c r="O85" s="340">
        <f t="shared" si="29"/>
        <v>0</v>
      </c>
      <c r="P85" s="340">
        <f t="shared" si="46"/>
        <v>0</v>
      </c>
      <c r="Q85" s="340">
        <f t="shared" si="43"/>
        <v>0</v>
      </c>
      <c r="R85" s="340">
        <f t="shared" si="30"/>
        <v>0</v>
      </c>
      <c r="S85" s="340">
        <f t="shared" si="45"/>
        <v>0</v>
      </c>
      <c r="T85" s="340">
        <f t="shared" si="31"/>
        <v>0</v>
      </c>
      <c r="U85" s="340">
        <f t="shared" si="38"/>
        <v>0</v>
      </c>
      <c r="V85" s="340">
        <f t="shared" si="32"/>
        <v>0</v>
      </c>
      <c r="W85" s="198">
        <f t="shared" si="44"/>
        <v>0</v>
      </c>
      <c r="X85" s="36">
        <f t="shared" si="33"/>
        <v>0</v>
      </c>
      <c r="Y85" s="2"/>
      <c r="Z85" s="34">
        <f t="shared" si="34"/>
        <v>0</v>
      </c>
      <c r="AA85" s="57">
        <f t="shared" si="35"/>
        <v>70008</v>
      </c>
      <c r="AB85" s="96"/>
      <c r="AC85" s="96"/>
      <c r="AD85" s="96"/>
      <c r="AE85" s="96"/>
      <c r="AF85" s="96"/>
      <c r="AG85" s="96"/>
      <c r="AH85" s="96"/>
      <c r="AI85" s="96"/>
    </row>
    <row r="86" spans="1:35" s="16" customFormat="1" ht="12" x14ac:dyDescent="0.2">
      <c r="A86" s="2"/>
      <c r="B86" s="2"/>
      <c r="C86" s="2"/>
      <c r="D86" s="2"/>
      <c r="E86" s="2"/>
      <c r="F86" s="383">
        <f t="shared" si="39"/>
        <v>75</v>
      </c>
      <c r="G86" s="384">
        <f t="shared" si="26"/>
        <v>45280</v>
      </c>
      <c r="H86" s="340">
        <f t="shared" si="27"/>
        <v>0</v>
      </c>
      <c r="I86" s="340">
        <f t="shared" si="28"/>
        <v>0</v>
      </c>
      <c r="J86" s="340">
        <f t="shared" si="36"/>
        <v>0</v>
      </c>
      <c r="K86" s="340">
        <f t="shared" si="37"/>
        <v>0</v>
      </c>
      <c r="L86" s="382">
        <f t="shared" si="40"/>
        <v>44927</v>
      </c>
      <c r="M86" s="382">
        <f t="shared" si="41"/>
        <v>45292</v>
      </c>
      <c r="N86" s="382">
        <f t="shared" si="42"/>
        <v>44562</v>
      </c>
      <c r="O86" s="340">
        <f t="shared" si="29"/>
        <v>0</v>
      </c>
      <c r="P86" s="340">
        <f t="shared" si="46"/>
        <v>0</v>
      </c>
      <c r="Q86" s="340">
        <f t="shared" si="43"/>
        <v>0</v>
      </c>
      <c r="R86" s="340">
        <f t="shared" si="30"/>
        <v>0</v>
      </c>
      <c r="S86" s="340">
        <f t="shared" si="45"/>
        <v>0</v>
      </c>
      <c r="T86" s="340">
        <f t="shared" si="31"/>
        <v>0</v>
      </c>
      <c r="U86" s="340">
        <f t="shared" si="38"/>
        <v>0</v>
      </c>
      <c r="V86" s="340">
        <f t="shared" si="32"/>
        <v>0</v>
      </c>
      <c r="W86" s="198">
        <f t="shared" si="44"/>
        <v>0</v>
      </c>
      <c r="X86" s="36">
        <f t="shared" si="33"/>
        <v>0</v>
      </c>
      <c r="Y86" s="2"/>
      <c r="Z86" s="34">
        <f t="shared" si="34"/>
        <v>0</v>
      </c>
      <c r="AA86" s="57">
        <f t="shared" si="35"/>
        <v>70373</v>
      </c>
      <c r="AB86" s="96"/>
      <c r="AC86" s="96"/>
      <c r="AD86" s="96"/>
      <c r="AE86" s="96"/>
      <c r="AF86" s="96"/>
      <c r="AG86" s="96"/>
      <c r="AH86" s="96"/>
      <c r="AI86" s="96"/>
    </row>
    <row r="87" spans="1:35" s="16" customFormat="1" ht="12" x14ac:dyDescent="0.2">
      <c r="A87" s="2"/>
      <c r="B87" s="2"/>
      <c r="C87" s="2"/>
      <c r="D87" s="2"/>
      <c r="F87" s="383">
        <f t="shared" si="39"/>
        <v>76</v>
      </c>
      <c r="G87" s="384">
        <f t="shared" si="26"/>
        <v>45311</v>
      </c>
      <c r="H87" s="340">
        <f t="shared" si="27"/>
        <v>0</v>
      </c>
      <c r="I87" s="340">
        <f t="shared" si="28"/>
        <v>0</v>
      </c>
      <c r="J87" s="340">
        <f t="shared" si="36"/>
        <v>0</v>
      </c>
      <c r="K87" s="340">
        <f t="shared" si="37"/>
        <v>0</v>
      </c>
      <c r="L87" s="382">
        <f t="shared" si="40"/>
        <v>45292</v>
      </c>
      <c r="M87" s="382">
        <f t="shared" si="41"/>
        <v>45658</v>
      </c>
      <c r="N87" s="382">
        <f t="shared" si="42"/>
        <v>44927</v>
      </c>
      <c r="O87" s="340">
        <f t="shared" si="29"/>
        <v>0</v>
      </c>
      <c r="P87" s="340">
        <f t="shared" si="46"/>
        <v>0</v>
      </c>
      <c r="Q87" s="340">
        <f t="shared" si="43"/>
        <v>0</v>
      </c>
      <c r="R87" s="340">
        <f t="shared" si="30"/>
        <v>0</v>
      </c>
      <c r="S87" s="340">
        <f t="shared" si="45"/>
        <v>0</v>
      </c>
      <c r="T87" s="340">
        <f t="shared" si="31"/>
        <v>0</v>
      </c>
      <c r="U87" s="340">
        <f t="shared" si="38"/>
        <v>0</v>
      </c>
      <c r="V87" s="340">
        <f t="shared" si="32"/>
        <v>0</v>
      </c>
      <c r="W87" s="198">
        <f t="shared" si="44"/>
        <v>0</v>
      </c>
      <c r="X87" s="36">
        <f t="shared" si="33"/>
        <v>0</v>
      </c>
      <c r="Y87" s="2"/>
      <c r="Z87" s="34">
        <f t="shared" si="34"/>
        <v>0</v>
      </c>
      <c r="AA87" s="57">
        <f t="shared" si="35"/>
        <v>70738</v>
      </c>
      <c r="AB87" s="96"/>
      <c r="AC87" s="96"/>
      <c r="AD87" s="96"/>
      <c r="AE87" s="96"/>
      <c r="AF87" s="96"/>
      <c r="AG87" s="96"/>
      <c r="AH87" s="96"/>
      <c r="AI87" s="96"/>
    </row>
    <row r="88" spans="1:35" s="16" customFormat="1" ht="12" x14ac:dyDescent="0.2">
      <c r="A88" s="2"/>
      <c r="B88" s="2"/>
      <c r="C88" s="2"/>
      <c r="D88" s="2"/>
      <c r="E88" s="2"/>
      <c r="F88" s="383">
        <f t="shared" si="39"/>
        <v>77</v>
      </c>
      <c r="G88" s="384">
        <f t="shared" si="26"/>
        <v>45342</v>
      </c>
      <c r="H88" s="340">
        <f t="shared" si="27"/>
        <v>0</v>
      </c>
      <c r="I88" s="340">
        <f t="shared" si="28"/>
        <v>0</v>
      </c>
      <c r="J88" s="340">
        <f t="shared" si="36"/>
        <v>0</v>
      </c>
      <c r="K88" s="340">
        <f t="shared" si="37"/>
        <v>0</v>
      </c>
      <c r="L88" s="382">
        <f t="shared" si="40"/>
        <v>45292</v>
      </c>
      <c r="M88" s="382">
        <f t="shared" si="41"/>
        <v>45658</v>
      </c>
      <c r="N88" s="382">
        <f t="shared" si="42"/>
        <v>44927</v>
      </c>
      <c r="O88" s="340">
        <f t="shared" si="29"/>
        <v>0</v>
      </c>
      <c r="P88" s="340">
        <f t="shared" si="46"/>
        <v>0</v>
      </c>
      <c r="Q88" s="340">
        <f t="shared" si="43"/>
        <v>0</v>
      </c>
      <c r="R88" s="340">
        <f t="shared" si="30"/>
        <v>0</v>
      </c>
      <c r="S88" s="340">
        <f t="shared" si="45"/>
        <v>0</v>
      </c>
      <c r="T88" s="340">
        <f t="shared" si="31"/>
        <v>0</v>
      </c>
      <c r="U88" s="340">
        <f t="shared" si="38"/>
        <v>0</v>
      </c>
      <c r="V88" s="340">
        <f t="shared" si="32"/>
        <v>0</v>
      </c>
      <c r="W88" s="198">
        <f t="shared" si="44"/>
        <v>0</v>
      </c>
      <c r="X88" s="36">
        <f t="shared" si="33"/>
        <v>0</v>
      </c>
      <c r="Y88" s="2"/>
      <c r="Z88" s="34">
        <f t="shared" si="34"/>
        <v>0</v>
      </c>
      <c r="AA88" s="57">
        <f t="shared" si="35"/>
        <v>71103</v>
      </c>
      <c r="AB88" s="96"/>
      <c r="AC88" s="96"/>
      <c r="AD88" s="96"/>
      <c r="AE88" s="96"/>
      <c r="AF88" s="96"/>
      <c r="AG88" s="96"/>
      <c r="AH88" s="96"/>
      <c r="AI88" s="96"/>
    </row>
    <row r="89" spans="1:35" s="16" customFormat="1" ht="12" x14ac:dyDescent="0.2">
      <c r="A89" s="2"/>
      <c r="B89" s="2"/>
      <c r="C89" s="2"/>
      <c r="D89" s="2"/>
      <c r="E89" s="2"/>
      <c r="F89" s="383">
        <f t="shared" si="39"/>
        <v>78</v>
      </c>
      <c r="G89" s="384">
        <f t="shared" si="26"/>
        <v>45371</v>
      </c>
      <c r="H89" s="340">
        <f t="shared" si="27"/>
        <v>0</v>
      </c>
      <c r="I89" s="340">
        <f t="shared" si="28"/>
        <v>0</v>
      </c>
      <c r="J89" s="340">
        <f t="shared" si="36"/>
        <v>0</v>
      </c>
      <c r="K89" s="340">
        <f t="shared" si="37"/>
        <v>0</v>
      </c>
      <c r="L89" s="382">
        <f t="shared" si="40"/>
        <v>45292</v>
      </c>
      <c r="M89" s="382">
        <f t="shared" si="41"/>
        <v>45658</v>
      </c>
      <c r="N89" s="382">
        <f t="shared" si="42"/>
        <v>44927</v>
      </c>
      <c r="O89" s="340">
        <f t="shared" si="29"/>
        <v>0</v>
      </c>
      <c r="P89" s="340">
        <f t="shared" si="46"/>
        <v>0</v>
      </c>
      <c r="Q89" s="340">
        <f t="shared" si="43"/>
        <v>0</v>
      </c>
      <c r="R89" s="340">
        <f t="shared" si="30"/>
        <v>0</v>
      </c>
      <c r="S89" s="340">
        <f t="shared" si="45"/>
        <v>0</v>
      </c>
      <c r="T89" s="340">
        <f t="shared" si="31"/>
        <v>0</v>
      </c>
      <c r="U89" s="340">
        <f t="shared" si="38"/>
        <v>0</v>
      </c>
      <c r="V89" s="340">
        <f t="shared" si="32"/>
        <v>0</v>
      </c>
      <c r="W89" s="198">
        <f t="shared" si="44"/>
        <v>0</v>
      </c>
      <c r="X89" s="36">
        <f t="shared" si="33"/>
        <v>0</v>
      </c>
      <c r="Y89" s="2"/>
      <c r="Z89" s="34">
        <f t="shared" si="34"/>
        <v>0</v>
      </c>
      <c r="AA89" s="57">
        <f t="shared" si="35"/>
        <v>71468</v>
      </c>
      <c r="AB89" s="96"/>
      <c r="AC89" s="96"/>
      <c r="AD89" s="96"/>
      <c r="AE89" s="96"/>
      <c r="AF89" s="96"/>
      <c r="AG89" s="96"/>
      <c r="AH89" s="96"/>
      <c r="AI89" s="96"/>
    </row>
    <row r="90" spans="1:35" s="16" customFormat="1" ht="12" x14ac:dyDescent="0.2">
      <c r="A90" s="2"/>
      <c r="B90" s="2"/>
      <c r="C90" s="2"/>
      <c r="D90" s="2"/>
      <c r="E90" s="2"/>
      <c r="F90" s="383">
        <f t="shared" si="39"/>
        <v>79</v>
      </c>
      <c r="G90" s="384">
        <f t="shared" si="26"/>
        <v>45402</v>
      </c>
      <c r="H90" s="340">
        <f t="shared" si="27"/>
        <v>0</v>
      </c>
      <c r="I90" s="340">
        <f t="shared" si="28"/>
        <v>0</v>
      </c>
      <c r="J90" s="340">
        <f t="shared" si="36"/>
        <v>0</v>
      </c>
      <c r="K90" s="340">
        <f t="shared" si="37"/>
        <v>0</v>
      </c>
      <c r="L90" s="382">
        <f t="shared" si="40"/>
        <v>45292</v>
      </c>
      <c r="M90" s="382">
        <f t="shared" si="41"/>
        <v>45658</v>
      </c>
      <c r="N90" s="382">
        <f t="shared" si="42"/>
        <v>44927</v>
      </c>
      <c r="O90" s="340">
        <f t="shared" si="29"/>
        <v>0</v>
      </c>
      <c r="P90" s="340">
        <f t="shared" si="46"/>
        <v>0</v>
      </c>
      <c r="Q90" s="340">
        <f t="shared" si="43"/>
        <v>0</v>
      </c>
      <c r="R90" s="340">
        <f t="shared" si="30"/>
        <v>0</v>
      </c>
      <c r="S90" s="340">
        <f t="shared" si="45"/>
        <v>0</v>
      </c>
      <c r="T90" s="340">
        <f t="shared" si="31"/>
        <v>0</v>
      </c>
      <c r="U90" s="340">
        <f t="shared" si="38"/>
        <v>0</v>
      </c>
      <c r="V90" s="340">
        <f t="shared" si="32"/>
        <v>0</v>
      </c>
      <c r="W90" s="198">
        <f t="shared" si="44"/>
        <v>0</v>
      </c>
      <c r="X90" s="36">
        <f t="shared" si="33"/>
        <v>0</v>
      </c>
      <c r="Y90" s="2"/>
      <c r="Z90" s="34">
        <f t="shared" si="34"/>
        <v>0</v>
      </c>
      <c r="AA90" s="57">
        <f t="shared" si="35"/>
        <v>71833</v>
      </c>
      <c r="AB90" s="96"/>
      <c r="AC90" s="96"/>
      <c r="AD90" s="96"/>
      <c r="AE90" s="96"/>
      <c r="AF90" s="96"/>
      <c r="AG90" s="96"/>
      <c r="AH90" s="96"/>
      <c r="AI90" s="96"/>
    </row>
    <row r="91" spans="1:35" s="16" customFormat="1" ht="12" x14ac:dyDescent="0.2">
      <c r="A91" s="2"/>
      <c r="B91" s="2"/>
      <c r="C91" s="2"/>
      <c r="D91" s="2"/>
      <c r="E91" s="2"/>
      <c r="F91" s="383">
        <f t="shared" si="39"/>
        <v>80</v>
      </c>
      <c r="G91" s="384">
        <f t="shared" si="26"/>
        <v>45432</v>
      </c>
      <c r="H91" s="340">
        <f t="shared" si="27"/>
        <v>0</v>
      </c>
      <c r="I91" s="340">
        <f t="shared" si="28"/>
        <v>0</v>
      </c>
      <c r="J91" s="340">
        <f t="shared" si="36"/>
        <v>0</v>
      </c>
      <c r="K91" s="340">
        <f t="shared" si="37"/>
        <v>0</v>
      </c>
      <c r="L91" s="382">
        <f t="shared" si="40"/>
        <v>45292</v>
      </c>
      <c r="M91" s="382">
        <f t="shared" si="41"/>
        <v>45658</v>
      </c>
      <c r="N91" s="382">
        <f t="shared" si="42"/>
        <v>44927</v>
      </c>
      <c r="O91" s="340">
        <f t="shared" si="29"/>
        <v>0</v>
      </c>
      <c r="P91" s="340">
        <f t="shared" si="46"/>
        <v>0</v>
      </c>
      <c r="Q91" s="340">
        <f t="shared" si="43"/>
        <v>0</v>
      </c>
      <c r="R91" s="340">
        <f t="shared" si="30"/>
        <v>0</v>
      </c>
      <c r="S91" s="340">
        <f t="shared" si="45"/>
        <v>0</v>
      </c>
      <c r="T91" s="340">
        <f t="shared" si="31"/>
        <v>0</v>
      </c>
      <c r="U91" s="340">
        <f t="shared" si="38"/>
        <v>0</v>
      </c>
      <c r="V91" s="340">
        <f t="shared" si="32"/>
        <v>0</v>
      </c>
      <c r="W91" s="198">
        <f t="shared" si="44"/>
        <v>0</v>
      </c>
      <c r="X91" s="36">
        <f t="shared" si="33"/>
        <v>0</v>
      </c>
      <c r="Y91" s="2"/>
      <c r="Z91" s="34">
        <f t="shared" si="34"/>
        <v>0</v>
      </c>
      <c r="AA91" s="57">
        <f t="shared" si="35"/>
        <v>72198</v>
      </c>
      <c r="AB91" s="96"/>
      <c r="AC91" s="96"/>
      <c r="AD91" s="96"/>
      <c r="AE91" s="96"/>
      <c r="AF91" s="96"/>
      <c r="AG91" s="96"/>
      <c r="AH91" s="96"/>
      <c r="AI91" s="96"/>
    </row>
    <row r="92" spans="1:35" s="16" customFormat="1" ht="12" x14ac:dyDescent="0.2">
      <c r="A92" s="2"/>
      <c r="B92" s="2"/>
      <c r="C92" s="13"/>
      <c r="D92" s="2"/>
      <c r="E92" s="2"/>
      <c r="F92" s="383">
        <f t="shared" si="39"/>
        <v>81</v>
      </c>
      <c r="G92" s="384">
        <f t="shared" si="26"/>
        <v>45463</v>
      </c>
      <c r="H92" s="340">
        <f t="shared" si="27"/>
        <v>0</v>
      </c>
      <c r="I92" s="340">
        <f t="shared" si="28"/>
        <v>0</v>
      </c>
      <c r="J92" s="340">
        <f t="shared" si="36"/>
        <v>0</v>
      </c>
      <c r="K92" s="340">
        <f t="shared" si="37"/>
        <v>0</v>
      </c>
      <c r="L92" s="382">
        <f t="shared" si="40"/>
        <v>45292</v>
      </c>
      <c r="M92" s="382">
        <f t="shared" si="41"/>
        <v>45658</v>
      </c>
      <c r="N92" s="382">
        <f t="shared" si="42"/>
        <v>44927</v>
      </c>
      <c r="O92" s="340">
        <f t="shared" si="29"/>
        <v>0</v>
      </c>
      <c r="P92" s="340">
        <f t="shared" si="46"/>
        <v>0</v>
      </c>
      <c r="Q92" s="340">
        <f t="shared" si="43"/>
        <v>0</v>
      </c>
      <c r="R92" s="340">
        <f t="shared" si="30"/>
        <v>0</v>
      </c>
      <c r="S92" s="340">
        <f t="shared" si="45"/>
        <v>0</v>
      </c>
      <c r="T92" s="340">
        <f t="shared" si="31"/>
        <v>0</v>
      </c>
      <c r="U92" s="340">
        <f t="shared" si="38"/>
        <v>0</v>
      </c>
      <c r="V92" s="340">
        <f t="shared" si="32"/>
        <v>0</v>
      </c>
      <c r="W92" s="198">
        <f t="shared" si="44"/>
        <v>0</v>
      </c>
      <c r="X92" s="36">
        <f t="shared" si="33"/>
        <v>0</v>
      </c>
      <c r="Y92" s="2"/>
      <c r="Z92" s="34">
        <f t="shared" si="34"/>
        <v>0</v>
      </c>
      <c r="AA92" s="57">
        <f t="shared" si="35"/>
        <v>72563</v>
      </c>
      <c r="AB92" s="96"/>
      <c r="AC92" s="96"/>
      <c r="AD92" s="96"/>
      <c r="AE92" s="96"/>
      <c r="AF92" s="96"/>
      <c r="AG92" s="96"/>
      <c r="AH92" s="96"/>
      <c r="AI92" s="96"/>
    </row>
    <row r="93" spans="1:35" s="16" customFormat="1" ht="12" x14ac:dyDescent="0.2">
      <c r="A93" s="2"/>
      <c r="B93" s="2"/>
      <c r="C93" s="2"/>
      <c r="D93" s="13"/>
      <c r="E93" s="2"/>
      <c r="F93" s="383">
        <f t="shared" si="39"/>
        <v>82</v>
      </c>
      <c r="G93" s="384">
        <f t="shared" si="26"/>
        <v>45493</v>
      </c>
      <c r="H93" s="340">
        <f t="shared" si="27"/>
        <v>0</v>
      </c>
      <c r="I93" s="340">
        <f t="shared" si="28"/>
        <v>0</v>
      </c>
      <c r="J93" s="340">
        <f t="shared" si="36"/>
        <v>0</v>
      </c>
      <c r="K93" s="340">
        <f t="shared" si="37"/>
        <v>0</v>
      </c>
      <c r="L93" s="382">
        <f t="shared" si="40"/>
        <v>45292</v>
      </c>
      <c r="M93" s="382">
        <f t="shared" si="41"/>
        <v>45658</v>
      </c>
      <c r="N93" s="382">
        <f t="shared" si="42"/>
        <v>44927</v>
      </c>
      <c r="O93" s="340">
        <f t="shared" si="29"/>
        <v>0</v>
      </c>
      <c r="P93" s="340">
        <f t="shared" si="46"/>
        <v>0</v>
      </c>
      <c r="Q93" s="340">
        <f t="shared" si="43"/>
        <v>0</v>
      </c>
      <c r="R93" s="340">
        <f t="shared" si="30"/>
        <v>0</v>
      </c>
      <c r="S93" s="340">
        <f t="shared" si="45"/>
        <v>0</v>
      </c>
      <c r="T93" s="340">
        <f t="shared" si="31"/>
        <v>0</v>
      </c>
      <c r="U93" s="340">
        <f t="shared" si="38"/>
        <v>0</v>
      </c>
      <c r="V93" s="340">
        <f t="shared" si="32"/>
        <v>0</v>
      </c>
      <c r="W93" s="198">
        <f t="shared" si="44"/>
        <v>0</v>
      </c>
      <c r="X93" s="36">
        <f t="shared" si="33"/>
        <v>0</v>
      </c>
      <c r="Y93" s="2"/>
      <c r="Z93" s="34">
        <f t="shared" si="34"/>
        <v>0</v>
      </c>
      <c r="AA93" s="57">
        <f t="shared" si="35"/>
        <v>72928</v>
      </c>
      <c r="AB93" s="96"/>
      <c r="AC93" s="96"/>
      <c r="AD93" s="96"/>
      <c r="AE93" s="96"/>
      <c r="AF93" s="96"/>
      <c r="AG93" s="96"/>
      <c r="AH93" s="96"/>
      <c r="AI93" s="96"/>
    </row>
    <row r="94" spans="1:35" s="16" customFormat="1" ht="12" x14ac:dyDescent="0.2">
      <c r="A94" s="2"/>
      <c r="B94" s="2"/>
      <c r="C94" s="2"/>
      <c r="D94" s="13"/>
      <c r="E94" s="2"/>
      <c r="F94" s="383">
        <f t="shared" si="39"/>
        <v>83</v>
      </c>
      <c r="G94" s="384">
        <f t="shared" si="26"/>
        <v>45524</v>
      </c>
      <c r="H94" s="340">
        <f t="shared" si="27"/>
        <v>0</v>
      </c>
      <c r="I94" s="340">
        <f t="shared" si="28"/>
        <v>0</v>
      </c>
      <c r="J94" s="340">
        <f t="shared" si="36"/>
        <v>0</v>
      </c>
      <c r="K94" s="340">
        <f t="shared" si="37"/>
        <v>0</v>
      </c>
      <c r="L94" s="382">
        <f t="shared" si="40"/>
        <v>45292</v>
      </c>
      <c r="M94" s="382">
        <f t="shared" si="41"/>
        <v>45658</v>
      </c>
      <c r="N94" s="382">
        <f t="shared" si="42"/>
        <v>44927</v>
      </c>
      <c r="O94" s="340">
        <f t="shared" si="29"/>
        <v>0</v>
      </c>
      <c r="P94" s="340">
        <f t="shared" si="46"/>
        <v>0</v>
      </c>
      <c r="Q94" s="340">
        <f t="shared" si="43"/>
        <v>0</v>
      </c>
      <c r="R94" s="340">
        <f t="shared" si="30"/>
        <v>0</v>
      </c>
      <c r="S94" s="340">
        <f t="shared" si="45"/>
        <v>0</v>
      </c>
      <c r="T94" s="340">
        <f t="shared" si="31"/>
        <v>0</v>
      </c>
      <c r="U94" s="340">
        <f t="shared" si="38"/>
        <v>0</v>
      </c>
      <c r="V94" s="340">
        <f t="shared" si="32"/>
        <v>0</v>
      </c>
      <c r="W94" s="198">
        <f t="shared" si="44"/>
        <v>0</v>
      </c>
      <c r="X94" s="36">
        <f t="shared" si="33"/>
        <v>0</v>
      </c>
      <c r="Y94" s="2"/>
      <c r="Z94" s="34">
        <f t="shared" si="34"/>
        <v>0</v>
      </c>
      <c r="AA94" s="57">
        <f t="shared" si="35"/>
        <v>73293</v>
      </c>
      <c r="AB94" s="96"/>
      <c r="AC94" s="96"/>
      <c r="AD94" s="96"/>
      <c r="AE94" s="96"/>
      <c r="AF94" s="96"/>
      <c r="AG94" s="96"/>
      <c r="AH94" s="96"/>
      <c r="AI94" s="96"/>
    </row>
    <row r="95" spans="1:35" s="16" customFormat="1" ht="12" x14ac:dyDescent="0.2">
      <c r="A95" s="2"/>
      <c r="B95" s="2"/>
      <c r="C95" s="2"/>
      <c r="D95" s="2"/>
      <c r="E95" s="2"/>
      <c r="F95" s="383">
        <f t="shared" si="39"/>
        <v>84</v>
      </c>
      <c r="G95" s="384">
        <f t="shared" si="26"/>
        <v>45555</v>
      </c>
      <c r="H95" s="340">
        <f t="shared" si="27"/>
        <v>0</v>
      </c>
      <c r="I95" s="340">
        <f t="shared" si="28"/>
        <v>0</v>
      </c>
      <c r="J95" s="340">
        <f t="shared" si="36"/>
        <v>0</v>
      </c>
      <c r="K95" s="340">
        <f t="shared" si="37"/>
        <v>0</v>
      </c>
      <c r="L95" s="382">
        <f t="shared" si="40"/>
        <v>45292</v>
      </c>
      <c r="M95" s="382">
        <f t="shared" si="41"/>
        <v>45658</v>
      </c>
      <c r="N95" s="382">
        <f t="shared" si="42"/>
        <v>44927</v>
      </c>
      <c r="O95" s="340">
        <f t="shared" si="29"/>
        <v>0</v>
      </c>
      <c r="P95" s="340">
        <f t="shared" si="46"/>
        <v>0</v>
      </c>
      <c r="Q95" s="340">
        <f t="shared" si="43"/>
        <v>0</v>
      </c>
      <c r="R95" s="340">
        <f t="shared" si="30"/>
        <v>0</v>
      </c>
      <c r="S95" s="340">
        <f t="shared" si="45"/>
        <v>0</v>
      </c>
      <c r="T95" s="340">
        <f t="shared" si="31"/>
        <v>0</v>
      </c>
      <c r="U95" s="340">
        <f t="shared" si="38"/>
        <v>0</v>
      </c>
      <c r="V95" s="340">
        <f t="shared" si="32"/>
        <v>0</v>
      </c>
      <c r="W95" s="198">
        <f t="shared" si="44"/>
        <v>0</v>
      </c>
      <c r="X95" s="36">
        <f t="shared" si="33"/>
        <v>0</v>
      </c>
      <c r="Y95" s="2"/>
      <c r="Z95" s="34">
        <f t="shared" si="34"/>
        <v>0</v>
      </c>
      <c r="AA95" s="57">
        <f t="shared" si="35"/>
        <v>73658</v>
      </c>
      <c r="AB95" s="96"/>
      <c r="AC95" s="96"/>
      <c r="AD95" s="96"/>
      <c r="AE95" s="96"/>
      <c r="AF95" s="96"/>
      <c r="AG95" s="96"/>
      <c r="AH95" s="96"/>
      <c r="AI95" s="96"/>
    </row>
    <row r="96" spans="1:35" s="16" customFormat="1" ht="12" x14ac:dyDescent="0.2">
      <c r="A96" s="2"/>
      <c r="B96" s="2"/>
      <c r="C96" s="2"/>
      <c r="D96" s="2"/>
      <c r="E96" s="2"/>
      <c r="F96" s="383">
        <f t="shared" si="39"/>
        <v>85</v>
      </c>
      <c r="G96" s="384">
        <f t="shared" si="26"/>
        <v>45585</v>
      </c>
      <c r="H96" s="340">
        <f t="shared" si="27"/>
        <v>0</v>
      </c>
      <c r="I96" s="340">
        <f t="shared" si="28"/>
        <v>0</v>
      </c>
      <c r="J96" s="340">
        <f t="shared" si="36"/>
        <v>0</v>
      </c>
      <c r="K96" s="340">
        <f t="shared" si="37"/>
        <v>0</v>
      </c>
      <c r="L96" s="382">
        <f t="shared" si="40"/>
        <v>45292</v>
      </c>
      <c r="M96" s="382">
        <f t="shared" si="41"/>
        <v>45658</v>
      </c>
      <c r="N96" s="382">
        <f t="shared" si="42"/>
        <v>44927</v>
      </c>
      <c r="O96" s="340">
        <f t="shared" si="29"/>
        <v>0</v>
      </c>
      <c r="P96" s="340">
        <f t="shared" si="46"/>
        <v>0</v>
      </c>
      <c r="Q96" s="340">
        <f t="shared" si="43"/>
        <v>0</v>
      </c>
      <c r="R96" s="340">
        <f t="shared" si="30"/>
        <v>0</v>
      </c>
      <c r="S96" s="340">
        <f t="shared" si="45"/>
        <v>0</v>
      </c>
      <c r="T96" s="340">
        <f t="shared" si="31"/>
        <v>0</v>
      </c>
      <c r="U96" s="340">
        <f t="shared" si="38"/>
        <v>0</v>
      </c>
      <c r="V96" s="340">
        <f t="shared" si="32"/>
        <v>0</v>
      </c>
      <c r="W96" s="198">
        <f t="shared" si="44"/>
        <v>0</v>
      </c>
      <c r="X96" s="36">
        <f t="shared" si="33"/>
        <v>0</v>
      </c>
      <c r="Y96" s="2"/>
      <c r="Z96" s="34">
        <f t="shared" si="34"/>
        <v>0</v>
      </c>
      <c r="AA96" s="57">
        <f t="shared" si="35"/>
        <v>74023</v>
      </c>
      <c r="AB96" s="96"/>
      <c r="AC96" s="96"/>
      <c r="AD96" s="96"/>
      <c r="AE96" s="96"/>
      <c r="AF96" s="96"/>
      <c r="AG96" s="96"/>
      <c r="AH96" s="96"/>
      <c r="AI96" s="96"/>
    </row>
    <row r="97" spans="1:35" s="16" customFormat="1" ht="12" x14ac:dyDescent="0.2">
      <c r="A97" s="2"/>
      <c r="B97" s="2"/>
      <c r="C97" s="2"/>
      <c r="D97" s="2"/>
      <c r="E97" s="2"/>
      <c r="F97" s="383">
        <f t="shared" si="39"/>
        <v>86</v>
      </c>
      <c r="G97" s="384">
        <f t="shared" si="26"/>
        <v>45616</v>
      </c>
      <c r="H97" s="340">
        <f t="shared" si="27"/>
        <v>0</v>
      </c>
      <c r="I97" s="340">
        <f t="shared" si="28"/>
        <v>0</v>
      </c>
      <c r="J97" s="340">
        <f t="shared" si="36"/>
        <v>0</v>
      </c>
      <c r="K97" s="340">
        <f t="shared" si="37"/>
        <v>0</v>
      </c>
      <c r="L97" s="382">
        <f t="shared" si="40"/>
        <v>45292</v>
      </c>
      <c r="M97" s="382">
        <f t="shared" si="41"/>
        <v>45658</v>
      </c>
      <c r="N97" s="382">
        <f t="shared" si="42"/>
        <v>44927</v>
      </c>
      <c r="O97" s="340">
        <f t="shared" si="29"/>
        <v>0</v>
      </c>
      <c r="P97" s="340">
        <f t="shared" si="46"/>
        <v>0</v>
      </c>
      <c r="Q97" s="340">
        <f t="shared" si="43"/>
        <v>0</v>
      </c>
      <c r="R97" s="340">
        <f t="shared" si="30"/>
        <v>0</v>
      </c>
      <c r="S97" s="340">
        <f t="shared" si="45"/>
        <v>0</v>
      </c>
      <c r="T97" s="340">
        <f t="shared" si="31"/>
        <v>0</v>
      </c>
      <c r="U97" s="340">
        <f t="shared" si="38"/>
        <v>0</v>
      </c>
      <c r="V97" s="340">
        <f t="shared" si="32"/>
        <v>0</v>
      </c>
      <c r="W97" s="198">
        <f t="shared" si="44"/>
        <v>0</v>
      </c>
      <c r="X97" s="36">
        <f t="shared" si="33"/>
        <v>0</v>
      </c>
      <c r="Y97" s="2"/>
      <c r="Z97" s="34">
        <f t="shared" si="34"/>
        <v>0</v>
      </c>
      <c r="AA97" s="57">
        <f t="shared" si="35"/>
        <v>74388</v>
      </c>
      <c r="AB97" s="96"/>
      <c r="AC97" s="96"/>
      <c r="AD97" s="96"/>
      <c r="AE97" s="96"/>
      <c r="AF97" s="96"/>
      <c r="AG97" s="96"/>
      <c r="AH97" s="96"/>
      <c r="AI97" s="96"/>
    </row>
    <row r="98" spans="1:35" s="16" customFormat="1" ht="12" x14ac:dyDescent="0.2">
      <c r="A98" s="2"/>
      <c r="B98" s="2"/>
      <c r="C98" s="2"/>
      <c r="D98" s="2"/>
      <c r="E98" s="2"/>
      <c r="F98" s="383">
        <f t="shared" si="39"/>
        <v>87</v>
      </c>
      <c r="G98" s="384">
        <f t="shared" si="26"/>
        <v>45646</v>
      </c>
      <c r="H98" s="340">
        <f t="shared" si="27"/>
        <v>0</v>
      </c>
      <c r="I98" s="340">
        <f t="shared" si="28"/>
        <v>0</v>
      </c>
      <c r="J98" s="340">
        <f t="shared" si="36"/>
        <v>0</v>
      </c>
      <c r="K98" s="340">
        <f t="shared" si="37"/>
        <v>0</v>
      </c>
      <c r="L98" s="382">
        <f t="shared" si="40"/>
        <v>45292</v>
      </c>
      <c r="M98" s="382">
        <f t="shared" si="41"/>
        <v>45658</v>
      </c>
      <c r="N98" s="382">
        <f t="shared" si="42"/>
        <v>44927</v>
      </c>
      <c r="O98" s="340">
        <f t="shared" si="29"/>
        <v>0</v>
      </c>
      <c r="P98" s="340">
        <f t="shared" si="46"/>
        <v>0</v>
      </c>
      <c r="Q98" s="340">
        <f t="shared" si="43"/>
        <v>0</v>
      </c>
      <c r="R98" s="340">
        <f t="shared" si="30"/>
        <v>0</v>
      </c>
      <c r="S98" s="340">
        <f t="shared" si="45"/>
        <v>0</v>
      </c>
      <c r="T98" s="340">
        <f t="shared" si="31"/>
        <v>0</v>
      </c>
      <c r="U98" s="340">
        <f t="shared" si="38"/>
        <v>0</v>
      </c>
      <c r="V98" s="340">
        <f t="shared" si="32"/>
        <v>0</v>
      </c>
      <c r="W98" s="198">
        <f t="shared" si="44"/>
        <v>0</v>
      </c>
      <c r="X98" s="36">
        <f t="shared" si="33"/>
        <v>0</v>
      </c>
      <c r="Y98" s="2"/>
      <c r="Z98" s="34">
        <f t="shared" si="34"/>
        <v>0</v>
      </c>
      <c r="AA98" s="57">
        <f t="shared" si="35"/>
        <v>74753</v>
      </c>
      <c r="AB98" s="96"/>
      <c r="AC98" s="96"/>
      <c r="AD98" s="96"/>
      <c r="AE98" s="96"/>
      <c r="AF98" s="96"/>
      <c r="AG98" s="96"/>
      <c r="AH98" s="96"/>
      <c r="AI98" s="96"/>
    </row>
    <row r="99" spans="1:35" s="16" customFormat="1" ht="12" x14ac:dyDescent="0.2">
      <c r="A99" s="2"/>
      <c r="B99" s="2"/>
      <c r="C99" s="2"/>
      <c r="D99" s="2"/>
      <c r="E99" s="2"/>
      <c r="F99" s="383">
        <f t="shared" si="39"/>
        <v>88</v>
      </c>
      <c r="G99" s="384">
        <f t="shared" si="26"/>
        <v>45677</v>
      </c>
      <c r="H99" s="340">
        <f t="shared" si="27"/>
        <v>0</v>
      </c>
      <c r="I99" s="340">
        <f t="shared" si="28"/>
        <v>0</v>
      </c>
      <c r="J99" s="340">
        <f t="shared" si="36"/>
        <v>0</v>
      </c>
      <c r="K99" s="340">
        <f t="shared" si="37"/>
        <v>0</v>
      </c>
      <c r="L99" s="382">
        <f t="shared" si="40"/>
        <v>45658</v>
      </c>
      <c r="M99" s="382">
        <f t="shared" si="41"/>
        <v>46023</v>
      </c>
      <c r="N99" s="382">
        <f t="shared" si="42"/>
        <v>45292</v>
      </c>
      <c r="O99" s="340">
        <f t="shared" si="29"/>
        <v>0</v>
      </c>
      <c r="P99" s="340">
        <f t="shared" si="46"/>
        <v>0</v>
      </c>
      <c r="Q99" s="340">
        <f t="shared" si="43"/>
        <v>0</v>
      </c>
      <c r="R99" s="340">
        <f t="shared" si="30"/>
        <v>0</v>
      </c>
      <c r="S99" s="340">
        <f t="shared" si="45"/>
        <v>0</v>
      </c>
      <c r="T99" s="340">
        <f t="shared" si="31"/>
        <v>0</v>
      </c>
      <c r="U99" s="340">
        <f t="shared" si="38"/>
        <v>0</v>
      </c>
      <c r="V99" s="340">
        <f t="shared" si="32"/>
        <v>0</v>
      </c>
      <c r="W99" s="198">
        <f t="shared" si="44"/>
        <v>0</v>
      </c>
      <c r="X99" s="36">
        <f t="shared" si="33"/>
        <v>0</v>
      </c>
      <c r="Y99" s="2"/>
      <c r="Z99" s="34">
        <f t="shared" si="34"/>
        <v>0</v>
      </c>
      <c r="AA99" s="57">
        <f t="shared" si="35"/>
        <v>75118</v>
      </c>
      <c r="AB99" s="96"/>
      <c r="AC99" s="96"/>
      <c r="AD99" s="96"/>
      <c r="AE99" s="96"/>
      <c r="AF99" s="96"/>
      <c r="AG99" s="96"/>
      <c r="AH99" s="96"/>
      <c r="AI99" s="96"/>
    </row>
    <row r="100" spans="1:35" s="16" customFormat="1" ht="12" x14ac:dyDescent="0.2">
      <c r="A100" s="2"/>
      <c r="B100" s="2"/>
      <c r="C100" s="2"/>
      <c r="D100" s="2"/>
      <c r="E100" s="2"/>
      <c r="F100" s="383">
        <f t="shared" si="39"/>
        <v>89</v>
      </c>
      <c r="G100" s="384">
        <f t="shared" si="26"/>
        <v>45708</v>
      </c>
      <c r="H100" s="340">
        <f t="shared" si="27"/>
        <v>0</v>
      </c>
      <c r="I100" s="340">
        <f t="shared" si="28"/>
        <v>0</v>
      </c>
      <c r="J100" s="340">
        <f t="shared" si="36"/>
        <v>0</v>
      </c>
      <c r="K100" s="340">
        <f t="shared" si="37"/>
        <v>0</v>
      </c>
      <c r="L100" s="382">
        <f t="shared" si="40"/>
        <v>45658</v>
      </c>
      <c r="M100" s="382">
        <f t="shared" si="41"/>
        <v>46023</v>
      </c>
      <c r="N100" s="382">
        <f t="shared" si="42"/>
        <v>45292</v>
      </c>
      <c r="O100" s="340">
        <f t="shared" si="29"/>
        <v>0</v>
      </c>
      <c r="P100" s="340">
        <f t="shared" si="46"/>
        <v>0</v>
      </c>
      <c r="Q100" s="340">
        <f t="shared" si="43"/>
        <v>0</v>
      </c>
      <c r="R100" s="340">
        <f t="shared" si="30"/>
        <v>0</v>
      </c>
      <c r="S100" s="340">
        <f t="shared" si="45"/>
        <v>0</v>
      </c>
      <c r="T100" s="340">
        <f t="shared" si="31"/>
        <v>0</v>
      </c>
      <c r="U100" s="340">
        <f t="shared" si="38"/>
        <v>0</v>
      </c>
      <c r="V100" s="340">
        <f t="shared" si="32"/>
        <v>0</v>
      </c>
      <c r="W100" s="198">
        <f t="shared" si="44"/>
        <v>0</v>
      </c>
      <c r="X100" s="36">
        <f t="shared" si="33"/>
        <v>0</v>
      </c>
      <c r="Y100" s="2"/>
      <c r="Z100" s="34">
        <f t="shared" si="34"/>
        <v>0</v>
      </c>
      <c r="AA100" s="57">
        <f t="shared" si="35"/>
        <v>75483</v>
      </c>
      <c r="AB100" s="96"/>
      <c r="AC100" s="96"/>
      <c r="AD100" s="96"/>
      <c r="AE100" s="96"/>
      <c r="AF100" s="96"/>
      <c r="AG100" s="96"/>
      <c r="AH100" s="96"/>
      <c r="AI100" s="96"/>
    </row>
    <row r="101" spans="1:35" s="16" customFormat="1" ht="12" x14ac:dyDescent="0.2">
      <c r="A101" s="2"/>
      <c r="B101" s="2"/>
      <c r="C101" s="2"/>
      <c r="D101" s="2"/>
      <c r="E101" s="2"/>
      <c r="F101" s="383">
        <f t="shared" si="39"/>
        <v>90</v>
      </c>
      <c r="G101" s="384">
        <f t="shared" si="26"/>
        <v>45736</v>
      </c>
      <c r="H101" s="340">
        <f t="shared" si="27"/>
        <v>0</v>
      </c>
      <c r="I101" s="340">
        <f t="shared" si="28"/>
        <v>0</v>
      </c>
      <c r="J101" s="340">
        <f t="shared" si="36"/>
        <v>0</v>
      </c>
      <c r="K101" s="340">
        <f t="shared" si="37"/>
        <v>0</v>
      </c>
      <c r="L101" s="382">
        <f t="shared" si="40"/>
        <v>45658</v>
      </c>
      <c r="M101" s="382">
        <f t="shared" si="41"/>
        <v>46023</v>
      </c>
      <c r="N101" s="382">
        <f t="shared" si="42"/>
        <v>45292</v>
      </c>
      <c r="O101" s="340">
        <f t="shared" si="29"/>
        <v>0</v>
      </c>
      <c r="P101" s="340">
        <f t="shared" si="46"/>
        <v>0</v>
      </c>
      <c r="Q101" s="340">
        <f t="shared" si="43"/>
        <v>0</v>
      </c>
      <c r="R101" s="340">
        <f t="shared" si="30"/>
        <v>0</v>
      </c>
      <c r="S101" s="340">
        <f t="shared" si="45"/>
        <v>0</v>
      </c>
      <c r="T101" s="340">
        <f t="shared" si="31"/>
        <v>0</v>
      </c>
      <c r="U101" s="340">
        <f t="shared" si="38"/>
        <v>0</v>
      </c>
      <c r="V101" s="340">
        <f t="shared" si="32"/>
        <v>0</v>
      </c>
      <c r="W101" s="198">
        <f t="shared" si="44"/>
        <v>0</v>
      </c>
      <c r="X101" s="36">
        <f t="shared" si="33"/>
        <v>0</v>
      </c>
      <c r="Y101" s="2"/>
      <c r="Z101" s="34">
        <f t="shared" si="34"/>
        <v>0</v>
      </c>
      <c r="AA101" s="57">
        <f t="shared" si="35"/>
        <v>75848</v>
      </c>
      <c r="AB101" s="96"/>
      <c r="AC101" s="96"/>
      <c r="AD101" s="96"/>
      <c r="AE101" s="96"/>
      <c r="AF101" s="96"/>
      <c r="AG101" s="96"/>
      <c r="AH101" s="96"/>
      <c r="AI101" s="96"/>
    </row>
    <row r="102" spans="1:35" s="16" customFormat="1" ht="12" x14ac:dyDescent="0.2">
      <c r="A102" s="2"/>
      <c r="B102" s="2"/>
      <c r="C102" s="2"/>
      <c r="D102" s="2"/>
      <c r="E102" s="2"/>
      <c r="F102" s="383">
        <f t="shared" si="39"/>
        <v>91</v>
      </c>
      <c r="G102" s="384">
        <f t="shared" si="26"/>
        <v>45767</v>
      </c>
      <c r="H102" s="340">
        <f t="shared" si="27"/>
        <v>0</v>
      </c>
      <c r="I102" s="340">
        <f t="shared" si="28"/>
        <v>0</v>
      </c>
      <c r="J102" s="340">
        <f t="shared" si="36"/>
        <v>0</v>
      </c>
      <c r="K102" s="340">
        <f t="shared" si="37"/>
        <v>0</v>
      </c>
      <c r="L102" s="382">
        <f t="shared" si="40"/>
        <v>45658</v>
      </c>
      <c r="M102" s="382">
        <f t="shared" si="41"/>
        <v>46023</v>
      </c>
      <c r="N102" s="382">
        <f t="shared" si="42"/>
        <v>45292</v>
      </c>
      <c r="O102" s="340">
        <f t="shared" si="29"/>
        <v>0</v>
      </c>
      <c r="P102" s="340">
        <f t="shared" si="46"/>
        <v>0</v>
      </c>
      <c r="Q102" s="340">
        <f t="shared" si="43"/>
        <v>0</v>
      </c>
      <c r="R102" s="340">
        <f t="shared" si="30"/>
        <v>0</v>
      </c>
      <c r="S102" s="340">
        <f t="shared" si="45"/>
        <v>0</v>
      </c>
      <c r="T102" s="340">
        <f t="shared" si="31"/>
        <v>0</v>
      </c>
      <c r="U102" s="340">
        <f t="shared" si="38"/>
        <v>0</v>
      </c>
      <c r="V102" s="340">
        <f t="shared" si="32"/>
        <v>0</v>
      </c>
      <c r="W102" s="198">
        <f t="shared" si="44"/>
        <v>0</v>
      </c>
      <c r="X102" s="36">
        <f t="shared" si="33"/>
        <v>0</v>
      </c>
      <c r="Y102" s="2"/>
      <c r="Z102" s="34">
        <f t="shared" si="34"/>
        <v>0</v>
      </c>
      <c r="AA102" s="57">
        <f t="shared" si="35"/>
        <v>76213</v>
      </c>
      <c r="AB102" s="96"/>
      <c r="AC102" s="96"/>
      <c r="AD102" s="96"/>
      <c r="AE102" s="96"/>
      <c r="AF102" s="96"/>
      <c r="AG102" s="96"/>
      <c r="AH102" s="96"/>
      <c r="AI102" s="96"/>
    </row>
    <row r="103" spans="1:35" s="16" customFormat="1" ht="12" x14ac:dyDescent="0.2">
      <c r="A103" s="2"/>
      <c r="B103" s="2"/>
      <c r="C103" s="2"/>
      <c r="D103" s="2"/>
      <c r="E103" s="2"/>
      <c r="F103" s="383">
        <f t="shared" si="39"/>
        <v>92</v>
      </c>
      <c r="G103" s="384">
        <f t="shared" si="26"/>
        <v>45797</v>
      </c>
      <c r="H103" s="340">
        <f t="shared" si="27"/>
        <v>0</v>
      </c>
      <c r="I103" s="340">
        <f t="shared" si="28"/>
        <v>0</v>
      </c>
      <c r="J103" s="340">
        <f t="shared" si="36"/>
        <v>0</v>
      </c>
      <c r="K103" s="340">
        <f t="shared" si="37"/>
        <v>0</v>
      </c>
      <c r="L103" s="382">
        <f t="shared" si="40"/>
        <v>45658</v>
      </c>
      <c r="M103" s="382">
        <f t="shared" si="41"/>
        <v>46023</v>
      </c>
      <c r="N103" s="382">
        <f t="shared" si="42"/>
        <v>45292</v>
      </c>
      <c r="O103" s="340">
        <f t="shared" si="29"/>
        <v>0</v>
      </c>
      <c r="P103" s="340">
        <f t="shared" si="46"/>
        <v>0</v>
      </c>
      <c r="Q103" s="340">
        <f t="shared" si="43"/>
        <v>0</v>
      </c>
      <c r="R103" s="340">
        <f t="shared" si="30"/>
        <v>0</v>
      </c>
      <c r="S103" s="340">
        <f t="shared" si="45"/>
        <v>0</v>
      </c>
      <c r="T103" s="340">
        <f t="shared" si="31"/>
        <v>0</v>
      </c>
      <c r="U103" s="340">
        <f t="shared" si="38"/>
        <v>0</v>
      </c>
      <c r="V103" s="340">
        <f t="shared" si="32"/>
        <v>0</v>
      </c>
      <c r="W103" s="198">
        <f t="shared" si="44"/>
        <v>0</v>
      </c>
      <c r="X103" s="36">
        <f t="shared" si="33"/>
        <v>0</v>
      </c>
      <c r="Y103" s="2"/>
      <c r="Z103" s="34">
        <f t="shared" si="34"/>
        <v>0</v>
      </c>
      <c r="AA103" s="57">
        <f t="shared" si="35"/>
        <v>76578</v>
      </c>
      <c r="AB103" s="96"/>
      <c r="AC103" s="96"/>
      <c r="AD103" s="96"/>
      <c r="AE103" s="96"/>
      <c r="AF103" s="96"/>
      <c r="AG103" s="96"/>
      <c r="AH103" s="96"/>
      <c r="AI103" s="96"/>
    </row>
    <row r="104" spans="1:35" s="16" customFormat="1" ht="12" x14ac:dyDescent="0.2">
      <c r="A104" s="53"/>
      <c r="C104" s="2"/>
      <c r="D104" s="2"/>
      <c r="E104" s="2"/>
      <c r="F104" s="383">
        <f t="shared" si="39"/>
        <v>93</v>
      </c>
      <c r="G104" s="384">
        <f t="shared" si="26"/>
        <v>45828</v>
      </c>
      <c r="H104" s="340">
        <f t="shared" si="27"/>
        <v>0</v>
      </c>
      <c r="I104" s="340">
        <f t="shared" si="28"/>
        <v>0</v>
      </c>
      <c r="J104" s="340">
        <f t="shared" si="36"/>
        <v>0</v>
      </c>
      <c r="K104" s="340">
        <f t="shared" si="37"/>
        <v>0</v>
      </c>
      <c r="L104" s="382">
        <f t="shared" si="40"/>
        <v>45658</v>
      </c>
      <c r="M104" s="382">
        <f t="shared" si="41"/>
        <v>46023</v>
      </c>
      <c r="N104" s="382">
        <f t="shared" si="42"/>
        <v>45292</v>
      </c>
      <c r="O104" s="340">
        <f t="shared" si="29"/>
        <v>0</v>
      </c>
      <c r="P104" s="340">
        <f t="shared" si="46"/>
        <v>0</v>
      </c>
      <c r="Q104" s="340">
        <f t="shared" si="43"/>
        <v>0</v>
      </c>
      <c r="R104" s="340">
        <f t="shared" si="30"/>
        <v>0</v>
      </c>
      <c r="S104" s="340">
        <f t="shared" si="45"/>
        <v>0</v>
      </c>
      <c r="T104" s="340">
        <f t="shared" si="31"/>
        <v>0</v>
      </c>
      <c r="U104" s="340">
        <f t="shared" si="38"/>
        <v>0</v>
      </c>
      <c r="V104" s="340">
        <f t="shared" si="32"/>
        <v>0</v>
      </c>
      <c r="W104" s="198">
        <f t="shared" si="44"/>
        <v>0</v>
      </c>
      <c r="X104" s="36">
        <f t="shared" si="33"/>
        <v>0</v>
      </c>
      <c r="Y104" s="2"/>
      <c r="Z104" s="34">
        <f t="shared" si="34"/>
        <v>0</v>
      </c>
      <c r="AA104" s="57">
        <f t="shared" si="35"/>
        <v>76943</v>
      </c>
      <c r="AB104" s="96"/>
      <c r="AC104" s="96"/>
      <c r="AD104" s="96"/>
      <c r="AE104" s="96"/>
      <c r="AF104" s="96"/>
      <c r="AG104" s="96"/>
      <c r="AH104" s="96"/>
      <c r="AI104" s="96"/>
    </row>
    <row r="105" spans="1:35" s="16" customFormat="1" ht="12" x14ac:dyDescent="0.2">
      <c r="A105" s="53"/>
      <c r="B105" s="2"/>
      <c r="C105" s="2"/>
      <c r="D105" s="13"/>
      <c r="E105" s="2"/>
      <c r="F105" s="383">
        <f t="shared" si="39"/>
        <v>94</v>
      </c>
      <c r="G105" s="384">
        <f t="shared" si="26"/>
        <v>45858</v>
      </c>
      <c r="H105" s="340">
        <f t="shared" si="27"/>
        <v>0</v>
      </c>
      <c r="I105" s="340">
        <f t="shared" si="28"/>
        <v>0</v>
      </c>
      <c r="J105" s="340">
        <f t="shared" si="36"/>
        <v>0</v>
      </c>
      <c r="K105" s="340">
        <f t="shared" si="37"/>
        <v>0</v>
      </c>
      <c r="L105" s="382">
        <f t="shared" si="40"/>
        <v>45658</v>
      </c>
      <c r="M105" s="382">
        <f t="shared" si="41"/>
        <v>46023</v>
      </c>
      <c r="N105" s="382">
        <f t="shared" si="42"/>
        <v>45292</v>
      </c>
      <c r="O105" s="340">
        <f t="shared" si="29"/>
        <v>0</v>
      </c>
      <c r="P105" s="340">
        <f t="shared" si="46"/>
        <v>0</v>
      </c>
      <c r="Q105" s="340">
        <f t="shared" si="43"/>
        <v>0</v>
      </c>
      <c r="R105" s="340">
        <f t="shared" si="30"/>
        <v>0</v>
      </c>
      <c r="S105" s="340">
        <f t="shared" si="45"/>
        <v>0</v>
      </c>
      <c r="T105" s="340">
        <f t="shared" si="31"/>
        <v>0</v>
      </c>
      <c r="U105" s="340">
        <f t="shared" si="38"/>
        <v>0</v>
      </c>
      <c r="V105" s="340">
        <f t="shared" si="32"/>
        <v>0</v>
      </c>
      <c r="W105" s="198">
        <f t="shared" si="44"/>
        <v>0</v>
      </c>
      <c r="X105" s="36">
        <f t="shared" si="33"/>
        <v>0</v>
      </c>
      <c r="Y105" s="2"/>
      <c r="Z105" s="34">
        <f t="shared" si="34"/>
        <v>0</v>
      </c>
      <c r="AA105" s="57">
        <f t="shared" si="35"/>
        <v>77308</v>
      </c>
      <c r="AB105" s="96"/>
      <c r="AC105" s="96"/>
      <c r="AD105" s="96"/>
      <c r="AE105" s="96"/>
      <c r="AF105" s="96"/>
      <c r="AG105" s="96"/>
      <c r="AH105" s="96"/>
      <c r="AI105" s="96"/>
    </row>
    <row r="106" spans="1:35" s="16" customFormat="1" ht="12" x14ac:dyDescent="0.2">
      <c r="A106" s="2"/>
      <c r="B106" s="2"/>
      <c r="C106" s="1"/>
      <c r="D106" s="2"/>
      <c r="E106" s="2"/>
      <c r="F106" s="383">
        <f t="shared" si="39"/>
        <v>95</v>
      </c>
      <c r="G106" s="384">
        <f t="shared" si="26"/>
        <v>45889</v>
      </c>
      <c r="H106" s="340">
        <f t="shared" si="27"/>
        <v>0</v>
      </c>
      <c r="I106" s="340">
        <f t="shared" si="28"/>
        <v>0</v>
      </c>
      <c r="J106" s="340">
        <f t="shared" si="36"/>
        <v>0</v>
      </c>
      <c r="K106" s="340">
        <f t="shared" si="37"/>
        <v>0</v>
      </c>
      <c r="L106" s="382">
        <f t="shared" si="40"/>
        <v>45658</v>
      </c>
      <c r="M106" s="382">
        <f t="shared" si="41"/>
        <v>46023</v>
      </c>
      <c r="N106" s="382">
        <f t="shared" si="42"/>
        <v>45292</v>
      </c>
      <c r="O106" s="340">
        <f t="shared" si="29"/>
        <v>0</v>
      </c>
      <c r="P106" s="340">
        <f t="shared" si="46"/>
        <v>0</v>
      </c>
      <c r="Q106" s="340">
        <f t="shared" si="43"/>
        <v>0</v>
      </c>
      <c r="R106" s="340">
        <f t="shared" si="30"/>
        <v>0</v>
      </c>
      <c r="S106" s="340">
        <f t="shared" si="45"/>
        <v>0</v>
      </c>
      <c r="T106" s="340">
        <f t="shared" si="31"/>
        <v>0</v>
      </c>
      <c r="U106" s="340">
        <f t="shared" si="38"/>
        <v>0</v>
      </c>
      <c r="V106" s="340">
        <f t="shared" si="32"/>
        <v>0</v>
      </c>
      <c r="W106" s="198">
        <f t="shared" si="44"/>
        <v>0</v>
      </c>
      <c r="X106" s="36">
        <f t="shared" si="33"/>
        <v>0</v>
      </c>
      <c r="Y106" s="2"/>
      <c r="Z106" s="34">
        <f t="shared" si="34"/>
        <v>0</v>
      </c>
      <c r="AA106" s="57">
        <f t="shared" si="35"/>
        <v>77673</v>
      </c>
      <c r="AB106" s="96"/>
      <c r="AC106" s="96"/>
      <c r="AD106" s="96"/>
      <c r="AE106" s="96"/>
      <c r="AF106" s="96"/>
      <c r="AG106" s="96"/>
      <c r="AH106" s="96"/>
      <c r="AI106" s="96"/>
    </row>
    <row r="107" spans="1:35" s="16" customFormat="1" ht="12" x14ac:dyDescent="0.2">
      <c r="A107" s="2"/>
      <c r="B107" s="2"/>
      <c r="C107" s="98"/>
      <c r="D107" s="1"/>
      <c r="E107" s="2"/>
      <c r="F107" s="383">
        <f t="shared" si="39"/>
        <v>96</v>
      </c>
      <c r="G107" s="384">
        <f t="shared" si="26"/>
        <v>45920</v>
      </c>
      <c r="H107" s="340">
        <f t="shared" si="27"/>
        <v>0</v>
      </c>
      <c r="I107" s="340">
        <f t="shared" si="28"/>
        <v>0</v>
      </c>
      <c r="J107" s="340">
        <f t="shared" si="36"/>
        <v>0</v>
      </c>
      <c r="K107" s="340">
        <f t="shared" si="37"/>
        <v>0</v>
      </c>
      <c r="L107" s="382">
        <f t="shared" si="40"/>
        <v>45658</v>
      </c>
      <c r="M107" s="382">
        <f t="shared" si="41"/>
        <v>46023</v>
      </c>
      <c r="N107" s="382">
        <f t="shared" si="42"/>
        <v>45292</v>
      </c>
      <c r="O107" s="340">
        <f t="shared" si="29"/>
        <v>0</v>
      </c>
      <c r="P107" s="340">
        <f t="shared" si="46"/>
        <v>0</v>
      </c>
      <c r="Q107" s="340">
        <f t="shared" si="43"/>
        <v>0</v>
      </c>
      <c r="R107" s="340">
        <f t="shared" si="30"/>
        <v>0</v>
      </c>
      <c r="S107" s="340">
        <f t="shared" si="45"/>
        <v>0</v>
      </c>
      <c r="T107" s="340">
        <f t="shared" si="31"/>
        <v>0</v>
      </c>
      <c r="U107" s="340">
        <f t="shared" si="38"/>
        <v>0</v>
      </c>
      <c r="V107" s="340">
        <f t="shared" si="32"/>
        <v>0</v>
      </c>
      <c r="W107" s="198">
        <f t="shared" si="44"/>
        <v>0</v>
      </c>
      <c r="X107" s="36">
        <f t="shared" si="33"/>
        <v>0</v>
      </c>
      <c r="Y107" s="2"/>
      <c r="Z107" s="34">
        <f t="shared" si="34"/>
        <v>0</v>
      </c>
      <c r="AA107" s="57">
        <f t="shared" si="35"/>
        <v>78038</v>
      </c>
      <c r="AB107" s="96"/>
      <c r="AC107" s="96"/>
      <c r="AD107" s="96"/>
      <c r="AE107" s="96"/>
      <c r="AF107" s="96"/>
      <c r="AG107" s="96"/>
      <c r="AH107" s="96"/>
      <c r="AI107" s="96"/>
    </row>
    <row r="108" spans="1:35" s="16" customFormat="1" ht="12" x14ac:dyDescent="0.2">
      <c r="A108" s="2"/>
      <c r="B108" s="2"/>
      <c r="C108" s="2"/>
      <c r="D108" s="13"/>
      <c r="E108" s="2"/>
      <c r="F108" s="383">
        <f t="shared" si="39"/>
        <v>97</v>
      </c>
      <c r="G108" s="384">
        <f t="shared" si="26"/>
        <v>45950</v>
      </c>
      <c r="H108" s="340">
        <f t="shared" ref="H108:H139" si="47">IF(F108&lt;=$I$7,I108+P108,IF(AND(V107+P108+I108&gt;H107,H107&lt;&gt;0),$C$21,IF(V107=0,0,V107+P108+I108+I109)))</f>
        <v>0</v>
      </c>
      <c r="I108" s="340">
        <f t="shared" si="28"/>
        <v>0</v>
      </c>
      <c r="J108" s="340">
        <f t="shared" si="36"/>
        <v>0</v>
      </c>
      <c r="K108" s="340">
        <f t="shared" si="37"/>
        <v>0</v>
      </c>
      <c r="L108" s="382">
        <f t="shared" si="40"/>
        <v>45658</v>
      </c>
      <c r="M108" s="382">
        <f t="shared" si="41"/>
        <v>46023</v>
      </c>
      <c r="N108" s="382">
        <f t="shared" si="42"/>
        <v>45292</v>
      </c>
      <c r="O108" s="340">
        <f t="shared" si="29"/>
        <v>0</v>
      </c>
      <c r="P108" s="340">
        <f t="shared" si="46"/>
        <v>0</v>
      </c>
      <c r="Q108" s="340">
        <f t="shared" si="43"/>
        <v>0</v>
      </c>
      <c r="R108" s="340">
        <f t="shared" si="30"/>
        <v>0</v>
      </c>
      <c r="S108" s="340">
        <f t="shared" si="45"/>
        <v>0</v>
      </c>
      <c r="T108" s="340">
        <f t="shared" si="31"/>
        <v>0</v>
      </c>
      <c r="U108" s="340">
        <f t="shared" si="38"/>
        <v>0</v>
      </c>
      <c r="V108" s="340">
        <f t="shared" si="32"/>
        <v>0</v>
      </c>
      <c r="W108" s="198">
        <f t="shared" si="44"/>
        <v>0</v>
      </c>
      <c r="X108" s="36">
        <f t="shared" si="33"/>
        <v>0</v>
      </c>
      <c r="Y108" s="2"/>
      <c r="Z108" s="34">
        <f t="shared" si="34"/>
        <v>0</v>
      </c>
      <c r="AA108" s="57">
        <f t="shared" si="35"/>
        <v>78403</v>
      </c>
      <c r="AB108" s="96"/>
      <c r="AC108" s="96"/>
      <c r="AD108" s="96"/>
      <c r="AE108" s="96"/>
      <c r="AF108" s="96"/>
      <c r="AG108" s="96"/>
      <c r="AH108" s="96"/>
      <c r="AI108" s="96"/>
    </row>
    <row r="109" spans="1:35" s="16" customFormat="1" ht="12" x14ac:dyDescent="0.2">
      <c r="A109" s="2"/>
      <c r="B109" s="2"/>
      <c r="C109" s="13"/>
      <c r="D109" s="13"/>
      <c r="E109" s="2"/>
      <c r="F109" s="383">
        <f t="shared" si="39"/>
        <v>98</v>
      </c>
      <c r="G109" s="384">
        <f t="shared" si="26"/>
        <v>45981</v>
      </c>
      <c r="H109" s="340">
        <f t="shared" si="47"/>
        <v>0</v>
      </c>
      <c r="I109" s="340">
        <f t="shared" si="28"/>
        <v>0</v>
      </c>
      <c r="J109" s="340">
        <f t="shared" si="36"/>
        <v>0</v>
      </c>
      <c r="K109" s="340">
        <f t="shared" si="37"/>
        <v>0</v>
      </c>
      <c r="L109" s="382">
        <f t="shared" si="40"/>
        <v>45658</v>
      </c>
      <c r="M109" s="382">
        <f t="shared" si="41"/>
        <v>46023</v>
      </c>
      <c r="N109" s="382">
        <f t="shared" si="42"/>
        <v>45292</v>
      </c>
      <c r="O109" s="340">
        <f t="shared" si="29"/>
        <v>0</v>
      </c>
      <c r="P109" s="340">
        <f t="shared" si="46"/>
        <v>0</v>
      </c>
      <c r="Q109" s="340">
        <f t="shared" si="43"/>
        <v>0</v>
      </c>
      <c r="R109" s="340">
        <f t="shared" si="30"/>
        <v>0</v>
      </c>
      <c r="S109" s="340">
        <f t="shared" si="45"/>
        <v>0</v>
      </c>
      <c r="T109" s="340">
        <f t="shared" si="31"/>
        <v>0</v>
      </c>
      <c r="U109" s="340">
        <f t="shared" si="38"/>
        <v>0</v>
      </c>
      <c r="V109" s="340">
        <f t="shared" si="32"/>
        <v>0</v>
      </c>
      <c r="W109" s="198">
        <f t="shared" si="44"/>
        <v>0</v>
      </c>
      <c r="X109" s="36">
        <f t="shared" si="33"/>
        <v>0</v>
      </c>
      <c r="Y109" s="2"/>
      <c r="Z109" s="34">
        <f t="shared" si="34"/>
        <v>0</v>
      </c>
      <c r="AA109" s="57">
        <f t="shared" si="35"/>
        <v>78768</v>
      </c>
      <c r="AB109" s="96"/>
      <c r="AC109" s="96"/>
      <c r="AD109" s="96"/>
      <c r="AE109" s="96"/>
      <c r="AF109" s="96"/>
      <c r="AG109" s="96"/>
      <c r="AH109" s="96"/>
      <c r="AI109" s="96"/>
    </row>
    <row r="110" spans="1:35" s="16" customFormat="1" ht="12" x14ac:dyDescent="0.2">
      <c r="A110" s="2"/>
      <c r="B110" s="2"/>
      <c r="C110" s="2"/>
      <c r="D110" s="13"/>
      <c r="E110" s="2"/>
      <c r="F110" s="383">
        <f t="shared" si="39"/>
        <v>99</v>
      </c>
      <c r="G110" s="384">
        <f t="shared" si="26"/>
        <v>46011</v>
      </c>
      <c r="H110" s="340">
        <f t="shared" si="47"/>
        <v>0</v>
      </c>
      <c r="I110" s="340">
        <f t="shared" si="28"/>
        <v>0</v>
      </c>
      <c r="J110" s="340">
        <f t="shared" si="36"/>
        <v>0</v>
      </c>
      <c r="K110" s="340">
        <f t="shared" si="37"/>
        <v>0</v>
      </c>
      <c r="L110" s="382">
        <f t="shared" si="40"/>
        <v>45658</v>
      </c>
      <c r="M110" s="382">
        <f t="shared" si="41"/>
        <v>46023</v>
      </c>
      <c r="N110" s="382">
        <f t="shared" si="42"/>
        <v>45292</v>
      </c>
      <c r="O110" s="340">
        <f t="shared" si="29"/>
        <v>0</v>
      </c>
      <c r="P110" s="340">
        <f t="shared" si="46"/>
        <v>0</v>
      </c>
      <c r="Q110" s="340">
        <f t="shared" si="43"/>
        <v>0</v>
      </c>
      <c r="R110" s="340">
        <f t="shared" si="30"/>
        <v>0</v>
      </c>
      <c r="S110" s="340">
        <f t="shared" si="45"/>
        <v>0</v>
      </c>
      <c r="T110" s="340">
        <f t="shared" si="31"/>
        <v>0</v>
      </c>
      <c r="U110" s="340">
        <f t="shared" si="38"/>
        <v>0</v>
      </c>
      <c r="V110" s="340">
        <f t="shared" si="32"/>
        <v>0</v>
      </c>
      <c r="W110" s="198">
        <f t="shared" si="44"/>
        <v>0</v>
      </c>
      <c r="X110" s="36">
        <f t="shared" si="33"/>
        <v>0</v>
      </c>
      <c r="Y110" s="2"/>
      <c r="Z110" s="34">
        <f t="shared" si="34"/>
        <v>0</v>
      </c>
      <c r="AA110" s="57">
        <f t="shared" si="35"/>
        <v>79133</v>
      </c>
      <c r="AB110" s="96"/>
      <c r="AC110" s="96"/>
      <c r="AD110" s="96"/>
      <c r="AE110" s="96"/>
      <c r="AF110" s="96"/>
      <c r="AG110" s="96"/>
      <c r="AH110" s="96"/>
      <c r="AI110" s="96"/>
    </row>
    <row r="111" spans="1:35" s="16" customFormat="1" ht="12" x14ac:dyDescent="0.2">
      <c r="A111" s="2"/>
      <c r="B111" s="2"/>
      <c r="C111" s="2"/>
      <c r="D111" s="13"/>
      <c r="E111" s="2"/>
      <c r="F111" s="383">
        <f t="shared" si="39"/>
        <v>100</v>
      </c>
      <c r="G111" s="384">
        <f t="shared" si="26"/>
        <v>46042</v>
      </c>
      <c r="H111" s="340">
        <f t="shared" si="47"/>
        <v>0</v>
      </c>
      <c r="I111" s="340">
        <f t="shared" si="28"/>
        <v>0</v>
      </c>
      <c r="J111" s="340">
        <f t="shared" si="36"/>
        <v>0</v>
      </c>
      <c r="K111" s="340">
        <f t="shared" si="37"/>
        <v>0</v>
      </c>
      <c r="L111" s="382">
        <f t="shared" si="40"/>
        <v>46023</v>
      </c>
      <c r="M111" s="382">
        <f t="shared" si="41"/>
        <v>46388</v>
      </c>
      <c r="N111" s="382">
        <f t="shared" si="42"/>
        <v>45658</v>
      </c>
      <c r="O111" s="340">
        <f t="shared" si="29"/>
        <v>0</v>
      </c>
      <c r="P111" s="340">
        <f t="shared" si="46"/>
        <v>0</v>
      </c>
      <c r="Q111" s="340">
        <f t="shared" si="43"/>
        <v>0</v>
      </c>
      <c r="R111" s="340">
        <f t="shared" si="30"/>
        <v>0</v>
      </c>
      <c r="S111" s="340">
        <f t="shared" si="45"/>
        <v>0</v>
      </c>
      <c r="T111" s="340">
        <f t="shared" si="31"/>
        <v>0</v>
      </c>
      <c r="U111" s="340">
        <f t="shared" si="38"/>
        <v>0</v>
      </c>
      <c r="V111" s="340">
        <f t="shared" si="32"/>
        <v>0</v>
      </c>
      <c r="W111" s="198">
        <f t="shared" si="44"/>
        <v>0</v>
      </c>
      <c r="X111" s="36">
        <f t="shared" si="33"/>
        <v>0</v>
      </c>
      <c r="Y111" s="2"/>
      <c r="Z111" s="34">
        <f t="shared" si="34"/>
        <v>0</v>
      </c>
      <c r="AA111" s="57">
        <f t="shared" si="35"/>
        <v>79498</v>
      </c>
      <c r="AB111" s="96"/>
      <c r="AC111" s="96"/>
      <c r="AD111" s="96"/>
      <c r="AE111" s="96"/>
      <c r="AF111" s="96"/>
      <c r="AG111" s="96"/>
      <c r="AH111" s="96"/>
      <c r="AI111" s="96"/>
    </row>
    <row r="112" spans="1:35" s="16" customFormat="1" ht="12" x14ac:dyDescent="0.2">
      <c r="A112" s="2"/>
      <c r="B112" s="2"/>
      <c r="C112" s="2"/>
      <c r="D112" s="2"/>
      <c r="E112" s="2"/>
      <c r="F112" s="383">
        <f t="shared" si="39"/>
        <v>101</v>
      </c>
      <c r="G112" s="384">
        <f t="shared" si="26"/>
        <v>46073</v>
      </c>
      <c r="H112" s="340">
        <f t="shared" si="47"/>
        <v>0</v>
      </c>
      <c r="I112" s="340">
        <f t="shared" si="28"/>
        <v>0</v>
      </c>
      <c r="J112" s="340">
        <f t="shared" si="36"/>
        <v>0</v>
      </c>
      <c r="K112" s="340">
        <f t="shared" si="37"/>
        <v>0</v>
      </c>
      <c r="L112" s="382">
        <f t="shared" si="40"/>
        <v>46023</v>
      </c>
      <c r="M112" s="382">
        <f t="shared" si="41"/>
        <v>46388</v>
      </c>
      <c r="N112" s="382">
        <f t="shared" si="42"/>
        <v>45658</v>
      </c>
      <c r="O112" s="340">
        <f t="shared" si="29"/>
        <v>0</v>
      </c>
      <c r="P112" s="340">
        <f t="shared" si="46"/>
        <v>0</v>
      </c>
      <c r="Q112" s="340">
        <f t="shared" si="43"/>
        <v>0</v>
      </c>
      <c r="R112" s="340">
        <f t="shared" si="30"/>
        <v>0</v>
      </c>
      <c r="S112" s="340">
        <f t="shared" si="45"/>
        <v>0</v>
      </c>
      <c r="T112" s="340">
        <f t="shared" si="31"/>
        <v>0</v>
      </c>
      <c r="U112" s="340">
        <f t="shared" si="38"/>
        <v>0</v>
      </c>
      <c r="V112" s="340">
        <f t="shared" si="32"/>
        <v>0</v>
      </c>
      <c r="W112" s="198">
        <f t="shared" si="44"/>
        <v>0</v>
      </c>
      <c r="X112" s="36">
        <f t="shared" si="33"/>
        <v>0</v>
      </c>
      <c r="Y112" s="2"/>
      <c r="Z112" s="34">
        <f t="shared" si="34"/>
        <v>0</v>
      </c>
      <c r="AA112" s="57">
        <f t="shared" si="35"/>
        <v>79863</v>
      </c>
      <c r="AB112" s="96"/>
      <c r="AC112" s="96"/>
      <c r="AD112" s="96"/>
      <c r="AE112" s="96"/>
      <c r="AF112" s="96"/>
      <c r="AG112" s="96"/>
      <c r="AH112" s="96"/>
      <c r="AI112" s="96"/>
    </row>
    <row r="113" spans="1:35" s="16" customFormat="1" ht="12" x14ac:dyDescent="0.2">
      <c r="A113" s="2"/>
      <c r="B113" s="2"/>
      <c r="C113" s="2"/>
      <c r="D113" s="2"/>
      <c r="E113" s="2"/>
      <c r="F113" s="383">
        <f t="shared" si="39"/>
        <v>102</v>
      </c>
      <c r="G113" s="384">
        <f t="shared" si="26"/>
        <v>46101</v>
      </c>
      <c r="H113" s="340">
        <f t="shared" si="47"/>
        <v>0</v>
      </c>
      <c r="I113" s="340">
        <f t="shared" si="28"/>
        <v>0</v>
      </c>
      <c r="J113" s="340">
        <f t="shared" si="36"/>
        <v>0</v>
      </c>
      <c r="K113" s="340">
        <f t="shared" si="37"/>
        <v>0</v>
      </c>
      <c r="L113" s="382">
        <f t="shared" si="40"/>
        <v>46023</v>
      </c>
      <c r="M113" s="382">
        <f t="shared" si="41"/>
        <v>46388</v>
      </c>
      <c r="N113" s="382">
        <f t="shared" si="42"/>
        <v>45658</v>
      </c>
      <c r="O113" s="340">
        <f t="shared" si="29"/>
        <v>0</v>
      </c>
      <c r="P113" s="340">
        <f t="shared" si="46"/>
        <v>0</v>
      </c>
      <c r="Q113" s="340">
        <f t="shared" si="43"/>
        <v>0</v>
      </c>
      <c r="R113" s="340">
        <f t="shared" si="30"/>
        <v>0</v>
      </c>
      <c r="S113" s="340">
        <f t="shared" si="45"/>
        <v>0</v>
      </c>
      <c r="T113" s="340">
        <f t="shared" si="31"/>
        <v>0</v>
      </c>
      <c r="U113" s="340">
        <f t="shared" si="38"/>
        <v>0</v>
      </c>
      <c r="V113" s="340">
        <f t="shared" si="32"/>
        <v>0</v>
      </c>
      <c r="W113" s="198">
        <f t="shared" si="44"/>
        <v>0</v>
      </c>
      <c r="X113" s="36">
        <f t="shared" si="33"/>
        <v>0</v>
      </c>
      <c r="Y113" s="2"/>
      <c r="Z113" s="34">
        <f t="shared" si="34"/>
        <v>0</v>
      </c>
      <c r="AA113" s="57">
        <f t="shared" si="35"/>
        <v>80228</v>
      </c>
      <c r="AB113" s="96"/>
      <c r="AC113" s="96"/>
      <c r="AD113" s="96"/>
      <c r="AE113" s="96"/>
      <c r="AF113" s="96"/>
      <c r="AG113" s="96"/>
      <c r="AH113" s="96"/>
      <c r="AI113" s="96"/>
    </row>
    <row r="114" spans="1:35" s="16" customFormat="1" ht="12" x14ac:dyDescent="0.2">
      <c r="A114" s="2"/>
      <c r="B114" s="2"/>
      <c r="C114" s="2"/>
      <c r="D114" s="2"/>
      <c r="F114" s="383">
        <f t="shared" si="39"/>
        <v>103</v>
      </c>
      <c r="G114" s="384">
        <f t="shared" si="26"/>
        <v>46132</v>
      </c>
      <c r="H114" s="340">
        <f t="shared" si="47"/>
        <v>0</v>
      </c>
      <c r="I114" s="340">
        <f t="shared" si="28"/>
        <v>0</v>
      </c>
      <c r="J114" s="340">
        <f t="shared" si="36"/>
        <v>0</v>
      </c>
      <c r="K114" s="340">
        <f t="shared" si="37"/>
        <v>0</v>
      </c>
      <c r="L114" s="382">
        <f t="shared" si="40"/>
        <v>46023</v>
      </c>
      <c r="M114" s="382">
        <f t="shared" si="41"/>
        <v>46388</v>
      </c>
      <c r="N114" s="382">
        <f t="shared" si="42"/>
        <v>45658</v>
      </c>
      <c r="O114" s="340">
        <f t="shared" si="29"/>
        <v>0</v>
      </c>
      <c r="P114" s="340">
        <f t="shared" si="46"/>
        <v>0</v>
      </c>
      <c r="Q114" s="340">
        <f t="shared" si="43"/>
        <v>0</v>
      </c>
      <c r="R114" s="340">
        <f t="shared" si="30"/>
        <v>0</v>
      </c>
      <c r="S114" s="340">
        <f t="shared" si="45"/>
        <v>0</v>
      </c>
      <c r="T114" s="340">
        <f t="shared" si="31"/>
        <v>0</v>
      </c>
      <c r="U114" s="340">
        <f t="shared" si="38"/>
        <v>0</v>
      </c>
      <c r="V114" s="340">
        <f t="shared" si="32"/>
        <v>0</v>
      </c>
      <c r="W114" s="198">
        <f t="shared" si="44"/>
        <v>0</v>
      </c>
      <c r="X114" s="36">
        <f t="shared" si="33"/>
        <v>0</v>
      </c>
      <c r="Y114" s="2"/>
      <c r="Z114" s="34">
        <f t="shared" si="34"/>
        <v>0</v>
      </c>
      <c r="AA114" s="57">
        <f t="shared" si="35"/>
        <v>80593</v>
      </c>
      <c r="AB114" s="96"/>
      <c r="AC114" s="96"/>
      <c r="AD114" s="96"/>
      <c r="AE114" s="96"/>
      <c r="AF114" s="96"/>
      <c r="AG114" s="96"/>
      <c r="AH114" s="96"/>
      <c r="AI114" s="96"/>
    </row>
    <row r="115" spans="1:35" s="16" customFormat="1" ht="12" x14ac:dyDescent="0.2">
      <c r="A115" s="2"/>
      <c r="B115" s="2"/>
      <c r="C115" s="2"/>
      <c r="D115" s="2"/>
      <c r="E115" s="2"/>
      <c r="F115" s="383">
        <f t="shared" si="39"/>
        <v>104</v>
      </c>
      <c r="G115" s="384">
        <f t="shared" si="26"/>
        <v>46162</v>
      </c>
      <c r="H115" s="340">
        <f t="shared" si="47"/>
        <v>0</v>
      </c>
      <c r="I115" s="340">
        <f t="shared" si="28"/>
        <v>0</v>
      </c>
      <c r="J115" s="340">
        <f t="shared" si="36"/>
        <v>0</v>
      </c>
      <c r="K115" s="340">
        <f t="shared" si="37"/>
        <v>0</v>
      </c>
      <c r="L115" s="382">
        <f t="shared" si="40"/>
        <v>46023</v>
      </c>
      <c r="M115" s="382">
        <f t="shared" si="41"/>
        <v>46388</v>
      </c>
      <c r="N115" s="382">
        <f t="shared" si="42"/>
        <v>45658</v>
      </c>
      <c r="O115" s="340">
        <f t="shared" si="29"/>
        <v>0</v>
      </c>
      <c r="P115" s="340">
        <f t="shared" ref="P115:P146" si="48">IF(R115&gt;$C$21,$C$21-I115,IF(X115=0,0,S115))</f>
        <v>0</v>
      </c>
      <c r="Q115" s="340">
        <f t="shared" si="43"/>
        <v>0</v>
      </c>
      <c r="R115" s="340">
        <f t="shared" si="30"/>
        <v>0</v>
      </c>
      <c r="S115" s="340">
        <f t="shared" si="45"/>
        <v>0</v>
      </c>
      <c r="T115" s="340">
        <f t="shared" si="31"/>
        <v>0</v>
      </c>
      <c r="U115" s="340">
        <f t="shared" si="38"/>
        <v>0</v>
      </c>
      <c r="V115" s="340">
        <f t="shared" si="32"/>
        <v>0</v>
      </c>
      <c r="W115" s="198">
        <f t="shared" si="44"/>
        <v>0</v>
      </c>
      <c r="X115" s="36">
        <f t="shared" si="33"/>
        <v>0</v>
      </c>
      <c r="Y115" s="2"/>
      <c r="Z115" s="34">
        <f t="shared" si="34"/>
        <v>0</v>
      </c>
      <c r="AA115" s="57">
        <f t="shared" si="35"/>
        <v>80958</v>
      </c>
      <c r="AB115" s="96"/>
      <c r="AC115" s="96"/>
      <c r="AD115" s="96"/>
      <c r="AE115" s="96"/>
      <c r="AF115" s="96"/>
      <c r="AG115" s="96"/>
      <c r="AH115" s="96"/>
      <c r="AI115" s="96"/>
    </row>
    <row r="116" spans="1:35" s="16" customFormat="1" ht="12" x14ac:dyDescent="0.2">
      <c r="A116" s="2"/>
      <c r="B116" s="2"/>
      <c r="C116" s="2"/>
      <c r="D116" s="2"/>
      <c r="E116" s="2"/>
      <c r="F116" s="383">
        <f t="shared" si="39"/>
        <v>105</v>
      </c>
      <c r="G116" s="384">
        <f t="shared" si="26"/>
        <v>46193</v>
      </c>
      <c r="H116" s="340">
        <f t="shared" si="47"/>
        <v>0</v>
      </c>
      <c r="I116" s="340">
        <f t="shared" si="28"/>
        <v>0</v>
      </c>
      <c r="J116" s="340">
        <f t="shared" si="36"/>
        <v>0</v>
      </c>
      <c r="K116" s="340">
        <f t="shared" si="37"/>
        <v>0</v>
      </c>
      <c r="L116" s="382">
        <f t="shared" si="40"/>
        <v>46023</v>
      </c>
      <c r="M116" s="382">
        <f t="shared" si="41"/>
        <v>46388</v>
      </c>
      <c r="N116" s="382">
        <f t="shared" si="42"/>
        <v>45658</v>
      </c>
      <c r="O116" s="340">
        <f t="shared" si="29"/>
        <v>0</v>
      </c>
      <c r="P116" s="340">
        <f t="shared" si="48"/>
        <v>0</v>
      </c>
      <c r="Q116" s="340">
        <f t="shared" si="43"/>
        <v>0</v>
      </c>
      <c r="R116" s="340">
        <f t="shared" si="30"/>
        <v>0</v>
      </c>
      <c r="S116" s="340">
        <f t="shared" si="45"/>
        <v>0</v>
      </c>
      <c r="T116" s="340">
        <f t="shared" si="31"/>
        <v>0</v>
      </c>
      <c r="U116" s="340">
        <f t="shared" si="38"/>
        <v>0</v>
      </c>
      <c r="V116" s="340">
        <f t="shared" si="32"/>
        <v>0</v>
      </c>
      <c r="W116" s="198">
        <f t="shared" si="44"/>
        <v>0</v>
      </c>
      <c r="X116" s="36">
        <f t="shared" si="33"/>
        <v>0</v>
      </c>
      <c r="Y116" s="2"/>
      <c r="Z116" s="34">
        <f t="shared" si="34"/>
        <v>0</v>
      </c>
      <c r="AA116" s="57">
        <f t="shared" si="35"/>
        <v>81323</v>
      </c>
      <c r="AB116" s="96"/>
      <c r="AC116" s="96"/>
      <c r="AD116" s="96"/>
      <c r="AE116" s="96"/>
      <c r="AF116" s="96"/>
      <c r="AG116" s="96"/>
      <c r="AH116" s="96"/>
      <c r="AI116" s="96"/>
    </row>
    <row r="117" spans="1:35" s="16" customFormat="1" ht="12" x14ac:dyDescent="0.2">
      <c r="A117" s="2"/>
      <c r="B117" s="2"/>
      <c r="C117" s="2"/>
      <c r="D117" s="2"/>
      <c r="E117" s="2"/>
      <c r="F117" s="383">
        <f t="shared" si="39"/>
        <v>106</v>
      </c>
      <c r="G117" s="384">
        <f t="shared" si="26"/>
        <v>46223</v>
      </c>
      <c r="H117" s="340">
        <f t="shared" si="47"/>
        <v>0</v>
      </c>
      <c r="I117" s="340">
        <f t="shared" si="28"/>
        <v>0</v>
      </c>
      <c r="J117" s="340">
        <f t="shared" si="36"/>
        <v>0</v>
      </c>
      <c r="K117" s="340">
        <f t="shared" si="37"/>
        <v>0</v>
      </c>
      <c r="L117" s="382">
        <f t="shared" si="40"/>
        <v>46023</v>
      </c>
      <c r="M117" s="382">
        <f t="shared" si="41"/>
        <v>46388</v>
      </c>
      <c r="N117" s="382">
        <f t="shared" si="42"/>
        <v>45658</v>
      </c>
      <c r="O117" s="340">
        <f t="shared" si="29"/>
        <v>0</v>
      </c>
      <c r="P117" s="340">
        <f t="shared" si="48"/>
        <v>0</v>
      </c>
      <c r="Q117" s="340">
        <f t="shared" si="43"/>
        <v>0</v>
      </c>
      <c r="R117" s="340">
        <f t="shared" si="30"/>
        <v>0</v>
      </c>
      <c r="S117" s="340">
        <f t="shared" si="45"/>
        <v>0</v>
      </c>
      <c r="T117" s="340">
        <f t="shared" si="31"/>
        <v>0</v>
      </c>
      <c r="U117" s="340">
        <f t="shared" si="38"/>
        <v>0</v>
      </c>
      <c r="V117" s="340">
        <f t="shared" si="32"/>
        <v>0</v>
      </c>
      <c r="W117" s="198">
        <f t="shared" si="44"/>
        <v>0</v>
      </c>
      <c r="X117" s="36">
        <f t="shared" si="33"/>
        <v>0</v>
      </c>
      <c r="Y117" s="2"/>
      <c r="Z117" s="34">
        <f t="shared" si="34"/>
        <v>0</v>
      </c>
      <c r="AA117" s="57">
        <f t="shared" si="35"/>
        <v>81688</v>
      </c>
      <c r="AB117" s="96"/>
      <c r="AC117" s="96"/>
      <c r="AD117" s="96"/>
      <c r="AE117" s="96"/>
      <c r="AF117" s="96"/>
      <c r="AG117" s="96"/>
      <c r="AH117" s="96"/>
      <c r="AI117" s="96"/>
    </row>
    <row r="118" spans="1:35" s="16" customFormat="1" ht="12" x14ac:dyDescent="0.2">
      <c r="A118" s="2"/>
      <c r="B118" s="2"/>
      <c r="C118" s="2"/>
      <c r="D118" s="2"/>
      <c r="E118" s="2"/>
      <c r="F118" s="383">
        <f t="shared" si="39"/>
        <v>107</v>
      </c>
      <c r="G118" s="384">
        <f t="shared" si="26"/>
        <v>46254</v>
      </c>
      <c r="H118" s="340">
        <f t="shared" si="47"/>
        <v>0</v>
      </c>
      <c r="I118" s="340">
        <f t="shared" si="28"/>
        <v>0</v>
      </c>
      <c r="J118" s="340">
        <f t="shared" si="36"/>
        <v>0</v>
      </c>
      <c r="K118" s="340">
        <f t="shared" si="37"/>
        <v>0</v>
      </c>
      <c r="L118" s="382">
        <f t="shared" si="40"/>
        <v>46023</v>
      </c>
      <c r="M118" s="382">
        <f t="shared" si="41"/>
        <v>46388</v>
      </c>
      <c r="N118" s="382">
        <f t="shared" si="42"/>
        <v>45658</v>
      </c>
      <c r="O118" s="340">
        <f t="shared" si="29"/>
        <v>0</v>
      </c>
      <c r="P118" s="340">
        <f t="shared" si="48"/>
        <v>0</v>
      </c>
      <c r="Q118" s="340">
        <f t="shared" si="43"/>
        <v>0</v>
      </c>
      <c r="R118" s="340">
        <f t="shared" si="30"/>
        <v>0</v>
      </c>
      <c r="S118" s="340">
        <f t="shared" si="45"/>
        <v>0</v>
      </c>
      <c r="T118" s="340">
        <f t="shared" si="31"/>
        <v>0</v>
      </c>
      <c r="U118" s="340">
        <f t="shared" si="38"/>
        <v>0</v>
      </c>
      <c r="V118" s="340">
        <f t="shared" si="32"/>
        <v>0</v>
      </c>
      <c r="W118" s="198">
        <f t="shared" si="44"/>
        <v>0</v>
      </c>
      <c r="X118" s="36">
        <f t="shared" si="33"/>
        <v>0</v>
      </c>
      <c r="Y118" s="2"/>
      <c r="Z118" s="34">
        <f t="shared" si="34"/>
        <v>0</v>
      </c>
      <c r="AA118" s="57">
        <f t="shared" si="35"/>
        <v>82053</v>
      </c>
      <c r="AB118" s="96"/>
      <c r="AC118" s="96"/>
      <c r="AD118" s="96"/>
      <c r="AE118" s="96"/>
      <c r="AF118" s="96"/>
      <c r="AG118" s="96"/>
      <c r="AH118" s="96"/>
      <c r="AI118" s="96"/>
    </row>
    <row r="119" spans="1:35" s="16" customFormat="1" ht="12" x14ac:dyDescent="0.2">
      <c r="A119" s="2"/>
      <c r="B119" s="2"/>
      <c r="C119" s="13"/>
      <c r="D119" s="2"/>
      <c r="E119" s="2"/>
      <c r="F119" s="383">
        <f t="shared" si="39"/>
        <v>108</v>
      </c>
      <c r="G119" s="384">
        <f t="shared" si="26"/>
        <v>46285</v>
      </c>
      <c r="H119" s="340">
        <f t="shared" si="47"/>
        <v>0</v>
      </c>
      <c r="I119" s="340">
        <f t="shared" si="28"/>
        <v>0</v>
      </c>
      <c r="J119" s="340">
        <f t="shared" si="36"/>
        <v>0</v>
      </c>
      <c r="K119" s="340">
        <f t="shared" si="37"/>
        <v>0</v>
      </c>
      <c r="L119" s="382">
        <f t="shared" si="40"/>
        <v>46023</v>
      </c>
      <c r="M119" s="382">
        <f t="shared" si="41"/>
        <v>46388</v>
      </c>
      <c r="N119" s="382">
        <f t="shared" si="42"/>
        <v>45658</v>
      </c>
      <c r="O119" s="340">
        <f t="shared" si="29"/>
        <v>0</v>
      </c>
      <c r="P119" s="340">
        <f t="shared" si="48"/>
        <v>0</v>
      </c>
      <c r="Q119" s="340">
        <f t="shared" si="43"/>
        <v>0</v>
      </c>
      <c r="R119" s="340">
        <f t="shared" si="30"/>
        <v>0</v>
      </c>
      <c r="S119" s="340">
        <f t="shared" si="45"/>
        <v>0</v>
      </c>
      <c r="T119" s="340">
        <f t="shared" si="31"/>
        <v>0</v>
      </c>
      <c r="U119" s="340">
        <f t="shared" si="38"/>
        <v>0</v>
      </c>
      <c r="V119" s="340">
        <f t="shared" si="32"/>
        <v>0</v>
      </c>
      <c r="W119" s="198">
        <f t="shared" si="44"/>
        <v>0</v>
      </c>
      <c r="X119" s="36">
        <f t="shared" si="33"/>
        <v>0</v>
      </c>
      <c r="Y119" s="2"/>
      <c r="Z119" s="34">
        <f t="shared" si="34"/>
        <v>0</v>
      </c>
      <c r="AA119" s="57">
        <f t="shared" si="35"/>
        <v>82418</v>
      </c>
      <c r="AB119" s="96"/>
      <c r="AC119" s="96"/>
      <c r="AD119" s="96"/>
      <c r="AE119" s="96"/>
      <c r="AF119" s="96"/>
      <c r="AG119" s="96"/>
      <c r="AH119" s="96"/>
      <c r="AI119" s="96"/>
    </row>
    <row r="120" spans="1:35" s="16" customFormat="1" ht="12" x14ac:dyDescent="0.2">
      <c r="A120" s="2"/>
      <c r="B120" s="2"/>
      <c r="C120" s="2"/>
      <c r="D120" s="13"/>
      <c r="E120" s="2"/>
      <c r="F120" s="383">
        <f t="shared" si="39"/>
        <v>109</v>
      </c>
      <c r="G120" s="384">
        <f t="shared" si="26"/>
        <v>46315</v>
      </c>
      <c r="H120" s="340">
        <f t="shared" si="47"/>
        <v>0</v>
      </c>
      <c r="I120" s="340">
        <f t="shared" si="28"/>
        <v>0</v>
      </c>
      <c r="J120" s="340">
        <f t="shared" si="36"/>
        <v>0</v>
      </c>
      <c r="K120" s="340">
        <f t="shared" si="37"/>
        <v>0</v>
      </c>
      <c r="L120" s="382">
        <f t="shared" si="40"/>
        <v>46023</v>
      </c>
      <c r="M120" s="382">
        <f t="shared" si="41"/>
        <v>46388</v>
      </c>
      <c r="N120" s="382">
        <f t="shared" si="42"/>
        <v>45658</v>
      </c>
      <c r="O120" s="340">
        <f t="shared" si="29"/>
        <v>0</v>
      </c>
      <c r="P120" s="340">
        <f t="shared" si="48"/>
        <v>0</v>
      </c>
      <c r="Q120" s="340">
        <f t="shared" si="43"/>
        <v>0</v>
      </c>
      <c r="R120" s="340">
        <f t="shared" si="30"/>
        <v>0</v>
      </c>
      <c r="S120" s="340">
        <f t="shared" si="45"/>
        <v>0</v>
      </c>
      <c r="T120" s="340">
        <f t="shared" si="31"/>
        <v>0</v>
      </c>
      <c r="U120" s="340">
        <f t="shared" si="38"/>
        <v>0</v>
      </c>
      <c r="V120" s="340">
        <f t="shared" si="32"/>
        <v>0</v>
      </c>
      <c r="W120" s="198">
        <f t="shared" si="44"/>
        <v>0</v>
      </c>
      <c r="X120" s="36">
        <f t="shared" si="33"/>
        <v>0</v>
      </c>
      <c r="Y120" s="2"/>
      <c r="Z120" s="34">
        <f t="shared" si="34"/>
        <v>0</v>
      </c>
      <c r="AA120" s="57">
        <f t="shared" si="35"/>
        <v>82783</v>
      </c>
      <c r="AB120" s="96"/>
      <c r="AC120" s="96"/>
      <c r="AD120" s="96"/>
      <c r="AE120" s="96"/>
      <c r="AF120" s="96"/>
      <c r="AG120" s="96"/>
      <c r="AH120" s="96"/>
      <c r="AI120" s="96"/>
    </row>
    <row r="121" spans="1:35" s="16" customFormat="1" ht="12" x14ac:dyDescent="0.2">
      <c r="A121" s="2"/>
      <c r="B121" s="2"/>
      <c r="C121" s="2"/>
      <c r="D121" s="13"/>
      <c r="E121" s="2"/>
      <c r="F121" s="383">
        <f t="shared" si="39"/>
        <v>110</v>
      </c>
      <c r="G121" s="384">
        <f t="shared" si="26"/>
        <v>46346</v>
      </c>
      <c r="H121" s="340">
        <f t="shared" si="47"/>
        <v>0</v>
      </c>
      <c r="I121" s="340">
        <f t="shared" si="28"/>
        <v>0</v>
      </c>
      <c r="J121" s="340">
        <f t="shared" si="36"/>
        <v>0</v>
      </c>
      <c r="K121" s="340">
        <f t="shared" si="37"/>
        <v>0</v>
      </c>
      <c r="L121" s="382">
        <f t="shared" si="40"/>
        <v>46023</v>
      </c>
      <c r="M121" s="382">
        <f t="shared" si="41"/>
        <v>46388</v>
      </c>
      <c r="N121" s="382">
        <f t="shared" si="42"/>
        <v>45658</v>
      </c>
      <c r="O121" s="340">
        <f t="shared" si="29"/>
        <v>0</v>
      </c>
      <c r="P121" s="340">
        <f t="shared" si="48"/>
        <v>0</v>
      </c>
      <c r="Q121" s="340">
        <f t="shared" si="43"/>
        <v>0</v>
      </c>
      <c r="R121" s="340">
        <f t="shared" si="30"/>
        <v>0</v>
      </c>
      <c r="S121" s="340">
        <f t="shared" si="45"/>
        <v>0</v>
      </c>
      <c r="T121" s="340">
        <f t="shared" si="31"/>
        <v>0</v>
      </c>
      <c r="U121" s="340">
        <f t="shared" si="38"/>
        <v>0</v>
      </c>
      <c r="V121" s="340">
        <f t="shared" si="32"/>
        <v>0</v>
      </c>
      <c r="W121" s="198">
        <f t="shared" si="44"/>
        <v>0</v>
      </c>
      <c r="X121" s="36">
        <f t="shared" si="33"/>
        <v>0</v>
      </c>
      <c r="Y121" s="2"/>
      <c r="Z121" s="34">
        <f t="shared" si="34"/>
        <v>0</v>
      </c>
      <c r="AA121" s="57">
        <f t="shared" si="35"/>
        <v>83148</v>
      </c>
      <c r="AB121" s="96"/>
      <c r="AC121" s="96"/>
      <c r="AD121" s="96"/>
      <c r="AE121" s="96"/>
      <c r="AF121" s="96"/>
      <c r="AG121" s="96"/>
      <c r="AH121" s="96"/>
      <c r="AI121" s="96"/>
    </row>
    <row r="122" spans="1:35" s="16" customFormat="1" ht="12" x14ac:dyDescent="0.2">
      <c r="A122" s="2"/>
      <c r="B122" s="2"/>
      <c r="C122" s="2"/>
      <c r="D122" s="2"/>
      <c r="E122" s="2"/>
      <c r="F122" s="383">
        <f t="shared" si="39"/>
        <v>111</v>
      </c>
      <c r="G122" s="384">
        <f t="shared" si="26"/>
        <v>46376</v>
      </c>
      <c r="H122" s="340">
        <f t="shared" si="47"/>
        <v>0</v>
      </c>
      <c r="I122" s="340">
        <f t="shared" si="28"/>
        <v>0</v>
      </c>
      <c r="J122" s="340">
        <f t="shared" si="36"/>
        <v>0</v>
      </c>
      <c r="K122" s="340">
        <f t="shared" si="37"/>
        <v>0</v>
      </c>
      <c r="L122" s="382">
        <f t="shared" si="40"/>
        <v>46023</v>
      </c>
      <c r="M122" s="382">
        <f t="shared" si="41"/>
        <v>46388</v>
      </c>
      <c r="N122" s="382">
        <f t="shared" si="42"/>
        <v>45658</v>
      </c>
      <c r="O122" s="340">
        <f t="shared" si="29"/>
        <v>0</v>
      </c>
      <c r="P122" s="340">
        <f t="shared" si="48"/>
        <v>0</v>
      </c>
      <c r="Q122" s="340">
        <f t="shared" si="43"/>
        <v>0</v>
      </c>
      <c r="R122" s="340">
        <f t="shared" si="30"/>
        <v>0</v>
      </c>
      <c r="S122" s="340">
        <f t="shared" si="45"/>
        <v>0</v>
      </c>
      <c r="T122" s="340">
        <f t="shared" si="31"/>
        <v>0</v>
      </c>
      <c r="U122" s="340">
        <f t="shared" si="38"/>
        <v>0</v>
      </c>
      <c r="V122" s="340">
        <f t="shared" si="32"/>
        <v>0</v>
      </c>
      <c r="W122" s="198">
        <f t="shared" si="44"/>
        <v>0</v>
      </c>
      <c r="X122" s="36">
        <f t="shared" si="33"/>
        <v>0</v>
      </c>
      <c r="Y122" s="2"/>
      <c r="Z122" s="34">
        <f t="shared" si="34"/>
        <v>0</v>
      </c>
      <c r="AA122" s="57">
        <f t="shared" si="35"/>
        <v>83513</v>
      </c>
      <c r="AB122" s="96"/>
      <c r="AC122" s="96"/>
      <c r="AD122" s="96"/>
      <c r="AE122" s="96"/>
      <c r="AF122" s="96"/>
      <c r="AG122" s="96"/>
      <c r="AH122" s="96"/>
      <c r="AI122" s="96"/>
    </row>
    <row r="123" spans="1:35" s="16" customFormat="1" ht="12" x14ac:dyDescent="0.2">
      <c r="A123" s="2"/>
      <c r="B123" s="2"/>
      <c r="C123" s="2"/>
      <c r="D123" s="2"/>
      <c r="E123" s="2"/>
      <c r="F123" s="383">
        <f t="shared" si="39"/>
        <v>112</v>
      </c>
      <c r="G123" s="384">
        <f t="shared" si="26"/>
        <v>46407</v>
      </c>
      <c r="H123" s="340">
        <f t="shared" si="47"/>
        <v>0</v>
      </c>
      <c r="I123" s="340">
        <f t="shared" si="28"/>
        <v>0</v>
      </c>
      <c r="J123" s="340">
        <f t="shared" si="36"/>
        <v>0</v>
      </c>
      <c r="K123" s="340">
        <f t="shared" si="37"/>
        <v>0</v>
      </c>
      <c r="L123" s="382">
        <f t="shared" si="40"/>
        <v>46388</v>
      </c>
      <c r="M123" s="382">
        <f t="shared" si="41"/>
        <v>46753</v>
      </c>
      <c r="N123" s="382">
        <f t="shared" si="42"/>
        <v>46023</v>
      </c>
      <c r="O123" s="340">
        <f t="shared" si="29"/>
        <v>0</v>
      </c>
      <c r="P123" s="340">
        <f t="shared" si="48"/>
        <v>0</v>
      </c>
      <c r="Q123" s="340">
        <f t="shared" si="43"/>
        <v>0</v>
      </c>
      <c r="R123" s="340">
        <f t="shared" si="30"/>
        <v>0</v>
      </c>
      <c r="S123" s="340">
        <f t="shared" si="45"/>
        <v>0</v>
      </c>
      <c r="T123" s="340">
        <f t="shared" si="31"/>
        <v>0</v>
      </c>
      <c r="U123" s="340">
        <f t="shared" si="38"/>
        <v>0</v>
      </c>
      <c r="V123" s="340">
        <f t="shared" si="32"/>
        <v>0</v>
      </c>
      <c r="W123" s="198">
        <f t="shared" si="44"/>
        <v>0</v>
      </c>
      <c r="X123" s="36">
        <f t="shared" si="33"/>
        <v>0</v>
      </c>
      <c r="Y123" s="2"/>
      <c r="Z123" s="34">
        <f t="shared" si="34"/>
        <v>0</v>
      </c>
      <c r="AA123" s="57">
        <f t="shared" si="35"/>
        <v>83878</v>
      </c>
      <c r="AB123" s="96"/>
      <c r="AC123" s="96"/>
      <c r="AD123" s="96"/>
      <c r="AE123" s="96"/>
      <c r="AF123" s="96"/>
      <c r="AG123" s="96"/>
      <c r="AH123" s="96"/>
      <c r="AI123" s="96"/>
    </row>
    <row r="124" spans="1:35" s="16" customFormat="1" ht="12" x14ac:dyDescent="0.2">
      <c r="A124" s="2"/>
      <c r="B124" s="2"/>
      <c r="C124" s="2"/>
      <c r="D124" s="2"/>
      <c r="E124" s="2"/>
      <c r="F124" s="383">
        <f t="shared" si="39"/>
        <v>113</v>
      </c>
      <c r="G124" s="384">
        <f t="shared" si="26"/>
        <v>46438</v>
      </c>
      <c r="H124" s="340">
        <f t="shared" si="47"/>
        <v>0</v>
      </c>
      <c r="I124" s="340">
        <f t="shared" si="28"/>
        <v>0</v>
      </c>
      <c r="J124" s="340">
        <f t="shared" si="36"/>
        <v>0</v>
      </c>
      <c r="K124" s="340">
        <f t="shared" si="37"/>
        <v>0</v>
      </c>
      <c r="L124" s="382">
        <f t="shared" si="40"/>
        <v>46388</v>
      </c>
      <c r="M124" s="382">
        <f t="shared" si="41"/>
        <v>46753</v>
      </c>
      <c r="N124" s="382">
        <f t="shared" si="42"/>
        <v>46023</v>
      </c>
      <c r="O124" s="340">
        <f t="shared" si="29"/>
        <v>0</v>
      </c>
      <c r="P124" s="340">
        <f t="shared" si="48"/>
        <v>0</v>
      </c>
      <c r="Q124" s="340">
        <f t="shared" si="43"/>
        <v>0</v>
      </c>
      <c r="R124" s="340">
        <f t="shared" si="30"/>
        <v>0</v>
      </c>
      <c r="S124" s="340">
        <f t="shared" si="45"/>
        <v>0</v>
      </c>
      <c r="T124" s="340">
        <f t="shared" si="31"/>
        <v>0</v>
      </c>
      <c r="U124" s="340">
        <f t="shared" si="38"/>
        <v>0</v>
      </c>
      <c r="V124" s="340">
        <f t="shared" si="32"/>
        <v>0</v>
      </c>
      <c r="W124" s="198">
        <f t="shared" si="44"/>
        <v>0</v>
      </c>
      <c r="X124" s="36">
        <f t="shared" si="33"/>
        <v>0</v>
      </c>
      <c r="Y124" s="2"/>
      <c r="Z124" s="34">
        <f t="shared" si="34"/>
        <v>0</v>
      </c>
      <c r="AA124" s="57">
        <f t="shared" si="35"/>
        <v>84243</v>
      </c>
      <c r="AB124" s="96"/>
      <c r="AC124" s="96"/>
      <c r="AD124" s="96"/>
      <c r="AE124" s="96"/>
      <c r="AF124" s="96"/>
      <c r="AG124" s="96"/>
      <c r="AH124" s="96"/>
      <c r="AI124" s="96"/>
    </row>
    <row r="125" spans="1:35" s="16" customFormat="1" ht="12" x14ac:dyDescent="0.2">
      <c r="A125" s="2"/>
      <c r="B125" s="2"/>
      <c r="C125" s="2"/>
      <c r="D125" s="2"/>
      <c r="E125" s="2"/>
      <c r="F125" s="383">
        <f t="shared" si="39"/>
        <v>114</v>
      </c>
      <c r="G125" s="384">
        <f t="shared" si="26"/>
        <v>46466</v>
      </c>
      <c r="H125" s="340">
        <f t="shared" si="47"/>
        <v>0</v>
      </c>
      <c r="I125" s="340">
        <f t="shared" si="28"/>
        <v>0</v>
      </c>
      <c r="J125" s="340">
        <f t="shared" si="36"/>
        <v>0</v>
      </c>
      <c r="K125" s="340">
        <f t="shared" si="37"/>
        <v>0</v>
      </c>
      <c r="L125" s="382">
        <f t="shared" si="40"/>
        <v>46388</v>
      </c>
      <c r="M125" s="382">
        <f t="shared" si="41"/>
        <v>46753</v>
      </c>
      <c r="N125" s="382">
        <f t="shared" si="42"/>
        <v>46023</v>
      </c>
      <c r="O125" s="340">
        <f t="shared" si="29"/>
        <v>0</v>
      </c>
      <c r="P125" s="340">
        <f t="shared" si="48"/>
        <v>0</v>
      </c>
      <c r="Q125" s="340">
        <f t="shared" si="43"/>
        <v>0</v>
      </c>
      <c r="R125" s="340">
        <f t="shared" si="30"/>
        <v>0</v>
      </c>
      <c r="S125" s="340">
        <f t="shared" si="45"/>
        <v>0</v>
      </c>
      <c r="T125" s="340">
        <f t="shared" si="31"/>
        <v>0</v>
      </c>
      <c r="U125" s="340">
        <f t="shared" si="38"/>
        <v>0</v>
      </c>
      <c r="V125" s="340">
        <f t="shared" si="32"/>
        <v>0</v>
      </c>
      <c r="W125" s="198">
        <f t="shared" si="44"/>
        <v>0</v>
      </c>
      <c r="X125" s="36">
        <f t="shared" si="33"/>
        <v>0</v>
      </c>
      <c r="Y125" s="2"/>
      <c r="Z125" s="34">
        <f t="shared" si="34"/>
        <v>0</v>
      </c>
      <c r="AA125" s="57">
        <f t="shared" si="35"/>
        <v>84608</v>
      </c>
      <c r="AB125" s="96"/>
      <c r="AC125" s="96"/>
      <c r="AD125" s="96"/>
      <c r="AE125" s="96"/>
      <c r="AF125" s="96"/>
      <c r="AG125" s="96"/>
      <c r="AH125" s="96"/>
      <c r="AI125" s="96"/>
    </row>
    <row r="126" spans="1:35" s="16" customFormat="1" ht="12" x14ac:dyDescent="0.2">
      <c r="A126" s="2"/>
      <c r="B126" s="2"/>
      <c r="C126" s="2"/>
      <c r="D126" s="2"/>
      <c r="E126" s="2"/>
      <c r="F126" s="383">
        <f t="shared" si="39"/>
        <v>115</v>
      </c>
      <c r="G126" s="384">
        <f t="shared" si="26"/>
        <v>46497</v>
      </c>
      <c r="H126" s="340">
        <f t="shared" si="47"/>
        <v>0</v>
      </c>
      <c r="I126" s="340">
        <f t="shared" si="28"/>
        <v>0</v>
      </c>
      <c r="J126" s="340">
        <f t="shared" si="36"/>
        <v>0</v>
      </c>
      <c r="K126" s="340">
        <f t="shared" si="37"/>
        <v>0</v>
      </c>
      <c r="L126" s="382">
        <f t="shared" si="40"/>
        <v>46388</v>
      </c>
      <c r="M126" s="382">
        <f t="shared" si="41"/>
        <v>46753</v>
      </c>
      <c r="N126" s="382">
        <f t="shared" si="42"/>
        <v>46023</v>
      </c>
      <c r="O126" s="340">
        <f t="shared" si="29"/>
        <v>0</v>
      </c>
      <c r="P126" s="340">
        <f t="shared" si="48"/>
        <v>0</v>
      </c>
      <c r="Q126" s="340">
        <f t="shared" si="43"/>
        <v>0</v>
      </c>
      <c r="R126" s="340">
        <f t="shared" si="30"/>
        <v>0</v>
      </c>
      <c r="S126" s="340">
        <f t="shared" si="45"/>
        <v>0</v>
      </c>
      <c r="T126" s="340">
        <f t="shared" si="31"/>
        <v>0</v>
      </c>
      <c r="U126" s="340">
        <f t="shared" si="38"/>
        <v>0</v>
      </c>
      <c r="V126" s="340">
        <f t="shared" si="32"/>
        <v>0</v>
      </c>
      <c r="W126" s="198">
        <f t="shared" si="44"/>
        <v>0</v>
      </c>
      <c r="X126" s="36">
        <f t="shared" si="33"/>
        <v>0</v>
      </c>
      <c r="Y126" s="2"/>
      <c r="Z126" s="34">
        <f t="shared" si="34"/>
        <v>0</v>
      </c>
      <c r="AA126" s="57">
        <f t="shared" si="35"/>
        <v>84973</v>
      </c>
      <c r="AB126" s="96"/>
      <c r="AC126" s="96"/>
      <c r="AD126" s="96"/>
      <c r="AE126" s="96"/>
      <c r="AF126" s="96"/>
      <c r="AG126" s="96"/>
      <c r="AH126" s="96"/>
      <c r="AI126" s="96"/>
    </row>
    <row r="127" spans="1:35" s="16" customFormat="1" ht="12" x14ac:dyDescent="0.2">
      <c r="A127" s="2"/>
      <c r="B127" s="2"/>
      <c r="C127" s="2"/>
      <c r="D127" s="2"/>
      <c r="E127" s="2"/>
      <c r="F127" s="383">
        <f t="shared" si="39"/>
        <v>116</v>
      </c>
      <c r="G127" s="384">
        <f t="shared" si="26"/>
        <v>46527</v>
      </c>
      <c r="H127" s="340">
        <f t="shared" si="47"/>
        <v>0</v>
      </c>
      <c r="I127" s="340">
        <f t="shared" si="28"/>
        <v>0</v>
      </c>
      <c r="J127" s="340">
        <f t="shared" si="36"/>
        <v>0</v>
      </c>
      <c r="K127" s="340">
        <f t="shared" si="37"/>
        <v>0</v>
      </c>
      <c r="L127" s="382">
        <f t="shared" si="40"/>
        <v>46388</v>
      </c>
      <c r="M127" s="382">
        <f t="shared" si="41"/>
        <v>46753</v>
      </c>
      <c r="N127" s="382">
        <f t="shared" si="42"/>
        <v>46023</v>
      </c>
      <c r="O127" s="340">
        <f t="shared" si="29"/>
        <v>0</v>
      </c>
      <c r="P127" s="340">
        <f t="shared" si="48"/>
        <v>0</v>
      </c>
      <c r="Q127" s="340">
        <f t="shared" si="43"/>
        <v>0</v>
      </c>
      <c r="R127" s="340">
        <f t="shared" si="30"/>
        <v>0</v>
      </c>
      <c r="S127" s="340">
        <f t="shared" si="45"/>
        <v>0</v>
      </c>
      <c r="T127" s="340">
        <f t="shared" si="31"/>
        <v>0</v>
      </c>
      <c r="U127" s="340">
        <f t="shared" si="38"/>
        <v>0</v>
      </c>
      <c r="V127" s="340">
        <f t="shared" si="32"/>
        <v>0</v>
      </c>
      <c r="W127" s="198">
        <f t="shared" si="44"/>
        <v>0</v>
      </c>
      <c r="X127" s="36">
        <f t="shared" si="33"/>
        <v>0</v>
      </c>
      <c r="Y127" s="2"/>
      <c r="Z127" s="34">
        <f t="shared" si="34"/>
        <v>0</v>
      </c>
      <c r="AA127" s="57">
        <f t="shared" si="35"/>
        <v>85338</v>
      </c>
      <c r="AB127" s="96"/>
      <c r="AC127" s="96"/>
      <c r="AD127" s="96"/>
      <c r="AE127" s="96"/>
      <c r="AF127" s="96"/>
      <c r="AG127" s="96"/>
      <c r="AH127" s="96"/>
      <c r="AI127" s="96"/>
    </row>
    <row r="128" spans="1:35" s="16" customFormat="1" ht="12" x14ac:dyDescent="0.2">
      <c r="A128" s="2"/>
      <c r="B128" s="2"/>
      <c r="C128" s="2"/>
      <c r="D128" s="2"/>
      <c r="E128" s="2"/>
      <c r="F128" s="383">
        <f t="shared" si="39"/>
        <v>117</v>
      </c>
      <c r="G128" s="384">
        <f t="shared" si="26"/>
        <v>46558</v>
      </c>
      <c r="H128" s="340">
        <f t="shared" si="47"/>
        <v>0</v>
      </c>
      <c r="I128" s="340">
        <f t="shared" si="28"/>
        <v>0</v>
      </c>
      <c r="J128" s="340">
        <f t="shared" si="36"/>
        <v>0</v>
      </c>
      <c r="K128" s="340">
        <f t="shared" si="37"/>
        <v>0</v>
      </c>
      <c r="L128" s="382">
        <f t="shared" si="40"/>
        <v>46388</v>
      </c>
      <c r="M128" s="382">
        <f t="shared" si="41"/>
        <v>46753</v>
      </c>
      <c r="N128" s="382">
        <f t="shared" si="42"/>
        <v>46023</v>
      </c>
      <c r="O128" s="340">
        <f t="shared" si="29"/>
        <v>0</v>
      </c>
      <c r="P128" s="340">
        <f t="shared" si="48"/>
        <v>0</v>
      </c>
      <c r="Q128" s="340">
        <f t="shared" si="43"/>
        <v>0</v>
      </c>
      <c r="R128" s="340">
        <f t="shared" si="30"/>
        <v>0</v>
      </c>
      <c r="S128" s="340">
        <f t="shared" si="45"/>
        <v>0</v>
      </c>
      <c r="T128" s="340">
        <f t="shared" si="31"/>
        <v>0</v>
      </c>
      <c r="U128" s="340">
        <f t="shared" si="38"/>
        <v>0</v>
      </c>
      <c r="V128" s="340">
        <f t="shared" si="32"/>
        <v>0</v>
      </c>
      <c r="W128" s="198">
        <f t="shared" si="44"/>
        <v>0</v>
      </c>
      <c r="X128" s="36">
        <f t="shared" si="33"/>
        <v>0</v>
      </c>
      <c r="Y128" s="2"/>
      <c r="Z128" s="34">
        <f t="shared" si="34"/>
        <v>0</v>
      </c>
      <c r="AA128" s="57">
        <f t="shared" si="35"/>
        <v>85703</v>
      </c>
      <c r="AB128" s="96"/>
      <c r="AC128" s="96"/>
      <c r="AD128" s="96"/>
      <c r="AE128" s="96"/>
      <c r="AF128" s="96"/>
      <c r="AG128" s="96"/>
      <c r="AH128" s="96"/>
      <c r="AI128" s="96"/>
    </row>
    <row r="129" spans="1:35" s="16" customFormat="1" ht="12" x14ac:dyDescent="0.2">
      <c r="A129" s="2"/>
      <c r="B129" s="2"/>
      <c r="C129" s="2"/>
      <c r="D129" s="2"/>
      <c r="E129" s="2"/>
      <c r="F129" s="383">
        <f t="shared" si="39"/>
        <v>118</v>
      </c>
      <c r="G129" s="384">
        <f t="shared" si="26"/>
        <v>46588</v>
      </c>
      <c r="H129" s="340">
        <f t="shared" si="47"/>
        <v>0</v>
      </c>
      <c r="I129" s="340">
        <f t="shared" si="28"/>
        <v>0</v>
      </c>
      <c r="J129" s="340">
        <f t="shared" si="36"/>
        <v>0</v>
      </c>
      <c r="K129" s="340">
        <f t="shared" si="37"/>
        <v>0</v>
      </c>
      <c r="L129" s="382">
        <f t="shared" si="40"/>
        <v>46388</v>
      </c>
      <c r="M129" s="382">
        <f t="shared" si="41"/>
        <v>46753</v>
      </c>
      <c r="N129" s="382">
        <f t="shared" si="42"/>
        <v>46023</v>
      </c>
      <c r="O129" s="340">
        <f t="shared" si="29"/>
        <v>0</v>
      </c>
      <c r="P129" s="340">
        <f t="shared" si="48"/>
        <v>0</v>
      </c>
      <c r="Q129" s="340">
        <f t="shared" si="43"/>
        <v>0</v>
      </c>
      <c r="R129" s="340">
        <f t="shared" si="30"/>
        <v>0</v>
      </c>
      <c r="S129" s="340">
        <f t="shared" si="45"/>
        <v>0</v>
      </c>
      <c r="T129" s="340">
        <f t="shared" si="31"/>
        <v>0</v>
      </c>
      <c r="U129" s="340">
        <f t="shared" si="38"/>
        <v>0</v>
      </c>
      <c r="V129" s="340">
        <f t="shared" si="32"/>
        <v>0</v>
      </c>
      <c r="W129" s="198">
        <f t="shared" si="44"/>
        <v>0</v>
      </c>
      <c r="X129" s="36">
        <f t="shared" si="33"/>
        <v>0</v>
      </c>
      <c r="Y129" s="2"/>
      <c r="Z129" s="34">
        <f t="shared" si="34"/>
        <v>0</v>
      </c>
      <c r="AA129" s="57">
        <f t="shared" si="35"/>
        <v>86068</v>
      </c>
      <c r="AB129" s="96"/>
      <c r="AC129" s="96"/>
      <c r="AD129" s="96"/>
      <c r="AE129" s="96"/>
      <c r="AF129" s="96"/>
      <c r="AG129" s="96"/>
      <c r="AH129" s="96"/>
      <c r="AI129" s="96"/>
    </row>
    <row r="130" spans="1:35" s="16" customFormat="1" ht="12" x14ac:dyDescent="0.2">
      <c r="A130" s="2"/>
      <c r="B130" s="2"/>
      <c r="C130" s="2"/>
      <c r="D130" s="2"/>
      <c r="E130" s="2"/>
      <c r="F130" s="383">
        <f t="shared" si="39"/>
        <v>119</v>
      </c>
      <c r="G130" s="384">
        <f t="shared" si="26"/>
        <v>46619</v>
      </c>
      <c r="H130" s="340">
        <f t="shared" si="47"/>
        <v>0</v>
      </c>
      <c r="I130" s="340">
        <f t="shared" si="28"/>
        <v>0</v>
      </c>
      <c r="J130" s="340">
        <f t="shared" si="36"/>
        <v>0</v>
      </c>
      <c r="K130" s="340">
        <f t="shared" si="37"/>
        <v>0</v>
      </c>
      <c r="L130" s="382">
        <f t="shared" si="40"/>
        <v>46388</v>
      </c>
      <c r="M130" s="382">
        <f t="shared" si="41"/>
        <v>46753</v>
      </c>
      <c r="N130" s="382">
        <f t="shared" si="42"/>
        <v>46023</v>
      </c>
      <c r="O130" s="340">
        <f t="shared" si="29"/>
        <v>0</v>
      </c>
      <c r="P130" s="340">
        <f t="shared" si="48"/>
        <v>0</v>
      </c>
      <c r="Q130" s="340">
        <f t="shared" si="43"/>
        <v>0</v>
      </c>
      <c r="R130" s="340">
        <f t="shared" si="30"/>
        <v>0</v>
      </c>
      <c r="S130" s="340">
        <f t="shared" si="45"/>
        <v>0</v>
      </c>
      <c r="T130" s="340">
        <f t="shared" si="31"/>
        <v>0</v>
      </c>
      <c r="U130" s="340">
        <f t="shared" si="38"/>
        <v>0</v>
      </c>
      <c r="V130" s="340">
        <f t="shared" si="32"/>
        <v>0</v>
      </c>
      <c r="W130" s="198">
        <f t="shared" si="44"/>
        <v>0</v>
      </c>
      <c r="X130" s="36">
        <f t="shared" si="33"/>
        <v>0</v>
      </c>
      <c r="Y130" s="2"/>
      <c r="Z130" s="34">
        <f t="shared" si="34"/>
        <v>0</v>
      </c>
      <c r="AA130" s="57">
        <f t="shared" si="35"/>
        <v>86433</v>
      </c>
      <c r="AB130" s="96"/>
      <c r="AC130" s="96"/>
      <c r="AD130" s="96"/>
      <c r="AE130" s="96"/>
      <c r="AF130" s="96"/>
      <c r="AG130" s="96"/>
      <c r="AH130" s="96"/>
      <c r="AI130" s="96"/>
    </row>
    <row r="131" spans="1:35" s="16" customFormat="1" ht="12" x14ac:dyDescent="0.2">
      <c r="A131" s="53"/>
      <c r="C131" s="2"/>
      <c r="D131" s="2"/>
      <c r="E131" s="2"/>
      <c r="F131" s="383">
        <f t="shared" si="39"/>
        <v>120</v>
      </c>
      <c r="G131" s="384">
        <f t="shared" si="26"/>
        <v>46650</v>
      </c>
      <c r="H131" s="340">
        <f t="shared" si="47"/>
        <v>0</v>
      </c>
      <c r="I131" s="340">
        <f t="shared" si="28"/>
        <v>0</v>
      </c>
      <c r="J131" s="340">
        <f t="shared" si="36"/>
        <v>0</v>
      </c>
      <c r="K131" s="340">
        <f t="shared" si="37"/>
        <v>0</v>
      </c>
      <c r="L131" s="382">
        <f t="shared" si="40"/>
        <v>46388</v>
      </c>
      <c r="M131" s="382">
        <f t="shared" si="41"/>
        <v>46753</v>
      </c>
      <c r="N131" s="382">
        <f t="shared" si="42"/>
        <v>46023</v>
      </c>
      <c r="O131" s="340">
        <f t="shared" si="29"/>
        <v>0</v>
      </c>
      <c r="P131" s="340">
        <f t="shared" si="48"/>
        <v>0</v>
      </c>
      <c r="Q131" s="340">
        <f t="shared" si="43"/>
        <v>0</v>
      </c>
      <c r="R131" s="340">
        <f t="shared" si="30"/>
        <v>0</v>
      </c>
      <c r="S131" s="340">
        <f t="shared" si="45"/>
        <v>0</v>
      </c>
      <c r="T131" s="340">
        <f t="shared" si="31"/>
        <v>0</v>
      </c>
      <c r="U131" s="340">
        <f t="shared" si="38"/>
        <v>0</v>
      </c>
      <c r="V131" s="340">
        <f t="shared" si="32"/>
        <v>0</v>
      </c>
      <c r="W131" s="198">
        <f t="shared" si="44"/>
        <v>0</v>
      </c>
      <c r="X131" s="36">
        <f t="shared" si="33"/>
        <v>0</v>
      </c>
      <c r="Y131" s="2"/>
      <c r="Z131" s="34">
        <f t="shared" si="34"/>
        <v>0</v>
      </c>
      <c r="AA131" s="57">
        <f t="shared" si="35"/>
        <v>86798</v>
      </c>
      <c r="AB131" s="96"/>
      <c r="AC131" s="96"/>
      <c r="AD131" s="96"/>
      <c r="AE131" s="96"/>
      <c r="AF131" s="96"/>
      <c r="AG131" s="96"/>
      <c r="AH131" s="96"/>
      <c r="AI131" s="96"/>
    </row>
    <row r="132" spans="1:35" s="16" customFormat="1" ht="12" x14ac:dyDescent="0.2">
      <c r="A132" s="53"/>
      <c r="B132" s="2"/>
      <c r="C132" s="2"/>
      <c r="D132" s="13"/>
      <c r="E132" s="2"/>
      <c r="F132" s="383">
        <f t="shared" si="39"/>
        <v>121</v>
      </c>
      <c r="G132" s="384">
        <f t="shared" si="26"/>
        <v>46680</v>
      </c>
      <c r="H132" s="340">
        <f t="shared" si="47"/>
        <v>0</v>
      </c>
      <c r="I132" s="340">
        <f t="shared" si="28"/>
        <v>0</v>
      </c>
      <c r="J132" s="340">
        <f t="shared" si="36"/>
        <v>0</v>
      </c>
      <c r="K132" s="340">
        <f t="shared" si="37"/>
        <v>0</v>
      </c>
      <c r="L132" s="382">
        <f t="shared" si="40"/>
        <v>46388</v>
      </c>
      <c r="M132" s="382">
        <f t="shared" si="41"/>
        <v>46753</v>
      </c>
      <c r="N132" s="382">
        <f t="shared" si="42"/>
        <v>46023</v>
      </c>
      <c r="O132" s="340">
        <f t="shared" si="29"/>
        <v>0</v>
      </c>
      <c r="P132" s="340">
        <f t="shared" si="48"/>
        <v>0</v>
      </c>
      <c r="Q132" s="340">
        <f t="shared" si="43"/>
        <v>0</v>
      </c>
      <c r="R132" s="340">
        <f t="shared" si="30"/>
        <v>0</v>
      </c>
      <c r="S132" s="340">
        <f t="shared" si="45"/>
        <v>0</v>
      </c>
      <c r="T132" s="340">
        <f t="shared" si="31"/>
        <v>0</v>
      </c>
      <c r="U132" s="340">
        <f t="shared" si="38"/>
        <v>0</v>
      </c>
      <c r="V132" s="340">
        <f t="shared" si="32"/>
        <v>0</v>
      </c>
      <c r="W132" s="198">
        <f t="shared" si="44"/>
        <v>0</v>
      </c>
      <c r="X132" s="36">
        <f t="shared" si="33"/>
        <v>0</v>
      </c>
      <c r="Y132" s="2"/>
      <c r="Z132" s="34">
        <f t="shared" si="34"/>
        <v>0</v>
      </c>
      <c r="AA132" s="57">
        <f t="shared" si="35"/>
        <v>87163</v>
      </c>
      <c r="AB132" s="96"/>
      <c r="AC132" s="96"/>
      <c r="AD132" s="96"/>
      <c r="AE132" s="96"/>
      <c r="AF132" s="96"/>
      <c r="AG132" s="96"/>
      <c r="AH132" s="96"/>
      <c r="AI132" s="96"/>
    </row>
    <row r="133" spans="1:35" s="16" customFormat="1" ht="12" x14ac:dyDescent="0.2">
      <c r="A133" s="2"/>
      <c r="B133" s="2"/>
      <c r="C133" s="1"/>
      <c r="D133" s="2"/>
      <c r="E133" s="2"/>
      <c r="F133" s="383">
        <f t="shared" si="39"/>
        <v>122</v>
      </c>
      <c r="G133" s="384">
        <f t="shared" si="26"/>
        <v>46711</v>
      </c>
      <c r="H133" s="340">
        <f t="shared" si="47"/>
        <v>0</v>
      </c>
      <c r="I133" s="340">
        <f t="shared" si="28"/>
        <v>0</v>
      </c>
      <c r="J133" s="340">
        <f t="shared" si="36"/>
        <v>0</v>
      </c>
      <c r="K133" s="340">
        <f t="shared" si="37"/>
        <v>0</v>
      </c>
      <c r="L133" s="382">
        <f t="shared" si="40"/>
        <v>46388</v>
      </c>
      <c r="M133" s="382">
        <f t="shared" si="41"/>
        <v>46753</v>
      </c>
      <c r="N133" s="382">
        <f t="shared" si="42"/>
        <v>46023</v>
      </c>
      <c r="O133" s="340">
        <f t="shared" si="29"/>
        <v>0</v>
      </c>
      <c r="P133" s="340">
        <f t="shared" si="48"/>
        <v>0</v>
      </c>
      <c r="Q133" s="340">
        <f t="shared" si="43"/>
        <v>0</v>
      </c>
      <c r="R133" s="340">
        <f t="shared" si="30"/>
        <v>0</v>
      </c>
      <c r="S133" s="340">
        <f t="shared" si="45"/>
        <v>0</v>
      </c>
      <c r="T133" s="340">
        <f t="shared" si="31"/>
        <v>0</v>
      </c>
      <c r="U133" s="340">
        <f t="shared" si="38"/>
        <v>0</v>
      </c>
      <c r="V133" s="340">
        <f t="shared" si="32"/>
        <v>0</v>
      </c>
      <c r="W133" s="198">
        <f t="shared" si="44"/>
        <v>0</v>
      </c>
      <c r="X133" s="36">
        <f t="shared" si="33"/>
        <v>0</v>
      </c>
      <c r="Y133" s="2"/>
      <c r="Z133" s="34">
        <f t="shared" si="34"/>
        <v>0</v>
      </c>
      <c r="AA133" s="57">
        <f t="shared" si="35"/>
        <v>87528</v>
      </c>
      <c r="AB133" s="96"/>
      <c r="AC133" s="96"/>
      <c r="AD133" s="96"/>
      <c r="AE133" s="96"/>
      <c r="AF133" s="96"/>
      <c r="AG133" s="96"/>
      <c r="AH133" s="96"/>
      <c r="AI133" s="96"/>
    </row>
    <row r="134" spans="1:35" s="16" customFormat="1" ht="12" x14ac:dyDescent="0.2">
      <c r="A134" s="2"/>
      <c r="B134" s="2"/>
      <c r="C134" s="98"/>
      <c r="D134" s="1"/>
      <c r="E134" s="2"/>
      <c r="F134" s="383">
        <f t="shared" si="39"/>
        <v>123</v>
      </c>
      <c r="G134" s="384">
        <f t="shared" si="26"/>
        <v>46741</v>
      </c>
      <c r="H134" s="340">
        <f t="shared" si="47"/>
        <v>0</v>
      </c>
      <c r="I134" s="340">
        <f t="shared" si="28"/>
        <v>0</v>
      </c>
      <c r="J134" s="340">
        <f t="shared" si="36"/>
        <v>0</v>
      </c>
      <c r="K134" s="340">
        <f t="shared" si="37"/>
        <v>0</v>
      </c>
      <c r="L134" s="382">
        <f t="shared" si="40"/>
        <v>46388</v>
      </c>
      <c r="M134" s="382">
        <f t="shared" si="41"/>
        <v>46753</v>
      </c>
      <c r="N134" s="382">
        <f t="shared" si="42"/>
        <v>46023</v>
      </c>
      <c r="O134" s="340">
        <f t="shared" si="29"/>
        <v>0</v>
      </c>
      <c r="P134" s="340">
        <f t="shared" si="48"/>
        <v>0</v>
      </c>
      <c r="Q134" s="340">
        <f t="shared" si="43"/>
        <v>0</v>
      </c>
      <c r="R134" s="340">
        <f t="shared" si="30"/>
        <v>0</v>
      </c>
      <c r="S134" s="340">
        <f t="shared" si="45"/>
        <v>0</v>
      </c>
      <c r="T134" s="340">
        <f t="shared" si="31"/>
        <v>0</v>
      </c>
      <c r="U134" s="340">
        <f t="shared" si="38"/>
        <v>0</v>
      </c>
      <c r="V134" s="340">
        <f t="shared" si="32"/>
        <v>0</v>
      </c>
      <c r="W134" s="198">
        <f t="shared" si="44"/>
        <v>0</v>
      </c>
      <c r="X134" s="36">
        <f t="shared" si="33"/>
        <v>0</v>
      </c>
      <c r="Y134" s="2"/>
      <c r="Z134" s="34">
        <f t="shared" si="34"/>
        <v>0</v>
      </c>
      <c r="AA134" s="57">
        <f t="shared" si="35"/>
        <v>87893</v>
      </c>
      <c r="AB134" s="96"/>
      <c r="AC134" s="96"/>
      <c r="AD134" s="96"/>
      <c r="AE134" s="96"/>
      <c r="AF134" s="96"/>
      <c r="AG134" s="96"/>
      <c r="AH134" s="96"/>
      <c r="AI134" s="96"/>
    </row>
    <row r="135" spans="1:35" s="16" customFormat="1" ht="12" x14ac:dyDescent="0.2">
      <c r="A135" s="2"/>
      <c r="B135" s="2"/>
      <c r="C135" s="2"/>
      <c r="D135" s="13"/>
      <c r="E135" s="2"/>
      <c r="F135" s="383">
        <f t="shared" si="39"/>
        <v>124</v>
      </c>
      <c r="G135" s="384">
        <f t="shared" si="26"/>
        <v>46772</v>
      </c>
      <c r="H135" s="340">
        <f t="shared" si="47"/>
        <v>0</v>
      </c>
      <c r="I135" s="340">
        <f t="shared" si="28"/>
        <v>0</v>
      </c>
      <c r="J135" s="340">
        <f t="shared" si="36"/>
        <v>0</v>
      </c>
      <c r="K135" s="340">
        <f t="shared" si="37"/>
        <v>0</v>
      </c>
      <c r="L135" s="382">
        <f t="shared" si="40"/>
        <v>46753</v>
      </c>
      <c r="M135" s="382">
        <f t="shared" si="41"/>
        <v>47119</v>
      </c>
      <c r="N135" s="382">
        <f t="shared" si="42"/>
        <v>46388</v>
      </c>
      <c r="O135" s="340">
        <f t="shared" si="29"/>
        <v>0</v>
      </c>
      <c r="P135" s="340">
        <f t="shared" si="48"/>
        <v>0</v>
      </c>
      <c r="Q135" s="340">
        <f t="shared" si="43"/>
        <v>0</v>
      </c>
      <c r="R135" s="340">
        <f t="shared" si="30"/>
        <v>0</v>
      </c>
      <c r="S135" s="340">
        <f t="shared" si="45"/>
        <v>0</v>
      </c>
      <c r="T135" s="340">
        <f t="shared" si="31"/>
        <v>0</v>
      </c>
      <c r="U135" s="340">
        <f t="shared" si="38"/>
        <v>0</v>
      </c>
      <c r="V135" s="340">
        <f t="shared" si="32"/>
        <v>0</v>
      </c>
      <c r="W135" s="198">
        <f t="shared" si="44"/>
        <v>0</v>
      </c>
      <c r="X135" s="36">
        <f t="shared" si="33"/>
        <v>0</v>
      </c>
      <c r="Y135" s="2"/>
      <c r="Z135" s="34">
        <f t="shared" si="34"/>
        <v>0</v>
      </c>
      <c r="AA135" s="57">
        <f t="shared" si="35"/>
        <v>88258</v>
      </c>
      <c r="AB135" s="96"/>
      <c r="AC135" s="96"/>
      <c r="AD135" s="96"/>
      <c r="AE135" s="96"/>
      <c r="AF135" s="96"/>
      <c r="AG135" s="96"/>
      <c r="AH135" s="96"/>
      <c r="AI135" s="96"/>
    </row>
    <row r="136" spans="1:35" s="16" customFormat="1" ht="12" x14ac:dyDescent="0.2">
      <c r="A136" s="2"/>
      <c r="B136" s="2"/>
      <c r="C136" s="13"/>
      <c r="D136" s="13"/>
      <c r="E136" s="2"/>
      <c r="F136" s="383">
        <f t="shared" si="39"/>
        <v>125</v>
      </c>
      <c r="G136" s="384">
        <f t="shared" si="26"/>
        <v>46803</v>
      </c>
      <c r="H136" s="340">
        <f t="shared" si="47"/>
        <v>0</v>
      </c>
      <c r="I136" s="340">
        <f t="shared" si="28"/>
        <v>0</v>
      </c>
      <c r="J136" s="340">
        <f t="shared" si="36"/>
        <v>0</v>
      </c>
      <c r="K136" s="340">
        <f t="shared" si="37"/>
        <v>0</v>
      </c>
      <c r="L136" s="382">
        <f t="shared" si="40"/>
        <v>46753</v>
      </c>
      <c r="M136" s="382">
        <f t="shared" si="41"/>
        <v>47119</v>
      </c>
      <c r="N136" s="382">
        <f t="shared" si="42"/>
        <v>46388</v>
      </c>
      <c r="O136" s="340">
        <f t="shared" si="29"/>
        <v>0</v>
      </c>
      <c r="P136" s="340">
        <f t="shared" si="48"/>
        <v>0</v>
      </c>
      <c r="Q136" s="340">
        <f t="shared" si="43"/>
        <v>0</v>
      </c>
      <c r="R136" s="340">
        <f t="shared" si="30"/>
        <v>0</v>
      </c>
      <c r="S136" s="340">
        <f t="shared" si="45"/>
        <v>0</v>
      </c>
      <c r="T136" s="340">
        <f t="shared" si="31"/>
        <v>0</v>
      </c>
      <c r="U136" s="340">
        <f t="shared" si="38"/>
        <v>0</v>
      </c>
      <c r="V136" s="340">
        <f t="shared" si="32"/>
        <v>0</v>
      </c>
      <c r="W136" s="198">
        <f t="shared" si="44"/>
        <v>0</v>
      </c>
      <c r="X136" s="36">
        <f t="shared" si="33"/>
        <v>0</v>
      </c>
      <c r="Y136" s="2"/>
      <c r="Z136" s="34">
        <f t="shared" si="34"/>
        <v>0</v>
      </c>
      <c r="AA136" s="57">
        <f t="shared" si="35"/>
        <v>88623</v>
      </c>
      <c r="AB136" s="96"/>
      <c r="AC136" s="96"/>
      <c r="AD136" s="96"/>
      <c r="AE136" s="96"/>
      <c r="AF136" s="96"/>
      <c r="AG136" s="96"/>
      <c r="AH136" s="96"/>
      <c r="AI136" s="96"/>
    </row>
    <row r="137" spans="1:35" s="16" customFormat="1" ht="12" x14ac:dyDescent="0.2">
      <c r="A137" s="2"/>
      <c r="B137" s="2"/>
      <c r="C137" s="2"/>
      <c r="D137" s="13"/>
      <c r="E137" s="2"/>
      <c r="F137" s="383">
        <f t="shared" si="39"/>
        <v>126</v>
      </c>
      <c r="G137" s="384">
        <f t="shared" si="26"/>
        <v>46832</v>
      </c>
      <c r="H137" s="340">
        <f t="shared" si="47"/>
        <v>0</v>
      </c>
      <c r="I137" s="340">
        <f t="shared" si="28"/>
        <v>0</v>
      </c>
      <c r="J137" s="340">
        <f t="shared" si="36"/>
        <v>0</v>
      </c>
      <c r="K137" s="340">
        <f t="shared" si="37"/>
        <v>0</v>
      </c>
      <c r="L137" s="382">
        <f t="shared" si="40"/>
        <v>46753</v>
      </c>
      <c r="M137" s="382">
        <f t="shared" si="41"/>
        <v>47119</v>
      </c>
      <c r="N137" s="382">
        <f t="shared" si="42"/>
        <v>46388</v>
      </c>
      <c r="O137" s="340">
        <f t="shared" si="29"/>
        <v>0</v>
      </c>
      <c r="P137" s="340">
        <f t="shared" si="48"/>
        <v>0</v>
      </c>
      <c r="Q137" s="340">
        <f t="shared" si="43"/>
        <v>0</v>
      </c>
      <c r="R137" s="340">
        <f t="shared" si="30"/>
        <v>0</v>
      </c>
      <c r="S137" s="340">
        <f t="shared" si="45"/>
        <v>0</v>
      </c>
      <c r="T137" s="340">
        <f t="shared" si="31"/>
        <v>0</v>
      </c>
      <c r="U137" s="340">
        <f t="shared" si="38"/>
        <v>0</v>
      </c>
      <c r="V137" s="340">
        <f t="shared" si="32"/>
        <v>0</v>
      </c>
      <c r="W137" s="198">
        <f t="shared" si="44"/>
        <v>0</v>
      </c>
      <c r="X137" s="36">
        <f t="shared" si="33"/>
        <v>0</v>
      </c>
      <c r="Y137" s="2"/>
      <c r="Z137" s="34">
        <f t="shared" si="34"/>
        <v>0</v>
      </c>
      <c r="AA137" s="57">
        <f t="shared" si="35"/>
        <v>88988</v>
      </c>
      <c r="AB137" s="96"/>
      <c r="AC137" s="96"/>
      <c r="AD137" s="96"/>
      <c r="AE137" s="96"/>
      <c r="AF137" s="96"/>
      <c r="AG137" s="96"/>
      <c r="AH137" s="96"/>
      <c r="AI137" s="96"/>
    </row>
    <row r="138" spans="1:35" s="16" customFormat="1" ht="12" x14ac:dyDescent="0.2">
      <c r="A138" s="2"/>
      <c r="B138" s="2"/>
      <c r="C138" s="2"/>
      <c r="D138" s="13"/>
      <c r="E138" s="2"/>
      <c r="F138" s="383">
        <f t="shared" si="39"/>
        <v>127</v>
      </c>
      <c r="G138" s="384">
        <f t="shared" si="26"/>
        <v>46863</v>
      </c>
      <c r="H138" s="340">
        <f t="shared" si="47"/>
        <v>0</v>
      </c>
      <c r="I138" s="340">
        <f t="shared" si="28"/>
        <v>0</v>
      </c>
      <c r="J138" s="340">
        <f t="shared" si="36"/>
        <v>0</v>
      </c>
      <c r="K138" s="340">
        <f t="shared" si="37"/>
        <v>0</v>
      </c>
      <c r="L138" s="382">
        <f t="shared" si="40"/>
        <v>46753</v>
      </c>
      <c r="M138" s="382">
        <f t="shared" si="41"/>
        <v>47119</v>
      </c>
      <c r="N138" s="382">
        <f t="shared" si="42"/>
        <v>46388</v>
      </c>
      <c r="O138" s="340">
        <f t="shared" si="29"/>
        <v>0</v>
      </c>
      <c r="P138" s="340">
        <f t="shared" si="48"/>
        <v>0</v>
      </c>
      <c r="Q138" s="340">
        <f t="shared" si="43"/>
        <v>0</v>
      </c>
      <c r="R138" s="340">
        <f t="shared" si="30"/>
        <v>0</v>
      </c>
      <c r="S138" s="340">
        <f t="shared" si="45"/>
        <v>0</v>
      </c>
      <c r="T138" s="340">
        <f t="shared" si="31"/>
        <v>0</v>
      </c>
      <c r="U138" s="340">
        <f t="shared" si="38"/>
        <v>0</v>
      </c>
      <c r="V138" s="340">
        <f t="shared" si="32"/>
        <v>0</v>
      </c>
      <c r="W138" s="198">
        <f t="shared" si="44"/>
        <v>0</v>
      </c>
      <c r="X138" s="36">
        <f t="shared" si="33"/>
        <v>0</v>
      </c>
      <c r="Y138" s="2"/>
      <c r="Z138" s="34">
        <f t="shared" si="34"/>
        <v>0</v>
      </c>
      <c r="AA138" s="57">
        <f t="shared" si="35"/>
        <v>89353</v>
      </c>
      <c r="AB138" s="96"/>
      <c r="AC138" s="96"/>
      <c r="AD138" s="96"/>
      <c r="AE138" s="96"/>
      <c r="AF138" s="96"/>
      <c r="AG138" s="96"/>
      <c r="AH138" s="96"/>
      <c r="AI138" s="96"/>
    </row>
    <row r="139" spans="1:35" s="16" customFormat="1" ht="12" x14ac:dyDescent="0.2">
      <c r="A139" s="2"/>
      <c r="B139" s="2"/>
      <c r="C139" s="2"/>
      <c r="D139" s="2"/>
      <c r="E139" s="2"/>
      <c r="F139" s="383">
        <f t="shared" si="39"/>
        <v>128</v>
      </c>
      <c r="G139" s="384">
        <f t="shared" si="26"/>
        <v>46893</v>
      </c>
      <c r="H139" s="340">
        <f t="shared" si="47"/>
        <v>0</v>
      </c>
      <c r="I139" s="340">
        <f t="shared" si="28"/>
        <v>0</v>
      </c>
      <c r="J139" s="340">
        <f t="shared" si="36"/>
        <v>0</v>
      </c>
      <c r="K139" s="340">
        <f t="shared" si="37"/>
        <v>0</v>
      </c>
      <c r="L139" s="382">
        <f t="shared" si="40"/>
        <v>46753</v>
      </c>
      <c r="M139" s="382">
        <f t="shared" si="41"/>
        <v>47119</v>
      </c>
      <c r="N139" s="382">
        <f t="shared" si="42"/>
        <v>46388</v>
      </c>
      <c r="O139" s="340">
        <f t="shared" si="29"/>
        <v>0</v>
      </c>
      <c r="P139" s="340">
        <f t="shared" si="48"/>
        <v>0</v>
      </c>
      <c r="Q139" s="340">
        <f t="shared" si="43"/>
        <v>0</v>
      </c>
      <c r="R139" s="340">
        <f t="shared" si="30"/>
        <v>0</v>
      </c>
      <c r="S139" s="340">
        <f t="shared" si="45"/>
        <v>0</v>
      </c>
      <c r="T139" s="340">
        <f t="shared" si="31"/>
        <v>0</v>
      </c>
      <c r="U139" s="340">
        <f t="shared" si="38"/>
        <v>0</v>
      </c>
      <c r="V139" s="340">
        <f t="shared" si="32"/>
        <v>0</v>
      </c>
      <c r="W139" s="198">
        <f t="shared" si="44"/>
        <v>0</v>
      </c>
      <c r="X139" s="36">
        <f t="shared" si="33"/>
        <v>0</v>
      </c>
      <c r="Y139" s="2"/>
      <c r="Z139" s="34">
        <f t="shared" si="34"/>
        <v>0</v>
      </c>
      <c r="AA139" s="57">
        <f t="shared" si="35"/>
        <v>89718</v>
      </c>
      <c r="AB139" s="96"/>
      <c r="AC139" s="96"/>
      <c r="AD139" s="96"/>
      <c r="AE139" s="96"/>
      <c r="AF139" s="96"/>
      <c r="AG139" s="96"/>
      <c r="AH139" s="96"/>
      <c r="AI139" s="96"/>
    </row>
    <row r="140" spans="1:35" s="16" customFormat="1" ht="12" x14ac:dyDescent="0.2">
      <c r="A140" s="2"/>
      <c r="B140" s="2"/>
      <c r="C140" s="2"/>
      <c r="D140" s="2"/>
      <c r="E140" s="2"/>
      <c r="F140" s="383">
        <f t="shared" si="39"/>
        <v>129</v>
      </c>
      <c r="G140" s="384">
        <f t="shared" ref="G140:G191" si="49">IF((OR(DAY($N$3)=29,DAY($N$3)=30,DAY($N$3)=31)),(EDATE($C$14-3,F140)),(IF((OR(DAY($N$3)=1,DAY($N$3)=2,DAY($N$3)=3)),(EDATE($C$14,F140)+3),EDATE($C$14,F140))))</f>
        <v>46924</v>
      </c>
      <c r="H140" s="340">
        <f t="shared" ref="H140:H171" si="50">IF(F140&lt;=$I$7,I140+P140,IF(AND(V139+P140+I140&gt;H139,H139&lt;&gt;0),$C$21,IF(V139=0,0,V139+P140+I140+I141)))</f>
        <v>0</v>
      </c>
      <c r="I140" s="340">
        <f t="shared" ref="I140:I191" si="51">IF($C$14&gt;$G$7,IF(L140=L139,J140,K140),IF(L139=L138,J140,K140))</f>
        <v>0</v>
      </c>
      <c r="J140" s="340">
        <f t="shared" si="36"/>
        <v>0</v>
      </c>
      <c r="K140" s="340">
        <f t="shared" si="37"/>
        <v>0</v>
      </c>
      <c r="L140" s="382">
        <f t="shared" si="40"/>
        <v>46753</v>
      </c>
      <c r="M140" s="382">
        <f t="shared" si="41"/>
        <v>47119</v>
      </c>
      <c r="N140" s="382">
        <f t="shared" si="42"/>
        <v>46388</v>
      </c>
      <c r="O140" s="340">
        <f t="shared" ref="O140:O191" si="52">IF(W140=0,0,IF(W140=1,V139,IF(V139+P140+I140&gt;H139,H140-I140-P140,V139)))</f>
        <v>0</v>
      </c>
      <c r="P140" s="340">
        <f t="shared" si="48"/>
        <v>0</v>
      </c>
      <c r="Q140" s="340">
        <f t="shared" si="43"/>
        <v>0</v>
      </c>
      <c r="R140" s="340">
        <f t="shared" ref="R140:R191" si="53">I140+S140</f>
        <v>0</v>
      </c>
      <c r="S140" s="340">
        <f t="shared" si="45"/>
        <v>0</v>
      </c>
      <c r="T140" s="340">
        <f t="shared" ref="T140:T191" si="54">IF(X140=0,0,$D$23)</f>
        <v>0</v>
      </c>
      <c r="U140" s="340">
        <f t="shared" si="38"/>
        <v>0</v>
      </c>
      <c r="V140" s="340">
        <f t="shared" ref="V140:V191" si="55">IF(OR(W140=1,V139=0),0,V139-O140)+U140*$C$10</f>
        <v>0</v>
      </c>
      <c r="W140" s="198">
        <f t="shared" si="44"/>
        <v>0</v>
      </c>
      <c r="X140" s="36">
        <f t="shared" ref="X140:X191" si="56">IF(ISERR(CEILING(FLOOR(NPER($C$22/12,-$N$4,V139),0.1),1))=TRUE,0,CEILING(FLOOR(NPER($C$22/12,-$N$4,V139),0.1),1))</f>
        <v>0</v>
      </c>
      <c r="Y140" s="2"/>
      <c r="Z140" s="34">
        <f t="shared" ref="Z140:Z191" si="57">I140+O140+P140-T140</f>
        <v>0</v>
      </c>
      <c r="AA140" s="57">
        <f t="shared" ref="AA140:AA191" si="58">IF((OR(DAY($N$3)=29,DAY($N$3)=30,DAY($N$3)=31)),($C$14-3+F140*365),(IF((OR(DAY($N$3)=1,DAY($N$3)=2,DAY($N$3)=3)),($C$14+F140*365+3),($C$14+F140*365))))</f>
        <v>90083</v>
      </c>
      <c r="AB140" s="96"/>
      <c r="AC140" s="96"/>
      <c r="AD140" s="96"/>
      <c r="AE140" s="96"/>
      <c r="AF140" s="96"/>
      <c r="AG140" s="96"/>
      <c r="AH140" s="96"/>
      <c r="AI140" s="96"/>
    </row>
    <row r="141" spans="1:35" s="16" customFormat="1" ht="12" x14ac:dyDescent="0.2">
      <c r="A141" s="2"/>
      <c r="B141" s="2"/>
      <c r="C141" s="2"/>
      <c r="D141" s="2"/>
      <c r="F141" s="383">
        <f t="shared" si="39"/>
        <v>130</v>
      </c>
      <c r="G141" s="384">
        <f t="shared" si="49"/>
        <v>46954</v>
      </c>
      <c r="H141" s="340">
        <f t="shared" si="50"/>
        <v>0</v>
      </c>
      <c r="I141" s="340">
        <f t="shared" si="51"/>
        <v>0</v>
      </c>
      <c r="J141" s="340">
        <f t="shared" ref="J141:J191" si="59">IF($C$14&gt;$G$7,ROUND(V140*$C$22/(M141-L141)*(G141-G140),2),ROUND(V139*$C$22/(M140-L140)*(G140-G139),2))</f>
        <v>0</v>
      </c>
      <c r="K141" s="340">
        <f t="shared" ref="K141:K191" si="60">IF($C$14&gt;$G$7,ROUND(V140*$C$22/(M141-L141)*(G141-L141+1),2)+ROUND(V140*$C$22/(L141-N141)*(L141-G140-1),2),ROUND(V139*$C$22/(M140-L140)*(G140-L140),2)+ROUND(V139*$C$22/(L140-N140)*(L140-G139),2))</f>
        <v>0</v>
      </c>
      <c r="L141" s="382">
        <f t="shared" si="40"/>
        <v>46753</v>
      </c>
      <c r="M141" s="382">
        <f t="shared" si="41"/>
        <v>47119</v>
      </c>
      <c r="N141" s="382">
        <f t="shared" si="42"/>
        <v>46388</v>
      </c>
      <c r="O141" s="340">
        <f t="shared" si="52"/>
        <v>0</v>
      </c>
      <c r="P141" s="340">
        <f t="shared" si="48"/>
        <v>0</v>
      </c>
      <c r="Q141" s="340">
        <f t="shared" si="43"/>
        <v>0</v>
      </c>
      <c r="R141" s="340">
        <f t="shared" si="53"/>
        <v>0</v>
      </c>
      <c r="S141" s="340">
        <f t="shared" si="45"/>
        <v>0</v>
      </c>
      <c r="T141" s="340">
        <f t="shared" si="54"/>
        <v>0</v>
      </c>
      <c r="U141" s="340">
        <f t="shared" ref="U141:U191" si="61">IF(AND(F141&lt;$I$7-3,MOD(F141,$C$12)=0),1,0)</f>
        <v>0</v>
      </c>
      <c r="V141" s="340">
        <f t="shared" si="55"/>
        <v>0</v>
      </c>
      <c r="W141" s="198">
        <f t="shared" si="44"/>
        <v>0</v>
      </c>
      <c r="X141" s="36">
        <f t="shared" si="56"/>
        <v>0</v>
      </c>
      <c r="Y141" s="2"/>
      <c r="Z141" s="34">
        <f t="shared" si="57"/>
        <v>0</v>
      </c>
      <c r="AA141" s="57">
        <f t="shared" si="58"/>
        <v>90448</v>
      </c>
      <c r="AB141" s="96"/>
      <c r="AC141" s="96"/>
      <c r="AD141" s="96"/>
      <c r="AE141" s="96"/>
      <c r="AF141" s="96"/>
      <c r="AG141" s="96"/>
      <c r="AH141" s="96"/>
      <c r="AI141" s="96"/>
    </row>
    <row r="142" spans="1:35" s="16" customFormat="1" ht="12" x14ac:dyDescent="0.2">
      <c r="A142" s="2"/>
      <c r="B142" s="2"/>
      <c r="C142" s="2"/>
      <c r="D142" s="2"/>
      <c r="E142" s="2"/>
      <c r="F142" s="383">
        <f t="shared" ref="F142:F191" si="62">F141+1</f>
        <v>131</v>
      </c>
      <c r="G142" s="384">
        <f t="shared" si="49"/>
        <v>46985</v>
      </c>
      <c r="H142" s="340">
        <f t="shared" si="50"/>
        <v>0</v>
      </c>
      <c r="I142" s="340">
        <f t="shared" si="51"/>
        <v>0</v>
      </c>
      <c r="J142" s="340">
        <f t="shared" si="59"/>
        <v>0</v>
      </c>
      <c r="K142" s="340">
        <f t="shared" si="60"/>
        <v>0</v>
      </c>
      <c r="L142" s="382">
        <f t="shared" ref="L142:L191" si="63">DATEVALUE(CONCATENATE("01/01/",YEAR(G142)))</f>
        <v>46753</v>
      </c>
      <c r="M142" s="382">
        <f t="shared" ref="M142:M191" si="64">DATEVALUE(CONCATENATE("01/01/",YEAR(G142)+1))</f>
        <v>47119</v>
      </c>
      <c r="N142" s="382">
        <f t="shared" ref="N142:N191" si="65">DATEVALUE(CONCATENATE("01/01/",YEAR(G142)-1))</f>
        <v>46388</v>
      </c>
      <c r="O142" s="340">
        <f t="shared" si="52"/>
        <v>0</v>
      </c>
      <c r="P142" s="340">
        <f t="shared" si="48"/>
        <v>0</v>
      </c>
      <c r="Q142" s="340">
        <f t="shared" ref="Q142:Q191" si="66">S141-P141</f>
        <v>0</v>
      </c>
      <c r="R142" s="340">
        <f t="shared" si="53"/>
        <v>0</v>
      </c>
      <c r="S142" s="340">
        <f t="shared" si="45"/>
        <v>0</v>
      </c>
      <c r="T142" s="340">
        <f t="shared" si="54"/>
        <v>0</v>
      </c>
      <c r="U142" s="340">
        <f t="shared" si="61"/>
        <v>0</v>
      </c>
      <c r="V142" s="340">
        <f t="shared" si="55"/>
        <v>0</v>
      </c>
      <c r="W142" s="198">
        <f t="shared" ref="W142:W191" si="67">IF((W141-1)&lt;0,0,W141-1)</f>
        <v>0</v>
      </c>
      <c r="X142" s="36">
        <f t="shared" si="56"/>
        <v>0</v>
      </c>
      <c r="Y142" s="2"/>
      <c r="Z142" s="34">
        <f t="shared" si="57"/>
        <v>0</v>
      </c>
      <c r="AA142" s="57">
        <f t="shared" si="58"/>
        <v>90813</v>
      </c>
      <c r="AB142" s="96"/>
      <c r="AC142" s="96"/>
      <c r="AD142" s="96"/>
      <c r="AE142" s="96"/>
      <c r="AF142" s="96"/>
      <c r="AG142" s="96"/>
      <c r="AH142" s="96"/>
      <c r="AI142" s="96"/>
    </row>
    <row r="143" spans="1:35" s="16" customFormat="1" ht="12" x14ac:dyDescent="0.2">
      <c r="A143" s="2"/>
      <c r="B143" s="2"/>
      <c r="C143" s="2"/>
      <c r="D143" s="2"/>
      <c r="E143" s="2"/>
      <c r="F143" s="383">
        <f t="shared" si="62"/>
        <v>132</v>
      </c>
      <c r="G143" s="384">
        <f t="shared" si="49"/>
        <v>47016</v>
      </c>
      <c r="H143" s="340">
        <f t="shared" si="50"/>
        <v>0</v>
      </c>
      <c r="I143" s="340">
        <f t="shared" si="51"/>
        <v>0</v>
      </c>
      <c r="J143" s="340">
        <f t="shared" si="59"/>
        <v>0</v>
      </c>
      <c r="K143" s="340">
        <f t="shared" si="60"/>
        <v>0</v>
      </c>
      <c r="L143" s="382">
        <f t="shared" si="63"/>
        <v>46753</v>
      </c>
      <c r="M143" s="382">
        <f t="shared" si="64"/>
        <v>47119</v>
      </c>
      <c r="N143" s="382">
        <f t="shared" si="65"/>
        <v>46388</v>
      </c>
      <c r="O143" s="340">
        <f t="shared" si="52"/>
        <v>0</v>
      </c>
      <c r="P143" s="340">
        <f t="shared" si="48"/>
        <v>0</v>
      </c>
      <c r="Q143" s="340">
        <f t="shared" si="66"/>
        <v>0</v>
      </c>
      <c r="R143" s="340">
        <f t="shared" si="53"/>
        <v>0</v>
      </c>
      <c r="S143" s="340">
        <f t="shared" si="45"/>
        <v>0</v>
      </c>
      <c r="T143" s="340">
        <f t="shared" si="54"/>
        <v>0</v>
      </c>
      <c r="U143" s="340">
        <f t="shared" si="61"/>
        <v>0</v>
      </c>
      <c r="V143" s="340">
        <f t="shared" si="55"/>
        <v>0</v>
      </c>
      <c r="W143" s="198">
        <f t="shared" si="67"/>
        <v>0</v>
      </c>
      <c r="X143" s="36">
        <f t="shared" si="56"/>
        <v>0</v>
      </c>
      <c r="Y143" s="2"/>
      <c r="Z143" s="34">
        <f t="shared" si="57"/>
        <v>0</v>
      </c>
      <c r="AA143" s="57">
        <f t="shared" si="58"/>
        <v>91178</v>
      </c>
      <c r="AB143" s="96"/>
      <c r="AC143" s="96"/>
      <c r="AD143" s="96"/>
      <c r="AE143" s="96"/>
      <c r="AF143" s="96"/>
      <c r="AG143" s="96"/>
      <c r="AH143" s="96"/>
      <c r="AI143" s="96"/>
    </row>
    <row r="144" spans="1:35" s="16" customFormat="1" ht="12" x14ac:dyDescent="0.2">
      <c r="A144" s="2"/>
      <c r="B144" s="2"/>
      <c r="C144" s="2"/>
      <c r="D144" s="2"/>
      <c r="E144" s="2"/>
      <c r="F144" s="383">
        <f t="shared" si="62"/>
        <v>133</v>
      </c>
      <c r="G144" s="384">
        <f t="shared" si="49"/>
        <v>47046</v>
      </c>
      <c r="H144" s="340">
        <f t="shared" si="50"/>
        <v>0</v>
      </c>
      <c r="I144" s="340">
        <f t="shared" si="51"/>
        <v>0</v>
      </c>
      <c r="J144" s="340">
        <f t="shared" si="59"/>
        <v>0</v>
      </c>
      <c r="K144" s="340">
        <f t="shared" si="60"/>
        <v>0</v>
      </c>
      <c r="L144" s="382">
        <f t="shared" si="63"/>
        <v>46753</v>
      </c>
      <c r="M144" s="382">
        <f t="shared" si="64"/>
        <v>47119</v>
      </c>
      <c r="N144" s="382">
        <f t="shared" si="65"/>
        <v>46388</v>
      </c>
      <c r="O144" s="340">
        <f t="shared" si="52"/>
        <v>0</v>
      </c>
      <c r="P144" s="340">
        <f t="shared" si="48"/>
        <v>0</v>
      </c>
      <c r="Q144" s="340">
        <f t="shared" si="66"/>
        <v>0</v>
      </c>
      <c r="R144" s="340">
        <f t="shared" si="53"/>
        <v>0</v>
      </c>
      <c r="S144" s="340">
        <f t="shared" si="45"/>
        <v>0</v>
      </c>
      <c r="T144" s="340">
        <f t="shared" si="54"/>
        <v>0</v>
      </c>
      <c r="U144" s="340">
        <f t="shared" si="61"/>
        <v>0</v>
      </c>
      <c r="V144" s="340">
        <f t="shared" si="55"/>
        <v>0</v>
      </c>
      <c r="W144" s="198">
        <f t="shared" si="67"/>
        <v>0</v>
      </c>
      <c r="X144" s="36">
        <f t="shared" si="56"/>
        <v>0</v>
      </c>
      <c r="Y144" s="2"/>
      <c r="Z144" s="34">
        <f t="shared" si="57"/>
        <v>0</v>
      </c>
      <c r="AA144" s="57">
        <f t="shared" si="58"/>
        <v>91543</v>
      </c>
      <c r="AB144" s="96"/>
      <c r="AC144" s="96"/>
      <c r="AD144" s="96"/>
      <c r="AE144" s="96"/>
      <c r="AF144" s="96"/>
      <c r="AG144" s="96"/>
      <c r="AH144" s="96"/>
      <c r="AI144" s="96"/>
    </row>
    <row r="145" spans="1:35" s="16" customFormat="1" ht="12" x14ac:dyDescent="0.2">
      <c r="A145" s="2"/>
      <c r="B145" s="2"/>
      <c r="C145" s="2"/>
      <c r="D145" s="2"/>
      <c r="E145" s="2"/>
      <c r="F145" s="383">
        <f t="shared" si="62"/>
        <v>134</v>
      </c>
      <c r="G145" s="384">
        <f t="shared" si="49"/>
        <v>47077</v>
      </c>
      <c r="H145" s="340">
        <f t="shared" si="50"/>
        <v>0</v>
      </c>
      <c r="I145" s="340">
        <f t="shared" si="51"/>
        <v>0</v>
      </c>
      <c r="J145" s="340">
        <f t="shared" si="59"/>
        <v>0</v>
      </c>
      <c r="K145" s="340">
        <f t="shared" si="60"/>
        <v>0</v>
      </c>
      <c r="L145" s="382">
        <f t="shared" si="63"/>
        <v>46753</v>
      </c>
      <c r="M145" s="382">
        <f t="shared" si="64"/>
        <v>47119</v>
      </c>
      <c r="N145" s="382">
        <f t="shared" si="65"/>
        <v>46388</v>
      </c>
      <c r="O145" s="340">
        <f t="shared" si="52"/>
        <v>0</v>
      </c>
      <c r="P145" s="340">
        <f t="shared" si="48"/>
        <v>0</v>
      </c>
      <c r="Q145" s="340">
        <f t="shared" si="66"/>
        <v>0</v>
      </c>
      <c r="R145" s="340">
        <f t="shared" si="53"/>
        <v>0</v>
      </c>
      <c r="S145" s="340">
        <f t="shared" ref="S145:S191" si="68">IF(X145=0,0,$D$23)</f>
        <v>0</v>
      </c>
      <c r="T145" s="340">
        <f t="shared" si="54"/>
        <v>0</v>
      </c>
      <c r="U145" s="340">
        <f t="shared" si="61"/>
        <v>0</v>
      </c>
      <c r="V145" s="340">
        <f t="shared" si="55"/>
        <v>0</v>
      </c>
      <c r="W145" s="198">
        <f t="shared" si="67"/>
        <v>0</v>
      </c>
      <c r="X145" s="36">
        <f t="shared" si="56"/>
        <v>0</v>
      </c>
      <c r="Y145" s="2"/>
      <c r="Z145" s="34">
        <f t="shared" si="57"/>
        <v>0</v>
      </c>
      <c r="AA145" s="57">
        <f t="shared" si="58"/>
        <v>91908</v>
      </c>
      <c r="AB145" s="96"/>
      <c r="AC145" s="96"/>
      <c r="AD145" s="96"/>
      <c r="AE145" s="96"/>
      <c r="AF145" s="96"/>
      <c r="AG145" s="96"/>
      <c r="AH145" s="96"/>
      <c r="AI145" s="96"/>
    </row>
    <row r="146" spans="1:35" s="16" customFormat="1" ht="12" x14ac:dyDescent="0.2">
      <c r="A146" s="2"/>
      <c r="B146" s="2"/>
      <c r="C146" s="13"/>
      <c r="D146" s="2"/>
      <c r="E146" s="2"/>
      <c r="F146" s="383">
        <f t="shared" si="62"/>
        <v>135</v>
      </c>
      <c r="G146" s="384">
        <f t="shared" si="49"/>
        <v>47107</v>
      </c>
      <c r="H146" s="340">
        <f t="shared" si="50"/>
        <v>0</v>
      </c>
      <c r="I146" s="340">
        <f t="shared" si="51"/>
        <v>0</v>
      </c>
      <c r="J146" s="340">
        <f t="shared" si="59"/>
        <v>0</v>
      </c>
      <c r="K146" s="340">
        <f t="shared" si="60"/>
        <v>0</v>
      </c>
      <c r="L146" s="382">
        <f t="shared" si="63"/>
        <v>46753</v>
      </c>
      <c r="M146" s="382">
        <f t="shared" si="64"/>
        <v>47119</v>
      </c>
      <c r="N146" s="382">
        <f t="shared" si="65"/>
        <v>46388</v>
      </c>
      <c r="O146" s="340">
        <f t="shared" si="52"/>
        <v>0</v>
      </c>
      <c r="P146" s="340">
        <f t="shared" si="48"/>
        <v>0</v>
      </c>
      <c r="Q146" s="340">
        <f t="shared" si="66"/>
        <v>0</v>
      </c>
      <c r="R146" s="340">
        <f t="shared" si="53"/>
        <v>0</v>
      </c>
      <c r="S146" s="340">
        <f t="shared" si="68"/>
        <v>0</v>
      </c>
      <c r="T146" s="340">
        <f t="shared" si="54"/>
        <v>0</v>
      </c>
      <c r="U146" s="340">
        <f t="shared" si="61"/>
        <v>0</v>
      </c>
      <c r="V146" s="340">
        <f t="shared" si="55"/>
        <v>0</v>
      </c>
      <c r="W146" s="198">
        <f t="shared" si="67"/>
        <v>0</v>
      </c>
      <c r="X146" s="36">
        <f t="shared" si="56"/>
        <v>0</v>
      </c>
      <c r="Y146" s="2"/>
      <c r="Z146" s="34">
        <f t="shared" si="57"/>
        <v>0</v>
      </c>
      <c r="AA146" s="57">
        <f t="shared" si="58"/>
        <v>92273</v>
      </c>
      <c r="AB146" s="96"/>
      <c r="AC146" s="96"/>
      <c r="AD146" s="96"/>
      <c r="AE146" s="96"/>
      <c r="AF146" s="96"/>
      <c r="AG146" s="96"/>
      <c r="AH146" s="96"/>
      <c r="AI146" s="96"/>
    </row>
    <row r="147" spans="1:35" s="16" customFormat="1" ht="12" x14ac:dyDescent="0.2">
      <c r="A147" s="2"/>
      <c r="B147" s="2"/>
      <c r="C147" s="2"/>
      <c r="D147" s="13"/>
      <c r="E147" s="2"/>
      <c r="F147" s="383">
        <f t="shared" si="62"/>
        <v>136</v>
      </c>
      <c r="G147" s="384">
        <f t="shared" si="49"/>
        <v>47138</v>
      </c>
      <c r="H147" s="340">
        <f t="shared" si="50"/>
        <v>0</v>
      </c>
      <c r="I147" s="340">
        <f t="shared" si="51"/>
        <v>0</v>
      </c>
      <c r="J147" s="340">
        <f t="shared" si="59"/>
        <v>0</v>
      </c>
      <c r="K147" s="340">
        <f t="shared" si="60"/>
        <v>0</v>
      </c>
      <c r="L147" s="382">
        <f t="shared" si="63"/>
        <v>47119</v>
      </c>
      <c r="M147" s="382">
        <f t="shared" si="64"/>
        <v>47484</v>
      </c>
      <c r="N147" s="382">
        <f t="shared" si="65"/>
        <v>46753</v>
      </c>
      <c r="O147" s="340">
        <f t="shared" si="52"/>
        <v>0</v>
      </c>
      <c r="P147" s="340">
        <f t="shared" ref="P147:P178" si="69">IF(R147&gt;$C$21,$C$21-I147,IF(X147=0,0,S147))</f>
        <v>0</v>
      </c>
      <c r="Q147" s="340">
        <f t="shared" si="66"/>
        <v>0</v>
      </c>
      <c r="R147" s="340">
        <f t="shared" si="53"/>
        <v>0</v>
      </c>
      <c r="S147" s="340">
        <f t="shared" si="68"/>
        <v>0</v>
      </c>
      <c r="T147" s="340">
        <f t="shared" si="54"/>
        <v>0</v>
      </c>
      <c r="U147" s="340">
        <f t="shared" si="61"/>
        <v>0</v>
      </c>
      <c r="V147" s="340">
        <f t="shared" si="55"/>
        <v>0</v>
      </c>
      <c r="W147" s="198">
        <f t="shared" si="67"/>
        <v>0</v>
      </c>
      <c r="X147" s="36">
        <f t="shared" si="56"/>
        <v>0</v>
      </c>
      <c r="Y147" s="2"/>
      <c r="Z147" s="34">
        <f t="shared" si="57"/>
        <v>0</v>
      </c>
      <c r="AA147" s="57">
        <f t="shared" si="58"/>
        <v>92638</v>
      </c>
      <c r="AB147" s="96"/>
      <c r="AC147" s="96"/>
      <c r="AD147" s="96"/>
      <c r="AE147" s="96"/>
      <c r="AF147" s="96"/>
      <c r="AG147" s="96"/>
      <c r="AH147" s="96"/>
      <c r="AI147" s="96"/>
    </row>
    <row r="148" spans="1:35" s="16" customFormat="1" ht="12" x14ac:dyDescent="0.2">
      <c r="A148" s="2"/>
      <c r="B148" s="2"/>
      <c r="C148" s="2"/>
      <c r="D148" s="13"/>
      <c r="E148" s="2"/>
      <c r="F148" s="383">
        <f t="shared" si="62"/>
        <v>137</v>
      </c>
      <c r="G148" s="384">
        <f t="shared" si="49"/>
        <v>47169</v>
      </c>
      <c r="H148" s="340">
        <f t="shared" si="50"/>
        <v>0</v>
      </c>
      <c r="I148" s="340">
        <f t="shared" si="51"/>
        <v>0</v>
      </c>
      <c r="J148" s="340">
        <f t="shared" si="59"/>
        <v>0</v>
      </c>
      <c r="K148" s="340">
        <f t="shared" si="60"/>
        <v>0</v>
      </c>
      <c r="L148" s="382">
        <f t="shared" si="63"/>
        <v>47119</v>
      </c>
      <c r="M148" s="382">
        <f t="shared" si="64"/>
        <v>47484</v>
      </c>
      <c r="N148" s="382">
        <f t="shared" si="65"/>
        <v>46753</v>
      </c>
      <c r="O148" s="340">
        <f t="shared" si="52"/>
        <v>0</v>
      </c>
      <c r="P148" s="340">
        <f t="shared" si="69"/>
        <v>0</v>
      </c>
      <c r="Q148" s="340">
        <f t="shared" si="66"/>
        <v>0</v>
      </c>
      <c r="R148" s="340">
        <f t="shared" si="53"/>
        <v>0</v>
      </c>
      <c r="S148" s="340">
        <f t="shared" si="68"/>
        <v>0</v>
      </c>
      <c r="T148" s="340">
        <f t="shared" si="54"/>
        <v>0</v>
      </c>
      <c r="U148" s="340">
        <f t="shared" si="61"/>
        <v>0</v>
      </c>
      <c r="V148" s="340">
        <f t="shared" si="55"/>
        <v>0</v>
      </c>
      <c r="W148" s="198">
        <f t="shared" si="67"/>
        <v>0</v>
      </c>
      <c r="X148" s="36">
        <f t="shared" si="56"/>
        <v>0</v>
      </c>
      <c r="Y148" s="2"/>
      <c r="Z148" s="34">
        <f t="shared" si="57"/>
        <v>0</v>
      </c>
      <c r="AA148" s="57">
        <f t="shared" si="58"/>
        <v>93003</v>
      </c>
      <c r="AB148" s="96"/>
      <c r="AC148" s="96"/>
      <c r="AD148" s="96"/>
      <c r="AE148" s="96"/>
      <c r="AF148" s="96"/>
      <c r="AG148" s="96"/>
      <c r="AH148" s="96"/>
      <c r="AI148" s="96"/>
    </row>
    <row r="149" spans="1:35" s="16" customFormat="1" ht="12" x14ac:dyDescent="0.2">
      <c r="A149" s="2"/>
      <c r="B149" s="2"/>
      <c r="C149" s="2"/>
      <c r="D149" s="2"/>
      <c r="E149" s="2"/>
      <c r="F149" s="383">
        <f t="shared" si="62"/>
        <v>138</v>
      </c>
      <c r="G149" s="384">
        <f t="shared" si="49"/>
        <v>47197</v>
      </c>
      <c r="H149" s="340">
        <f t="shared" si="50"/>
        <v>0</v>
      </c>
      <c r="I149" s="340">
        <f t="shared" si="51"/>
        <v>0</v>
      </c>
      <c r="J149" s="340">
        <f t="shared" si="59"/>
        <v>0</v>
      </c>
      <c r="K149" s="340">
        <f t="shared" si="60"/>
        <v>0</v>
      </c>
      <c r="L149" s="382">
        <f t="shared" si="63"/>
        <v>47119</v>
      </c>
      <c r="M149" s="382">
        <f t="shared" si="64"/>
        <v>47484</v>
      </c>
      <c r="N149" s="382">
        <f t="shared" si="65"/>
        <v>46753</v>
      </c>
      <c r="O149" s="340">
        <f t="shared" si="52"/>
        <v>0</v>
      </c>
      <c r="P149" s="340">
        <f t="shared" si="69"/>
        <v>0</v>
      </c>
      <c r="Q149" s="340">
        <f t="shared" si="66"/>
        <v>0</v>
      </c>
      <c r="R149" s="340">
        <f t="shared" si="53"/>
        <v>0</v>
      </c>
      <c r="S149" s="340">
        <f t="shared" si="68"/>
        <v>0</v>
      </c>
      <c r="T149" s="340">
        <f t="shared" si="54"/>
        <v>0</v>
      </c>
      <c r="U149" s="340">
        <f t="shared" si="61"/>
        <v>0</v>
      </c>
      <c r="V149" s="340">
        <f t="shared" si="55"/>
        <v>0</v>
      </c>
      <c r="W149" s="198">
        <f t="shared" si="67"/>
        <v>0</v>
      </c>
      <c r="X149" s="36">
        <f t="shared" si="56"/>
        <v>0</v>
      </c>
      <c r="Y149" s="2"/>
      <c r="Z149" s="34">
        <f t="shared" si="57"/>
        <v>0</v>
      </c>
      <c r="AA149" s="57">
        <f t="shared" si="58"/>
        <v>93368</v>
      </c>
      <c r="AB149" s="96"/>
      <c r="AC149" s="96"/>
      <c r="AD149" s="96"/>
      <c r="AE149" s="96"/>
      <c r="AF149" s="96"/>
      <c r="AG149" s="96"/>
      <c r="AH149" s="96"/>
      <c r="AI149" s="96"/>
    </row>
    <row r="150" spans="1:35" s="16" customFormat="1" ht="12" x14ac:dyDescent="0.2">
      <c r="A150" s="2"/>
      <c r="B150" s="2"/>
      <c r="C150" s="2"/>
      <c r="D150" s="2"/>
      <c r="E150" s="2"/>
      <c r="F150" s="383">
        <f t="shared" si="62"/>
        <v>139</v>
      </c>
      <c r="G150" s="384">
        <f t="shared" si="49"/>
        <v>47228</v>
      </c>
      <c r="H150" s="340">
        <f t="shared" si="50"/>
        <v>0</v>
      </c>
      <c r="I150" s="340">
        <f t="shared" si="51"/>
        <v>0</v>
      </c>
      <c r="J150" s="340">
        <f t="shared" si="59"/>
        <v>0</v>
      </c>
      <c r="K150" s="340">
        <f t="shared" si="60"/>
        <v>0</v>
      </c>
      <c r="L150" s="382">
        <f t="shared" si="63"/>
        <v>47119</v>
      </c>
      <c r="M150" s="382">
        <f t="shared" si="64"/>
        <v>47484</v>
      </c>
      <c r="N150" s="382">
        <f t="shared" si="65"/>
        <v>46753</v>
      </c>
      <c r="O150" s="340">
        <f t="shared" si="52"/>
        <v>0</v>
      </c>
      <c r="P150" s="340">
        <f t="shared" si="69"/>
        <v>0</v>
      </c>
      <c r="Q150" s="340">
        <f t="shared" si="66"/>
        <v>0</v>
      </c>
      <c r="R150" s="340">
        <f t="shared" si="53"/>
        <v>0</v>
      </c>
      <c r="S150" s="340">
        <f t="shared" si="68"/>
        <v>0</v>
      </c>
      <c r="T150" s="340">
        <f t="shared" si="54"/>
        <v>0</v>
      </c>
      <c r="U150" s="340">
        <f t="shared" si="61"/>
        <v>0</v>
      </c>
      <c r="V150" s="340">
        <f t="shared" si="55"/>
        <v>0</v>
      </c>
      <c r="W150" s="198">
        <f t="shared" si="67"/>
        <v>0</v>
      </c>
      <c r="X150" s="36">
        <f t="shared" si="56"/>
        <v>0</v>
      </c>
      <c r="Y150" s="2"/>
      <c r="Z150" s="34">
        <f t="shared" si="57"/>
        <v>0</v>
      </c>
      <c r="AA150" s="57">
        <f t="shared" si="58"/>
        <v>93733</v>
      </c>
      <c r="AB150" s="96"/>
      <c r="AC150" s="96"/>
      <c r="AD150" s="96"/>
      <c r="AE150" s="96"/>
      <c r="AF150" s="96"/>
      <c r="AG150" s="96"/>
      <c r="AH150" s="96"/>
      <c r="AI150" s="96"/>
    </row>
    <row r="151" spans="1:35" s="16" customFormat="1" ht="12" x14ac:dyDescent="0.2">
      <c r="A151" s="2"/>
      <c r="B151" s="2"/>
      <c r="C151" s="2"/>
      <c r="D151" s="2"/>
      <c r="E151" s="2"/>
      <c r="F151" s="383">
        <f t="shared" si="62"/>
        <v>140</v>
      </c>
      <c r="G151" s="384">
        <f t="shared" si="49"/>
        <v>47258</v>
      </c>
      <c r="H151" s="340">
        <f t="shared" si="50"/>
        <v>0</v>
      </c>
      <c r="I151" s="340">
        <f t="shared" si="51"/>
        <v>0</v>
      </c>
      <c r="J151" s="340">
        <f t="shared" si="59"/>
        <v>0</v>
      </c>
      <c r="K151" s="340">
        <f t="shared" si="60"/>
        <v>0</v>
      </c>
      <c r="L151" s="382">
        <f t="shared" si="63"/>
        <v>47119</v>
      </c>
      <c r="M151" s="382">
        <f t="shared" si="64"/>
        <v>47484</v>
      </c>
      <c r="N151" s="382">
        <f t="shared" si="65"/>
        <v>46753</v>
      </c>
      <c r="O151" s="340">
        <f t="shared" si="52"/>
        <v>0</v>
      </c>
      <c r="P151" s="340">
        <f t="shared" si="69"/>
        <v>0</v>
      </c>
      <c r="Q151" s="340">
        <f t="shared" si="66"/>
        <v>0</v>
      </c>
      <c r="R151" s="340">
        <f t="shared" si="53"/>
        <v>0</v>
      </c>
      <c r="S151" s="340">
        <f t="shared" si="68"/>
        <v>0</v>
      </c>
      <c r="T151" s="340">
        <f t="shared" si="54"/>
        <v>0</v>
      </c>
      <c r="U151" s="340">
        <f t="shared" si="61"/>
        <v>0</v>
      </c>
      <c r="V151" s="340">
        <f t="shared" si="55"/>
        <v>0</v>
      </c>
      <c r="W151" s="198">
        <f t="shared" si="67"/>
        <v>0</v>
      </c>
      <c r="X151" s="36">
        <f t="shared" si="56"/>
        <v>0</v>
      </c>
      <c r="Y151" s="2"/>
      <c r="Z151" s="34">
        <f t="shared" si="57"/>
        <v>0</v>
      </c>
      <c r="AA151" s="57">
        <f t="shared" si="58"/>
        <v>94098</v>
      </c>
      <c r="AB151" s="96"/>
      <c r="AC151" s="96"/>
      <c r="AD151" s="96"/>
      <c r="AE151" s="96"/>
      <c r="AF151" s="96"/>
      <c r="AG151" s="96"/>
      <c r="AH151" s="96"/>
      <c r="AI151" s="96"/>
    </row>
    <row r="152" spans="1:35" s="16" customFormat="1" ht="12" x14ac:dyDescent="0.2">
      <c r="A152" s="2"/>
      <c r="B152" s="2"/>
      <c r="C152" s="2"/>
      <c r="D152" s="2"/>
      <c r="E152" s="2"/>
      <c r="F152" s="383">
        <f t="shared" si="62"/>
        <v>141</v>
      </c>
      <c r="G152" s="384">
        <f t="shared" si="49"/>
        <v>47289</v>
      </c>
      <c r="H152" s="340">
        <f t="shared" si="50"/>
        <v>0</v>
      </c>
      <c r="I152" s="340">
        <f t="shared" si="51"/>
        <v>0</v>
      </c>
      <c r="J152" s="340">
        <f t="shared" si="59"/>
        <v>0</v>
      </c>
      <c r="K152" s="340">
        <f t="shared" si="60"/>
        <v>0</v>
      </c>
      <c r="L152" s="382">
        <f t="shared" si="63"/>
        <v>47119</v>
      </c>
      <c r="M152" s="382">
        <f t="shared" si="64"/>
        <v>47484</v>
      </c>
      <c r="N152" s="382">
        <f t="shared" si="65"/>
        <v>46753</v>
      </c>
      <c r="O152" s="340">
        <f t="shared" si="52"/>
        <v>0</v>
      </c>
      <c r="P152" s="340">
        <f t="shared" si="69"/>
        <v>0</v>
      </c>
      <c r="Q152" s="340">
        <f t="shared" si="66"/>
        <v>0</v>
      </c>
      <c r="R152" s="340">
        <f t="shared" si="53"/>
        <v>0</v>
      </c>
      <c r="S152" s="340">
        <f t="shared" si="68"/>
        <v>0</v>
      </c>
      <c r="T152" s="340">
        <f t="shared" si="54"/>
        <v>0</v>
      </c>
      <c r="U152" s="340">
        <f t="shared" si="61"/>
        <v>0</v>
      </c>
      <c r="V152" s="340">
        <f t="shared" si="55"/>
        <v>0</v>
      </c>
      <c r="W152" s="198">
        <f t="shared" si="67"/>
        <v>0</v>
      </c>
      <c r="X152" s="36">
        <f t="shared" si="56"/>
        <v>0</v>
      </c>
      <c r="Y152" s="2"/>
      <c r="Z152" s="34">
        <f t="shared" si="57"/>
        <v>0</v>
      </c>
      <c r="AA152" s="57">
        <f t="shared" si="58"/>
        <v>94463</v>
      </c>
      <c r="AB152" s="96"/>
      <c r="AC152" s="96"/>
      <c r="AD152" s="96"/>
      <c r="AE152" s="96"/>
      <c r="AF152" s="96"/>
      <c r="AG152" s="96"/>
      <c r="AH152" s="96"/>
      <c r="AI152" s="96"/>
    </row>
    <row r="153" spans="1:35" s="16" customFormat="1" ht="12" x14ac:dyDescent="0.2">
      <c r="A153" s="2"/>
      <c r="B153" s="2"/>
      <c r="C153" s="2"/>
      <c r="D153" s="2"/>
      <c r="E153" s="2"/>
      <c r="F153" s="383">
        <f t="shared" si="62"/>
        <v>142</v>
      </c>
      <c r="G153" s="384">
        <f t="shared" si="49"/>
        <v>47319</v>
      </c>
      <c r="H153" s="340">
        <f t="shared" si="50"/>
        <v>0</v>
      </c>
      <c r="I153" s="340">
        <f t="shared" si="51"/>
        <v>0</v>
      </c>
      <c r="J153" s="340">
        <f t="shared" si="59"/>
        <v>0</v>
      </c>
      <c r="K153" s="340">
        <f t="shared" si="60"/>
        <v>0</v>
      </c>
      <c r="L153" s="382">
        <f t="shared" si="63"/>
        <v>47119</v>
      </c>
      <c r="M153" s="382">
        <f t="shared" si="64"/>
        <v>47484</v>
      </c>
      <c r="N153" s="382">
        <f t="shared" si="65"/>
        <v>46753</v>
      </c>
      <c r="O153" s="340">
        <f t="shared" si="52"/>
        <v>0</v>
      </c>
      <c r="P153" s="340">
        <f t="shared" si="69"/>
        <v>0</v>
      </c>
      <c r="Q153" s="340">
        <f t="shared" si="66"/>
        <v>0</v>
      </c>
      <c r="R153" s="340">
        <f t="shared" si="53"/>
        <v>0</v>
      </c>
      <c r="S153" s="340">
        <f t="shared" si="68"/>
        <v>0</v>
      </c>
      <c r="T153" s="340">
        <f t="shared" si="54"/>
        <v>0</v>
      </c>
      <c r="U153" s="340">
        <f t="shared" si="61"/>
        <v>0</v>
      </c>
      <c r="V153" s="340">
        <f t="shared" si="55"/>
        <v>0</v>
      </c>
      <c r="W153" s="198">
        <f t="shared" si="67"/>
        <v>0</v>
      </c>
      <c r="X153" s="36">
        <f t="shared" si="56"/>
        <v>0</v>
      </c>
      <c r="Y153" s="2"/>
      <c r="Z153" s="34">
        <f t="shared" si="57"/>
        <v>0</v>
      </c>
      <c r="AA153" s="57">
        <f t="shared" si="58"/>
        <v>94828</v>
      </c>
      <c r="AB153" s="96"/>
      <c r="AC153" s="96"/>
      <c r="AD153" s="96"/>
      <c r="AE153" s="96"/>
      <c r="AF153" s="96"/>
      <c r="AG153" s="96"/>
      <c r="AH153" s="96"/>
      <c r="AI153" s="96"/>
    </row>
    <row r="154" spans="1:35" s="16" customFormat="1" ht="12" x14ac:dyDescent="0.2">
      <c r="A154" s="2"/>
      <c r="B154" s="2"/>
      <c r="C154" s="2"/>
      <c r="D154" s="2"/>
      <c r="E154" s="2"/>
      <c r="F154" s="383">
        <f t="shared" si="62"/>
        <v>143</v>
      </c>
      <c r="G154" s="384">
        <f t="shared" si="49"/>
        <v>47350</v>
      </c>
      <c r="H154" s="340">
        <f t="shared" si="50"/>
        <v>0</v>
      </c>
      <c r="I154" s="340">
        <f t="shared" si="51"/>
        <v>0</v>
      </c>
      <c r="J154" s="340">
        <f t="shared" si="59"/>
        <v>0</v>
      </c>
      <c r="K154" s="340">
        <f t="shared" si="60"/>
        <v>0</v>
      </c>
      <c r="L154" s="382">
        <f t="shared" si="63"/>
        <v>47119</v>
      </c>
      <c r="M154" s="382">
        <f t="shared" si="64"/>
        <v>47484</v>
      </c>
      <c r="N154" s="382">
        <f t="shared" si="65"/>
        <v>46753</v>
      </c>
      <c r="O154" s="340">
        <f t="shared" si="52"/>
        <v>0</v>
      </c>
      <c r="P154" s="340">
        <f t="shared" si="69"/>
        <v>0</v>
      </c>
      <c r="Q154" s="340">
        <f t="shared" si="66"/>
        <v>0</v>
      </c>
      <c r="R154" s="340">
        <f t="shared" si="53"/>
        <v>0</v>
      </c>
      <c r="S154" s="340">
        <f t="shared" si="68"/>
        <v>0</v>
      </c>
      <c r="T154" s="340">
        <f t="shared" si="54"/>
        <v>0</v>
      </c>
      <c r="U154" s="340">
        <f t="shared" si="61"/>
        <v>0</v>
      </c>
      <c r="V154" s="340">
        <f t="shared" si="55"/>
        <v>0</v>
      </c>
      <c r="W154" s="198">
        <f t="shared" si="67"/>
        <v>0</v>
      </c>
      <c r="X154" s="36">
        <f t="shared" si="56"/>
        <v>0</v>
      </c>
      <c r="Y154" s="2"/>
      <c r="Z154" s="34">
        <f t="shared" si="57"/>
        <v>0</v>
      </c>
      <c r="AA154" s="57">
        <f t="shared" si="58"/>
        <v>95193</v>
      </c>
      <c r="AB154" s="96"/>
      <c r="AC154" s="96"/>
      <c r="AD154" s="96"/>
      <c r="AE154" s="96"/>
      <c r="AF154" s="96"/>
      <c r="AG154" s="96"/>
      <c r="AH154" s="96"/>
      <c r="AI154" s="96"/>
    </row>
    <row r="155" spans="1:35" s="16" customFormat="1" ht="12" x14ac:dyDescent="0.2">
      <c r="A155" s="2"/>
      <c r="B155" s="2"/>
      <c r="C155" s="2"/>
      <c r="D155" s="2"/>
      <c r="E155" s="2"/>
      <c r="F155" s="383">
        <f t="shared" si="62"/>
        <v>144</v>
      </c>
      <c r="G155" s="384">
        <f t="shared" si="49"/>
        <v>47381</v>
      </c>
      <c r="H155" s="340">
        <f t="shared" si="50"/>
        <v>0</v>
      </c>
      <c r="I155" s="340">
        <f t="shared" si="51"/>
        <v>0</v>
      </c>
      <c r="J155" s="340">
        <f t="shared" si="59"/>
        <v>0</v>
      </c>
      <c r="K155" s="340">
        <f t="shared" si="60"/>
        <v>0</v>
      </c>
      <c r="L155" s="382">
        <f t="shared" si="63"/>
        <v>47119</v>
      </c>
      <c r="M155" s="382">
        <f t="shared" si="64"/>
        <v>47484</v>
      </c>
      <c r="N155" s="382">
        <f t="shared" si="65"/>
        <v>46753</v>
      </c>
      <c r="O155" s="340">
        <f t="shared" si="52"/>
        <v>0</v>
      </c>
      <c r="P155" s="340">
        <f t="shared" si="69"/>
        <v>0</v>
      </c>
      <c r="Q155" s="340">
        <f t="shared" si="66"/>
        <v>0</v>
      </c>
      <c r="R155" s="340">
        <f t="shared" si="53"/>
        <v>0</v>
      </c>
      <c r="S155" s="340">
        <f t="shared" si="68"/>
        <v>0</v>
      </c>
      <c r="T155" s="340">
        <f t="shared" si="54"/>
        <v>0</v>
      </c>
      <c r="U155" s="340">
        <f t="shared" si="61"/>
        <v>0</v>
      </c>
      <c r="V155" s="340">
        <f t="shared" si="55"/>
        <v>0</v>
      </c>
      <c r="W155" s="198">
        <f t="shared" si="67"/>
        <v>0</v>
      </c>
      <c r="X155" s="36">
        <f t="shared" si="56"/>
        <v>0</v>
      </c>
      <c r="Y155" s="2"/>
      <c r="Z155" s="34">
        <f t="shared" si="57"/>
        <v>0</v>
      </c>
      <c r="AA155" s="57">
        <f t="shared" si="58"/>
        <v>95558</v>
      </c>
      <c r="AB155" s="96"/>
      <c r="AC155" s="96"/>
      <c r="AD155" s="96"/>
      <c r="AE155" s="96"/>
      <c r="AF155" s="96"/>
      <c r="AG155" s="96"/>
      <c r="AH155" s="96"/>
      <c r="AI155" s="96"/>
    </row>
    <row r="156" spans="1:35" s="16" customFormat="1" ht="12" x14ac:dyDescent="0.2">
      <c r="A156" s="2"/>
      <c r="B156" s="2"/>
      <c r="C156" s="2"/>
      <c r="D156" s="2"/>
      <c r="E156" s="2"/>
      <c r="F156" s="383">
        <f t="shared" si="62"/>
        <v>145</v>
      </c>
      <c r="G156" s="384">
        <f t="shared" si="49"/>
        <v>47411</v>
      </c>
      <c r="H156" s="340">
        <f t="shared" si="50"/>
        <v>0</v>
      </c>
      <c r="I156" s="340">
        <f t="shared" si="51"/>
        <v>0</v>
      </c>
      <c r="J156" s="340">
        <f t="shared" si="59"/>
        <v>0</v>
      </c>
      <c r="K156" s="340">
        <f t="shared" si="60"/>
        <v>0</v>
      </c>
      <c r="L156" s="382">
        <f t="shared" si="63"/>
        <v>47119</v>
      </c>
      <c r="M156" s="382">
        <f t="shared" si="64"/>
        <v>47484</v>
      </c>
      <c r="N156" s="382">
        <f t="shared" si="65"/>
        <v>46753</v>
      </c>
      <c r="O156" s="340">
        <f t="shared" si="52"/>
        <v>0</v>
      </c>
      <c r="P156" s="340">
        <f t="shared" si="69"/>
        <v>0</v>
      </c>
      <c r="Q156" s="340">
        <f t="shared" si="66"/>
        <v>0</v>
      </c>
      <c r="R156" s="340">
        <f t="shared" si="53"/>
        <v>0</v>
      </c>
      <c r="S156" s="340">
        <f t="shared" si="68"/>
        <v>0</v>
      </c>
      <c r="T156" s="340">
        <f t="shared" si="54"/>
        <v>0</v>
      </c>
      <c r="U156" s="340">
        <f t="shared" si="61"/>
        <v>0</v>
      </c>
      <c r="V156" s="340">
        <f t="shared" si="55"/>
        <v>0</v>
      </c>
      <c r="W156" s="198">
        <f t="shared" si="67"/>
        <v>0</v>
      </c>
      <c r="X156" s="36">
        <f t="shared" si="56"/>
        <v>0</v>
      </c>
      <c r="Y156" s="2"/>
      <c r="Z156" s="34">
        <f t="shared" si="57"/>
        <v>0</v>
      </c>
      <c r="AA156" s="57">
        <f t="shared" si="58"/>
        <v>95923</v>
      </c>
      <c r="AB156" s="96"/>
      <c r="AC156" s="96"/>
      <c r="AD156" s="96"/>
      <c r="AE156" s="96"/>
      <c r="AF156" s="96"/>
      <c r="AG156" s="96"/>
      <c r="AH156" s="96"/>
      <c r="AI156" s="96"/>
    </row>
    <row r="157" spans="1:35" s="16" customFormat="1" ht="12" x14ac:dyDescent="0.2">
      <c r="A157" s="2"/>
      <c r="B157" s="2"/>
      <c r="C157" s="2"/>
      <c r="D157" s="2"/>
      <c r="E157" s="2"/>
      <c r="F157" s="383">
        <f t="shared" si="62"/>
        <v>146</v>
      </c>
      <c r="G157" s="384">
        <f t="shared" si="49"/>
        <v>47442</v>
      </c>
      <c r="H157" s="340">
        <f t="shared" si="50"/>
        <v>0</v>
      </c>
      <c r="I157" s="340">
        <f t="shared" si="51"/>
        <v>0</v>
      </c>
      <c r="J157" s="340">
        <f t="shared" si="59"/>
        <v>0</v>
      </c>
      <c r="K157" s="340">
        <f t="shared" si="60"/>
        <v>0</v>
      </c>
      <c r="L157" s="382">
        <f t="shared" si="63"/>
        <v>47119</v>
      </c>
      <c r="M157" s="382">
        <f t="shared" si="64"/>
        <v>47484</v>
      </c>
      <c r="N157" s="382">
        <f t="shared" si="65"/>
        <v>46753</v>
      </c>
      <c r="O157" s="340">
        <f t="shared" si="52"/>
        <v>0</v>
      </c>
      <c r="P157" s="340">
        <f t="shared" si="69"/>
        <v>0</v>
      </c>
      <c r="Q157" s="340">
        <f t="shared" si="66"/>
        <v>0</v>
      </c>
      <c r="R157" s="340">
        <f t="shared" si="53"/>
        <v>0</v>
      </c>
      <c r="S157" s="340">
        <f t="shared" si="68"/>
        <v>0</v>
      </c>
      <c r="T157" s="340">
        <f t="shared" si="54"/>
        <v>0</v>
      </c>
      <c r="U157" s="340">
        <f t="shared" si="61"/>
        <v>0</v>
      </c>
      <c r="V157" s="340">
        <f t="shared" si="55"/>
        <v>0</v>
      </c>
      <c r="W157" s="198">
        <f t="shared" si="67"/>
        <v>0</v>
      </c>
      <c r="X157" s="36">
        <f t="shared" si="56"/>
        <v>0</v>
      </c>
      <c r="Y157" s="2"/>
      <c r="Z157" s="34">
        <f t="shared" si="57"/>
        <v>0</v>
      </c>
      <c r="AA157" s="57">
        <f t="shared" si="58"/>
        <v>96288</v>
      </c>
      <c r="AB157" s="96"/>
      <c r="AC157" s="96"/>
      <c r="AD157" s="96"/>
      <c r="AE157" s="96"/>
      <c r="AF157" s="96"/>
      <c r="AG157" s="96"/>
      <c r="AH157" s="96"/>
      <c r="AI157" s="96"/>
    </row>
    <row r="158" spans="1:35" s="16" customFormat="1" ht="12" x14ac:dyDescent="0.2">
      <c r="A158" s="53"/>
      <c r="C158" s="2"/>
      <c r="D158" s="2"/>
      <c r="E158" s="2"/>
      <c r="F158" s="383">
        <f t="shared" si="62"/>
        <v>147</v>
      </c>
      <c r="G158" s="384">
        <f t="shared" si="49"/>
        <v>47472</v>
      </c>
      <c r="H158" s="340">
        <f t="shared" si="50"/>
        <v>0</v>
      </c>
      <c r="I158" s="340">
        <f t="shared" si="51"/>
        <v>0</v>
      </c>
      <c r="J158" s="340">
        <f t="shared" si="59"/>
        <v>0</v>
      </c>
      <c r="K158" s="340">
        <f t="shared" si="60"/>
        <v>0</v>
      </c>
      <c r="L158" s="382">
        <f t="shared" si="63"/>
        <v>47119</v>
      </c>
      <c r="M158" s="382">
        <f t="shared" si="64"/>
        <v>47484</v>
      </c>
      <c r="N158" s="382">
        <f t="shared" si="65"/>
        <v>46753</v>
      </c>
      <c r="O158" s="340">
        <f t="shared" si="52"/>
        <v>0</v>
      </c>
      <c r="P158" s="340">
        <f t="shared" si="69"/>
        <v>0</v>
      </c>
      <c r="Q158" s="340">
        <f t="shared" si="66"/>
        <v>0</v>
      </c>
      <c r="R158" s="340">
        <f t="shared" si="53"/>
        <v>0</v>
      </c>
      <c r="S158" s="340">
        <f t="shared" si="68"/>
        <v>0</v>
      </c>
      <c r="T158" s="340">
        <f t="shared" si="54"/>
        <v>0</v>
      </c>
      <c r="U158" s="340">
        <f t="shared" si="61"/>
        <v>0</v>
      </c>
      <c r="V158" s="340">
        <f t="shared" si="55"/>
        <v>0</v>
      </c>
      <c r="W158" s="198">
        <f t="shared" si="67"/>
        <v>0</v>
      </c>
      <c r="X158" s="36">
        <f t="shared" si="56"/>
        <v>0</v>
      </c>
      <c r="Y158" s="2"/>
      <c r="Z158" s="34">
        <f t="shared" si="57"/>
        <v>0</v>
      </c>
      <c r="AA158" s="57">
        <f t="shared" si="58"/>
        <v>96653</v>
      </c>
      <c r="AB158" s="96"/>
      <c r="AC158" s="96"/>
      <c r="AD158" s="96"/>
      <c r="AE158" s="96"/>
      <c r="AF158" s="96"/>
      <c r="AG158" s="96"/>
      <c r="AH158" s="96"/>
      <c r="AI158" s="96"/>
    </row>
    <row r="159" spans="1:35" s="16" customFormat="1" ht="12" x14ac:dyDescent="0.2">
      <c r="A159" s="53"/>
      <c r="B159" s="2"/>
      <c r="C159" s="2"/>
      <c r="D159" s="13"/>
      <c r="E159" s="2"/>
      <c r="F159" s="383">
        <f t="shared" si="62"/>
        <v>148</v>
      </c>
      <c r="G159" s="384">
        <f t="shared" si="49"/>
        <v>47503</v>
      </c>
      <c r="H159" s="340">
        <f t="shared" si="50"/>
        <v>0</v>
      </c>
      <c r="I159" s="340">
        <f t="shared" si="51"/>
        <v>0</v>
      </c>
      <c r="J159" s="340">
        <f t="shared" si="59"/>
        <v>0</v>
      </c>
      <c r="K159" s="340">
        <f t="shared" si="60"/>
        <v>0</v>
      </c>
      <c r="L159" s="382">
        <f t="shared" si="63"/>
        <v>47484</v>
      </c>
      <c r="M159" s="382">
        <f t="shared" si="64"/>
        <v>47849</v>
      </c>
      <c r="N159" s="382">
        <f t="shared" si="65"/>
        <v>47119</v>
      </c>
      <c r="O159" s="340">
        <f t="shared" si="52"/>
        <v>0</v>
      </c>
      <c r="P159" s="340">
        <f t="shared" si="69"/>
        <v>0</v>
      </c>
      <c r="Q159" s="340">
        <f t="shared" si="66"/>
        <v>0</v>
      </c>
      <c r="R159" s="340">
        <f t="shared" si="53"/>
        <v>0</v>
      </c>
      <c r="S159" s="340">
        <f t="shared" si="68"/>
        <v>0</v>
      </c>
      <c r="T159" s="340">
        <f t="shared" si="54"/>
        <v>0</v>
      </c>
      <c r="U159" s="340">
        <f t="shared" si="61"/>
        <v>0</v>
      </c>
      <c r="V159" s="340">
        <f t="shared" si="55"/>
        <v>0</v>
      </c>
      <c r="W159" s="198">
        <f t="shared" si="67"/>
        <v>0</v>
      </c>
      <c r="X159" s="36">
        <f t="shared" si="56"/>
        <v>0</v>
      </c>
      <c r="Y159" s="2"/>
      <c r="Z159" s="34">
        <f t="shared" si="57"/>
        <v>0</v>
      </c>
      <c r="AA159" s="57">
        <f t="shared" si="58"/>
        <v>97018</v>
      </c>
      <c r="AB159" s="96"/>
      <c r="AC159" s="96"/>
      <c r="AD159" s="96"/>
      <c r="AE159" s="96"/>
      <c r="AF159" s="96"/>
      <c r="AG159" s="96"/>
      <c r="AH159" s="96"/>
      <c r="AI159" s="96"/>
    </row>
    <row r="160" spans="1:35" s="16" customFormat="1" ht="12" x14ac:dyDescent="0.2">
      <c r="A160" s="2"/>
      <c r="B160" s="2"/>
      <c r="C160" s="1"/>
      <c r="D160" s="2"/>
      <c r="E160" s="2"/>
      <c r="F160" s="383">
        <f t="shared" si="62"/>
        <v>149</v>
      </c>
      <c r="G160" s="384">
        <f t="shared" si="49"/>
        <v>47534</v>
      </c>
      <c r="H160" s="340">
        <f t="shared" si="50"/>
        <v>0</v>
      </c>
      <c r="I160" s="340">
        <f t="shared" si="51"/>
        <v>0</v>
      </c>
      <c r="J160" s="340">
        <f t="shared" si="59"/>
        <v>0</v>
      </c>
      <c r="K160" s="340">
        <f t="shared" si="60"/>
        <v>0</v>
      </c>
      <c r="L160" s="382">
        <f t="shared" si="63"/>
        <v>47484</v>
      </c>
      <c r="M160" s="382">
        <f t="shared" si="64"/>
        <v>47849</v>
      </c>
      <c r="N160" s="382">
        <f t="shared" si="65"/>
        <v>47119</v>
      </c>
      <c r="O160" s="340">
        <f t="shared" si="52"/>
        <v>0</v>
      </c>
      <c r="P160" s="340">
        <f t="shared" si="69"/>
        <v>0</v>
      </c>
      <c r="Q160" s="340">
        <f t="shared" si="66"/>
        <v>0</v>
      </c>
      <c r="R160" s="340">
        <f t="shared" si="53"/>
        <v>0</v>
      </c>
      <c r="S160" s="340">
        <f t="shared" si="68"/>
        <v>0</v>
      </c>
      <c r="T160" s="340">
        <f t="shared" si="54"/>
        <v>0</v>
      </c>
      <c r="U160" s="340">
        <f t="shared" si="61"/>
        <v>0</v>
      </c>
      <c r="V160" s="340">
        <f t="shared" si="55"/>
        <v>0</v>
      </c>
      <c r="W160" s="198">
        <f t="shared" si="67"/>
        <v>0</v>
      </c>
      <c r="X160" s="36">
        <f t="shared" si="56"/>
        <v>0</v>
      </c>
      <c r="Y160" s="2"/>
      <c r="Z160" s="34">
        <f t="shared" si="57"/>
        <v>0</v>
      </c>
      <c r="AA160" s="57">
        <f t="shared" si="58"/>
        <v>97383</v>
      </c>
      <c r="AB160" s="96"/>
      <c r="AC160" s="96"/>
      <c r="AD160" s="96"/>
      <c r="AE160" s="96"/>
      <c r="AF160" s="96"/>
      <c r="AG160" s="96"/>
      <c r="AH160" s="96"/>
      <c r="AI160" s="96"/>
    </row>
    <row r="161" spans="1:35" s="16" customFormat="1" ht="12" x14ac:dyDescent="0.2">
      <c r="A161" s="2"/>
      <c r="B161" s="2"/>
      <c r="C161" s="98"/>
      <c r="D161" s="1"/>
      <c r="E161" s="2"/>
      <c r="F161" s="383">
        <f t="shared" si="62"/>
        <v>150</v>
      </c>
      <c r="G161" s="384">
        <f t="shared" si="49"/>
        <v>47562</v>
      </c>
      <c r="H161" s="340">
        <f t="shared" si="50"/>
        <v>0</v>
      </c>
      <c r="I161" s="340">
        <f t="shared" si="51"/>
        <v>0</v>
      </c>
      <c r="J161" s="340">
        <f t="shared" si="59"/>
        <v>0</v>
      </c>
      <c r="K161" s="340">
        <f t="shared" si="60"/>
        <v>0</v>
      </c>
      <c r="L161" s="382">
        <f t="shared" si="63"/>
        <v>47484</v>
      </c>
      <c r="M161" s="382">
        <f t="shared" si="64"/>
        <v>47849</v>
      </c>
      <c r="N161" s="382">
        <f t="shared" si="65"/>
        <v>47119</v>
      </c>
      <c r="O161" s="340">
        <f t="shared" si="52"/>
        <v>0</v>
      </c>
      <c r="P161" s="340">
        <f t="shared" si="69"/>
        <v>0</v>
      </c>
      <c r="Q161" s="340">
        <f t="shared" si="66"/>
        <v>0</v>
      </c>
      <c r="R161" s="340">
        <f t="shared" si="53"/>
        <v>0</v>
      </c>
      <c r="S161" s="340">
        <f t="shared" si="68"/>
        <v>0</v>
      </c>
      <c r="T161" s="340">
        <f t="shared" si="54"/>
        <v>0</v>
      </c>
      <c r="U161" s="340">
        <f t="shared" si="61"/>
        <v>0</v>
      </c>
      <c r="V161" s="340">
        <f t="shared" si="55"/>
        <v>0</v>
      </c>
      <c r="W161" s="198">
        <f t="shared" si="67"/>
        <v>0</v>
      </c>
      <c r="X161" s="36">
        <f t="shared" si="56"/>
        <v>0</v>
      </c>
      <c r="Y161" s="2"/>
      <c r="Z161" s="34">
        <f t="shared" si="57"/>
        <v>0</v>
      </c>
      <c r="AA161" s="57">
        <f t="shared" si="58"/>
        <v>97748</v>
      </c>
      <c r="AB161" s="96"/>
      <c r="AC161" s="96"/>
      <c r="AD161" s="96"/>
      <c r="AE161" s="96"/>
      <c r="AF161" s="96"/>
      <c r="AG161" s="96"/>
      <c r="AH161" s="96"/>
      <c r="AI161" s="96"/>
    </row>
    <row r="162" spans="1:35" s="16" customFormat="1" ht="12" x14ac:dyDescent="0.2">
      <c r="A162" s="2"/>
      <c r="B162" s="2"/>
      <c r="C162" s="2"/>
      <c r="D162" s="13"/>
      <c r="E162" s="2"/>
      <c r="F162" s="383">
        <f t="shared" si="62"/>
        <v>151</v>
      </c>
      <c r="G162" s="384">
        <f t="shared" si="49"/>
        <v>47593</v>
      </c>
      <c r="H162" s="340">
        <f t="shared" si="50"/>
        <v>0</v>
      </c>
      <c r="I162" s="340">
        <f t="shared" si="51"/>
        <v>0</v>
      </c>
      <c r="J162" s="340">
        <f t="shared" si="59"/>
        <v>0</v>
      </c>
      <c r="K162" s="340">
        <f t="shared" si="60"/>
        <v>0</v>
      </c>
      <c r="L162" s="382">
        <f t="shared" si="63"/>
        <v>47484</v>
      </c>
      <c r="M162" s="382">
        <f t="shared" si="64"/>
        <v>47849</v>
      </c>
      <c r="N162" s="382">
        <f t="shared" si="65"/>
        <v>47119</v>
      </c>
      <c r="O162" s="340">
        <f t="shared" si="52"/>
        <v>0</v>
      </c>
      <c r="P162" s="340">
        <f t="shared" si="69"/>
        <v>0</v>
      </c>
      <c r="Q162" s="340">
        <f t="shared" si="66"/>
        <v>0</v>
      </c>
      <c r="R162" s="340">
        <f t="shared" si="53"/>
        <v>0</v>
      </c>
      <c r="S162" s="340">
        <f t="shared" si="68"/>
        <v>0</v>
      </c>
      <c r="T162" s="340">
        <f t="shared" si="54"/>
        <v>0</v>
      </c>
      <c r="U162" s="340">
        <f t="shared" si="61"/>
        <v>0</v>
      </c>
      <c r="V162" s="340">
        <f t="shared" si="55"/>
        <v>0</v>
      </c>
      <c r="W162" s="198">
        <f t="shared" si="67"/>
        <v>0</v>
      </c>
      <c r="X162" s="36">
        <f t="shared" si="56"/>
        <v>0</v>
      </c>
      <c r="Y162" s="2"/>
      <c r="Z162" s="34">
        <f t="shared" si="57"/>
        <v>0</v>
      </c>
      <c r="AA162" s="57">
        <f t="shared" si="58"/>
        <v>98113</v>
      </c>
      <c r="AB162" s="96"/>
      <c r="AC162" s="96"/>
      <c r="AD162" s="96"/>
      <c r="AE162" s="96"/>
      <c r="AF162" s="96"/>
      <c r="AG162" s="96"/>
      <c r="AH162" s="96"/>
      <c r="AI162" s="96"/>
    </row>
    <row r="163" spans="1:35" s="16" customFormat="1" ht="12" x14ac:dyDescent="0.2">
      <c r="A163" s="2"/>
      <c r="B163" s="2"/>
      <c r="C163" s="13"/>
      <c r="D163" s="13"/>
      <c r="E163" s="2"/>
      <c r="F163" s="383">
        <f t="shared" si="62"/>
        <v>152</v>
      </c>
      <c r="G163" s="384">
        <f t="shared" si="49"/>
        <v>47623</v>
      </c>
      <c r="H163" s="340">
        <f t="shared" si="50"/>
        <v>0</v>
      </c>
      <c r="I163" s="340">
        <f t="shared" si="51"/>
        <v>0</v>
      </c>
      <c r="J163" s="340">
        <f t="shared" si="59"/>
        <v>0</v>
      </c>
      <c r="K163" s="340">
        <f t="shared" si="60"/>
        <v>0</v>
      </c>
      <c r="L163" s="382">
        <f t="shared" si="63"/>
        <v>47484</v>
      </c>
      <c r="M163" s="382">
        <f t="shared" si="64"/>
        <v>47849</v>
      </c>
      <c r="N163" s="382">
        <f t="shared" si="65"/>
        <v>47119</v>
      </c>
      <c r="O163" s="340">
        <f t="shared" si="52"/>
        <v>0</v>
      </c>
      <c r="P163" s="340">
        <f t="shared" si="69"/>
        <v>0</v>
      </c>
      <c r="Q163" s="340">
        <f t="shared" si="66"/>
        <v>0</v>
      </c>
      <c r="R163" s="340">
        <f t="shared" si="53"/>
        <v>0</v>
      </c>
      <c r="S163" s="340">
        <f t="shared" si="68"/>
        <v>0</v>
      </c>
      <c r="T163" s="340">
        <f t="shared" si="54"/>
        <v>0</v>
      </c>
      <c r="U163" s="340">
        <f t="shared" si="61"/>
        <v>0</v>
      </c>
      <c r="V163" s="340">
        <f t="shared" si="55"/>
        <v>0</v>
      </c>
      <c r="W163" s="198">
        <f t="shared" si="67"/>
        <v>0</v>
      </c>
      <c r="X163" s="36">
        <f t="shared" si="56"/>
        <v>0</v>
      </c>
      <c r="Y163" s="2"/>
      <c r="Z163" s="34">
        <f t="shared" si="57"/>
        <v>0</v>
      </c>
      <c r="AA163" s="57">
        <f t="shared" si="58"/>
        <v>98478</v>
      </c>
      <c r="AB163" s="96"/>
      <c r="AC163" s="96"/>
      <c r="AD163" s="96"/>
      <c r="AE163" s="96"/>
      <c r="AF163" s="96"/>
      <c r="AG163" s="96"/>
      <c r="AH163" s="96"/>
      <c r="AI163" s="96"/>
    </row>
    <row r="164" spans="1:35" s="16" customFormat="1" ht="12" x14ac:dyDescent="0.2">
      <c r="A164" s="2"/>
      <c r="B164" s="2"/>
      <c r="C164" s="2"/>
      <c r="D164" s="13"/>
      <c r="E164" s="2"/>
      <c r="F164" s="383">
        <f t="shared" si="62"/>
        <v>153</v>
      </c>
      <c r="G164" s="384">
        <f t="shared" si="49"/>
        <v>47654</v>
      </c>
      <c r="H164" s="340">
        <f t="shared" si="50"/>
        <v>0</v>
      </c>
      <c r="I164" s="340">
        <f t="shared" si="51"/>
        <v>0</v>
      </c>
      <c r="J164" s="340">
        <f t="shared" si="59"/>
        <v>0</v>
      </c>
      <c r="K164" s="340">
        <f t="shared" si="60"/>
        <v>0</v>
      </c>
      <c r="L164" s="382">
        <f t="shared" si="63"/>
        <v>47484</v>
      </c>
      <c r="M164" s="382">
        <f t="shared" si="64"/>
        <v>47849</v>
      </c>
      <c r="N164" s="382">
        <f t="shared" si="65"/>
        <v>47119</v>
      </c>
      <c r="O164" s="340">
        <f t="shared" si="52"/>
        <v>0</v>
      </c>
      <c r="P164" s="340">
        <f t="shared" si="69"/>
        <v>0</v>
      </c>
      <c r="Q164" s="340">
        <f t="shared" si="66"/>
        <v>0</v>
      </c>
      <c r="R164" s="340">
        <f t="shared" si="53"/>
        <v>0</v>
      </c>
      <c r="S164" s="340">
        <f t="shared" si="68"/>
        <v>0</v>
      </c>
      <c r="T164" s="340">
        <f t="shared" si="54"/>
        <v>0</v>
      </c>
      <c r="U164" s="340">
        <f t="shared" si="61"/>
        <v>0</v>
      </c>
      <c r="V164" s="340">
        <f t="shared" si="55"/>
        <v>0</v>
      </c>
      <c r="W164" s="198">
        <f t="shared" si="67"/>
        <v>0</v>
      </c>
      <c r="X164" s="36">
        <f t="shared" si="56"/>
        <v>0</v>
      </c>
      <c r="Y164" s="2"/>
      <c r="Z164" s="34">
        <f t="shared" si="57"/>
        <v>0</v>
      </c>
      <c r="AA164" s="57">
        <f t="shared" si="58"/>
        <v>98843</v>
      </c>
      <c r="AB164" s="96"/>
      <c r="AC164" s="96"/>
      <c r="AD164" s="96"/>
      <c r="AE164" s="96"/>
      <c r="AF164" s="96"/>
      <c r="AG164" s="96"/>
      <c r="AH164" s="96"/>
      <c r="AI164" s="96"/>
    </row>
    <row r="165" spans="1:35" s="16" customFormat="1" ht="12" x14ac:dyDescent="0.2">
      <c r="A165" s="2"/>
      <c r="B165" s="2"/>
      <c r="C165" s="2"/>
      <c r="D165" s="13"/>
      <c r="E165" s="2"/>
      <c r="F165" s="383">
        <f t="shared" si="62"/>
        <v>154</v>
      </c>
      <c r="G165" s="384">
        <f t="shared" si="49"/>
        <v>47684</v>
      </c>
      <c r="H165" s="340">
        <f t="shared" si="50"/>
        <v>0</v>
      </c>
      <c r="I165" s="340">
        <f t="shared" si="51"/>
        <v>0</v>
      </c>
      <c r="J165" s="340">
        <f t="shared" si="59"/>
        <v>0</v>
      </c>
      <c r="K165" s="340">
        <f t="shared" si="60"/>
        <v>0</v>
      </c>
      <c r="L165" s="382">
        <f t="shared" si="63"/>
        <v>47484</v>
      </c>
      <c r="M165" s="382">
        <f t="shared" si="64"/>
        <v>47849</v>
      </c>
      <c r="N165" s="382">
        <f t="shared" si="65"/>
        <v>47119</v>
      </c>
      <c r="O165" s="340">
        <f t="shared" si="52"/>
        <v>0</v>
      </c>
      <c r="P165" s="340">
        <f t="shared" si="69"/>
        <v>0</v>
      </c>
      <c r="Q165" s="340">
        <f t="shared" si="66"/>
        <v>0</v>
      </c>
      <c r="R165" s="340">
        <f t="shared" si="53"/>
        <v>0</v>
      </c>
      <c r="S165" s="340">
        <f t="shared" si="68"/>
        <v>0</v>
      </c>
      <c r="T165" s="340">
        <f t="shared" si="54"/>
        <v>0</v>
      </c>
      <c r="U165" s="340">
        <f t="shared" si="61"/>
        <v>0</v>
      </c>
      <c r="V165" s="340">
        <f t="shared" si="55"/>
        <v>0</v>
      </c>
      <c r="W165" s="198">
        <f t="shared" si="67"/>
        <v>0</v>
      </c>
      <c r="X165" s="36">
        <f t="shared" si="56"/>
        <v>0</v>
      </c>
      <c r="Y165" s="2"/>
      <c r="Z165" s="34">
        <f t="shared" si="57"/>
        <v>0</v>
      </c>
      <c r="AA165" s="57">
        <f t="shared" si="58"/>
        <v>99208</v>
      </c>
      <c r="AB165" s="96"/>
      <c r="AC165" s="96"/>
      <c r="AD165" s="96"/>
      <c r="AE165" s="96"/>
      <c r="AF165" s="96"/>
      <c r="AG165" s="96"/>
      <c r="AH165" s="96"/>
      <c r="AI165" s="96"/>
    </row>
    <row r="166" spans="1:35" s="16" customFormat="1" ht="12" x14ac:dyDescent="0.2">
      <c r="A166" s="2"/>
      <c r="B166" s="2"/>
      <c r="C166" s="2"/>
      <c r="D166" s="2"/>
      <c r="E166" s="2"/>
      <c r="F166" s="383">
        <f t="shared" si="62"/>
        <v>155</v>
      </c>
      <c r="G166" s="384">
        <f t="shared" si="49"/>
        <v>47715</v>
      </c>
      <c r="H166" s="340">
        <f t="shared" si="50"/>
        <v>0</v>
      </c>
      <c r="I166" s="340">
        <f t="shared" si="51"/>
        <v>0</v>
      </c>
      <c r="J166" s="340">
        <f t="shared" si="59"/>
        <v>0</v>
      </c>
      <c r="K166" s="340">
        <f t="shared" si="60"/>
        <v>0</v>
      </c>
      <c r="L166" s="382">
        <f t="shared" si="63"/>
        <v>47484</v>
      </c>
      <c r="M166" s="382">
        <f t="shared" si="64"/>
        <v>47849</v>
      </c>
      <c r="N166" s="382">
        <f t="shared" si="65"/>
        <v>47119</v>
      </c>
      <c r="O166" s="340">
        <f t="shared" si="52"/>
        <v>0</v>
      </c>
      <c r="P166" s="340">
        <f t="shared" si="69"/>
        <v>0</v>
      </c>
      <c r="Q166" s="340">
        <f t="shared" si="66"/>
        <v>0</v>
      </c>
      <c r="R166" s="340">
        <f t="shared" si="53"/>
        <v>0</v>
      </c>
      <c r="S166" s="340">
        <f t="shared" si="68"/>
        <v>0</v>
      </c>
      <c r="T166" s="340">
        <f t="shared" si="54"/>
        <v>0</v>
      </c>
      <c r="U166" s="340">
        <f t="shared" si="61"/>
        <v>0</v>
      </c>
      <c r="V166" s="340">
        <f t="shared" si="55"/>
        <v>0</v>
      </c>
      <c r="W166" s="198">
        <f t="shared" si="67"/>
        <v>0</v>
      </c>
      <c r="X166" s="36">
        <f t="shared" si="56"/>
        <v>0</v>
      </c>
      <c r="Y166" s="2"/>
      <c r="Z166" s="34">
        <f t="shared" si="57"/>
        <v>0</v>
      </c>
      <c r="AA166" s="57">
        <f t="shared" si="58"/>
        <v>99573</v>
      </c>
      <c r="AB166" s="96"/>
      <c r="AC166" s="96"/>
      <c r="AD166" s="96"/>
      <c r="AE166" s="96"/>
      <c r="AF166" s="96"/>
      <c r="AG166" s="96"/>
      <c r="AH166" s="96"/>
      <c r="AI166" s="96"/>
    </row>
    <row r="167" spans="1:35" s="16" customFormat="1" ht="12" x14ac:dyDescent="0.2">
      <c r="A167" s="2"/>
      <c r="B167" s="2"/>
      <c r="C167" s="2"/>
      <c r="D167" s="2"/>
      <c r="E167" s="2"/>
      <c r="F167" s="383">
        <f t="shared" si="62"/>
        <v>156</v>
      </c>
      <c r="G167" s="384">
        <f t="shared" si="49"/>
        <v>47746</v>
      </c>
      <c r="H167" s="340">
        <f t="shared" si="50"/>
        <v>0</v>
      </c>
      <c r="I167" s="340">
        <f t="shared" si="51"/>
        <v>0</v>
      </c>
      <c r="J167" s="340">
        <f t="shared" si="59"/>
        <v>0</v>
      </c>
      <c r="K167" s="340">
        <f t="shared" si="60"/>
        <v>0</v>
      </c>
      <c r="L167" s="382">
        <f t="shared" si="63"/>
        <v>47484</v>
      </c>
      <c r="M167" s="382">
        <f t="shared" si="64"/>
        <v>47849</v>
      </c>
      <c r="N167" s="382">
        <f t="shared" si="65"/>
        <v>47119</v>
      </c>
      <c r="O167" s="340">
        <f t="shared" si="52"/>
        <v>0</v>
      </c>
      <c r="P167" s="340">
        <f t="shared" si="69"/>
        <v>0</v>
      </c>
      <c r="Q167" s="340">
        <f t="shared" si="66"/>
        <v>0</v>
      </c>
      <c r="R167" s="340">
        <f t="shared" si="53"/>
        <v>0</v>
      </c>
      <c r="S167" s="340">
        <f t="shared" si="68"/>
        <v>0</v>
      </c>
      <c r="T167" s="340">
        <f t="shared" si="54"/>
        <v>0</v>
      </c>
      <c r="U167" s="340">
        <f t="shared" si="61"/>
        <v>0</v>
      </c>
      <c r="V167" s="340">
        <f t="shared" si="55"/>
        <v>0</v>
      </c>
      <c r="W167" s="198">
        <f t="shared" si="67"/>
        <v>0</v>
      </c>
      <c r="X167" s="36">
        <f t="shared" si="56"/>
        <v>0</v>
      </c>
      <c r="Y167" s="2"/>
      <c r="Z167" s="34">
        <f t="shared" si="57"/>
        <v>0</v>
      </c>
      <c r="AA167" s="57">
        <f t="shared" si="58"/>
        <v>99938</v>
      </c>
      <c r="AB167" s="96"/>
      <c r="AC167" s="96"/>
      <c r="AD167" s="96"/>
      <c r="AE167" s="96"/>
      <c r="AF167" s="96"/>
      <c r="AG167" s="96"/>
      <c r="AH167" s="96"/>
      <c r="AI167" s="96"/>
    </row>
    <row r="168" spans="1:35" s="16" customFormat="1" ht="12" x14ac:dyDescent="0.2">
      <c r="A168" s="2"/>
      <c r="B168" s="2"/>
      <c r="C168" s="2"/>
      <c r="D168" s="2"/>
      <c r="F168" s="383">
        <f t="shared" si="62"/>
        <v>157</v>
      </c>
      <c r="G168" s="384">
        <f t="shared" si="49"/>
        <v>47776</v>
      </c>
      <c r="H168" s="340">
        <f t="shared" si="50"/>
        <v>0</v>
      </c>
      <c r="I168" s="340">
        <f t="shared" si="51"/>
        <v>0</v>
      </c>
      <c r="J168" s="340">
        <f t="shared" si="59"/>
        <v>0</v>
      </c>
      <c r="K168" s="340">
        <f t="shared" si="60"/>
        <v>0</v>
      </c>
      <c r="L168" s="382">
        <f t="shared" si="63"/>
        <v>47484</v>
      </c>
      <c r="M168" s="382">
        <f t="shared" si="64"/>
        <v>47849</v>
      </c>
      <c r="N168" s="382">
        <f t="shared" si="65"/>
        <v>47119</v>
      </c>
      <c r="O168" s="340">
        <f t="shared" si="52"/>
        <v>0</v>
      </c>
      <c r="P168" s="340">
        <f t="shared" si="69"/>
        <v>0</v>
      </c>
      <c r="Q168" s="340">
        <f t="shared" si="66"/>
        <v>0</v>
      </c>
      <c r="R168" s="340">
        <f t="shared" si="53"/>
        <v>0</v>
      </c>
      <c r="S168" s="340">
        <f t="shared" si="68"/>
        <v>0</v>
      </c>
      <c r="T168" s="340">
        <f t="shared" si="54"/>
        <v>0</v>
      </c>
      <c r="U168" s="340">
        <f t="shared" si="61"/>
        <v>0</v>
      </c>
      <c r="V168" s="340">
        <f t="shared" si="55"/>
        <v>0</v>
      </c>
      <c r="W168" s="198">
        <f t="shared" si="67"/>
        <v>0</v>
      </c>
      <c r="X168" s="36">
        <f t="shared" si="56"/>
        <v>0</v>
      </c>
      <c r="Y168" s="2"/>
      <c r="Z168" s="34">
        <f t="shared" si="57"/>
        <v>0</v>
      </c>
      <c r="AA168" s="57">
        <f t="shared" si="58"/>
        <v>100303</v>
      </c>
      <c r="AB168" s="96"/>
      <c r="AC168" s="96"/>
      <c r="AD168" s="96"/>
      <c r="AE168" s="96"/>
      <c r="AF168" s="96"/>
      <c r="AG168" s="96"/>
      <c r="AH168" s="96"/>
      <c r="AI168" s="96"/>
    </row>
    <row r="169" spans="1:35" s="16" customFormat="1" ht="12" x14ac:dyDescent="0.2">
      <c r="A169" s="2"/>
      <c r="B169" s="2"/>
      <c r="C169" s="2"/>
      <c r="D169" s="2"/>
      <c r="E169" s="2"/>
      <c r="F169" s="383">
        <f t="shared" si="62"/>
        <v>158</v>
      </c>
      <c r="G169" s="384">
        <f t="shared" si="49"/>
        <v>47807</v>
      </c>
      <c r="H169" s="340">
        <f t="shared" si="50"/>
        <v>0</v>
      </c>
      <c r="I169" s="340">
        <f t="shared" si="51"/>
        <v>0</v>
      </c>
      <c r="J169" s="340">
        <f t="shared" si="59"/>
        <v>0</v>
      </c>
      <c r="K169" s="340">
        <f t="shared" si="60"/>
        <v>0</v>
      </c>
      <c r="L169" s="382">
        <f t="shared" si="63"/>
        <v>47484</v>
      </c>
      <c r="M169" s="382">
        <f t="shared" si="64"/>
        <v>47849</v>
      </c>
      <c r="N169" s="382">
        <f t="shared" si="65"/>
        <v>47119</v>
      </c>
      <c r="O169" s="340">
        <f t="shared" si="52"/>
        <v>0</v>
      </c>
      <c r="P169" s="340">
        <f t="shared" si="69"/>
        <v>0</v>
      </c>
      <c r="Q169" s="340">
        <f t="shared" si="66"/>
        <v>0</v>
      </c>
      <c r="R169" s="340">
        <f t="shared" si="53"/>
        <v>0</v>
      </c>
      <c r="S169" s="340">
        <f t="shared" si="68"/>
        <v>0</v>
      </c>
      <c r="T169" s="340">
        <f t="shared" si="54"/>
        <v>0</v>
      </c>
      <c r="U169" s="340">
        <f t="shared" si="61"/>
        <v>0</v>
      </c>
      <c r="V169" s="340">
        <f t="shared" si="55"/>
        <v>0</v>
      </c>
      <c r="W169" s="198">
        <f t="shared" si="67"/>
        <v>0</v>
      </c>
      <c r="X169" s="36">
        <f t="shared" si="56"/>
        <v>0</v>
      </c>
      <c r="Y169" s="2"/>
      <c r="Z169" s="34">
        <f t="shared" si="57"/>
        <v>0</v>
      </c>
      <c r="AA169" s="57">
        <f t="shared" si="58"/>
        <v>100668</v>
      </c>
      <c r="AB169" s="96"/>
      <c r="AC169" s="96"/>
      <c r="AD169" s="96"/>
      <c r="AE169" s="96"/>
      <c r="AF169" s="96"/>
      <c r="AG169" s="96"/>
      <c r="AH169" s="96"/>
      <c r="AI169" s="96"/>
    </row>
    <row r="170" spans="1:35" s="16" customFormat="1" ht="12" x14ac:dyDescent="0.2">
      <c r="A170" s="2"/>
      <c r="B170" s="2"/>
      <c r="C170" s="2"/>
      <c r="D170" s="2"/>
      <c r="E170" s="2"/>
      <c r="F170" s="383">
        <f t="shared" si="62"/>
        <v>159</v>
      </c>
      <c r="G170" s="384">
        <f t="shared" si="49"/>
        <v>47837</v>
      </c>
      <c r="H170" s="340">
        <f t="shared" si="50"/>
        <v>0</v>
      </c>
      <c r="I170" s="340">
        <f t="shared" si="51"/>
        <v>0</v>
      </c>
      <c r="J170" s="340">
        <f t="shared" si="59"/>
        <v>0</v>
      </c>
      <c r="K170" s="340">
        <f t="shared" si="60"/>
        <v>0</v>
      </c>
      <c r="L170" s="382">
        <f t="shared" si="63"/>
        <v>47484</v>
      </c>
      <c r="M170" s="382">
        <f t="shared" si="64"/>
        <v>47849</v>
      </c>
      <c r="N170" s="382">
        <f t="shared" si="65"/>
        <v>47119</v>
      </c>
      <c r="O170" s="340">
        <f t="shared" si="52"/>
        <v>0</v>
      </c>
      <c r="P170" s="340">
        <f t="shared" si="69"/>
        <v>0</v>
      </c>
      <c r="Q170" s="340">
        <f t="shared" si="66"/>
        <v>0</v>
      </c>
      <c r="R170" s="340">
        <f t="shared" si="53"/>
        <v>0</v>
      </c>
      <c r="S170" s="340">
        <f t="shared" si="68"/>
        <v>0</v>
      </c>
      <c r="T170" s="340">
        <f t="shared" si="54"/>
        <v>0</v>
      </c>
      <c r="U170" s="340">
        <f t="shared" si="61"/>
        <v>0</v>
      </c>
      <c r="V170" s="340">
        <f t="shared" si="55"/>
        <v>0</v>
      </c>
      <c r="W170" s="198">
        <f t="shared" si="67"/>
        <v>0</v>
      </c>
      <c r="X170" s="36">
        <f t="shared" si="56"/>
        <v>0</v>
      </c>
      <c r="Y170" s="2"/>
      <c r="Z170" s="34">
        <f t="shared" si="57"/>
        <v>0</v>
      </c>
      <c r="AA170" s="57">
        <f t="shared" si="58"/>
        <v>101033</v>
      </c>
      <c r="AB170" s="96"/>
      <c r="AC170" s="96"/>
      <c r="AD170" s="96"/>
      <c r="AE170" s="96"/>
      <c r="AF170" s="96"/>
      <c r="AG170" s="96"/>
      <c r="AH170" s="96"/>
      <c r="AI170" s="96"/>
    </row>
    <row r="171" spans="1:35" s="16" customFormat="1" ht="12" x14ac:dyDescent="0.2">
      <c r="A171" s="2"/>
      <c r="B171" s="2"/>
      <c r="C171" s="2"/>
      <c r="D171" s="2"/>
      <c r="E171" s="2"/>
      <c r="F171" s="383">
        <f t="shared" si="62"/>
        <v>160</v>
      </c>
      <c r="G171" s="384">
        <f t="shared" si="49"/>
        <v>47868</v>
      </c>
      <c r="H171" s="340">
        <f t="shared" si="50"/>
        <v>0</v>
      </c>
      <c r="I171" s="340">
        <f t="shared" si="51"/>
        <v>0</v>
      </c>
      <c r="J171" s="340">
        <f t="shared" si="59"/>
        <v>0</v>
      </c>
      <c r="K171" s="340">
        <f t="shared" si="60"/>
        <v>0</v>
      </c>
      <c r="L171" s="382">
        <f t="shared" si="63"/>
        <v>47849</v>
      </c>
      <c r="M171" s="382">
        <f t="shared" si="64"/>
        <v>48214</v>
      </c>
      <c r="N171" s="382">
        <f t="shared" si="65"/>
        <v>47484</v>
      </c>
      <c r="O171" s="340">
        <f t="shared" si="52"/>
        <v>0</v>
      </c>
      <c r="P171" s="340">
        <f t="shared" si="69"/>
        <v>0</v>
      </c>
      <c r="Q171" s="340">
        <f t="shared" si="66"/>
        <v>0</v>
      </c>
      <c r="R171" s="340">
        <f t="shared" si="53"/>
        <v>0</v>
      </c>
      <c r="S171" s="340">
        <f t="shared" si="68"/>
        <v>0</v>
      </c>
      <c r="T171" s="340">
        <f t="shared" si="54"/>
        <v>0</v>
      </c>
      <c r="U171" s="340">
        <f t="shared" si="61"/>
        <v>0</v>
      </c>
      <c r="V171" s="340">
        <f t="shared" si="55"/>
        <v>0</v>
      </c>
      <c r="W171" s="198">
        <f t="shared" si="67"/>
        <v>0</v>
      </c>
      <c r="X171" s="36">
        <f t="shared" si="56"/>
        <v>0</v>
      </c>
      <c r="Y171" s="2"/>
      <c r="Z171" s="34">
        <f t="shared" si="57"/>
        <v>0</v>
      </c>
      <c r="AA171" s="57">
        <f t="shared" si="58"/>
        <v>101398</v>
      </c>
      <c r="AB171" s="96"/>
      <c r="AC171" s="96"/>
      <c r="AD171" s="96"/>
      <c r="AE171" s="96"/>
      <c r="AF171" s="96"/>
      <c r="AG171" s="96"/>
      <c r="AH171" s="96"/>
      <c r="AI171" s="96"/>
    </row>
    <row r="172" spans="1:35" s="16" customFormat="1" ht="12" x14ac:dyDescent="0.2">
      <c r="A172" s="2"/>
      <c r="B172" s="2"/>
      <c r="C172" s="2"/>
      <c r="D172" s="2"/>
      <c r="E172" s="2"/>
      <c r="F172" s="383">
        <f t="shared" si="62"/>
        <v>161</v>
      </c>
      <c r="G172" s="384">
        <f t="shared" si="49"/>
        <v>47899</v>
      </c>
      <c r="H172" s="340">
        <f t="shared" ref="H172:H191" si="70">IF(F172&lt;=$I$7,I172+P172,IF(AND(V171+P172+I172&gt;H171,H171&lt;&gt;0),$C$21,IF(V171=0,0,V171+P172+I172+I173)))</f>
        <v>0</v>
      </c>
      <c r="I172" s="340">
        <f t="shared" si="51"/>
        <v>0</v>
      </c>
      <c r="J172" s="340">
        <f t="shared" si="59"/>
        <v>0</v>
      </c>
      <c r="K172" s="340">
        <f t="shared" si="60"/>
        <v>0</v>
      </c>
      <c r="L172" s="382">
        <f t="shared" si="63"/>
        <v>47849</v>
      </c>
      <c r="M172" s="382">
        <f t="shared" si="64"/>
        <v>48214</v>
      </c>
      <c r="N172" s="382">
        <f t="shared" si="65"/>
        <v>47484</v>
      </c>
      <c r="O172" s="340">
        <f t="shared" si="52"/>
        <v>0</v>
      </c>
      <c r="P172" s="340">
        <f t="shared" si="69"/>
        <v>0</v>
      </c>
      <c r="Q172" s="340">
        <f t="shared" si="66"/>
        <v>0</v>
      </c>
      <c r="R172" s="340">
        <f t="shared" si="53"/>
        <v>0</v>
      </c>
      <c r="S172" s="340">
        <f t="shared" si="68"/>
        <v>0</v>
      </c>
      <c r="T172" s="340">
        <f t="shared" si="54"/>
        <v>0</v>
      </c>
      <c r="U172" s="340">
        <f t="shared" si="61"/>
        <v>0</v>
      </c>
      <c r="V172" s="340">
        <f t="shared" si="55"/>
        <v>0</v>
      </c>
      <c r="W172" s="198">
        <f t="shared" si="67"/>
        <v>0</v>
      </c>
      <c r="X172" s="36">
        <f t="shared" si="56"/>
        <v>0</v>
      </c>
      <c r="Y172" s="2"/>
      <c r="Z172" s="34">
        <f t="shared" si="57"/>
        <v>0</v>
      </c>
      <c r="AA172" s="57">
        <f t="shared" si="58"/>
        <v>101763</v>
      </c>
      <c r="AB172" s="96"/>
      <c r="AC172" s="96"/>
      <c r="AD172" s="96"/>
      <c r="AE172" s="96"/>
      <c r="AF172" s="96"/>
      <c r="AG172" s="96"/>
      <c r="AH172" s="96"/>
      <c r="AI172" s="96"/>
    </row>
    <row r="173" spans="1:35" s="16" customFormat="1" ht="12" x14ac:dyDescent="0.2">
      <c r="A173" s="2"/>
      <c r="B173" s="2"/>
      <c r="C173" s="13"/>
      <c r="D173" s="2"/>
      <c r="E173" s="2"/>
      <c r="F173" s="383">
        <f t="shared" si="62"/>
        <v>162</v>
      </c>
      <c r="G173" s="384">
        <f t="shared" si="49"/>
        <v>47927</v>
      </c>
      <c r="H173" s="340">
        <f t="shared" si="70"/>
        <v>0</v>
      </c>
      <c r="I173" s="340">
        <f t="shared" si="51"/>
        <v>0</v>
      </c>
      <c r="J173" s="340">
        <f t="shared" si="59"/>
        <v>0</v>
      </c>
      <c r="K173" s="340">
        <f t="shared" si="60"/>
        <v>0</v>
      </c>
      <c r="L173" s="382">
        <f t="shared" si="63"/>
        <v>47849</v>
      </c>
      <c r="M173" s="382">
        <f t="shared" si="64"/>
        <v>48214</v>
      </c>
      <c r="N173" s="382">
        <f t="shared" si="65"/>
        <v>47484</v>
      </c>
      <c r="O173" s="340">
        <f t="shared" si="52"/>
        <v>0</v>
      </c>
      <c r="P173" s="340">
        <f t="shared" si="69"/>
        <v>0</v>
      </c>
      <c r="Q173" s="340">
        <f t="shared" si="66"/>
        <v>0</v>
      </c>
      <c r="R173" s="340">
        <f t="shared" si="53"/>
        <v>0</v>
      </c>
      <c r="S173" s="340">
        <f t="shared" si="68"/>
        <v>0</v>
      </c>
      <c r="T173" s="340">
        <f t="shared" si="54"/>
        <v>0</v>
      </c>
      <c r="U173" s="340">
        <f t="shared" si="61"/>
        <v>0</v>
      </c>
      <c r="V173" s="340">
        <f t="shared" si="55"/>
        <v>0</v>
      </c>
      <c r="W173" s="198">
        <f t="shared" si="67"/>
        <v>0</v>
      </c>
      <c r="X173" s="36">
        <f t="shared" si="56"/>
        <v>0</v>
      </c>
      <c r="Y173" s="2"/>
      <c r="Z173" s="34">
        <f t="shared" si="57"/>
        <v>0</v>
      </c>
      <c r="AA173" s="57">
        <f t="shared" si="58"/>
        <v>102128</v>
      </c>
      <c r="AB173" s="96"/>
      <c r="AC173" s="96"/>
      <c r="AD173" s="96"/>
      <c r="AE173" s="96"/>
      <c r="AF173" s="96"/>
      <c r="AG173" s="96"/>
      <c r="AH173" s="96"/>
      <c r="AI173" s="96"/>
    </row>
    <row r="174" spans="1:35" s="16" customFormat="1" ht="12" x14ac:dyDescent="0.2">
      <c r="A174" s="2"/>
      <c r="B174" s="2"/>
      <c r="C174" s="2"/>
      <c r="D174" s="13"/>
      <c r="E174" s="2"/>
      <c r="F174" s="383">
        <f t="shared" si="62"/>
        <v>163</v>
      </c>
      <c r="G174" s="384">
        <f t="shared" si="49"/>
        <v>47958</v>
      </c>
      <c r="H174" s="340">
        <f t="shared" si="70"/>
        <v>0</v>
      </c>
      <c r="I174" s="340">
        <f t="shared" si="51"/>
        <v>0</v>
      </c>
      <c r="J174" s="340">
        <f t="shared" si="59"/>
        <v>0</v>
      </c>
      <c r="K174" s="340">
        <f t="shared" si="60"/>
        <v>0</v>
      </c>
      <c r="L174" s="382">
        <f t="shared" si="63"/>
        <v>47849</v>
      </c>
      <c r="M174" s="382">
        <f t="shared" si="64"/>
        <v>48214</v>
      </c>
      <c r="N174" s="382">
        <f t="shared" si="65"/>
        <v>47484</v>
      </c>
      <c r="O174" s="340">
        <f t="shared" si="52"/>
        <v>0</v>
      </c>
      <c r="P174" s="340">
        <f t="shared" si="69"/>
        <v>0</v>
      </c>
      <c r="Q174" s="340">
        <f t="shared" si="66"/>
        <v>0</v>
      </c>
      <c r="R174" s="340">
        <f t="shared" si="53"/>
        <v>0</v>
      </c>
      <c r="S174" s="340">
        <f t="shared" si="68"/>
        <v>0</v>
      </c>
      <c r="T174" s="340">
        <f t="shared" si="54"/>
        <v>0</v>
      </c>
      <c r="U174" s="340">
        <f t="shared" si="61"/>
        <v>0</v>
      </c>
      <c r="V174" s="340">
        <f t="shared" si="55"/>
        <v>0</v>
      </c>
      <c r="W174" s="198">
        <f t="shared" si="67"/>
        <v>0</v>
      </c>
      <c r="X174" s="36">
        <f t="shared" si="56"/>
        <v>0</v>
      </c>
      <c r="Y174" s="2"/>
      <c r="Z174" s="34">
        <f t="shared" si="57"/>
        <v>0</v>
      </c>
      <c r="AA174" s="57">
        <f t="shared" si="58"/>
        <v>102493</v>
      </c>
      <c r="AB174" s="96"/>
      <c r="AC174" s="96"/>
      <c r="AD174" s="96"/>
      <c r="AE174" s="96"/>
      <c r="AF174" s="96"/>
      <c r="AG174" s="96"/>
      <c r="AH174" s="96"/>
      <c r="AI174" s="96"/>
    </row>
    <row r="175" spans="1:35" s="16" customFormat="1" ht="12" x14ac:dyDescent="0.2">
      <c r="A175" s="2"/>
      <c r="B175" s="2"/>
      <c r="C175" s="2"/>
      <c r="D175" s="13"/>
      <c r="E175" s="2"/>
      <c r="F175" s="383">
        <f t="shared" si="62"/>
        <v>164</v>
      </c>
      <c r="G175" s="384">
        <f t="shared" si="49"/>
        <v>47988</v>
      </c>
      <c r="H175" s="340">
        <f t="shared" si="70"/>
        <v>0</v>
      </c>
      <c r="I175" s="340">
        <f t="shared" si="51"/>
        <v>0</v>
      </c>
      <c r="J175" s="340">
        <f t="shared" si="59"/>
        <v>0</v>
      </c>
      <c r="K175" s="340">
        <f t="shared" si="60"/>
        <v>0</v>
      </c>
      <c r="L175" s="382">
        <f t="shared" si="63"/>
        <v>47849</v>
      </c>
      <c r="M175" s="382">
        <f t="shared" si="64"/>
        <v>48214</v>
      </c>
      <c r="N175" s="382">
        <f t="shared" si="65"/>
        <v>47484</v>
      </c>
      <c r="O175" s="340">
        <f t="shared" si="52"/>
        <v>0</v>
      </c>
      <c r="P175" s="340">
        <f t="shared" si="69"/>
        <v>0</v>
      </c>
      <c r="Q175" s="340">
        <f t="shared" si="66"/>
        <v>0</v>
      </c>
      <c r="R175" s="340">
        <f t="shared" si="53"/>
        <v>0</v>
      </c>
      <c r="S175" s="340">
        <f t="shared" si="68"/>
        <v>0</v>
      </c>
      <c r="T175" s="340">
        <f t="shared" si="54"/>
        <v>0</v>
      </c>
      <c r="U175" s="340">
        <f t="shared" si="61"/>
        <v>0</v>
      </c>
      <c r="V175" s="340">
        <f t="shared" si="55"/>
        <v>0</v>
      </c>
      <c r="W175" s="198">
        <f t="shared" si="67"/>
        <v>0</v>
      </c>
      <c r="X175" s="36">
        <f t="shared" si="56"/>
        <v>0</v>
      </c>
      <c r="Y175" s="2"/>
      <c r="Z175" s="34">
        <f t="shared" si="57"/>
        <v>0</v>
      </c>
      <c r="AA175" s="57">
        <f t="shared" si="58"/>
        <v>102858</v>
      </c>
      <c r="AB175" s="96"/>
      <c r="AC175" s="96"/>
      <c r="AD175" s="96"/>
      <c r="AE175" s="96"/>
      <c r="AF175" s="96"/>
      <c r="AG175" s="96"/>
      <c r="AH175" s="96"/>
      <c r="AI175" s="96"/>
    </row>
    <row r="176" spans="1:35" s="16" customFormat="1" ht="12" x14ac:dyDescent="0.2">
      <c r="A176" s="2"/>
      <c r="B176" s="2"/>
      <c r="C176" s="2"/>
      <c r="D176" s="2"/>
      <c r="E176" s="2"/>
      <c r="F176" s="383">
        <f t="shared" si="62"/>
        <v>165</v>
      </c>
      <c r="G176" s="384">
        <f t="shared" si="49"/>
        <v>48019</v>
      </c>
      <c r="H176" s="340">
        <f t="shared" si="70"/>
        <v>0</v>
      </c>
      <c r="I176" s="340">
        <f t="shared" si="51"/>
        <v>0</v>
      </c>
      <c r="J176" s="340">
        <f t="shared" si="59"/>
        <v>0</v>
      </c>
      <c r="K176" s="340">
        <f t="shared" si="60"/>
        <v>0</v>
      </c>
      <c r="L176" s="382">
        <f t="shared" si="63"/>
        <v>47849</v>
      </c>
      <c r="M176" s="382">
        <f t="shared" si="64"/>
        <v>48214</v>
      </c>
      <c r="N176" s="382">
        <f t="shared" si="65"/>
        <v>47484</v>
      </c>
      <c r="O176" s="340">
        <f t="shared" si="52"/>
        <v>0</v>
      </c>
      <c r="P176" s="340">
        <f t="shared" si="69"/>
        <v>0</v>
      </c>
      <c r="Q176" s="340">
        <f t="shared" si="66"/>
        <v>0</v>
      </c>
      <c r="R176" s="340">
        <f t="shared" si="53"/>
        <v>0</v>
      </c>
      <c r="S176" s="340">
        <f t="shared" si="68"/>
        <v>0</v>
      </c>
      <c r="T176" s="340">
        <f t="shared" si="54"/>
        <v>0</v>
      </c>
      <c r="U176" s="340">
        <f t="shared" si="61"/>
        <v>0</v>
      </c>
      <c r="V176" s="340">
        <f t="shared" si="55"/>
        <v>0</v>
      </c>
      <c r="W176" s="198">
        <f t="shared" si="67"/>
        <v>0</v>
      </c>
      <c r="X176" s="36">
        <f t="shared" si="56"/>
        <v>0</v>
      </c>
      <c r="Y176" s="2"/>
      <c r="Z176" s="34">
        <f t="shared" si="57"/>
        <v>0</v>
      </c>
      <c r="AA176" s="57">
        <f t="shared" si="58"/>
        <v>103223</v>
      </c>
      <c r="AB176" s="96"/>
      <c r="AC176" s="96"/>
      <c r="AD176" s="96"/>
      <c r="AE176" s="96"/>
      <c r="AF176" s="96"/>
      <c r="AG176" s="96"/>
      <c r="AH176" s="96"/>
      <c r="AI176" s="96"/>
    </row>
    <row r="177" spans="1:35" s="16" customFormat="1" ht="12" x14ac:dyDescent="0.2">
      <c r="A177" s="2"/>
      <c r="B177" s="2"/>
      <c r="C177" s="2"/>
      <c r="D177" s="2"/>
      <c r="E177" s="2"/>
      <c r="F177" s="383">
        <f t="shared" si="62"/>
        <v>166</v>
      </c>
      <c r="G177" s="384">
        <f t="shared" si="49"/>
        <v>48049</v>
      </c>
      <c r="H177" s="340">
        <f t="shared" si="70"/>
        <v>0</v>
      </c>
      <c r="I177" s="340">
        <f t="shared" si="51"/>
        <v>0</v>
      </c>
      <c r="J177" s="340">
        <f t="shared" si="59"/>
        <v>0</v>
      </c>
      <c r="K177" s="340">
        <f t="shared" si="60"/>
        <v>0</v>
      </c>
      <c r="L177" s="382">
        <f t="shared" si="63"/>
        <v>47849</v>
      </c>
      <c r="M177" s="382">
        <f t="shared" si="64"/>
        <v>48214</v>
      </c>
      <c r="N177" s="382">
        <f t="shared" si="65"/>
        <v>47484</v>
      </c>
      <c r="O177" s="340">
        <f t="shared" si="52"/>
        <v>0</v>
      </c>
      <c r="P177" s="340">
        <f t="shared" si="69"/>
        <v>0</v>
      </c>
      <c r="Q177" s="340">
        <f t="shared" si="66"/>
        <v>0</v>
      </c>
      <c r="R177" s="340">
        <f t="shared" si="53"/>
        <v>0</v>
      </c>
      <c r="S177" s="340">
        <f t="shared" si="68"/>
        <v>0</v>
      </c>
      <c r="T177" s="340">
        <f t="shared" si="54"/>
        <v>0</v>
      </c>
      <c r="U177" s="340">
        <f t="shared" si="61"/>
        <v>0</v>
      </c>
      <c r="V177" s="340">
        <f t="shared" si="55"/>
        <v>0</v>
      </c>
      <c r="W177" s="198">
        <f t="shared" si="67"/>
        <v>0</v>
      </c>
      <c r="X177" s="36">
        <f t="shared" si="56"/>
        <v>0</v>
      </c>
      <c r="Y177" s="2"/>
      <c r="Z177" s="34">
        <f t="shared" si="57"/>
        <v>0</v>
      </c>
      <c r="AA177" s="57">
        <f t="shared" si="58"/>
        <v>103588</v>
      </c>
      <c r="AB177" s="96"/>
      <c r="AC177" s="96"/>
      <c r="AD177" s="96"/>
      <c r="AE177" s="96"/>
      <c r="AF177" s="96"/>
      <c r="AG177" s="96"/>
      <c r="AH177" s="96"/>
      <c r="AI177" s="96"/>
    </row>
    <row r="178" spans="1:35" s="16" customFormat="1" ht="12" x14ac:dyDescent="0.2">
      <c r="A178" s="2"/>
      <c r="B178" s="2"/>
      <c r="C178" s="2"/>
      <c r="D178" s="2"/>
      <c r="E178" s="2"/>
      <c r="F178" s="383">
        <f t="shared" si="62"/>
        <v>167</v>
      </c>
      <c r="G178" s="384">
        <f t="shared" si="49"/>
        <v>48080</v>
      </c>
      <c r="H178" s="340">
        <f t="shared" si="70"/>
        <v>0</v>
      </c>
      <c r="I178" s="340">
        <f t="shared" si="51"/>
        <v>0</v>
      </c>
      <c r="J178" s="340">
        <f t="shared" si="59"/>
        <v>0</v>
      </c>
      <c r="K178" s="340">
        <f t="shared" si="60"/>
        <v>0</v>
      </c>
      <c r="L178" s="382">
        <f t="shared" si="63"/>
        <v>47849</v>
      </c>
      <c r="M178" s="382">
        <f t="shared" si="64"/>
        <v>48214</v>
      </c>
      <c r="N178" s="382">
        <f t="shared" si="65"/>
        <v>47484</v>
      </c>
      <c r="O178" s="340">
        <f t="shared" si="52"/>
        <v>0</v>
      </c>
      <c r="P178" s="340">
        <f t="shared" si="69"/>
        <v>0</v>
      </c>
      <c r="Q178" s="340">
        <f t="shared" si="66"/>
        <v>0</v>
      </c>
      <c r="R178" s="340">
        <f t="shared" si="53"/>
        <v>0</v>
      </c>
      <c r="S178" s="340">
        <f t="shared" si="68"/>
        <v>0</v>
      </c>
      <c r="T178" s="340">
        <f t="shared" si="54"/>
        <v>0</v>
      </c>
      <c r="U178" s="340">
        <f t="shared" si="61"/>
        <v>0</v>
      </c>
      <c r="V178" s="340">
        <f t="shared" si="55"/>
        <v>0</v>
      </c>
      <c r="W178" s="198">
        <f t="shared" si="67"/>
        <v>0</v>
      </c>
      <c r="X178" s="36">
        <f t="shared" si="56"/>
        <v>0</v>
      </c>
      <c r="Y178" s="2"/>
      <c r="Z178" s="34">
        <f t="shared" si="57"/>
        <v>0</v>
      </c>
      <c r="AA178" s="57">
        <f t="shared" si="58"/>
        <v>103953</v>
      </c>
      <c r="AB178" s="96"/>
      <c r="AC178" s="96"/>
      <c r="AD178" s="96"/>
      <c r="AE178" s="96"/>
      <c r="AF178" s="96"/>
      <c r="AG178" s="96"/>
      <c r="AH178" s="96"/>
      <c r="AI178" s="96"/>
    </row>
    <row r="179" spans="1:35" s="16" customFormat="1" ht="12" x14ac:dyDescent="0.2">
      <c r="A179" s="2"/>
      <c r="B179" s="2"/>
      <c r="C179" s="2"/>
      <c r="D179" s="2"/>
      <c r="E179" s="2"/>
      <c r="F179" s="383">
        <f t="shared" si="62"/>
        <v>168</v>
      </c>
      <c r="G179" s="384">
        <f t="shared" si="49"/>
        <v>48111</v>
      </c>
      <c r="H179" s="340">
        <f t="shared" si="70"/>
        <v>0</v>
      </c>
      <c r="I179" s="340">
        <f t="shared" si="51"/>
        <v>0</v>
      </c>
      <c r="J179" s="340">
        <f t="shared" si="59"/>
        <v>0</v>
      </c>
      <c r="K179" s="340">
        <f t="shared" si="60"/>
        <v>0</v>
      </c>
      <c r="L179" s="382">
        <f t="shared" si="63"/>
        <v>47849</v>
      </c>
      <c r="M179" s="382">
        <f t="shared" si="64"/>
        <v>48214</v>
      </c>
      <c r="N179" s="382">
        <f t="shared" si="65"/>
        <v>47484</v>
      </c>
      <c r="O179" s="340">
        <f t="shared" si="52"/>
        <v>0</v>
      </c>
      <c r="P179" s="340">
        <f t="shared" ref="P179:P191" si="71">IF(R179&gt;$C$21,$C$21-I179,IF(X179=0,0,S179))</f>
        <v>0</v>
      </c>
      <c r="Q179" s="340">
        <f t="shared" si="66"/>
        <v>0</v>
      </c>
      <c r="R179" s="340">
        <f t="shared" si="53"/>
        <v>0</v>
      </c>
      <c r="S179" s="340">
        <f t="shared" si="68"/>
        <v>0</v>
      </c>
      <c r="T179" s="340">
        <f t="shared" si="54"/>
        <v>0</v>
      </c>
      <c r="U179" s="340">
        <f t="shared" si="61"/>
        <v>0</v>
      </c>
      <c r="V179" s="340">
        <f t="shared" si="55"/>
        <v>0</v>
      </c>
      <c r="W179" s="198">
        <f t="shared" si="67"/>
        <v>0</v>
      </c>
      <c r="X179" s="36">
        <f t="shared" si="56"/>
        <v>0</v>
      </c>
      <c r="Y179" s="2"/>
      <c r="Z179" s="34">
        <f t="shared" si="57"/>
        <v>0</v>
      </c>
      <c r="AA179" s="57">
        <f t="shared" si="58"/>
        <v>104318</v>
      </c>
      <c r="AB179" s="96"/>
      <c r="AC179" s="96"/>
      <c r="AD179" s="96"/>
      <c r="AE179" s="96"/>
      <c r="AF179" s="96"/>
      <c r="AG179" s="96"/>
      <c r="AH179" s="96"/>
      <c r="AI179" s="96"/>
    </row>
    <row r="180" spans="1:35" s="16" customFormat="1" ht="12" x14ac:dyDescent="0.2">
      <c r="A180" s="2"/>
      <c r="B180" s="2"/>
      <c r="C180" s="2"/>
      <c r="D180" s="2"/>
      <c r="E180" s="2"/>
      <c r="F180" s="383">
        <f t="shared" si="62"/>
        <v>169</v>
      </c>
      <c r="G180" s="384">
        <f t="shared" si="49"/>
        <v>48141</v>
      </c>
      <c r="H180" s="340">
        <f t="shared" si="70"/>
        <v>0</v>
      </c>
      <c r="I180" s="340">
        <f t="shared" si="51"/>
        <v>0</v>
      </c>
      <c r="J180" s="340">
        <f t="shared" si="59"/>
        <v>0</v>
      </c>
      <c r="K180" s="340">
        <f t="shared" si="60"/>
        <v>0</v>
      </c>
      <c r="L180" s="382">
        <f t="shared" si="63"/>
        <v>47849</v>
      </c>
      <c r="M180" s="382">
        <f t="shared" si="64"/>
        <v>48214</v>
      </c>
      <c r="N180" s="382">
        <f t="shared" si="65"/>
        <v>47484</v>
      </c>
      <c r="O180" s="340">
        <f t="shared" si="52"/>
        <v>0</v>
      </c>
      <c r="P180" s="340">
        <f t="shared" si="71"/>
        <v>0</v>
      </c>
      <c r="Q180" s="340">
        <f t="shared" si="66"/>
        <v>0</v>
      </c>
      <c r="R180" s="340">
        <f t="shared" si="53"/>
        <v>0</v>
      </c>
      <c r="S180" s="340">
        <f t="shared" si="68"/>
        <v>0</v>
      </c>
      <c r="T180" s="340">
        <f t="shared" si="54"/>
        <v>0</v>
      </c>
      <c r="U180" s="340">
        <f t="shared" si="61"/>
        <v>0</v>
      </c>
      <c r="V180" s="340">
        <f t="shared" si="55"/>
        <v>0</v>
      </c>
      <c r="W180" s="198">
        <f t="shared" si="67"/>
        <v>0</v>
      </c>
      <c r="X180" s="36">
        <f t="shared" si="56"/>
        <v>0</v>
      </c>
      <c r="Y180" s="2"/>
      <c r="Z180" s="34">
        <f t="shared" si="57"/>
        <v>0</v>
      </c>
      <c r="AA180" s="57">
        <f t="shared" si="58"/>
        <v>104683</v>
      </c>
      <c r="AB180" s="96"/>
      <c r="AC180" s="96"/>
      <c r="AD180" s="96"/>
      <c r="AE180" s="96"/>
      <c r="AF180" s="96"/>
      <c r="AG180" s="96"/>
      <c r="AH180" s="96"/>
      <c r="AI180" s="96"/>
    </row>
    <row r="181" spans="1:35" s="16" customFormat="1" ht="12" x14ac:dyDescent="0.2">
      <c r="A181" s="2"/>
      <c r="B181" s="2"/>
      <c r="C181" s="2"/>
      <c r="D181" s="2"/>
      <c r="E181" s="2"/>
      <c r="F181" s="383">
        <f t="shared" si="62"/>
        <v>170</v>
      </c>
      <c r="G181" s="384">
        <f t="shared" si="49"/>
        <v>48172</v>
      </c>
      <c r="H181" s="340">
        <f t="shared" si="70"/>
        <v>0</v>
      </c>
      <c r="I181" s="340">
        <f t="shared" si="51"/>
        <v>0</v>
      </c>
      <c r="J181" s="340">
        <f t="shared" si="59"/>
        <v>0</v>
      </c>
      <c r="K181" s="340">
        <f t="shared" si="60"/>
        <v>0</v>
      </c>
      <c r="L181" s="382">
        <f t="shared" si="63"/>
        <v>47849</v>
      </c>
      <c r="M181" s="382">
        <f t="shared" si="64"/>
        <v>48214</v>
      </c>
      <c r="N181" s="382">
        <f t="shared" si="65"/>
        <v>47484</v>
      </c>
      <c r="O181" s="340">
        <f t="shared" si="52"/>
        <v>0</v>
      </c>
      <c r="P181" s="340">
        <f t="shared" si="71"/>
        <v>0</v>
      </c>
      <c r="Q181" s="340">
        <f t="shared" si="66"/>
        <v>0</v>
      </c>
      <c r="R181" s="340">
        <f t="shared" si="53"/>
        <v>0</v>
      </c>
      <c r="S181" s="340">
        <f t="shared" si="68"/>
        <v>0</v>
      </c>
      <c r="T181" s="340">
        <f t="shared" si="54"/>
        <v>0</v>
      </c>
      <c r="U181" s="340">
        <f t="shared" si="61"/>
        <v>0</v>
      </c>
      <c r="V181" s="340">
        <f t="shared" si="55"/>
        <v>0</v>
      </c>
      <c r="W181" s="198">
        <f t="shared" si="67"/>
        <v>0</v>
      </c>
      <c r="X181" s="36">
        <f t="shared" si="56"/>
        <v>0</v>
      </c>
      <c r="Y181" s="2"/>
      <c r="Z181" s="34">
        <f t="shared" si="57"/>
        <v>0</v>
      </c>
      <c r="AA181" s="57">
        <f t="shared" si="58"/>
        <v>105048</v>
      </c>
      <c r="AB181" s="96"/>
      <c r="AC181" s="96"/>
      <c r="AD181" s="96"/>
      <c r="AE181" s="96"/>
      <c r="AF181" s="96"/>
      <c r="AG181" s="96"/>
      <c r="AH181" s="96"/>
      <c r="AI181" s="96"/>
    </row>
    <row r="182" spans="1:35" s="16" customFormat="1" ht="12" x14ac:dyDescent="0.2">
      <c r="A182" s="2"/>
      <c r="B182" s="2"/>
      <c r="C182" s="2"/>
      <c r="D182" s="2"/>
      <c r="E182" s="2"/>
      <c r="F182" s="383">
        <f t="shared" si="62"/>
        <v>171</v>
      </c>
      <c r="G182" s="384">
        <f t="shared" si="49"/>
        <v>48202</v>
      </c>
      <c r="H182" s="340">
        <f t="shared" si="70"/>
        <v>0</v>
      </c>
      <c r="I182" s="340">
        <f t="shared" si="51"/>
        <v>0</v>
      </c>
      <c r="J182" s="340">
        <f t="shared" si="59"/>
        <v>0</v>
      </c>
      <c r="K182" s="340">
        <f t="shared" si="60"/>
        <v>0</v>
      </c>
      <c r="L182" s="382">
        <f t="shared" si="63"/>
        <v>47849</v>
      </c>
      <c r="M182" s="382">
        <f t="shared" si="64"/>
        <v>48214</v>
      </c>
      <c r="N182" s="382">
        <f t="shared" si="65"/>
        <v>47484</v>
      </c>
      <c r="O182" s="340">
        <f t="shared" si="52"/>
        <v>0</v>
      </c>
      <c r="P182" s="340">
        <f t="shared" si="71"/>
        <v>0</v>
      </c>
      <c r="Q182" s="340">
        <f t="shared" si="66"/>
        <v>0</v>
      </c>
      <c r="R182" s="340">
        <f t="shared" si="53"/>
        <v>0</v>
      </c>
      <c r="S182" s="340">
        <f t="shared" si="68"/>
        <v>0</v>
      </c>
      <c r="T182" s="340">
        <f t="shared" si="54"/>
        <v>0</v>
      </c>
      <c r="U182" s="340">
        <f t="shared" si="61"/>
        <v>0</v>
      </c>
      <c r="V182" s="340">
        <f t="shared" si="55"/>
        <v>0</v>
      </c>
      <c r="W182" s="198">
        <f t="shared" si="67"/>
        <v>0</v>
      </c>
      <c r="X182" s="36">
        <f t="shared" si="56"/>
        <v>0</v>
      </c>
      <c r="Y182" s="2"/>
      <c r="Z182" s="34">
        <f t="shared" si="57"/>
        <v>0</v>
      </c>
      <c r="AA182" s="57">
        <f t="shared" si="58"/>
        <v>105413</v>
      </c>
      <c r="AB182" s="96"/>
      <c r="AC182" s="96"/>
      <c r="AD182" s="96"/>
      <c r="AE182" s="96"/>
      <c r="AF182" s="96"/>
      <c r="AG182" s="96"/>
      <c r="AH182" s="96"/>
      <c r="AI182" s="96"/>
    </row>
    <row r="183" spans="1:35" s="16" customFormat="1" ht="12" x14ac:dyDescent="0.2">
      <c r="A183" s="2"/>
      <c r="B183" s="2"/>
      <c r="C183" s="2"/>
      <c r="D183" s="2"/>
      <c r="E183" s="2"/>
      <c r="F183" s="383">
        <f t="shared" si="62"/>
        <v>172</v>
      </c>
      <c r="G183" s="384">
        <f t="shared" si="49"/>
        <v>48233</v>
      </c>
      <c r="H183" s="340">
        <f t="shared" si="70"/>
        <v>0</v>
      </c>
      <c r="I183" s="340">
        <f t="shared" si="51"/>
        <v>0</v>
      </c>
      <c r="J183" s="340">
        <f t="shared" si="59"/>
        <v>0</v>
      </c>
      <c r="K183" s="340">
        <f t="shared" si="60"/>
        <v>0</v>
      </c>
      <c r="L183" s="382">
        <f t="shared" si="63"/>
        <v>48214</v>
      </c>
      <c r="M183" s="382">
        <f t="shared" si="64"/>
        <v>48580</v>
      </c>
      <c r="N183" s="382">
        <f t="shared" si="65"/>
        <v>47849</v>
      </c>
      <c r="O183" s="340">
        <f t="shared" si="52"/>
        <v>0</v>
      </c>
      <c r="P183" s="340">
        <f t="shared" si="71"/>
        <v>0</v>
      </c>
      <c r="Q183" s="340">
        <f t="shared" si="66"/>
        <v>0</v>
      </c>
      <c r="R183" s="340">
        <f t="shared" si="53"/>
        <v>0</v>
      </c>
      <c r="S183" s="340">
        <f t="shared" si="68"/>
        <v>0</v>
      </c>
      <c r="T183" s="340">
        <f t="shared" si="54"/>
        <v>0</v>
      </c>
      <c r="U183" s="340">
        <f t="shared" si="61"/>
        <v>0</v>
      </c>
      <c r="V183" s="340">
        <f t="shared" si="55"/>
        <v>0</v>
      </c>
      <c r="W183" s="198">
        <f t="shared" si="67"/>
        <v>0</v>
      </c>
      <c r="X183" s="36">
        <f t="shared" si="56"/>
        <v>0</v>
      </c>
      <c r="Y183" s="2"/>
      <c r="Z183" s="34">
        <f t="shared" si="57"/>
        <v>0</v>
      </c>
      <c r="AA183" s="57">
        <f t="shared" si="58"/>
        <v>105778</v>
      </c>
      <c r="AB183" s="96"/>
      <c r="AC183" s="96"/>
      <c r="AD183" s="96"/>
      <c r="AE183" s="96"/>
      <c r="AF183" s="96"/>
      <c r="AG183" s="96"/>
      <c r="AH183" s="96"/>
      <c r="AI183" s="96"/>
    </row>
    <row r="184" spans="1:35" s="16" customFormat="1" ht="12" x14ac:dyDescent="0.2">
      <c r="A184" s="2"/>
      <c r="B184" s="2"/>
      <c r="C184" s="2"/>
      <c r="D184" s="2"/>
      <c r="E184" s="2"/>
      <c r="F184" s="383">
        <f t="shared" si="62"/>
        <v>173</v>
      </c>
      <c r="G184" s="384">
        <f t="shared" si="49"/>
        <v>48264</v>
      </c>
      <c r="H184" s="340">
        <f t="shared" si="70"/>
        <v>0</v>
      </c>
      <c r="I184" s="340">
        <f t="shared" si="51"/>
        <v>0</v>
      </c>
      <c r="J184" s="340">
        <f t="shared" si="59"/>
        <v>0</v>
      </c>
      <c r="K184" s="340">
        <f t="shared" si="60"/>
        <v>0</v>
      </c>
      <c r="L184" s="382">
        <f t="shared" si="63"/>
        <v>48214</v>
      </c>
      <c r="M184" s="382">
        <f t="shared" si="64"/>
        <v>48580</v>
      </c>
      <c r="N184" s="382">
        <f t="shared" si="65"/>
        <v>47849</v>
      </c>
      <c r="O184" s="340">
        <f t="shared" si="52"/>
        <v>0</v>
      </c>
      <c r="P184" s="340">
        <f t="shared" si="71"/>
        <v>0</v>
      </c>
      <c r="Q184" s="340">
        <f t="shared" si="66"/>
        <v>0</v>
      </c>
      <c r="R184" s="340">
        <f t="shared" si="53"/>
        <v>0</v>
      </c>
      <c r="S184" s="340">
        <f t="shared" si="68"/>
        <v>0</v>
      </c>
      <c r="T184" s="340">
        <f t="shared" si="54"/>
        <v>0</v>
      </c>
      <c r="U184" s="340">
        <f t="shared" si="61"/>
        <v>0</v>
      </c>
      <c r="V184" s="340">
        <f t="shared" si="55"/>
        <v>0</v>
      </c>
      <c r="W184" s="198">
        <f t="shared" si="67"/>
        <v>0</v>
      </c>
      <c r="X184" s="36">
        <f t="shared" si="56"/>
        <v>0</v>
      </c>
      <c r="Y184" s="2"/>
      <c r="Z184" s="34">
        <f t="shared" si="57"/>
        <v>0</v>
      </c>
      <c r="AA184" s="57">
        <f t="shared" si="58"/>
        <v>106143</v>
      </c>
      <c r="AB184" s="96"/>
      <c r="AC184" s="96"/>
      <c r="AD184" s="96"/>
      <c r="AE184" s="96"/>
      <c r="AF184" s="96"/>
      <c r="AG184" s="96"/>
      <c r="AH184" s="96"/>
      <c r="AI184" s="96"/>
    </row>
    <row r="185" spans="1:35" s="16" customFormat="1" ht="12" x14ac:dyDescent="0.2">
      <c r="A185" s="53"/>
      <c r="C185" s="2"/>
      <c r="D185" s="2"/>
      <c r="E185" s="2"/>
      <c r="F185" s="383">
        <f t="shared" si="62"/>
        <v>174</v>
      </c>
      <c r="G185" s="384">
        <f t="shared" si="49"/>
        <v>48293</v>
      </c>
      <c r="H185" s="340">
        <f t="shared" si="70"/>
        <v>0</v>
      </c>
      <c r="I185" s="340">
        <f t="shared" si="51"/>
        <v>0</v>
      </c>
      <c r="J185" s="340">
        <f t="shared" si="59"/>
        <v>0</v>
      </c>
      <c r="K185" s="340">
        <f t="shared" si="60"/>
        <v>0</v>
      </c>
      <c r="L185" s="382">
        <f t="shared" si="63"/>
        <v>48214</v>
      </c>
      <c r="M185" s="382">
        <f t="shared" si="64"/>
        <v>48580</v>
      </c>
      <c r="N185" s="382">
        <f t="shared" si="65"/>
        <v>47849</v>
      </c>
      <c r="O185" s="340">
        <f t="shared" si="52"/>
        <v>0</v>
      </c>
      <c r="P185" s="340">
        <f t="shared" si="71"/>
        <v>0</v>
      </c>
      <c r="Q185" s="340">
        <f t="shared" si="66"/>
        <v>0</v>
      </c>
      <c r="R185" s="340">
        <f t="shared" si="53"/>
        <v>0</v>
      </c>
      <c r="S185" s="340">
        <f t="shared" si="68"/>
        <v>0</v>
      </c>
      <c r="T185" s="340">
        <f t="shared" si="54"/>
        <v>0</v>
      </c>
      <c r="U185" s="340">
        <f t="shared" si="61"/>
        <v>0</v>
      </c>
      <c r="V185" s="340">
        <f t="shared" si="55"/>
        <v>0</v>
      </c>
      <c r="W185" s="198">
        <f t="shared" si="67"/>
        <v>0</v>
      </c>
      <c r="X185" s="36">
        <f t="shared" si="56"/>
        <v>0</v>
      </c>
      <c r="Y185" s="2"/>
      <c r="Z185" s="34">
        <f t="shared" si="57"/>
        <v>0</v>
      </c>
      <c r="AA185" s="57">
        <f t="shared" si="58"/>
        <v>106508</v>
      </c>
      <c r="AB185" s="96"/>
      <c r="AC185" s="96"/>
      <c r="AD185" s="96"/>
      <c r="AE185" s="96"/>
      <c r="AF185" s="96"/>
      <c r="AG185" s="96"/>
      <c r="AH185" s="96"/>
      <c r="AI185" s="96"/>
    </row>
    <row r="186" spans="1:35" s="16" customFormat="1" ht="12" x14ac:dyDescent="0.2">
      <c r="A186" s="53"/>
      <c r="B186" s="2"/>
      <c r="C186" s="2"/>
      <c r="D186" s="13"/>
      <c r="E186" s="2"/>
      <c r="F186" s="383">
        <f t="shared" si="62"/>
        <v>175</v>
      </c>
      <c r="G186" s="384">
        <f t="shared" si="49"/>
        <v>48324</v>
      </c>
      <c r="H186" s="340">
        <f t="shared" si="70"/>
        <v>0</v>
      </c>
      <c r="I186" s="340">
        <f t="shared" si="51"/>
        <v>0</v>
      </c>
      <c r="J186" s="340">
        <f t="shared" si="59"/>
        <v>0</v>
      </c>
      <c r="K186" s="340">
        <f t="shared" si="60"/>
        <v>0</v>
      </c>
      <c r="L186" s="382">
        <f t="shared" si="63"/>
        <v>48214</v>
      </c>
      <c r="M186" s="382">
        <f t="shared" si="64"/>
        <v>48580</v>
      </c>
      <c r="N186" s="382">
        <f t="shared" si="65"/>
        <v>47849</v>
      </c>
      <c r="O186" s="340">
        <f t="shared" si="52"/>
        <v>0</v>
      </c>
      <c r="P186" s="340">
        <f t="shared" si="71"/>
        <v>0</v>
      </c>
      <c r="Q186" s="340">
        <f t="shared" si="66"/>
        <v>0</v>
      </c>
      <c r="R186" s="340">
        <f t="shared" si="53"/>
        <v>0</v>
      </c>
      <c r="S186" s="340">
        <f t="shared" si="68"/>
        <v>0</v>
      </c>
      <c r="T186" s="340">
        <f t="shared" si="54"/>
        <v>0</v>
      </c>
      <c r="U186" s="340">
        <f t="shared" si="61"/>
        <v>0</v>
      </c>
      <c r="V186" s="340">
        <f t="shared" si="55"/>
        <v>0</v>
      </c>
      <c r="W186" s="198">
        <f t="shared" si="67"/>
        <v>0</v>
      </c>
      <c r="X186" s="36">
        <f t="shared" si="56"/>
        <v>0</v>
      </c>
      <c r="Y186" s="2"/>
      <c r="Z186" s="34">
        <f t="shared" si="57"/>
        <v>0</v>
      </c>
      <c r="AA186" s="57">
        <f t="shared" si="58"/>
        <v>106873</v>
      </c>
      <c r="AB186" s="96"/>
      <c r="AC186" s="96"/>
      <c r="AD186" s="96"/>
      <c r="AE186" s="96"/>
      <c r="AF186" s="96"/>
      <c r="AG186" s="96"/>
      <c r="AH186" s="96"/>
      <c r="AI186" s="96"/>
    </row>
    <row r="187" spans="1:35" s="16" customFormat="1" ht="12" x14ac:dyDescent="0.2">
      <c r="A187" s="2"/>
      <c r="B187" s="2"/>
      <c r="C187" s="1"/>
      <c r="D187" s="2"/>
      <c r="E187" s="2"/>
      <c r="F187" s="383">
        <f t="shared" si="62"/>
        <v>176</v>
      </c>
      <c r="G187" s="384">
        <f t="shared" si="49"/>
        <v>48354</v>
      </c>
      <c r="H187" s="340">
        <f t="shared" si="70"/>
        <v>0</v>
      </c>
      <c r="I187" s="340">
        <f t="shared" si="51"/>
        <v>0</v>
      </c>
      <c r="J187" s="340">
        <f t="shared" si="59"/>
        <v>0</v>
      </c>
      <c r="K187" s="340">
        <f t="shared" si="60"/>
        <v>0</v>
      </c>
      <c r="L187" s="382">
        <f t="shared" si="63"/>
        <v>48214</v>
      </c>
      <c r="M187" s="382">
        <f t="shared" si="64"/>
        <v>48580</v>
      </c>
      <c r="N187" s="382">
        <f t="shared" si="65"/>
        <v>47849</v>
      </c>
      <c r="O187" s="340">
        <f t="shared" si="52"/>
        <v>0</v>
      </c>
      <c r="P187" s="340">
        <f t="shared" si="71"/>
        <v>0</v>
      </c>
      <c r="Q187" s="340">
        <f t="shared" si="66"/>
        <v>0</v>
      </c>
      <c r="R187" s="340">
        <f t="shared" si="53"/>
        <v>0</v>
      </c>
      <c r="S187" s="340">
        <f t="shared" si="68"/>
        <v>0</v>
      </c>
      <c r="T187" s="340">
        <f t="shared" si="54"/>
        <v>0</v>
      </c>
      <c r="U187" s="340">
        <f t="shared" si="61"/>
        <v>0</v>
      </c>
      <c r="V187" s="340">
        <f t="shared" si="55"/>
        <v>0</v>
      </c>
      <c r="W187" s="198">
        <f t="shared" si="67"/>
        <v>0</v>
      </c>
      <c r="X187" s="36">
        <f t="shared" si="56"/>
        <v>0</v>
      </c>
      <c r="Y187" s="2"/>
      <c r="Z187" s="34">
        <f t="shared" si="57"/>
        <v>0</v>
      </c>
      <c r="AA187" s="57">
        <f t="shared" si="58"/>
        <v>107238</v>
      </c>
      <c r="AB187" s="96"/>
      <c r="AC187" s="96"/>
      <c r="AD187" s="96"/>
      <c r="AE187" s="96"/>
      <c r="AF187" s="96"/>
      <c r="AG187" s="96"/>
      <c r="AH187" s="96"/>
      <c r="AI187" s="96"/>
    </row>
    <row r="188" spans="1:35" s="16" customFormat="1" ht="12" x14ac:dyDescent="0.2">
      <c r="A188" s="2"/>
      <c r="B188" s="2"/>
      <c r="C188" s="1"/>
      <c r="D188" s="1"/>
      <c r="E188" s="2"/>
      <c r="F188" s="383">
        <f t="shared" si="62"/>
        <v>177</v>
      </c>
      <c r="G188" s="384">
        <f t="shared" si="49"/>
        <v>48385</v>
      </c>
      <c r="H188" s="340">
        <f t="shared" si="70"/>
        <v>0</v>
      </c>
      <c r="I188" s="340">
        <f t="shared" si="51"/>
        <v>0</v>
      </c>
      <c r="J188" s="340">
        <f t="shared" si="59"/>
        <v>0</v>
      </c>
      <c r="K188" s="340">
        <f t="shared" si="60"/>
        <v>0</v>
      </c>
      <c r="L188" s="382">
        <f t="shared" si="63"/>
        <v>48214</v>
      </c>
      <c r="M188" s="382">
        <f t="shared" si="64"/>
        <v>48580</v>
      </c>
      <c r="N188" s="382">
        <f t="shared" si="65"/>
        <v>47849</v>
      </c>
      <c r="O188" s="340">
        <f t="shared" si="52"/>
        <v>0</v>
      </c>
      <c r="P188" s="340">
        <f t="shared" si="71"/>
        <v>0</v>
      </c>
      <c r="Q188" s="340">
        <f t="shared" si="66"/>
        <v>0</v>
      </c>
      <c r="R188" s="340">
        <f t="shared" si="53"/>
        <v>0</v>
      </c>
      <c r="S188" s="340">
        <f t="shared" si="68"/>
        <v>0</v>
      </c>
      <c r="T188" s="340">
        <f t="shared" si="54"/>
        <v>0</v>
      </c>
      <c r="U188" s="340">
        <f t="shared" si="61"/>
        <v>0</v>
      </c>
      <c r="V188" s="340">
        <f t="shared" si="55"/>
        <v>0</v>
      </c>
      <c r="W188" s="198">
        <f t="shared" si="67"/>
        <v>0</v>
      </c>
      <c r="X188" s="36">
        <f t="shared" si="56"/>
        <v>0</v>
      </c>
      <c r="Y188" s="2"/>
      <c r="Z188" s="34">
        <f t="shared" si="57"/>
        <v>0</v>
      </c>
      <c r="AA188" s="57">
        <f t="shared" si="58"/>
        <v>107603</v>
      </c>
      <c r="AB188" s="96"/>
      <c r="AC188" s="96"/>
      <c r="AD188" s="96"/>
      <c r="AE188" s="96"/>
      <c r="AF188" s="96"/>
      <c r="AG188" s="96"/>
      <c r="AH188" s="96"/>
      <c r="AI188" s="96"/>
    </row>
    <row r="189" spans="1:35" s="16" customFormat="1" ht="12" x14ac:dyDescent="0.2">
      <c r="A189" s="2"/>
      <c r="B189" s="2"/>
      <c r="C189" s="1"/>
      <c r="D189" s="1"/>
      <c r="E189" s="2"/>
      <c r="F189" s="383">
        <f t="shared" si="62"/>
        <v>178</v>
      </c>
      <c r="G189" s="384">
        <f t="shared" si="49"/>
        <v>48415</v>
      </c>
      <c r="H189" s="340">
        <f t="shared" si="70"/>
        <v>0</v>
      </c>
      <c r="I189" s="340">
        <f t="shared" si="51"/>
        <v>0</v>
      </c>
      <c r="J189" s="340">
        <f t="shared" si="59"/>
        <v>0</v>
      </c>
      <c r="K189" s="340">
        <f t="shared" si="60"/>
        <v>0</v>
      </c>
      <c r="L189" s="382">
        <f t="shared" si="63"/>
        <v>48214</v>
      </c>
      <c r="M189" s="382">
        <f t="shared" si="64"/>
        <v>48580</v>
      </c>
      <c r="N189" s="382">
        <f t="shared" si="65"/>
        <v>47849</v>
      </c>
      <c r="O189" s="340">
        <f t="shared" si="52"/>
        <v>0</v>
      </c>
      <c r="P189" s="340">
        <f t="shared" si="71"/>
        <v>0</v>
      </c>
      <c r="Q189" s="340">
        <f t="shared" si="66"/>
        <v>0</v>
      </c>
      <c r="R189" s="340">
        <f t="shared" si="53"/>
        <v>0</v>
      </c>
      <c r="S189" s="340">
        <f t="shared" si="68"/>
        <v>0</v>
      </c>
      <c r="T189" s="340">
        <f t="shared" si="54"/>
        <v>0</v>
      </c>
      <c r="U189" s="340">
        <f t="shared" si="61"/>
        <v>0</v>
      </c>
      <c r="V189" s="340">
        <f t="shared" si="55"/>
        <v>0</v>
      </c>
      <c r="W189" s="198">
        <f t="shared" si="67"/>
        <v>0</v>
      </c>
      <c r="X189" s="36">
        <f t="shared" si="56"/>
        <v>0</v>
      </c>
      <c r="Y189" s="2"/>
      <c r="Z189" s="34">
        <f t="shared" si="57"/>
        <v>0</v>
      </c>
      <c r="AA189" s="57">
        <f t="shared" si="58"/>
        <v>107968</v>
      </c>
      <c r="AB189" s="96"/>
      <c r="AC189" s="96"/>
      <c r="AD189" s="96"/>
      <c r="AE189" s="96"/>
      <c r="AF189" s="96"/>
      <c r="AG189" s="96"/>
      <c r="AH189" s="96"/>
      <c r="AI189" s="96"/>
    </row>
    <row r="190" spans="1:35" s="16" customFormat="1" ht="12" x14ac:dyDescent="0.2">
      <c r="A190" s="2"/>
      <c r="B190" s="2"/>
      <c r="C190" s="1"/>
      <c r="D190" s="1"/>
      <c r="E190" s="2"/>
      <c r="F190" s="383">
        <f t="shared" si="62"/>
        <v>179</v>
      </c>
      <c r="G190" s="384">
        <f t="shared" si="49"/>
        <v>48446</v>
      </c>
      <c r="H190" s="340">
        <f t="shared" si="70"/>
        <v>0</v>
      </c>
      <c r="I190" s="340">
        <f t="shared" si="51"/>
        <v>0</v>
      </c>
      <c r="J190" s="340">
        <f t="shared" si="59"/>
        <v>0</v>
      </c>
      <c r="K190" s="340">
        <f t="shared" si="60"/>
        <v>0</v>
      </c>
      <c r="L190" s="382">
        <f t="shared" si="63"/>
        <v>48214</v>
      </c>
      <c r="M190" s="382">
        <f t="shared" si="64"/>
        <v>48580</v>
      </c>
      <c r="N190" s="382">
        <f t="shared" si="65"/>
        <v>47849</v>
      </c>
      <c r="O190" s="340">
        <f t="shared" si="52"/>
        <v>0</v>
      </c>
      <c r="P190" s="340">
        <f t="shared" si="71"/>
        <v>0</v>
      </c>
      <c r="Q190" s="340">
        <f t="shared" si="66"/>
        <v>0</v>
      </c>
      <c r="R190" s="340">
        <f t="shared" si="53"/>
        <v>0</v>
      </c>
      <c r="S190" s="340">
        <f t="shared" si="68"/>
        <v>0</v>
      </c>
      <c r="T190" s="340">
        <f t="shared" si="54"/>
        <v>0</v>
      </c>
      <c r="U190" s="340">
        <f t="shared" si="61"/>
        <v>0</v>
      </c>
      <c r="V190" s="340">
        <f t="shared" si="55"/>
        <v>0</v>
      </c>
      <c r="W190" s="198">
        <f t="shared" si="67"/>
        <v>0</v>
      </c>
      <c r="X190" s="36">
        <f t="shared" si="56"/>
        <v>0</v>
      </c>
      <c r="Y190" s="2"/>
      <c r="Z190" s="34">
        <f t="shared" si="57"/>
        <v>0</v>
      </c>
      <c r="AA190" s="57">
        <f t="shared" si="58"/>
        <v>108333</v>
      </c>
      <c r="AB190" s="96"/>
      <c r="AC190" s="96"/>
      <c r="AD190" s="96"/>
      <c r="AE190" s="96"/>
      <c r="AF190" s="96"/>
      <c r="AG190" s="96"/>
      <c r="AH190" s="96"/>
      <c r="AI190" s="96"/>
    </row>
    <row r="191" spans="1:35" s="16" customFormat="1" ht="12" x14ac:dyDescent="0.2">
      <c r="A191" s="2"/>
      <c r="B191" s="2"/>
      <c r="C191" s="1"/>
      <c r="D191" s="1"/>
      <c r="E191" s="2"/>
      <c r="F191" s="383">
        <f t="shared" si="62"/>
        <v>180</v>
      </c>
      <c r="G191" s="384">
        <f t="shared" si="49"/>
        <v>48477</v>
      </c>
      <c r="H191" s="340">
        <f t="shared" si="70"/>
        <v>0</v>
      </c>
      <c r="I191" s="340">
        <f t="shared" si="51"/>
        <v>0</v>
      </c>
      <c r="J191" s="340">
        <f t="shared" si="59"/>
        <v>0</v>
      </c>
      <c r="K191" s="340">
        <f t="shared" si="60"/>
        <v>0</v>
      </c>
      <c r="L191" s="382">
        <f t="shared" si="63"/>
        <v>48214</v>
      </c>
      <c r="M191" s="382">
        <f t="shared" si="64"/>
        <v>48580</v>
      </c>
      <c r="N191" s="382">
        <f t="shared" si="65"/>
        <v>47849</v>
      </c>
      <c r="O191" s="340">
        <f t="shared" si="52"/>
        <v>0</v>
      </c>
      <c r="P191" s="340">
        <f t="shared" si="71"/>
        <v>0</v>
      </c>
      <c r="Q191" s="340">
        <f t="shared" si="66"/>
        <v>0</v>
      </c>
      <c r="R191" s="340">
        <f t="shared" si="53"/>
        <v>0</v>
      </c>
      <c r="S191" s="340">
        <f t="shared" si="68"/>
        <v>0</v>
      </c>
      <c r="T191" s="340">
        <f t="shared" si="54"/>
        <v>0</v>
      </c>
      <c r="U191" s="340">
        <f t="shared" si="61"/>
        <v>0</v>
      </c>
      <c r="V191" s="340">
        <f t="shared" si="55"/>
        <v>0</v>
      </c>
      <c r="W191" s="198">
        <f t="shared" si="67"/>
        <v>0</v>
      </c>
      <c r="X191" s="36">
        <f t="shared" si="56"/>
        <v>0</v>
      </c>
      <c r="Y191" s="2"/>
      <c r="Z191" s="34">
        <f t="shared" si="57"/>
        <v>0</v>
      </c>
      <c r="AA191" s="57">
        <f t="shared" si="58"/>
        <v>108698</v>
      </c>
      <c r="AB191" s="96"/>
      <c r="AC191" s="96"/>
      <c r="AD191" s="96"/>
      <c r="AE191" s="96"/>
      <c r="AF191" s="96"/>
      <c r="AG191" s="96"/>
      <c r="AH191" s="96"/>
      <c r="AI191" s="96"/>
    </row>
    <row r="192" spans="1:35" s="16" customFormat="1" ht="12" x14ac:dyDescent="0.2">
      <c r="A192" s="2"/>
      <c r="B192" s="2"/>
      <c r="C192" s="1"/>
      <c r="D192" s="1"/>
      <c r="E192" s="2"/>
      <c r="F192" s="28"/>
      <c r="G192" s="29" t="s">
        <v>7</v>
      </c>
      <c r="H192" s="30">
        <f>SUM(H12:H191)</f>
        <v>1237325.1700000002</v>
      </c>
      <c r="I192" s="31">
        <f>SUM(I12:I191)</f>
        <v>274955.17</v>
      </c>
      <c r="J192" s="31"/>
      <c r="K192" s="31"/>
      <c r="L192" s="99"/>
      <c r="M192" s="99"/>
      <c r="N192" s="99"/>
      <c r="O192" s="30">
        <f>SUM(O12:O191)</f>
        <v>900000.00000000012</v>
      </c>
      <c r="P192" s="31">
        <f>SUM(P12:P191)</f>
        <v>62370</v>
      </c>
      <c r="Q192" s="31"/>
      <c r="R192" s="31"/>
      <c r="S192" s="31"/>
      <c r="T192" s="31"/>
      <c r="U192" s="31"/>
      <c r="V192" s="31"/>
      <c r="W192" s="31"/>
      <c r="X192" s="51"/>
      <c r="Y192" s="2"/>
      <c r="Z192" s="34"/>
      <c r="AC192" s="60"/>
    </row>
    <row r="193" spans="1:39" s="16" customFormat="1" ht="12" x14ac:dyDescent="0.2">
      <c r="A193" s="2"/>
      <c r="B193" s="2"/>
      <c r="C193" s="1"/>
      <c r="D193" s="1"/>
      <c r="E193" s="2"/>
      <c r="F193" s="32"/>
      <c r="H193" s="2"/>
      <c r="L193" s="60"/>
      <c r="M193" s="60"/>
      <c r="N193" s="60"/>
      <c r="O193" s="1"/>
      <c r="P193" s="33"/>
      <c r="Q193" s="33"/>
      <c r="R193" s="33"/>
      <c r="S193" s="33"/>
      <c r="T193" s="33"/>
      <c r="U193" s="33"/>
      <c r="V193" s="33"/>
      <c r="W193" s="33"/>
      <c r="X193" s="52"/>
      <c r="Y193" s="2"/>
      <c r="Z193" s="34"/>
      <c r="AC193" s="60"/>
    </row>
    <row r="194" spans="1:39" s="16" customFormat="1" x14ac:dyDescent="0.2">
      <c r="A194" s="2"/>
      <c r="B194" s="2"/>
      <c r="C194" s="1"/>
      <c r="D194" s="1"/>
      <c r="E194" s="2"/>
      <c r="F194" s="1"/>
      <c r="G194" s="53"/>
      <c r="H194" s="1"/>
      <c r="I194" s="54"/>
      <c r="J194" s="54"/>
      <c r="K194" s="54"/>
      <c r="L194" s="57"/>
      <c r="M194" s="57"/>
      <c r="N194" s="57"/>
      <c r="O194" s="1"/>
      <c r="P194" s="3"/>
      <c r="Q194" s="3"/>
      <c r="R194" s="3"/>
      <c r="S194" s="3"/>
      <c r="T194" s="3"/>
      <c r="U194" s="3"/>
      <c r="V194" s="2"/>
      <c r="W194" s="2"/>
      <c r="X194" s="44"/>
      <c r="Y194" s="2"/>
      <c r="Z194" s="34"/>
      <c r="AC194" s="57"/>
      <c r="AD194" s="2"/>
      <c r="AE194" s="2"/>
      <c r="AF194" s="2"/>
      <c r="AG194" s="2"/>
      <c r="AH194" s="2"/>
      <c r="AI194" s="2"/>
      <c r="AJ194" s="2"/>
      <c r="AK194" s="2"/>
    </row>
    <row r="195" spans="1:39" s="16" customFormat="1" ht="12" x14ac:dyDescent="0.2">
      <c r="A195" s="2"/>
      <c r="B195" s="2"/>
      <c r="C195" s="1"/>
      <c r="D195" s="1"/>
      <c r="E195" s="2"/>
      <c r="F195" s="1"/>
      <c r="G195" s="1"/>
      <c r="H195" s="1"/>
      <c r="I195" s="55"/>
      <c r="J195" s="55"/>
      <c r="K195" s="55"/>
      <c r="L195" s="100"/>
      <c r="M195" s="100"/>
      <c r="N195" s="100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2"/>
      <c r="Z195" s="34"/>
      <c r="AC195" s="57"/>
      <c r="AD195" s="2"/>
      <c r="AE195" s="2"/>
      <c r="AF195" s="2"/>
      <c r="AG195" s="2"/>
      <c r="AH195" s="2"/>
      <c r="AI195" s="2"/>
      <c r="AJ195" s="2"/>
      <c r="AK195" s="2"/>
    </row>
    <row r="196" spans="1:39" s="16" customFormat="1" x14ac:dyDescent="0.2">
      <c r="A196" s="2"/>
      <c r="B196" s="2"/>
      <c r="C196" s="1"/>
      <c r="D196" s="1"/>
      <c r="E196" s="2"/>
      <c r="F196" s="1"/>
      <c r="G196" s="1"/>
      <c r="H196" s="1"/>
      <c r="I196" s="2"/>
      <c r="J196" s="2"/>
      <c r="K196" s="2"/>
      <c r="L196" s="57"/>
      <c r="M196" s="57"/>
      <c r="N196" s="57"/>
      <c r="O196" s="1"/>
      <c r="P196" s="3"/>
      <c r="Q196" s="3"/>
      <c r="R196" s="3"/>
      <c r="S196" s="3"/>
      <c r="T196" s="3"/>
      <c r="U196" s="3"/>
      <c r="V196" s="2"/>
      <c r="W196" s="2"/>
      <c r="X196" s="44"/>
      <c r="Y196" s="2"/>
      <c r="Z196" s="35"/>
      <c r="AC196" s="57"/>
      <c r="AD196" s="2"/>
      <c r="AE196" s="2"/>
      <c r="AF196" s="2"/>
      <c r="AG196" s="2"/>
      <c r="AH196" s="2"/>
      <c r="AI196" s="2"/>
      <c r="AJ196" s="2"/>
      <c r="AK196" s="2"/>
    </row>
    <row r="197" spans="1:39" s="16" customFormat="1" x14ac:dyDescent="0.2">
      <c r="A197" s="2"/>
      <c r="B197" s="2"/>
      <c r="C197" s="1"/>
      <c r="D197" s="1"/>
      <c r="E197" s="2"/>
      <c r="F197" s="1"/>
      <c r="G197" s="1"/>
      <c r="H197" s="1"/>
      <c r="I197" s="2"/>
      <c r="J197" s="2"/>
      <c r="K197" s="2"/>
      <c r="L197" s="57"/>
      <c r="M197" s="57"/>
      <c r="N197" s="57"/>
      <c r="O197" s="1"/>
      <c r="P197" s="3"/>
      <c r="Q197" s="3"/>
      <c r="R197" s="3"/>
      <c r="S197" s="3"/>
      <c r="T197" s="3"/>
      <c r="U197" s="3"/>
      <c r="V197" s="2"/>
      <c r="W197" s="2"/>
      <c r="X197" s="44"/>
      <c r="Y197" s="2"/>
      <c r="Z197" s="2"/>
      <c r="AC197" s="57"/>
      <c r="AD197" s="2"/>
      <c r="AE197" s="2"/>
      <c r="AF197" s="2"/>
      <c r="AG197" s="2"/>
      <c r="AH197" s="2"/>
      <c r="AI197" s="2"/>
      <c r="AJ197" s="2"/>
      <c r="AK197" s="2"/>
    </row>
    <row r="198" spans="1:39" x14ac:dyDescent="0.2">
      <c r="AC198" s="57"/>
      <c r="AG198" s="2"/>
      <c r="AH198" s="2"/>
      <c r="AI198" s="2"/>
      <c r="AJ198" s="2"/>
      <c r="AM198" s="2"/>
    </row>
    <row r="199" spans="1:39" x14ac:dyDescent="0.2">
      <c r="Y199" s="55"/>
      <c r="Z199" s="55"/>
      <c r="AA199" s="55"/>
      <c r="AB199" s="55"/>
      <c r="AC199" s="55"/>
      <c r="AD199" s="55"/>
      <c r="AG199" s="55"/>
      <c r="AH199" s="55"/>
      <c r="AI199" s="55"/>
      <c r="AJ199" s="55"/>
    </row>
  </sheetData>
  <sheetProtection sheet="1" selectLockedCells="1"/>
  <mergeCells count="32">
    <mergeCell ref="C18:D18"/>
    <mergeCell ref="C19:D19"/>
    <mergeCell ref="F8:W9"/>
    <mergeCell ref="C10:D10"/>
    <mergeCell ref="C13:D13"/>
    <mergeCell ref="C14:D14"/>
    <mergeCell ref="C8:D9"/>
    <mergeCell ref="A1:D1"/>
    <mergeCell ref="A2:D2"/>
    <mergeCell ref="A8:B9"/>
    <mergeCell ref="A10:B10"/>
    <mergeCell ref="C15:D15"/>
    <mergeCell ref="A14:B14"/>
    <mergeCell ref="A15:B15"/>
    <mergeCell ref="A16:B16"/>
    <mergeCell ref="A17:D17"/>
    <mergeCell ref="A11:B11"/>
    <mergeCell ref="A12:B12"/>
    <mergeCell ref="C11:D11"/>
    <mergeCell ref="C12:D12"/>
    <mergeCell ref="A13:B13"/>
    <mergeCell ref="C16:D16"/>
    <mergeCell ref="A18:B18"/>
    <mergeCell ref="A19:B19"/>
    <mergeCell ref="A20:B20"/>
    <mergeCell ref="A21:B21"/>
    <mergeCell ref="A22:B22"/>
    <mergeCell ref="A23:B23"/>
    <mergeCell ref="A24:B24"/>
    <mergeCell ref="C20:D20"/>
    <mergeCell ref="C21:D21"/>
    <mergeCell ref="C22:D22"/>
  </mergeCells>
  <dataValidations count="3">
    <dataValidation type="list" allowBlank="1" showInputMessage="1" showErrorMessage="1" sqref="C13:D13">
      <formula1>$O$6:$P$6</formula1>
    </dataValidation>
    <dataValidation type="list" allowBlank="1" showInputMessage="1" showErrorMessage="1" sqref="C16:D16">
      <formula1>$O$3</formula1>
    </dataValidation>
    <dataValidation type="whole" allowBlank="1" showInputMessage="1" showErrorMessage="1" errorTitle="Срок погашения указан не верно" error="Выберите срок аннуитетного погашения не более 48 мес." prompt="Период аннуитетного погашения не более 48 мес." sqref="C15:D15">
      <formula1>1</formula1>
      <formula2>48</formula2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13</vt:i4>
      </vt:variant>
    </vt:vector>
  </HeadingPairs>
  <TitlesOfParts>
    <vt:vector size="37" baseType="lpstr">
      <vt:lpstr>Рефинансирование</vt:lpstr>
      <vt:lpstr>КЭШ, Реф</vt:lpstr>
      <vt:lpstr>Оптимистичный</vt:lpstr>
      <vt:lpstr>КЭШ, Реф (БВ_ОПТИ_Льготный)</vt:lpstr>
      <vt:lpstr>КЭШ, Реф (БВ_ОПТИ_Базовый)</vt:lpstr>
      <vt:lpstr>Автомобильный (с залогом ТС)</vt:lpstr>
      <vt:lpstr>КЭШ, Реф (БВ_АВТО_Базовый)</vt:lpstr>
      <vt:lpstr>Суперсмарт</vt:lpstr>
      <vt:lpstr>Практичный</vt:lpstr>
      <vt:lpstr>КЭШ, Реф (БВ_АВТО_Льготный)</vt:lpstr>
      <vt:lpstr>Стабильный + Промо</vt:lpstr>
      <vt:lpstr>Снижаем ставку</vt:lpstr>
      <vt:lpstr>Для снижаем ставку</vt:lpstr>
      <vt:lpstr>Прайм</vt:lpstr>
      <vt:lpstr>Перспектива</vt:lpstr>
      <vt:lpstr>Перспектива Лайт</vt:lpstr>
      <vt:lpstr>Для Перспективы</vt:lpstr>
      <vt:lpstr>Для Прайм</vt:lpstr>
      <vt:lpstr>Реф.-Перспектива</vt:lpstr>
      <vt:lpstr>Расчет даты для переноса</vt:lpstr>
      <vt:lpstr>ДиВ!_График МЕП</vt:lpstr>
      <vt:lpstr>ДиВ!_График по сроку</vt:lpstr>
      <vt:lpstr>Сумма первого МЕП по КК</vt:lpstr>
      <vt:lpstr>Образовательный</vt:lpstr>
      <vt:lpstr>'Автомобильный (с залогом ТС)'!Область_печати</vt:lpstr>
      <vt:lpstr>'КЭШ, Реф'!Область_печати</vt:lpstr>
      <vt:lpstr>'КЭШ, Реф (БВ_АВТО_Базовый)'!Область_печати</vt:lpstr>
      <vt:lpstr>'КЭШ, Реф (БВ_ОПТИ_Базовый)'!Область_печати</vt:lpstr>
      <vt:lpstr>Оптимистичный!Область_печати</vt:lpstr>
      <vt:lpstr>Перспектива!Область_печати</vt:lpstr>
      <vt:lpstr>'Перспектива Лайт'!Область_печати</vt:lpstr>
      <vt:lpstr>Прайм!Область_печати</vt:lpstr>
      <vt:lpstr>Практичный!Область_печати</vt:lpstr>
      <vt:lpstr>'Реф.-Перспектива'!Область_печати</vt:lpstr>
      <vt:lpstr>'Снижаем ставку'!Область_печати</vt:lpstr>
      <vt:lpstr>'Стабильный + Промо'!Область_печати</vt:lpstr>
      <vt:lpstr>Суперсмарт!Область_печати</vt:lpstr>
    </vt:vector>
  </TitlesOfParts>
  <Company>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Svedentsov</dc:creator>
  <cp:lastModifiedBy>Малышкин Андрей Анатольевич</cp:lastModifiedBy>
  <cp:lastPrinted>2021-03-10T09:32:59Z</cp:lastPrinted>
  <dcterms:created xsi:type="dcterms:W3CDTF">2002-06-26T12:14:04Z</dcterms:created>
  <dcterms:modified xsi:type="dcterms:W3CDTF">2024-01-24T15:54:35Z</dcterms:modified>
</cp:coreProperties>
</file>