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comments10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slicers/slicer1.xml" ContentType="application/vnd.ms-excel.slicer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DOCUMETOS\Curso Excel Sanfer II\Evaluaciones\"/>
    </mc:Choice>
  </mc:AlternateContent>
  <xr:revisionPtr revIDLastSave="0" documentId="8_{8B1EB303-8647-4AC1-A656-F038C02EA45D}" xr6:coauthVersionLast="47" xr6:coauthVersionMax="47" xr10:uidLastSave="{00000000-0000-0000-0000-000000000000}"/>
  <bookViews>
    <workbookView xWindow="-120" yWindow="-120" windowWidth="20730" windowHeight="11160" firstSheet="10" activeTab="12" xr2:uid="{00000000-000D-0000-FFFF-FFFF00000000}"/>
  </bookViews>
  <sheets>
    <sheet name="Lista de pedidos" sheetId="1" r:id="rId1"/>
    <sheet name="Clientes" sheetId="2" r:id="rId2"/>
    <sheet name="Proveedores" sheetId="4" r:id="rId3"/>
    <sheet name="Inventario" sheetId="5" r:id="rId4"/>
    <sheet name="GraficoInventario" sheetId="12" r:id="rId5"/>
    <sheet name="Hoja1" sheetId="16" r:id="rId6"/>
    <sheet name="Clasificación" sheetId="6" r:id="rId7"/>
    <sheet name="Grafico clasificación" sheetId="13" r:id="rId8"/>
    <sheet name="Auditoría" sheetId="7" r:id="rId9"/>
    <sheet name="RécordClientes" sheetId="8" r:id="rId10"/>
    <sheet name="RécordFacturas" sheetId="9" r:id="rId11"/>
    <sheet name="Top Empresas Mundial" sheetId="10" r:id="rId12"/>
    <sheet name="Top Empresas México" sheetId="11" r:id="rId13"/>
    <sheet name="T. Dinamicas Top Empresas Méxic" sheetId="14" state="hidden" r:id="rId14"/>
    <sheet name="Dashboard Top 10" sheetId="15" r:id="rId15"/>
  </sheets>
  <externalReferences>
    <externalReference r:id="rId16"/>
  </externalReferences>
  <definedNames>
    <definedName name="_xlnm._FilterDatabase" localSheetId="9" hidden="1">RécordClientes!$E$6:$J$33</definedName>
    <definedName name="_xlnm._FilterDatabase" localSheetId="10" hidden="1">RécordFacturas!$B$12:$B$66</definedName>
    <definedName name="_xlnm.Extract">#REF!</definedName>
    <definedName name="_xlnm.Print_Area" localSheetId="12">'Top Empresas México'!$B$4:$V$24</definedName>
    <definedName name="_xlnm.Print_Area" localSheetId="11">'Top Empresas Mundial'!$B$6:$U$26</definedName>
    <definedName name="_xlnm.Criteria">#REF!</definedName>
    <definedName name="Dias">#REF!</definedName>
    <definedName name="Monto">#REF!</definedName>
    <definedName name="Operación" localSheetId="8">Auditoría!$F$5:$F$25</definedName>
    <definedName name="Operación" localSheetId="6">[1]Auditoría!$F$3:$F$23</definedName>
    <definedName name="Operación" localSheetId="3">[1]Auditoría!$F$3:$F$23</definedName>
    <definedName name="Operación">#REF!</definedName>
    <definedName name="SegmentaciónDeDatos_Industria">#N/A</definedName>
    <definedName name="SegmentaciónDeDatos_Nombre">#N/A</definedName>
    <definedName name="Status">#REF!</definedName>
    <definedName name="Venta" localSheetId="8">Auditoría!$I$5:$I$25</definedName>
    <definedName name="Venta" localSheetId="6">[1]Auditoría!$I$3:$I$23</definedName>
    <definedName name="Venta" localSheetId="3">[1]Auditoría!$I$3:$I$23</definedName>
    <definedName name="Venta">#REF!</definedName>
  </definedNames>
  <calcPr calcId="181029"/>
  <pivotCaches>
    <pivotCache cacheId="2" r:id="rId17"/>
    <pivotCache cacheId="3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U25" i="11" l="1"/>
  <c r="G25" i="11"/>
  <c r="L24" i="11" s="1"/>
  <c r="F25" i="11"/>
  <c r="K24" i="11" s="1"/>
  <c r="E25" i="11"/>
  <c r="J23" i="11" s="1"/>
  <c r="J24" i="11"/>
  <c r="I24" i="11"/>
  <c r="L23" i="11"/>
  <c r="K23" i="11"/>
  <c r="I23" i="11"/>
  <c r="L22" i="11"/>
  <c r="K22" i="11"/>
  <c r="J22" i="11"/>
  <c r="I22" i="11"/>
  <c r="L21" i="11"/>
  <c r="K21" i="11"/>
  <c r="I21" i="11"/>
  <c r="L20" i="11"/>
  <c r="K20" i="11"/>
  <c r="J20" i="11"/>
  <c r="I20" i="11"/>
  <c r="L19" i="11"/>
  <c r="K19" i="11"/>
  <c r="I19" i="11"/>
  <c r="L18" i="11"/>
  <c r="K18" i="11"/>
  <c r="J18" i="11"/>
  <c r="I18" i="11"/>
  <c r="L17" i="11"/>
  <c r="K17" i="11"/>
  <c r="I17" i="11"/>
  <c r="L16" i="11"/>
  <c r="K16" i="11"/>
  <c r="J16" i="11"/>
  <c r="I16" i="11"/>
  <c r="L15" i="11"/>
  <c r="K15" i="11"/>
  <c r="I15" i="11"/>
  <c r="L14" i="11"/>
  <c r="K14" i="11"/>
  <c r="J14" i="11"/>
  <c r="I14" i="11"/>
  <c r="L13" i="11"/>
  <c r="K13" i="11"/>
  <c r="I13" i="11"/>
  <c r="L12" i="11"/>
  <c r="K12" i="11"/>
  <c r="J12" i="11"/>
  <c r="I12" i="11"/>
  <c r="L11" i="11"/>
  <c r="K11" i="11"/>
  <c r="I11" i="11"/>
  <c r="L10" i="11"/>
  <c r="K10" i="11"/>
  <c r="J10" i="11"/>
  <c r="I10" i="11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L33" i="8"/>
  <c r="K33" i="8"/>
  <c r="J33" i="8"/>
  <c r="L32" i="8"/>
  <c r="K32" i="8"/>
  <c r="J32" i="8"/>
  <c r="L31" i="8"/>
  <c r="K31" i="8"/>
  <c r="J31" i="8"/>
  <c r="L30" i="8"/>
  <c r="K30" i="8"/>
  <c r="J30" i="8"/>
  <c r="L29" i="8"/>
  <c r="K29" i="8"/>
  <c r="J29" i="8"/>
  <c r="L28" i="8"/>
  <c r="K28" i="8"/>
  <c r="J28" i="8"/>
  <c r="L27" i="8"/>
  <c r="K27" i="8"/>
  <c r="J27" i="8"/>
  <c r="L26" i="8"/>
  <c r="K26" i="8"/>
  <c r="J26" i="8"/>
  <c r="L25" i="8"/>
  <c r="K25" i="8"/>
  <c r="J25" i="8"/>
  <c r="L24" i="8"/>
  <c r="K24" i="8"/>
  <c r="J24" i="8"/>
  <c r="L23" i="8"/>
  <c r="K23" i="8"/>
  <c r="J23" i="8"/>
  <c r="L22" i="8"/>
  <c r="K22" i="8"/>
  <c r="J22" i="8"/>
  <c r="L21" i="8"/>
  <c r="K21" i="8"/>
  <c r="J21" i="8"/>
  <c r="L20" i="8"/>
  <c r="K20" i="8"/>
  <c r="J20" i="8"/>
  <c r="L19" i="8"/>
  <c r="K19" i="8"/>
  <c r="J19" i="8"/>
  <c r="L18" i="8"/>
  <c r="K18" i="8"/>
  <c r="J18" i="8"/>
  <c r="L17" i="8"/>
  <c r="K17" i="8"/>
  <c r="J17" i="8"/>
  <c r="L16" i="8"/>
  <c r="K16" i="8"/>
  <c r="J16" i="8"/>
  <c r="L15" i="8"/>
  <c r="K15" i="8"/>
  <c r="J15" i="8"/>
  <c r="L14" i="8"/>
  <c r="K14" i="8"/>
  <c r="J14" i="8"/>
  <c r="L13" i="8"/>
  <c r="K13" i="8"/>
  <c r="J13" i="8"/>
  <c r="L12" i="8"/>
  <c r="K12" i="8"/>
  <c r="J12" i="8"/>
  <c r="L11" i="8"/>
  <c r="K11" i="8"/>
  <c r="J11" i="8"/>
  <c r="L10" i="8"/>
  <c r="K10" i="8"/>
  <c r="J10" i="8"/>
  <c r="L9" i="8"/>
  <c r="K9" i="8"/>
  <c r="J9" i="8"/>
  <c r="L8" i="8"/>
  <c r="K8" i="8"/>
  <c r="J8" i="8"/>
  <c r="L7" i="8"/>
  <c r="K7" i="8"/>
  <c r="J7" i="8"/>
  <c r="H29" i="7"/>
  <c r="E29" i="7"/>
  <c r="H28" i="7"/>
  <c r="E28" i="7"/>
  <c r="G37" i="6"/>
  <c r="H36" i="6" s="1"/>
  <c r="D36" i="6"/>
  <c r="H35" i="6"/>
  <c r="D35" i="6"/>
  <c r="H34" i="6"/>
  <c r="D34" i="6"/>
  <c r="H33" i="6"/>
  <c r="D33" i="6"/>
  <c r="D32" i="6"/>
  <c r="H31" i="6"/>
  <c r="D31" i="6"/>
  <c r="H30" i="6"/>
  <c r="D30" i="6"/>
  <c r="H29" i="6"/>
  <c r="D29" i="6"/>
  <c r="D28" i="6"/>
  <c r="H27" i="6"/>
  <c r="D27" i="6"/>
  <c r="H26" i="6"/>
  <c r="D26" i="6"/>
  <c r="H25" i="6"/>
  <c r="D25" i="6"/>
  <c r="H24" i="6"/>
  <c r="D24" i="6"/>
  <c r="H23" i="6"/>
  <c r="D23" i="6"/>
  <c r="H22" i="6"/>
  <c r="D22" i="6"/>
  <c r="H21" i="6"/>
  <c r="D21" i="6"/>
  <c r="H20" i="6"/>
  <c r="D20" i="6"/>
  <c r="H19" i="6"/>
  <c r="D19" i="6"/>
  <c r="H18" i="6"/>
  <c r="D18" i="6"/>
  <c r="H17" i="6"/>
  <c r="D17" i="6"/>
  <c r="H16" i="6"/>
  <c r="D16" i="6"/>
  <c r="H15" i="6"/>
  <c r="D15" i="6"/>
  <c r="H14" i="6"/>
  <c r="D14" i="6"/>
  <c r="H13" i="6"/>
  <c r="D13" i="6"/>
  <c r="H12" i="6"/>
  <c r="D12" i="6"/>
  <c r="H11" i="6"/>
  <c r="D11" i="6"/>
  <c r="H10" i="6"/>
  <c r="D10" i="6"/>
  <c r="H9" i="6"/>
  <c r="D9" i="6"/>
  <c r="H8" i="6"/>
  <c r="D8" i="6"/>
  <c r="H7" i="6"/>
  <c r="D7" i="6"/>
  <c r="K40" i="5"/>
  <c r="I40" i="5"/>
  <c r="H40" i="5"/>
  <c r="F40" i="5"/>
  <c r="E15" i="4"/>
  <c r="B15" i="4"/>
  <c r="D42" i="2"/>
  <c r="J36" i="2"/>
  <c r="I36" i="2"/>
  <c r="H36" i="2"/>
  <c r="G36" i="2"/>
  <c r="F36" i="2"/>
  <c r="E36" i="2"/>
  <c r="D36" i="2"/>
  <c r="C36" i="2"/>
  <c r="B36" i="2"/>
  <c r="A36" i="2"/>
  <c r="J37" i="2" s="1"/>
  <c r="J55" i="1"/>
  <c r="H55" i="1"/>
  <c r="M17" i="1"/>
  <c r="H28" i="6" l="1"/>
  <c r="H37" i="6" s="1"/>
  <c r="H32" i="6"/>
  <c r="J11" i="11"/>
  <c r="J13" i="11"/>
  <c r="J15" i="11"/>
  <c r="J17" i="11"/>
  <c r="J19" i="11"/>
  <c r="J2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F2" authorId="0" shapeId="0" xr:uid="{C988E0EC-E44A-4C88-9D0F-7F8201428E9D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K3" authorId="0" shapeId="0" xr:uid="{B18A5042-83DD-4667-9FF1-A1A74663A1B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H4" authorId="0" shapeId="0" xr:uid="{CD833E75-B8B7-487D-B964-CF6F9F2ED0D2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D3" authorId="0" shapeId="0" xr:uid="{80C7C29E-B199-495C-B250-7E92AA9ED651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I2" authorId="0" shapeId="0" xr:uid="{CE00700D-9DFA-4A49-905A-3D775B6BDAA0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I3" authorId="0" shapeId="0" xr:uid="{C5443719-33BA-4B5E-A385-959CCA028E3A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 solo que no se tenia que poner formato de dinero pero todo bien</t>
        </r>
      </text>
    </comment>
    <comment ref="I4" authorId="0" shapeId="0" xr:uid="{0676AB23-45F6-494B-9823-CEED36A2A3DD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 la fila de abajo no era necesaria solo la que nos da como funcionalidad las tablas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8A1307DB-03E6-4B13-AF33-01767C39DB60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Recuerda que hay formatos condicionales para valores superiores e inferiores en tu caso si colocas una referencia el resultado cambiara te pongo un ejemplo a lado para que lo cheques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4CC1659A-BCC9-44C5-AB55-68537BA3A8B2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3" authorId="0" shapeId="0" xr:uid="{2A8FBA59-FDB6-43F2-B0CF-2A396C825B5B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4" authorId="0" shapeId="0" xr:uid="{1F6BE7A8-345E-4661-8D35-4CB22FC34318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AB27F9D4-08D9-4EC9-8157-FCF675D7272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H3" authorId="0" shapeId="0" xr:uid="{A66A93D3-E8DD-4AFC-A9B0-E7CD59D8B122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J4" authorId="0" shapeId="0" xr:uid="{83D42E7D-2308-4D84-A0C5-57B9CB1024D6}">
      <text>
        <r>
          <rPr>
            <b/>
            <sz val="9"/>
            <color indexed="81"/>
            <rFont val="Tahoma"/>
            <family val="2"/>
          </rPr>
          <t>JABL:
Bien para este ejercicio solo se usaba un grafico simple pero se agradece el esfuerzo extra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B82C5C85-8DE0-4D97-A84C-2A0D56434D3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D3814611-9A83-497F-835A-857F7C3A92A0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J3" authorId="0" shapeId="0" xr:uid="{BE052F45-CB5D-4118-BCFC-C312DFAB6684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517104A7-1FDE-4993-8780-91D354DDB54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G4" authorId="0" shapeId="0" xr:uid="{4F95F033-037B-440F-9478-A9D024EE5640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H2" authorId="0" shapeId="0" xr:uid="{4BA65047-07E6-4D00-A612-47507B278CE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sharedStrings.xml><?xml version="1.0" encoding="utf-8"?>
<sst xmlns="http://schemas.openxmlformats.org/spreadsheetml/2006/main" count="1086" uniqueCount="461">
  <si>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</si>
  <si>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</si>
  <si>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</si>
  <si>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</si>
  <si>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</si>
  <si>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</si>
  <si>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</si>
  <si>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</si>
  <si>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</si>
  <si>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</si>
  <si>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</si>
  <si>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</si>
  <si>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</si>
  <si>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</si>
  <si>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</si>
  <si>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</si>
  <si>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</si>
  <si>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</si>
  <si>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</si>
  <si>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</si>
  <si>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</si>
  <si>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</si>
  <si>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</si>
  <si>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</si>
  <si>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</si>
  <si>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</si>
  <si>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</si>
  <si>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</si>
  <si>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</si>
  <si>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</si>
  <si>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</si>
  <si>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</si>
  <si>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</si>
  <si>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</si>
  <si>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</si>
  <si>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</si>
  <si>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</si>
  <si>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</si>
  <si>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</si>
  <si>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</si>
  <si>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</si>
  <si>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</si>
  <si>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</si>
  <si>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</si>
  <si>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</si>
  <si>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</si>
  <si>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</si>
  <si>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</si>
  <si>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</si>
  <si>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</si>
  <si>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</si>
  <si>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</si>
  <si>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</si>
  <si>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</si>
  <si>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</si>
  <si>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</si>
  <si>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</si>
  <si>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</si>
  <si>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</si>
  <si>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</si>
  <si>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</si>
  <si>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</si>
  <si>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</si>
  <si>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</si>
  <si>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</si>
  <si>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</si>
  <si>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</si>
  <si>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</si>
  <si>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</si>
  <si>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</si>
  <si>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</si>
  <si>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</si>
  <si>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</si>
  <si>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</si>
  <si>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</si>
  <si>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</si>
  <si>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</si>
  <si>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</si>
  <si>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</si>
  <si>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</si>
  <si>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</si>
  <si>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</si>
  <si>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</si>
  <si>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</si>
  <si>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</si>
  <si>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</si>
  <si>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</si>
  <si>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</si>
  <si>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</si>
  <si>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</si>
  <si>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</si>
  <si>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</si>
  <si>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</si>
  <si>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</si>
  <si>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</si>
  <si>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</si>
  <si>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</si>
  <si>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</si>
  <si>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</si>
  <si>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</si>
  <si>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</si>
  <si>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</si>
  <si>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</si>
  <si>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</si>
  <si>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</si>
  <si>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</si>
  <si>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</si>
  <si>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</si>
  <si>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</si>
  <si>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</si>
  <si>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</si>
  <si>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</si>
  <si>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</si>
  <si>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</si>
  <si>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</si>
  <si>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</si>
  <si>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</si>
  <si>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</si>
  <si>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</si>
  <si>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</si>
  <si>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</si>
  <si>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</si>
  <si>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</si>
  <si>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</si>
  <si>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</si>
  <si>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</si>
  <si>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</si>
  <si>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</si>
  <si>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</si>
  <si>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</si>
  <si>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</si>
  <si>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</si>
  <si>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</si>
  <si>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</si>
  <si>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</si>
  <si>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</si>
  <si>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</si>
  <si>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</si>
  <si>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</si>
  <si>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</si>
  <si>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</si>
  <si>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</si>
  <si>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</si>
  <si>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</si>
  <si>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</si>
  <si>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</si>
  <si>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</si>
  <si>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</si>
  <si>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</si>
  <si>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</si>
  <si>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</si>
  <si>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</si>
  <si>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</si>
  <si>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</si>
  <si>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</si>
  <si>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</si>
  <si>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</si>
  <si>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</si>
  <si>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</si>
  <si>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</si>
  <si>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</si>
  <si>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</si>
  <si>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</si>
  <si>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</si>
  <si>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</si>
  <si>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</si>
  <si>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</si>
  <si>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</si>
  <si>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</si>
  <si>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</si>
  <si>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</si>
  <si>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</si>
  <si>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</si>
  <si>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</si>
  <si>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</si>
  <si>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</si>
  <si>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</si>
  <si>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</si>
  <si>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</si>
  <si>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</si>
  <si>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</si>
  <si>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</si>
  <si>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</si>
  <si>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</si>
  <si>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</si>
  <si>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</si>
  <si>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</si>
  <si>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</si>
  <si>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</si>
  <si>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</si>
  <si>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</si>
  <si>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</si>
  <si>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</si>
  <si>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</si>
  <si>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</si>
  <si>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</si>
  <si>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</si>
  <si>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</si>
  <si>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</si>
  <si>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</si>
  <si>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</si>
  <si>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</si>
  <si>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</si>
  <si>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</si>
  <si>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</si>
  <si>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</si>
  <si>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</si>
  <si>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</si>
  <si>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</si>
  <si>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</si>
  <si>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</si>
  <si>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</si>
  <si>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</si>
  <si>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</si>
  <si>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</si>
  <si>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</si>
  <si>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</si>
  <si>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</si>
  <si>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</si>
  <si>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</si>
  <si>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</si>
  <si>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</si>
  <si>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</si>
  <si>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</si>
  <si>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</si>
  <si>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</si>
  <si>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</si>
  <si>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</si>
  <si>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</si>
  <si>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</si>
  <si>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</si>
  <si>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</si>
  <si>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</si>
  <si>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</si>
  <si>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</si>
  <si>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</si>
  <si>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</si>
  <si>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</si>
  <si>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</si>
  <si>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</si>
  <si>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</si>
  <si>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</si>
  <si>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</si>
  <si>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</si>
  <si>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</si>
  <si>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</si>
  <si>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</si>
  <si>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</si>
  <si>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</si>
  <si>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</si>
  <si>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</si>
  <si>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</si>
  <si>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</si>
  <si>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</si>
  <si>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</si>
  <si>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</si>
  <si>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</si>
  <si>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</si>
  <si>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</si>
  <si>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</si>
  <si>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</si>
  <si>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</si>
  <si>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</si>
  <si>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</si>
  <si>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</si>
  <si>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</si>
  <si>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</si>
  <si>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</si>
  <si>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</si>
  <si>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</si>
  <si>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</si>
  <si>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</si>
  <si>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</si>
  <si>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</si>
  <si>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</si>
  <si>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</si>
  <si>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</si>
  <si>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</si>
  <si>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</si>
  <si>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</si>
  <si>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</si>
  <si>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</si>
  <si>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</si>
  <si>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</si>
  <si>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</si>
  <si>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</si>
  <si>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</si>
  <si>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</si>
  <si>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</si>
  <si>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</si>
  <si>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</si>
  <si>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</si>
  <si>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</si>
  <si>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</si>
  <si>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</si>
  <si>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</si>
  <si>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</si>
  <si>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</si>
  <si>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</si>
  <si>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</si>
  <si>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</si>
  <si>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</si>
  <si>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</si>
  <si>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</si>
  <si>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</si>
  <si>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</si>
  <si>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</si>
  <si>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</si>
  <si>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</si>
  <si>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</si>
  <si>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</si>
  <si>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</si>
  <si>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</si>
  <si>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</si>
  <si>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</si>
  <si>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</si>
  <si>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</si>
  <si>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</si>
  <si>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</si>
  <si>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</si>
  <si>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</si>
  <si>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</si>
  <si>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</si>
  <si>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</si>
  <si>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</si>
  <si>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</si>
  <si>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</si>
  <si>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</si>
  <si>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</si>
  <si>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</si>
  <si>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</si>
  <si>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</si>
  <si>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</si>
  <si>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</si>
  <si>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</si>
  <si>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</si>
  <si>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</si>
  <si>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</si>
  <si>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</si>
  <si>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</si>
  <si>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</si>
  <si>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</si>
  <si>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</si>
  <si>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</si>
  <si>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</si>
  <si>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</si>
  <si>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</si>
  <si>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</si>
  <si>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</si>
  <si>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</si>
  <si>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</si>
  <si>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</si>
  <si>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</si>
  <si>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</si>
  <si>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</si>
  <si>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</si>
  <si>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</si>
  <si>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</si>
  <si>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</si>
  <si>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</si>
  <si>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</si>
  <si>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</si>
  <si>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</si>
  <si>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</si>
  <si>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</si>
  <si>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</si>
  <si>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</si>
  <si>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</si>
  <si>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</si>
  <si>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</si>
  <si>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</si>
  <si>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</si>
  <si>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</si>
  <si>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</si>
  <si>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</si>
  <si>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</si>
  <si>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</si>
  <si>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</si>
  <si>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</si>
  <si>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</si>
  <si>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</si>
  <si>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</si>
  <si>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</si>
  <si>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</si>
  <si>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</si>
  <si>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</si>
  <si>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</si>
  <si>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</si>
  <si>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</si>
  <si>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</si>
  <si>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</si>
  <si>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</si>
  <si>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</si>
  <si>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</si>
  <si>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</si>
  <si>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</si>
  <si>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</si>
  <si>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</si>
  <si>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</si>
  <si>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</si>
  <si>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</si>
  <si>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</si>
  <si>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</si>
  <si>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</si>
  <si>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</si>
  <si>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</si>
  <si>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</si>
  <si>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</si>
  <si>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</si>
  <si>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</si>
  <si>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</si>
  <si>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</si>
  <si>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</si>
  <si>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</si>
  <si>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</si>
  <si>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</si>
  <si>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</si>
  <si>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</si>
  <si>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</si>
  <si>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</si>
  <si>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</si>
  <si>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</si>
  <si>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</si>
  <si>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</si>
  <si>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</si>
  <si>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</si>
  <si>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</si>
  <si>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</si>
  <si>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</si>
  <si>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</si>
  <si>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</si>
  <si>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</si>
  <si>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</si>
  <si>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</si>
  <si>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</si>
  <si>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</si>
  <si>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</si>
  <si>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</si>
  <si>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</si>
  <si>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</si>
  <si>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Total de registros</t>
  </si>
  <si>
    <t>Porcentaje de venta</t>
  </si>
  <si>
    <t>Etiquetas de fila</t>
  </si>
  <si>
    <t>Total general</t>
  </si>
  <si>
    <t>Suma de Porcentaje de venta</t>
  </si>
  <si>
    <t>30 Días</t>
  </si>
  <si>
    <t>90 Días</t>
  </si>
  <si>
    <t>120 Días</t>
  </si>
  <si>
    <t>Fecha de vencimiento2</t>
  </si>
  <si>
    <t>Fecha de vencimiento3</t>
  </si>
  <si>
    <t>Promedio valor mercado (mdd) 2014-16</t>
  </si>
  <si>
    <t>% Valor mercado 2014 (mdd)</t>
  </si>
  <si>
    <t>Suma de Promedio valor mercado (mdd) 2014-16</t>
  </si>
  <si>
    <t>(Todas)</t>
  </si>
  <si>
    <t>% Valor mercado 2015 (mdd)2</t>
  </si>
  <si>
    <t>% Valor mercado 2016 (mdd)2</t>
  </si>
  <si>
    <t>VM 2014 (mdd)</t>
  </si>
  <si>
    <t>VM 2015 (mdd)</t>
  </si>
  <si>
    <t>VM 2016 (mdd)</t>
  </si>
  <si>
    <t>Valores</t>
  </si>
  <si>
    <t>VM 2015 (mdd)2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</si>
</sst>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  <numFmt numFmtId="169" formatCode="0.0%"/>
  </numFmts>
  <fonts count="3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b/>
      <sz val="10"/>
      <color indexed="63"/>
      <name val="Calibri"/>
      <family val="2"/>
    </font>
    <font>
      <strike/>
      <outline/>
      <shadow/>
      <sz val="1"/>
      <color indexed="63"/>
      <name val="Calibri"/>
      <family val="2"/>
    </font>
    <font>
      <b/>
      <sz val="11"/>
      <color indexed="6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177">
    <xf numFmtId="0" fontId="0" fillId="0" borderId="0" xfId="0"/>
    <xf numFmtId="0" fontId="3" fillId="0" borderId="0" xfId="6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5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9"/>
    <xf numFmtId="0" fontId="11" fillId="10" borderId="7" xfId="9" applyFill="1" applyBorder="1"/>
    <xf numFmtId="14" fontId="11" fillId="10" borderId="7" xfId="9" applyNumberFormat="1" applyFill="1" applyBorder="1"/>
    <xf numFmtId="165" fontId="11" fillId="10" borderId="7" xfId="9" applyNumberFormat="1" applyFill="1" applyBorder="1"/>
    <xf numFmtId="14" fontId="11" fillId="0" borderId="0" xfId="9" applyNumberFormat="1"/>
    <xf numFmtId="165" fontId="11" fillId="0" borderId="0" xfId="9" applyNumberFormat="1"/>
    <xf numFmtId="0" fontId="12" fillId="11" borderId="8" xfId="9" applyFont="1" applyFill="1" applyBorder="1"/>
    <xf numFmtId="0" fontId="12" fillId="11" borderId="9" xfId="9" applyFont="1" applyFill="1" applyBorder="1"/>
    <xf numFmtId="0" fontId="11" fillId="10" borderId="0" xfId="9" applyFill="1"/>
    <xf numFmtId="14" fontId="11" fillId="10" borderId="0" xfId="9" applyNumberFormat="1" applyFill="1"/>
    <xf numFmtId="165" fontId="11" fillId="10" borderId="0" xfId="9" applyNumberFormat="1" applyFill="1"/>
    <xf numFmtId="0" fontId="11" fillId="12" borderId="8" xfId="9" applyFill="1" applyBorder="1"/>
    <xf numFmtId="0" fontId="11" fillId="12" borderId="9" xfId="9" applyFill="1" applyBorder="1"/>
    <xf numFmtId="0" fontId="11" fillId="0" borderId="10" xfId="9" applyBorder="1"/>
    <xf numFmtId="0" fontId="11" fillId="0" borderId="11" xfId="9" applyBorder="1"/>
    <xf numFmtId="0" fontId="14" fillId="0" borderId="0" xfId="10"/>
    <xf numFmtId="0" fontId="14" fillId="0" borderId="0" xfId="10" applyAlignment="1">
      <alignment horizontal="center"/>
    </xf>
    <xf numFmtId="14" fontId="14" fillId="0" borderId="0" xfId="10" applyNumberFormat="1" applyAlignment="1">
      <alignment horizontal="center"/>
    </xf>
    <xf numFmtId="164" fontId="0" fillId="0" borderId="0" xfId="11" applyFont="1"/>
    <xf numFmtId="0" fontId="14" fillId="0" borderId="0" xfId="10" applyAlignment="1">
      <alignment horizontal="left"/>
    </xf>
    <xf numFmtId="0" fontId="15" fillId="0" borderId="0" xfId="10" applyFont="1" applyAlignment="1">
      <alignment horizontal="center" wrapText="1"/>
    </xf>
    <xf numFmtId="0" fontId="16" fillId="13" borderId="12" xfId="10" applyFont="1" applyFill="1" applyBorder="1" applyAlignment="1">
      <alignment horizontal="center" vertical="center" wrapText="1"/>
    </xf>
    <xf numFmtId="0" fontId="16" fillId="13" borderId="13" xfId="10" applyFont="1" applyFill="1" applyBorder="1" applyAlignment="1">
      <alignment horizontal="center" vertical="center" wrapText="1"/>
    </xf>
    <xf numFmtId="14" fontId="17" fillId="14" borderId="14" xfId="11" applyNumberFormat="1" applyFont="1" applyFill="1" applyBorder="1" applyAlignment="1">
      <alignment horizontal="center" vertical="center" wrapText="1"/>
    </xf>
    <xf numFmtId="0" fontId="17" fillId="14" borderId="14" xfId="10" applyFont="1" applyFill="1" applyBorder="1" applyAlignment="1">
      <alignment horizontal="center" vertical="center"/>
    </xf>
    <xf numFmtId="164" fontId="17" fillId="14" borderId="14" xfId="11" applyFont="1" applyFill="1" applyBorder="1" applyAlignment="1">
      <alignment horizontal="center" vertical="center"/>
    </xf>
    <xf numFmtId="0" fontId="18" fillId="0" borderId="0" xfId="10" applyFont="1" applyAlignment="1">
      <alignment horizontal="center"/>
    </xf>
    <xf numFmtId="0" fontId="19" fillId="15" borderId="15" xfId="10" applyFont="1" applyFill="1" applyBorder="1" applyAlignment="1">
      <alignment horizontal="center"/>
    </xf>
    <xf numFmtId="0" fontId="19" fillId="15" borderId="16" xfId="10" applyFont="1" applyFill="1" applyBorder="1" applyAlignment="1">
      <alignment horizontal="center"/>
    </xf>
    <xf numFmtId="14" fontId="19" fillId="15" borderId="16" xfId="10" applyNumberFormat="1" applyFont="1" applyFill="1" applyBorder="1" applyAlignment="1">
      <alignment horizontal="center"/>
    </xf>
    <xf numFmtId="0" fontId="19" fillId="15" borderId="16" xfId="10" applyFont="1" applyFill="1" applyBorder="1" applyAlignment="1">
      <alignment horizontal="left"/>
    </xf>
    <xf numFmtId="164" fontId="19" fillId="15" borderId="16" xfId="11" applyFont="1" applyFill="1" applyBorder="1"/>
    <xf numFmtId="0" fontId="19" fillId="16" borderId="17" xfId="10" applyFont="1" applyFill="1" applyBorder="1" applyAlignment="1">
      <alignment horizontal="center"/>
    </xf>
    <xf numFmtId="0" fontId="19" fillId="16" borderId="18" xfId="10" applyFont="1" applyFill="1" applyBorder="1" applyAlignment="1">
      <alignment horizontal="center"/>
    </xf>
    <xf numFmtId="14" fontId="19" fillId="16" borderId="18" xfId="10" applyNumberFormat="1" applyFont="1" applyFill="1" applyBorder="1" applyAlignment="1">
      <alignment horizontal="center"/>
    </xf>
    <xf numFmtId="0" fontId="19" fillId="16" borderId="18" xfId="10" applyFont="1" applyFill="1" applyBorder="1" applyAlignment="1">
      <alignment horizontal="left"/>
    </xf>
    <xf numFmtId="164" fontId="19" fillId="16" borderId="18" xfId="11" applyFont="1" applyFill="1" applyBorder="1"/>
    <xf numFmtId="0" fontId="19" fillId="15" borderId="17" xfId="10" applyFont="1" applyFill="1" applyBorder="1" applyAlignment="1">
      <alignment horizontal="center"/>
    </xf>
    <xf numFmtId="0" fontId="19" fillId="15" borderId="18" xfId="10" applyFont="1" applyFill="1" applyBorder="1" applyAlignment="1">
      <alignment horizontal="center"/>
    </xf>
    <xf numFmtId="14" fontId="19" fillId="15" borderId="18" xfId="10" applyNumberFormat="1" applyFont="1" applyFill="1" applyBorder="1" applyAlignment="1">
      <alignment horizontal="center"/>
    </xf>
    <xf numFmtId="0" fontId="19" fillId="15" borderId="18" xfId="10" applyFont="1" applyFill="1" applyBorder="1" applyAlignment="1">
      <alignment horizontal="left"/>
    </xf>
    <xf numFmtId="164" fontId="19" fillId="15" borderId="18" xfId="11" applyFont="1" applyFill="1" applyBorder="1"/>
    <xf numFmtId="14" fontId="15" fillId="0" borderId="0" xfId="10" applyNumberFormat="1" applyFont="1" applyAlignment="1">
      <alignment horizontal="center"/>
    </xf>
    <xf numFmtId="14" fontId="14" fillId="0" borderId="0" xfId="10" applyNumberFormat="1" applyAlignment="1">
      <alignment horizontal="right"/>
    </xf>
    <xf numFmtId="0" fontId="14" fillId="0" borderId="0" xfId="10" applyAlignment="1">
      <alignment horizontal="right"/>
    </xf>
    <xf numFmtId="0" fontId="19" fillId="0" borderId="0" xfId="10" applyFont="1" applyAlignment="1">
      <alignment horizontal="center" vertical="center"/>
    </xf>
    <xf numFmtId="14" fontId="19" fillId="0" borderId="0" xfId="10" applyNumberFormat="1" applyFont="1" applyAlignment="1">
      <alignment horizontal="right"/>
    </xf>
    <xf numFmtId="14" fontId="20" fillId="0" borderId="0" xfId="10" applyNumberFormat="1" applyFont="1" applyAlignment="1">
      <alignment horizontal="right" wrapText="1"/>
    </xf>
    <xf numFmtId="164" fontId="19" fillId="0" borderId="0" xfId="11" applyFont="1" applyFill="1" applyBorder="1" applyProtection="1"/>
    <xf numFmtId="0" fontId="20" fillId="0" borderId="0" xfId="10" applyFont="1" applyAlignment="1">
      <alignment horizontal="center" wrapText="1"/>
    </xf>
    <xf numFmtId="14" fontId="14" fillId="0" borderId="0" xfId="10" applyNumberFormat="1"/>
    <xf numFmtId="164" fontId="19" fillId="0" borderId="0" xfId="11" applyFont="1" applyFill="1" applyBorder="1" applyAlignment="1" applyProtection="1">
      <alignment horizontal="center"/>
    </xf>
    <xf numFmtId="0" fontId="14" fillId="0" borderId="19" xfId="10" applyBorder="1" applyAlignment="1">
      <alignment horizontal="center"/>
    </xf>
    <xf numFmtId="0" fontId="8" fillId="0" borderId="0" xfId="0" applyFont="1" applyAlignment="1"/>
    <xf numFmtId="14" fontId="19" fillId="0" borderId="19" xfId="10" applyNumberFormat="1" applyFont="1" applyBorder="1" applyAlignment="1">
      <alignment horizontal="right"/>
    </xf>
    <xf numFmtId="14" fontId="20" fillId="0" borderId="19" xfId="10" applyNumberFormat="1" applyFont="1" applyBorder="1" applyAlignment="1">
      <alignment horizontal="right" wrapText="1"/>
    </xf>
    <xf numFmtId="164" fontId="19" fillId="0" borderId="19" xfId="11" applyFont="1" applyFill="1" applyBorder="1" applyProtection="1"/>
    <xf numFmtId="164" fontId="19" fillId="0" borderId="19" xfId="11" applyFont="1" applyFill="1" applyBorder="1" applyAlignment="1" applyProtection="1">
      <alignment horizontal="left"/>
    </xf>
    <xf numFmtId="0" fontId="22" fillId="0" borderId="0" xfId="12">
      <alignment vertical="center"/>
    </xf>
    <xf numFmtId="166" fontId="22" fillId="0" borderId="0" xfId="12" applyNumberFormat="1">
      <alignment vertical="center"/>
    </xf>
    <xf numFmtId="2" fontId="22" fillId="0" borderId="0" xfId="12" applyNumberFormat="1">
      <alignment vertical="center"/>
    </xf>
    <xf numFmtId="0" fontId="25" fillId="0" borderId="0" xfId="12" applyFont="1" applyAlignment="1"/>
    <xf numFmtId="0" fontId="26" fillId="0" borderId="0" xfId="14" applyFill="1" applyBorder="1" applyAlignment="1">
      <alignment vertical="center"/>
    </xf>
    <xf numFmtId="0" fontId="27" fillId="0" borderId="0" xfId="15" applyFill="1" applyBorder="1" applyAlignment="1">
      <alignment horizontal="left" vertical="center"/>
    </xf>
    <xf numFmtId="0" fontId="28" fillId="0" borderId="0" xfId="12" applyFont="1" applyAlignment="1">
      <alignment horizontal="left" vertical="center"/>
    </xf>
    <xf numFmtId="0" fontId="29" fillId="0" borderId="0" xfId="12" applyFont="1">
      <alignment vertical="center"/>
    </xf>
    <xf numFmtId="0" fontId="29" fillId="8" borderId="21" xfId="12" applyFont="1" applyFill="1" applyBorder="1" applyAlignment="1">
      <alignment horizontal="centerContinuous" vertical="center"/>
    </xf>
    <xf numFmtId="0" fontId="29" fillId="8" borderId="0" xfId="12" applyFont="1" applyFill="1" applyAlignment="1">
      <alignment horizontal="center" vertical="center"/>
    </xf>
    <xf numFmtId="0" fontId="30" fillId="0" borderId="22" xfId="12" applyFont="1" applyBorder="1">
      <alignment vertical="center"/>
    </xf>
    <xf numFmtId="0" fontId="30" fillId="0" borderId="17" xfId="12" applyFont="1" applyBorder="1">
      <alignment vertical="center"/>
    </xf>
    <xf numFmtId="0" fontId="29" fillId="8" borderId="23" xfId="12" applyFont="1" applyFill="1" applyBorder="1" applyAlignment="1">
      <alignment horizontal="center" vertical="center"/>
    </xf>
    <xf numFmtId="0" fontId="29" fillId="8" borderId="24" xfId="12" applyFont="1" applyFill="1" applyBorder="1" applyAlignment="1">
      <alignment horizontal="center" vertical="center"/>
    </xf>
    <xf numFmtId="0" fontId="29" fillId="8" borderId="25" xfId="12" applyFont="1" applyFill="1" applyBorder="1" applyAlignment="1">
      <alignment horizontal="center" vertical="center"/>
    </xf>
    <xf numFmtId="0" fontId="29" fillId="8" borderId="26" xfId="12" applyFont="1" applyFill="1" applyBorder="1" applyAlignment="1">
      <alignment horizontal="center" vertical="center"/>
    </xf>
    <xf numFmtId="0" fontId="30" fillId="0" borderId="0" xfId="12" applyFont="1">
      <alignment vertical="center"/>
    </xf>
    <xf numFmtId="0" fontId="22" fillId="0" borderId="0" xfId="12" applyAlignment="1">
      <alignment horizontal="center" vertical="center"/>
    </xf>
    <xf numFmtId="0" fontId="22" fillId="0" borderId="0" xfId="12" applyAlignment="1">
      <alignment horizontal="center" vertical="center" wrapText="1"/>
    </xf>
    <xf numFmtId="0" fontId="22" fillId="0" borderId="0" xfId="12" applyAlignment="1">
      <alignment vertical="center" wrapText="1"/>
    </xf>
    <xf numFmtId="0" fontId="31" fillId="0" borderId="0" xfId="12" applyFont="1" applyAlignment="1">
      <alignment horizontal="center" vertical="center"/>
    </xf>
    <xf numFmtId="1" fontId="31" fillId="0" borderId="0" xfId="12" applyNumberFormat="1" applyFont="1" applyAlignment="1">
      <alignment horizontal="center" vertical="center"/>
    </xf>
    <xf numFmtId="167" fontId="31" fillId="0" borderId="0" xfId="12" applyNumberFormat="1" applyFont="1" applyAlignment="1">
      <alignment horizontal="center" vertical="center"/>
    </xf>
    <xf numFmtId="168" fontId="31" fillId="0" borderId="0" xfId="12" applyNumberFormat="1" applyFont="1" applyAlignment="1">
      <alignment horizontal="center" vertical="center"/>
    </xf>
    <xf numFmtId="9" fontId="31" fillId="0" borderId="0" xfId="12" applyNumberFormat="1" applyFont="1" applyAlignment="1">
      <alignment horizontal="center" vertical="center"/>
    </xf>
    <xf numFmtId="2" fontId="31" fillId="0" borderId="0" xfId="12" applyNumberFormat="1" applyFont="1" applyAlignment="1">
      <alignment horizontal="center" vertical="center"/>
    </xf>
    <xf numFmtId="166" fontId="31" fillId="0" borderId="0" xfId="12" applyNumberFormat="1" applyFont="1" applyAlignment="1">
      <alignment horizontal="center" vertical="center"/>
    </xf>
    <xf numFmtId="0" fontId="32" fillId="0" borderId="0" xfId="12" applyFont="1">
      <alignment vertical="center"/>
    </xf>
    <xf numFmtId="0" fontId="15" fillId="0" borderId="0" xfId="12" applyFont="1">
      <alignment vertical="center"/>
    </xf>
    <xf numFmtId="168" fontId="22" fillId="0" borderId="0" xfId="12" applyNumberFormat="1" applyAlignment="1">
      <alignment horizontal="center" vertical="center"/>
    </xf>
    <xf numFmtId="9" fontId="22" fillId="0" borderId="0" xfId="12" applyNumberFormat="1" applyAlignment="1">
      <alignment horizontal="center" vertical="center"/>
    </xf>
    <xf numFmtId="2" fontId="22" fillId="0" borderId="0" xfId="12" applyNumberFormat="1" applyAlignment="1">
      <alignment horizontal="center" vertical="center"/>
    </xf>
    <xf numFmtId="166" fontId="22" fillId="0" borderId="0" xfId="12" applyNumberFormat="1" applyAlignment="1">
      <alignment horizontal="center" vertical="center"/>
    </xf>
    <xf numFmtId="0" fontId="33" fillId="0" borderId="0" xfId="12" applyFont="1">
      <alignment vertical="center"/>
    </xf>
    <xf numFmtId="0" fontId="24" fillId="0" borderId="0" xfId="13" applyFont="1" applyFill="1" applyAlignment="1">
      <alignment vertical="center"/>
    </xf>
    <xf numFmtId="0" fontId="29" fillId="8" borderId="0" xfId="12" applyFont="1" applyFill="1" applyAlignment="1">
      <alignment horizontal="centerContinuous" vertical="center"/>
    </xf>
    <xf numFmtId="0" fontId="29" fillId="0" borderId="0" xfId="12" applyFont="1" applyAlignment="1">
      <alignment horizontal="left" vertical="center"/>
    </xf>
    <xf numFmtId="0" fontId="22" fillId="0" borderId="0" xfId="12" applyAlignment="1">
      <alignment horizontal="left" vertical="center" indent="1"/>
    </xf>
    <xf numFmtId="0" fontId="6" fillId="7" borderId="0" xfId="0" applyFont="1" applyFill="1" applyBorder="1"/>
    <xf numFmtId="0" fontId="0" fillId="0" borderId="0" xfId="0" applyFont="1" applyBorder="1"/>
    <xf numFmtId="0" fontId="3" fillId="0" borderId="0" xfId="0" applyNumberFormat="1" applyFont="1" applyBorder="1"/>
    <xf numFmtId="164" fontId="0" fillId="0" borderId="0" xfId="0" applyNumberFormat="1" applyFont="1" applyBorder="1"/>
    <xf numFmtId="44" fontId="0" fillId="0" borderId="0" xfId="0" applyNumberFormat="1"/>
    <xf numFmtId="42" fontId="0" fillId="0" borderId="0" xfId="0" applyNumberFormat="1"/>
    <xf numFmtId="0" fontId="0" fillId="0" borderId="0" xfId="6" applyFont="1"/>
    <xf numFmtId="0" fontId="0" fillId="0" borderId="0" xfId="0" applyNumberFormat="1"/>
    <xf numFmtId="0" fontId="12" fillId="9" borderId="0" xfId="9" applyFont="1" applyFill="1" applyBorder="1"/>
    <xf numFmtId="0" fontId="11" fillId="0" borderId="0" xfId="9" applyBorder="1"/>
    <xf numFmtId="14" fontId="11" fillId="0" borderId="0" xfId="9" applyNumberFormat="1" applyBorder="1"/>
    <xf numFmtId="165" fontId="11" fillId="0" borderId="0" xfId="9" applyNumberFormat="1" applyBorder="1"/>
    <xf numFmtId="0" fontId="11" fillId="0" borderId="0" xfId="0" applyNumberFormat="1" applyFont="1" applyFill="1" applyBorder="1" applyAlignment="1" applyProtection="1"/>
    <xf numFmtId="165" fontId="11" fillId="0" borderId="0" xfId="0" applyNumberFormat="1" applyFont="1" applyFill="1" applyBorder="1" applyAlignment="1" applyProtection="1"/>
    <xf numFmtId="44" fontId="11" fillId="0" borderId="0" xfId="9" applyNumberFormat="1"/>
    <xf numFmtId="169" fontId="11" fillId="0" borderId="0" xfId="9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9" fontId="11" fillId="0" borderId="0" xfId="0" applyNumberFormat="1" applyFont="1" applyFill="1" applyBorder="1" applyAlignment="1" applyProtection="1"/>
    <xf numFmtId="14" fontId="19" fillId="15" borderId="20" xfId="10" applyNumberFormat="1" applyFont="1" applyFill="1" applyBorder="1" applyAlignment="1">
      <alignment horizontal="left"/>
    </xf>
    <xf numFmtId="14" fontId="17" fillId="14" borderId="19" xfId="10" applyNumberFormat="1" applyFont="1" applyFill="1" applyBorder="1" applyAlignment="1">
      <alignment horizontal="center" vertical="center"/>
    </xf>
    <xf numFmtId="14" fontId="19" fillId="16" borderId="5" xfId="10" applyNumberFormat="1" applyFont="1" applyFill="1" applyBorder="1" applyAlignment="1">
      <alignment horizontal="left"/>
    </xf>
    <xf numFmtId="14" fontId="19" fillId="15" borderId="5" xfId="10" applyNumberFormat="1" applyFont="1" applyFill="1" applyBorder="1" applyAlignment="1">
      <alignment horizontal="left"/>
    </xf>
    <xf numFmtId="14" fontId="15" fillId="0" borderId="0" xfId="10" applyNumberFormat="1" applyFont="1" applyAlignment="1">
      <alignment horizontal="center" wrapText="1"/>
    </xf>
    <xf numFmtId="14" fontId="17" fillId="14" borderId="12" xfId="10" applyNumberFormat="1" applyFont="1" applyFill="1" applyBorder="1" applyAlignment="1">
      <alignment horizontal="center" vertical="center"/>
    </xf>
    <xf numFmtId="0" fontId="14" fillId="0" borderId="27" xfId="10" applyBorder="1" applyAlignment="1">
      <alignment horizontal="center"/>
    </xf>
    <xf numFmtId="0" fontId="20" fillId="0" borderId="12" xfId="10" applyFont="1" applyBorder="1" applyAlignment="1">
      <alignment horizontal="center" wrapText="1"/>
    </xf>
    <xf numFmtId="0" fontId="21" fillId="17" borderId="28" xfId="7" applyFont="1" applyFill="1" applyBorder="1" applyAlignment="1" applyProtection="1">
      <alignment horizontal="center" vertical="center" wrapText="1"/>
    </xf>
    <xf numFmtId="0" fontId="21" fillId="17" borderId="29" xfId="7" applyFont="1" applyFill="1" applyBorder="1" applyAlignment="1" applyProtection="1">
      <alignment horizontal="center" vertical="center" wrapText="1"/>
    </xf>
    <xf numFmtId="14" fontId="21" fillId="17" borderId="29" xfId="7" applyNumberFormat="1" applyFont="1" applyFill="1" applyBorder="1" applyAlignment="1" applyProtection="1">
      <alignment horizontal="center" vertical="center" wrapText="1"/>
    </xf>
    <xf numFmtId="0" fontId="21" fillId="17" borderId="29" xfId="7" applyNumberFormat="1" applyFont="1" applyFill="1" applyBorder="1" applyAlignment="1" applyProtection="1">
      <alignment horizontal="center" vertical="center" wrapText="1"/>
    </xf>
    <xf numFmtId="164" fontId="21" fillId="17" borderId="29" xfId="7" applyNumberFormat="1" applyFont="1" applyFill="1" applyBorder="1" applyAlignment="1" applyProtection="1">
      <alignment horizontal="center" vertical="center"/>
    </xf>
    <xf numFmtId="164" fontId="21" fillId="17" borderId="29" xfId="7" applyNumberFormat="1" applyFont="1" applyFill="1" applyBorder="1" applyAlignment="1" applyProtection="1">
      <alignment horizontal="center" vertical="center" wrapText="1"/>
    </xf>
    <xf numFmtId="0" fontId="21" fillId="17" borderId="30" xfId="7" applyNumberFormat="1" applyFont="1" applyFill="1" applyBorder="1" applyAlignment="1" applyProtection="1">
      <alignment horizontal="center" vertical="center" wrapText="1"/>
    </xf>
    <xf numFmtId="0" fontId="14" fillId="0" borderId="31" xfId="10" applyBorder="1" applyAlignment="1">
      <alignment horizontal="center"/>
    </xf>
    <xf numFmtId="0" fontId="14" fillId="0" borderId="32" xfId="10" applyBorder="1" applyAlignment="1">
      <alignment horizontal="center"/>
    </xf>
    <xf numFmtId="14" fontId="19" fillId="0" borderId="32" xfId="10" applyNumberFormat="1" applyFont="1" applyBorder="1" applyAlignment="1">
      <alignment horizontal="right"/>
    </xf>
    <xf numFmtId="14" fontId="20" fillId="0" borderId="32" xfId="10" applyNumberFormat="1" applyFont="1" applyBorder="1" applyAlignment="1">
      <alignment horizontal="right" wrapText="1"/>
    </xf>
    <xf numFmtId="164" fontId="19" fillId="0" borderId="32" xfId="11" applyFont="1" applyFill="1" applyBorder="1" applyProtection="1"/>
    <xf numFmtId="164" fontId="19" fillId="0" borderId="32" xfId="11" applyFont="1" applyFill="1" applyBorder="1" applyAlignment="1" applyProtection="1">
      <alignment horizontal="left"/>
    </xf>
    <xf numFmtId="0" fontId="29" fillId="8" borderId="0" xfId="12" applyFont="1" applyFill="1" applyBorder="1" applyAlignment="1">
      <alignment horizontal="center" vertical="center"/>
    </xf>
    <xf numFmtId="0" fontId="34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167" fontId="34" fillId="0" borderId="0" xfId="0" applyNumberFormat="1" applyFont="1" applyFill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9" fontId="31" fillId="0" borderId="0" xfId="16" applyFont="1" applyAlignment="1">
      <alignment horizontal="center" vertical="center"/>
    </xf>
    <xf numFmtId="10" fontId="31" fillId="0" borderId="0" xfId="16" applyNumberFormat="1" applyFont="1" applyAlignment="1">
      <alignment horizontal="center" vertical="center"/>
    </xf>
    <xf numFmtId="10" fontId="31" fillId="0" borderId="0" xfId="12" applyNumberFormat="1" applyFont="1" applyAlignment="1">
      <alignment horizontal="center" vertical="center"/>
    </xf>
    <xf numFmtId="167" fontId="36" fillId="0" borderId="0" xfId="0" applyNumberFormat="1" applyFont="1" applyFill="1" applyAlignment="1">
      <alignment horizontal="center" vertical="center"/>
    </xf>
    <xf numFmtId="44" fontId="0" fillId="0" borderId="0" xfId="0" applyNumberFormat="1" applyAlignment="1">
      <alignment horizontal="left" wrapText="1"/>
    </xf>
    <xf numFmtId="0" fontId="8" fillId="0" borderId="0" xfId="0" applyFont="1" applyAlignment="1">
      <alignment horizontal="left"/>
    </xf>
    <xf numFmtId="0" fontId="4" fillId="4" borderId="0" xfId="3" applyAlignment="1">
      <alignment horizontal="center"/>
    </xf>
    <xf numFmtId="44" fontId="3" fillId="2" borderId="0" xfId="1" applyNumberFormat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2" applyAlignment="1">
      <alignment horizontal="center"/>
    </xf>
    <xf numFmtId="0" fontId="4" fillId="5" borderId="0" xfId="4" applyAlignment="1">
      <alignment horizontal="center" wrapText="1"/>
    </xf>
    <xf numFmtId="44" fontId="3" fillId="0" borderId="1" xfId="6" applyNumberFormat="1" applyBorder="1" applyAlignment="1">
      <alignment horizontal="center"/>
    </xf>
    <xf numFmtId="44" fontId="3" fillId="0" borderId="2" xfId="6" applyNumberFormat="1" applyBorder="1" applyAlignment="1">
      <alignment horizontal="center"/>
    </xf>
    <xf numFmtId="0" fontId="10" fillId="8" borderId="3" xfId="8" applyFont="1" applyFill="1" applyAlignment="1">
      <alignment horizontal="center" vertical="center"/>
    </xf>
    <xf numFmtId="0" fontId="10" fillId="8" borderId="6" xfId="8" applyFont="1" applyFill="1" applyBorder="1" applyAlignment="1">
      <alignment horizontal="center" vertical="center"/>
    </xf>
    <xf numFmtId="0" fontId="24" fillId="0" borderId="0" xfId="13" applyFont="1" applyFill="1" applyAlignment="1">
      <alignment horizontal="center" vertical="center"/>
    </xf>
    <xf numFmtId="0" fontId="0" fillId="18" borderId="5" xfId="0" applyFont="1" applyFill="1" applyBorder="1"/>
    <xf numFmtId="0" fontId="0" fillId="19" borderId="5" xfId="0" applyFont="1" applyFill="1" applyBorder="1"/>
    <xf numFmtId="0" fontId="0" fillId="0" borderId="0" xfId="0"/>
    <xf numFmtId="0" fontId="8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</cellXfs>
  <cellStyles count="19">
    <cellStyle name="40% - Énfasis2" xfId="1" builtinId="35"/>
    <cellStyle name="Celda de comprobación 2" xfId="8" xr:uid="{00000000-0005-0000-0000-000001000000}"/>
    <cellStyle name="Encabezado 1 2" xfId="13" xr:uid="{00000000-0005-0000-0000-000002000000}"/>
    <cellStyle name="Encabezado 4" xfId="7" builtinId="19"/>
    <cellStyle name="Énfasis1" xfId="2" builtinId="29"/>
    <cellStyle name="Énfasis2" xfId="3" builtinId="33"/>
    <cellStyle name="Énfasis5" xfId="4" builtinId="45"/>
    <cellStyle name="Hipervínculo" xfId="15" builtinId="8"/>
    <cellStyle name="Moneda" xfId="5" builtinId="4"/>
    <cellStyle name="Moneda 2" xfId="11" xr:uid="{00000000-0005-0000-0000-000009000000}"/>
    <cellStyle name="Moneda 2 2" xfId="18" xr:uid="{43E188F3-6854-45BC-A44D-E056EFC5ED27}"/>
    <cellStyle name="Moneda 3" xfId="17" xr:uid="{5893242D-0103-42EC-9A05-04A2568B81F6}"/>
    <cellStyle name="Normal" xfId="0" builtinId="0"/>
    <cellStyle name="Normal 2" xfId="6" xr:uid="{00000000-0005-0000-0000-00000B000000}"/>
    <cellStyle name="Normal 3" xfId="9" xr:uid="{00000000-0005-0000-0000-00000C000000}"/>
    <cellStyle name="Normal 4" xfId="10" xr:uid="{00000000-0005-0000-0000-00000D000000}"/>
    <cellStyle name="Normal 5" xfId="12" xr:uid="{00000000-0005-0000-0000-00000E000000}"/>
    <cellStyle name="Porcentaje" xfId="16" builtinId="5"/>
    <cellStyle name="Título 2 2" xfId="14" xr:uid="{00000000-0005-0000-0000-000010000000}"/>
  </cellStyles>
  <dxfs count="182">
    <dxf>
      <numFmt numFmtId="13" formatCode="0%"/>
    </dxf>
    <dxf>
      <numFmt numFmtId="13" formatCode="0%"/>
    </dxf>
    <dxf>
      <numFmt numFmtId="13" formatCode="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 readingOrder="0"/>
    </dxf>
    <dxf>
      <numFmt numFmtId="13" formatCode="0%"/>
    </dxf>
    <dxf>
      <numFmt numFmtId="13" formatCode="0%"/>
    </dxf>
    <dxf>
      <numFmt numFmtId="13" formatCode="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numFmt numFmtId="34" formatCode="_-&quot;$&quot;* #,##0.00_-;\-&quot;$&quot;* #,##0.00_-;_-&quot;$&quot;* &quot;-&quot;??_-;_-@_-"/>
    </dxf>
    <dxf>
      <numFmt numFmtId="13" formatCode="0%"/>
    </dxf>
    <dxf>
      <numFmt numFmtId="13" formatCode="0%"/>
    </dxf>
    <dxf>
      <numFmt numFmtId="13" formatCode="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/>
        <condense val="0"/>
        <extend val="0"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sz val="10"/>
        <color indexed="63"/>
      </font>
      <numFmt numFmtId="14" formatCode="0.0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63"/>
        <name val="Calibri"/>
        <scheme val="minor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[$$-80A]#,##0.00"/>
    </dxf>
    <dxf>
      <numFmt numFmtId="165" formatCode="[$$-80A]#,##0.00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9" formatCode="0.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$-80A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041922"/>
      <color rgb="FF000066"/>
      <color rgb="FF0732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pivotCacheDefinition" Target="pivotCache/pivotCacheDefinition2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calcChain" Target="calcChain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u="sng">
                <a:solidFill>
                  <a:srgbClr val="FFC000"/>
                </a:solidFill>
              </a:defRPr>
            </a:pPr>
            <a:r>
              <a:rPr lang="es-MX" sz="2000" u="sng">
                <a:solidFill>
                  <a:srgbClr val="FFC000"/>
                </a:solidFill>
              </a:rPr>
              <a:t>INVENTARIO</a:t>
            </a:r>
            <a:r>
              <a:rPr lang="es-MX" sz="2000" u="sng" baseline="0">
                <a:solidFill>
                  <a:srgbClr val="FFC000"/>
                </a:solidFill>
              </a:rPr>
              <a:t> POR ESTADO</a:t>
            </a:r>
            <a:endParaRPr lang="es-MX" sz="2000" u="sng">
              <a:solidFill>
                <a:srgbClr val="FFC000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8588340677598791E-2"/>
          <c:y val="6.2784810126582283E-2"/>
          <c:w val="0.95792542079029119"/>
          <c:h val="0.84986664008771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A-442A-995B-773735DC78B3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A-442A-995B-773735DC78B3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A-442A-995B-773735DC78B3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A-442A-995B-773735DC78B3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A-442A-995B-773735DC78B3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EA-442A-995B-773735DC78B3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A-442A-995B-773735DC78B3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2.9357798165137615E-3"/>
                  <c:y val="2.541851888767068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2A-44DE-B6B9-A862C5B22E1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EA-442A-995B-773735DC78B3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EA-442A-995B-773735DC78B3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EA-442A-995B-773735DC78B3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EA-442A-995B-773735DC78B3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6.59248480015943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2A-44DE-B6B9-A862C5B22E1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EA-442A-995B-773735DC78B3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0764401642597454E-16"/>
                  <c:y val="8.76051430280076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2A-44DE-B6B9-A862C5B22E1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EA-442A-995B-773735DC78B3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1.67190670786404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2A-44DE-B6B9-A862C5B22E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8EA-442A-995B-773735DC78B3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4678899082568807E-3"/>
                  <c:y val="6.592484800159473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2A-44DE-B6B9-A862C5B22E1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EA-442A-995B-773735DC78B3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8EA-442A-995B-773735DC78B3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4678899082568807E-3"/>
                  <c:y val="1.87443835343366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2A-44DE-B6B9-A862C5B22E1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8EA-442A-995B-773735DC78B3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2.0769699990032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2A-44DE-B6B9-A862C5B22E1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8EA-442A-995B-773735DC78B3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0764401642597454E-16"/>
                  <c:y val="1.4693750622944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2A-44DE-B6B9-A862C5B22E1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8EA-442A-995B-773735DC78B3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8EA-442A-995B-773735DC78B3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8EA-442A-995B-773735DC78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crossAx val="326769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final Excel 2 Librado.xlsx]T. Dinamicas Top Empresas Méxic!TablaDinámica1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FFFF00"/>
                </a:solidFill>
              </a:rPr>
              <a:t>VALOR</a:t>
            </a:r>
            <a:r>
              <a:rPr lang="es-MX" baseline="0">
                <a:solidFill>
                  <a:srgbClr val="FFFF00"/>
                </a:solidFill>
              </a:rPr>
              <a:t> DEL MERCADO POR EMPRESA</a:t>
            </a:r>
            <a:endParaRPr lang="es-MX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'T. Dinamicas Top Empresas Méxic'!$B$22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4B3-42D6-9073-643F994A1282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4B3-42D6-9073-643F994A1282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4B3-42D6-9073-643F994A12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'T. Dinamicas Top Empresas Méxic'!$A$23:$A$25</c:f>
              <c:strCache>
                <c:ptCount val="3"/>
                <c:pt idx="0">
                  <c:v>VM 2014 (mdd)</c:v>
                </c:pt>
                <c:pt idx="1">
                  <c:v>VM 2015 (mdd)</c:v>
                </c:pt>
                <c:pt idx="2">
                  <c:v>VM 2016 (mdd)</c:v>
                </c:pt>
              </c:strCache>
            </c:strRef>
          </c:cat>
          <c:val>
            <c:numRef>
              <c:f>'T. Dinamicas Top Empresas Méxic'!$B$23:$B$25</c:f>
              <c:numCache>
                <c:formatCode>_("$"* #,##0.00_);_("$"* \(#,##0.00\);_("$"* "-"??_);_(@_)</c:formatCode>
                <c:ptCount val="3"/>
                <c:pt idx="0">
                  <c:v>15259</c:v>
                </c:pt>
                <c:pt idx="1">
                  <c:v>19900</c:v>
                </c:pt>
                <c:pt idx="2">
                  <c:v>42360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B3-42D6-9073-643F994A1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1399007"/>
        <c:axId val="1811389439"/>
      </c:barChart>
      <c:catAx>
        <c:axId val="18113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1389439"/>
        <c:crosses val="autoZero"/>
        <c:auto val="1"/>
        <c:lblAlgn val="ctr"/>
        <c:lblOffset val="100"/>
        <c:noMultiLvlLbl val="0"/>
      </c:catAx>
      <c:valAx>
        <c:axId val="18113894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81139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29000">
          <a:srgbClr val="041922"/>
        </a:gs>
        <a:gs pos="0">
          <a:schemeClr val="bg1"/>
        </a:gs>
      </a:gsLst>
      <a:lin ang="13500000" scaled="1"/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final Excel 2 Librado.xlsx]T. Dinamicas Top Empresas Méxic!TablaDinámica3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FFFF00"/>
                </a:solidFill>
              </a:rPr>
              <a:t>VM</a:t>
            </a:r>
            <a:r>
              <a:rPr lang="es-MX" baseline="0">
                <a:solidFill>
                  <a:srgbClr val="FFFF00"/>
                </a:solidFill>
              </a:rPr>
              <a:t> EN MDD POR RAMO</a:t>
            </a:r>
            <a:endParaRPr lang="es-MX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'T. Dinamicas Top Empresas Méxic'!$B$58</c:f>
              <c:strCache>
                <c:ptCount val="1"/>
                <c:pt idx="0">
                  <c:v>VM 2014 (mdd)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'T. Dinamicas Top Empresas Méxic'!$A$59:$A$60</c:f>
              <c:strCache>
                <c:ptCount val="1"/>
                <c:pt idx="0">
                  <c:v>Conglomerados</c:v>
                </c:pt>
              </c:strCache>
            </c:strRef>
          </c:cat>
          <c:val>
            <c:numRef>
              <c:f>'T. Dinamicas Top Empresas Méxic'!$B$59:$B$60</c:f>
              <c:numCache>
                <c:formatCode>_("$"* #,##0.00_);_("$"* \(#,##0.00\);_("$"* "-"??_);_(@_)</c:formatCode>
                <c:ptCount val="1"/>
                <c:pt idx="0">
                  <c:v>15259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0-4DA9-8D2D-18B86D294C02}"/>
            </c:ext>
          </c:extLst>
        </c:ser>
        <c:ser>
          <c:idx val="1"/>
          <c:order val="1"/>
          <c:tx>
            <c:strRef>
              <c:f>'T. Dinamicas Top Empresas Méxic'!$C$58</c:f>
              <c:strCache>
                <c:ptCount val="1"/>
                <c:pt idx="0">
                  <c:v>VM 2015 (mdd)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'T. Dinamicas Top Empresas Méxic'!$A$59:$A$60</c:f>
              <c:strCache>
                <c:ptCount val="1"/>
                <c:pt idx="0">
                  <c:v>Conglomerados</c:v>
                </c:pt>
              </c:strCache>
            </c:strRef>
          </c:cat>
          <c:val>
            <c:numRef>
              <c:f>'T. Dinamicas Top Empresas Méxic'!$C$59:$C$60</c:f>
              <c:numCache>
                <c:formatCode>_("$"* #,##0.00_);_("$"* \(#,##0.00\);_("$"* "-"??_);_(@_)</c:formatCode>
                <c:ptCount val="1"/>
                <c:pt idx="0">
                  <c:v>19900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0-4DA9-8D2D-18B86D294C02}"/>
            </c:ext>
          </c:extLst>
        </c:ser>
        <c:ser>
          <c:idx val="2"/>
          <c:order val="2"/>
          <c:tx>
            <c:strRef>
              <c:f>'T. Dinamicas Top Empresas Méxic'!$D$58</c:f>
              <c:strCache>
                <c:ptCount val="1"/>
                <c:pt idx="0">
                  <c:v>VM 2016 (mdd)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'T. Dinamicas Top Empresas Méxic'!$A$59:$A$60</c:f>
              <c:strCache>
                <c:ptCount val="1"/>
                <c:pt idx="0">
                  <c:v>Conglomerados</c:v>
                </c:pt>
              </c:strCache>
            </c:strRef>
          </c:cat>
          <c:val>
            <c:numRef>
              <c:f>'T. Dinamicas Top Empresas Méxic'!$D$59:$D$60</c:f>
              <c:numCache>
                <c:formatCode>_("$"* #,##0.00_);_("$"* \(#,##0.00\);_("$"* "-"??_);_(@_)</c:formatCode>
                <c:ptCount val="1"/>
                <c:pt idx="0">
                  <c:v>42360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0-4DA9-8D2D-18B86D294C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7493040"/>
        <c:axId val="897493456"/>
      </c:lineChart>
      <c:catAx>
        <c:axId val="8974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7493456"/>
        <c:crosses val="autoZero"/>
        <c:auto val="1"/>
        <c:lblAlgn val="ctr"/>
        <c:lblOffset val="100"/>
        <c:noMultiLvlLbl val="0"/>
      </c:catAx>
      <c:valAx>
        <c:axId val="8974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74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47000">
          <a:srgbClr val="041922"/>
        </a:gs>
      </a:gsLst>
      <a:lin ang="13500000" scaled="1"/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final Excel 2 Librado.xlsx]T. Dinamicas Top Empresas Méxic!TablaDinámica2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PROMEDIO</a:t>
            </a:r>
            <a:r>
              <a:rPr lang="en-US" baseline="0">
                <a:solidFill>
                  <a:srgbClr val="FFFF00"/>
                </a:solidFill>
              </a:rPr>
              <a:t> VM</a:t>
            </a:r>
            <a:r>
              <a:rPr lang="en-US">
                <a:solidFill>
                  <a:srgbClr val="FFFF00"/>
                </a:solidFill>
              </a:rPr>
              <a:t> 2014-16</a:t>
            </a:r>
          </a:p>
        </c:rich>
      </c:tx>
      <c:layout>
        <c:manualLayout>
          <c:xMode val="edge"/>
          <c:yMode val="edge"/>
          <c:x val="0.29794515411600947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0.12705240612046773"/>
              <c:y val="-2.4832312627588219E-3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0.11053495025450585"/>
              <c:y val="-0.2158963983668708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12401436121854631"/>
              <c:y val="-0.16876713327500728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6.6071056186469843E-2"/>
              <c:y val="-0.17859835228929707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9.6040803118788182E-2"/>
              <c:y val="-0.12292614464858567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9.380834245034439E-2"/>
              <c:y val="-0.12050998833479148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9.363370674556086E-2"/>
              <c:y val="-0.10233377077865276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5.4139739381892329E-2"/>
              <c:y val="5.7075678040244974E-3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4.9705636110554674E-2"/>
              <c:y val="3.0194663167104111E-3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5.8520219219172949E-2"/>
              <c:y val="2.218066491688539E-2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9.7509592122902444E-2"/>
              <c:y val="2.6116579177602756E-2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1.9166782234412528E-2"/>
              <c:y val="2.4309930008748905E-2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0.13277942996851422"/>
              <c:y val="0.10906204432779236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  <c:dLbl>
          <c:idx val="0"/>
          <c:dLblPos val="outEnd"/>
          <c:showLegendKey val="1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-7.1921494887765891E-2"/>
              <c:y val="-0.12137649460484107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-4.4736945195283498E-2"/>
              <c:y val="-0.11804498396033829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</c:pivotFmt>
      <c:pivotFmt>
        <c:idx val="40"/>
        <c:dLbl>
          <c:idx val="0"/>
          <c:layout>
            <c:manualLayout>
              <c:x val="-3.7779605907470705E-3"/>
              <c:y val="-4.8912583843686207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6.6820386257687936E-2"/>
              <c:y val="9.4484543598716622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layout>
            <c:manualLayout>
              <c:x val="7.3771300975437768E-3"/>
              <c:y val="-1.3805774278215202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layout>
            <c:manualLayout>
              <c:x val="-2.2108355858502775E-2"/>
              <c:y val="2.3986585010206635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layout>
            <c:manualLayout>
              <c:x val="-5.3730873193089668E-2"/>
              <c:y val="-8.6741032370953625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</c:pivotFmt>
      <c:pivotFmt>
        <c:idx val="46"/>
      </c:pivotFmt>
      <c:pivotFmt>
        <c:idx val="47"/>
        <c:dLbl>
          <c:idx val="0"/>
          <c:layout>
            <c:manualLayout>
              <c:x val="1.1796372468366827E-2"/>
              <c:y val="-0.11703412073490814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051733458690793"/>
                  <c:h val="0.11560185185185186"/>
                </c:manualLayout>
              </c15:layout>
            </c:ext>
          </c:extLst>
        </c:dLbl>
      </c:pivotFmt>
      <c:pivotFmt>
        <c:idx val="48"/>
        <c:dLbl>
          <c:idx val="0"/>
          <c:layout>
            <c:manualLayout>
              <c:x val="1.6719551847063801E-3"/>
              <c:y val="-0.12216134441528151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layout>
            <c:manualLayout>
              <c:x val="-7.5535707290320053E-2"/>
              <c:y val="-3.611840186643336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layout>
            <c:manualLayout>
              <c:x val="-7.6955380577427802E-3"/>
              <c:y val="-3.3175853018372704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</c:pivotFmt>
      <c:pivotFmt>
        <c:idx val="5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'T. Dinamicas Top Empresas Méxic'!$D$41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249E-4334-AB09-0E0FD849FF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249E-4334-AB09-0E0FD849FF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249E-4334-AB09-0E0FD849FF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249E-4334-AB09-0E0FD849FF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249E-4334-AB09-0E0FD849FF9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249E-4334-AB09-0E0FD849FF9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249E-4334-AB09-0E0FD849FF9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249E-4334-AB09-0E0FD849FF9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249E-4334-AB09-0E0FD849FF9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249E-4334-AB09-0E0FD849FF9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249E-4334-AB09-0E0FD849FF9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249E-4334-AB09-0E0FD849FF9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249E-4334-AB09-0E0FD849FF9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249E-4334-AB09-0E0FD849FF9E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249E-4334-AB09-0E0FD849FF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'T. Dinamicas Top Empresas Méxic'!$C$42:$C$44</c:f>
              <c:strCache>
                <c:ptCount val="2"/>
                <c:pt idx="0">
                  <c:v>Grupo Alfa</c:v>
                </c:pt>
                <c:pt idx="1">
                  <c:v>Grupo Carso</c:v>
                </c:pt>
              </c:strCache>
            </c:strRef>
          </c:cat>
          <c:val>
            <c:numRef>
              <c:f>'T. Dinamicas Top Empresas Méxic'!$D$42:$D$44</c:f>
              <c:numCache>
                <c:formatCode>_("$"* #,##0.00_);_("$"* \(#,##0.00\);_("$"* "-"??_);_(@_)</c:formatCode>
                <c:ptCount val="2"/>
                <c:pt idx="0">
                  <c:v>17598</c:v>
                </c:pt>
                <c:pt idx="1">
                  <c:v>8241.6666666666661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49E-4334-AB09-0E0FD849FF9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47000">
          <a:srgbClr val="041922"/>
        </a:gs>
      </a:gsLst>
      <a:lin ang="13500000" scaled="1"/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final Excel 2 Librado.xlsx]T. Dinamicas Top Empresas Méxic!TablaDinámica4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FFFF00"/>
                </a:solidFill>
              </a:rPr>
              <a:t>%</a:t>
            </a:r>
            <a:r>
              <a:rPr lang="es-MX" baseline="0">
                <a:solidFill>
                  <a:srgbClr val="FFFF00"/>
                </a:solidFill>
              </a:rPr>
              <a:t> VM POR RAMO</a:t>
            </a:r>
            <a:endParaRPr lang="es-MX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144000" tIns="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144000" tIns="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144000" tIns="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'T. Dinamicas Top Empresas Méxic'!$B$73</c:f>
              <c:strCache>
                <c:ptCount val="1"/>
                <c:pt idx="0">
                  <c:v>VM 2014 (mdd)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144000" tIns="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'T. Dinamicas Top Empresas Méxic'!$A$74:$A$75</c:f>
              <c:strCache>
                <c:ptCount val="1"/>
                <c:pt idx="0">
                  <c:v>Conglomerados</c:v>
                </c:pt>
              </c:strCache>
            </c:strRef>
          </c:cat>
          <c:val>
            <c:numRef>
              <c:f>'T. Dinamicas Top Empresas Méxic'!$B$74:$B$75</c:f>
              <c:numCache>
                <c:formatCode>0%</c:formatCode>
                <c:ptCount val="1"/>
                <c:pt idx="0">
                  <c:v>8.0028321183196111E-2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3-45FF-85E8-CE5F25FEE57D}"/>
            </c:ext>
          </c:extLst>
        </c:ser>
        <c:ser>
          <c:idx val="1"/>
          <c:order val="1"/>
          <c:tx>
            <c:strRef>
              <c:f>'T. Dinamicas Top Empresas Méxic'!$C$73</c:f>
              <c:strCache>
                <c:ptCount val="1"/>
                <c:pt idx="0">
                  <c:v>VM 2015 (mdd)2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'T. Dinamicas Top Empresas Méxic'!$A$74:$A$75</c:f>
              <c:strCache>
                <c:ptCount val="1"/>
                <c:pt idx="0">
                  <c:v>Conglomerados</c:v>
                </c:pt>
              </c:strCache>
            </c:strRef>
          </c:cat>
          <c:val>
            <c:numRef>
              <c:f>'T. Dinamicas Top Empresas Méxic'!$C$74:$C$75</c:f>
              <c:numCache>
                <c:formatCode>0%</c:formatCode>
                <c:ptCount val="1"/>
                <c:pt idx="0">
                  <c:v>8.7775787997212348E-2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3-45FF-85E8-CE5F25FEE57D}"/>
            </c:ext>
          </c:extLst>
        </c:ser>
        <c:ser>
          <c:idx val="2"/>
          <c:order val="2"/>
          <c:tx>
            <c:strRef>
              <c:f>'T. Dinamicas Top Empresas Méxic'!$D$73</c:f>
              <c:strCache>
                <c:ptCount val="1"/>
                <c:pt idx="0">
                  <c:v>VM 2016 (mdd)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'T. Dinamicas Top Empresas Méxic'!$A$74:$A$75</c:f>
              <c:strCache>
                <c:ptCount val="1"/>
                <c:pt idx="0">
                  <c:v>Conglomerados</c:v>
                </c:pt>
              </c:strCache>
            </c:strRef>
          </c:cat>
          <c:val>
            <c:numRef>
              <c:f>'T. Dinamicas Top Empresas Méxic'!$D$74:$D$75</c:f>
              <c:numCache>
                <c:formatCode>0%</c:formatCode>
                <c:ptCount val="1"/>
                <c:pt idx="0">
                  <c:v>0.19442519265810815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3-45FF-85E8-CE5F25FEE5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07488736"/>
        <c:axId val="707484992"/>
      </c:areaChart>
      <c:catAx>
        <c:axId val="7074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7484992"/>
        <c:crosses val="autoZero"/>
        <c:auto val="1"/>
        <c:lblAlgn val="ctr"/>
        <c:lblOffset val="100"/>
        <c:noMultiLvlLbl val="0"/>
      </c:catAx>
      <c:valAx>
        <c:axId val="7074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748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7000">
          <a:schemeClr val="accent1">
            <a:lumMod val="5000"/>
            <a:lumOff val="95000"/>
          </a:schemeClr>
        </a:gs>
        <a:gs pos="39000">
          <a:srgbClr val="041922"/>
        </a:gs>
      </a:gsLst>
      <a:lin ang="13500000" scaled="1"/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final Excel 2 Librado.xlsx]Grafico clasificación!TablaDinámica2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Porcentaje de ventas por alquiler en los estados</a:t>
            </a:r>
          </a:p>
        </c:rich>
      </c:tx>
      <c:layout>
        <c:manualLayout>
          <c:xMode val="edge"/>
          <c:yMode val="edge"/>
          <c:x val="0.15713888888888888"/>
          <c:y val="3.0365995917177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'Grafico clasificación'!$B$3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FB-4E1C-A04E-AEFD85FF8C71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FB-4E1C-A04E-AEFD85FF8C71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FB-4E1C-A04E-AEFD85FF8C71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FB-4E1C-A04E-AEFD85FF8C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clasificación'!$A$4:$A$8</c:f>
              <c:strCache>
                <c:ptCount val="4"/>
                <c:pt idx="0">
                  <c:v>Hidalgo</c:v>
                </c:pt>
                <c:pt idx="1">
                  <c:v>Puebla</c:v>
                </c:pt>
                <c:pt idx="2">
                  <c:v>Tlaxcala</c:v>
                </c:pt>
                <c:pt idx="3">
                  <c:v>Veracruz</c:v>
                </c:pt>
              </c:strCache>
            </c:strRef>
          </c:cat>
          <c:val>
            <c:numRef>
              <c:f>'Grafico clasificación'!$B$4:$B$8</c:f>
              <c:numCache>
                <c:formatCode>0.00%</c:formatCode>
                <c:ptCount val="4"/>
                <c:pt idx="0">
                  <c:v>0.22005247809385872</c:v>
                </c:pt>
                <c:pt idx="1">
                  <c:v>0.10993768537565259</c:v>
                </c:pt>
                <c:pt idx="2">
                  <c:v>0.113188567036374</c:v>
                </c:pt>
                <c:pt idx="3">
                  <c:v>0.11584616739144876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6-45AF-BA9B-222DC7C0D3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17079008"/>
        <c:axId val="717074016"/>
      </c:barChart>
      <c:catAx>
        <c:axId val="7170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7074016"/>
        <c:crosses val="autoZero"/>
        <c:auto val="1"/>
        <c:lblAlgn val="ctr"/>
        <c:lblOffset val="100"/>
        <c:noMultiLvlLbl val="0"/>
      </c:catAx>
      <c:valAx>
        <c:axId val="71707401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1707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final Excel 2 Librado.xlsx]T. Dinamicas Top Empresas Méxic!TablaDinámica7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VALOR</a:t>
            </a:r>
            <a:r>
              <a:rPr lang="en-US" baseline="0"/>
              <a:t> DEL MERCADO POR AÑO Y RAMO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'T. Dinamicas Top Empresas Méxic'!$B$5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9DA-455C-A13F-E3A9EB8CA3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9DA-455C-A13F-E3A9EB8CA3C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19DA-455C-A13F-E3A9EB8CA3C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19DA-455C-A13F-E3A9EB8CA3C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19DA-455C-A13F-E3A9EB8CA3C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19DA-455C-A13F-E3A9EB8CA3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'T. Dinamicas Top Empresas Méxic'!$A$6:$A$8</c:f>
              <c:strCache>
                <c:ptCount val="3"/>
                <c:pt idx="0">
                  <c:v>VM 2014 (mdd)</c:v>
                </c:pt>
                <c:pt idx="1">
                  <c:v>VM 2015 (mdd)</c:v>
                </c:pt>
                <c:pt idx="2">
                  <c:v>VM 2016 (mdd)</c:v>
                </c:pt>
              </c:strCache>
            </c:strRef>
          </c:cat>
          <c:val>
            <c:numRef>
              <c:f>'T. Dinamicas Top Empresas Méxic'!$B$6:$B$8</c:f>
              <c:numCache>
                <c:formatCode>_("$"* #,##0.00_);_("$"* \(#,##0.00\);_("$"* "-"??_);_(@_)</c:formatCode>
                <c:ptCount val="3"/>
                <c:pt idx="0">
                  <c:v>15259</c:v>
                </c:pt>
                <c:pt idx="1">
                  <c:v>19900</c:v>
                </c:pt>
                <c:pt idx="2">
                  <c:v>42360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150-4DC7-B05F-ED7EC739326A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final Excel 2 Librado.xlsx]T. Dinamicas Top Empresas Méxic!TablaDinámica1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VALOR</a:t>
            </a:r>
            <a:r>
              <a:rPr lang="es-MX" baseline="0"/>
              <a:t> DEL MERCADO POR EMPRESA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'T. Dinamicas Top Empresas Méxic'!$B$22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068-4046-9E4A-5C07701D5C92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068-4046-9E4A-5C07701D5C92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A068-4046-9E4A-5C07701D5C92}"/>
              </c:ext>
            </c:extLst>
          </c:dPt>
          <c:cat>
            <c:strRef>
              <c:f>'T. Dinamicas Top Empresas Méxic'!$A$23:$A$25</c:f>
              <c:strCache>
                <c:ptCount val="3"/>
                <c:pt idx="0">
                  <c:v>VM 2014 (mdd)</c:v>
                </c:pt>
                <c:pt idx="1">
                  <c:v>VM 2015 (mdd)</c:v>
                </c:pt>
                <c:pt idx="2">
                  <c:v>VM 2016 (mdd)</c:v>
                </c:pt>
              </c:strCache>
            </c:strRef>
          </c:cat>
          <c:val>
            <c:numRef>
              <c:f>'T. Dinamicas Top Empresas Méxic'!$B$23:$B$25</c:f>
              <c:numCache>
                <c:formatCode>_("$"* #,##0.00_);_("$"* \(#,##0.00\);_("$"* "-"??_);_(@_)</c:formatCode>
                <c:ptCount val="3"/>
                <c:pt idx="0">
                  <c:v>15259</c:v>
                </c:pt>
                <c:pt idx="1">
                  <c:v>19900</c:v>
                </c:pt>
                <c:pt idx="2">
                  <c:v>42360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8-49AD-A5C3-63C6073FD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1399007"/>
        <c:axId val="1811389439"/>
      </c:barChart>
      <c:catAx>
        <c:axId val="18113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1389439"/>
        <c:crosses val="autoZero"/>
        <c:auto val="1"/>
        <c:lblAlgn val="ctr"/>
        <c:lblOffset val="100"/>
        <c:noMultiLvlLbl val="0"/>
      </c:catAx>
      <c:valAx>
        <c:axId val="18113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139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final Excel 2 Librado.xlsx]T. Dinamicas Top Empresas Méxic!TablaDinámica2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Promedio valor mercado 2014-16</a:t>
            </a:r>
          </a:p>
        </c:rich>
      </c:tx>
      <c:layout>
        <c:manualLayout>
          <c:xMode val="edge"/>
          <c:yMode val="edge"/>
          <c:x val="0.29794515411600947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0.12705240612046773"/>
              <c:y val="-2.4832312627588219E-3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0.11053495025450585"/>
              <c:y val="-0.2158963983668708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12401436121854631"/>
              <c:y val="-0.16876713327500728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6.6071056186469843E-2"/>
              <c:y val="-0.17859835228929707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9.6040803118788182E-2"/>
              <c:y val="-0.12292614464858567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9.380834245034439E-2"/>
              <c:y val="-0.12050998833479148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9.363370674556086E-2"/>
              <c:y val="-0.10233377077865276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5.4139739381892329E-2"/>
              <c:y val="5.7075678040244974E-3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4.9705636110554674E-2"/>
              <c:y val="3.0194663167104111E-3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5.8520219219172949E-2"/>
              <c:y val="2.218066491688539E-2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9.7509592122902444E-2"/>
              <c:y val="2.6116579177602756E-2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1.9166782234412528E-2"/>
              <c:y val="2.4309930008748905E-2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0.13277942996851422"/>
              <c:y val="0.10906204432779236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  <c:dLbl>
          <c:idx val="0"/>
          <c:dLblPos val="outEnd"/>
          <c:showLegendKey val="1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-7.1921494887765891E-2"/>
              <c:y val="-0.12137649460484107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-4.4736945195283498E-2"/>
              <c:y val="-0.11804498396033829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</c:pivotFmt>
      <c:pivotFmt>
        <c:idx val="40"/>
        <c:dLbl>
          <c:idx val="0"/>
          <c:layout>
            <c:manualLayout>
              <c:x val="-3.7779605907470705E-3"/>
              <c:y val="-4.8912583843686207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6.6820386257687936E-2"/>
              <c:y val="9.4484543598716622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layout>
            <c:manualLayout>
              <c:x val="7.3771300975437768E-3"/>
              <c:y val="-1.3805774278215202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layout>
            <c:manualLayout>
              <c:x val="-2.2108355858502775E-2"/>
              <c:y val="2.3986585010206635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layout>
            <c:manualLayout>
              <c:x val="-5.3730873193089668E-2"/>
              <c:y val="-8.6741032370953625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</c:pivotFmt>
      <c:pivotFmt>
        <c:idx val="46"/>
      </c:pivotFmt>
      <c:pivotFmt>
        <c:idx val="47"/>
        <c:dLbl>
          <c:idx val="0"/>
          <c:layout>
            <c:manualLayout>
              <c:x val="1.1796372468366827E-2"/>
              <c:y val="-0.11703412073490814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051733458690793"/>
                  <c:h val="0.11560185185185186"/>
                </c:manualLayout>
              </c15:layout>
            </c:ext>
          </c:extLst>
        </c:dLbl>
      </c:pivotFmt>
      <c:pivotFmt>
        <c:idx val="48"/>
        <c:dLbl>
          <c:idx val="0"/>
          <c:layout>
            <c:manualLayout>
              <c:x val="1.6719551847063801E-3"/>
              <c:y val="-0.12216134441528151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layout>
            <c:manualLayout>
              <c:x val="-7.5535707290320053E-2"/>
              <c:y val="-3.611840186643336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layout>
            <c:manualLayout>
              <c:x val="-7.6955380577427802E-3"/>
              <c:y val="-3.3175853018372704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</c:pivotFmt>
      <c:pivotFmt>
        <c:idx val="5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'T. Dinamicas Top Empresas Méxic'!$D$41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F661-4F56-BCD4-254B119A88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F661-4F56-BCD4-254B119A88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2-4F8D-4B22-B8E8-E511C46CC84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0-4F8D-4B22-B8E8-E511C46CC84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4F8D-4B22-B8E8-E511C46CC84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4F8D-4B22-B8E8-E511C46CC84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4-4F8D-4B22-B8E8-E511C46CC84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4F8D-4B22-B8E8-E511C46CC84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6-4F8D-4B22-B8E8-E511C46CC84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4F8D-4B22-B8E8-E511C46CC84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8-4F8D-4B22-B8E8-E511C46CC84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4F8D-4B22-B8E8-E511C46CC84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A-4F8D-4B22-B8E8-E511C46CC84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4F8D-4B22-B8E8-E511C46CC84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4F8D-4B22-B8E8-E511C46CC8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'T. Dinamicas Top Empresas Méxic'!$C$42:$C$44</c:f>
              <c:strCache>
                <c:ptCount val="2"/>
                <c:pt idx="0">
                  <c:v>Grupo Alfa</c:v>
                </c:pt>
                <c:pt idx="1">
                  <c:v>Grupo Carso</c:v>
                </c:pt>
              </c:strCache>
            </c:strRef>
          </c:cat>
          <c:val>
            <c:numRef>
              <c:f>'T. Dinamicas Top Empresas Méxic'!$D$42:$D$44</c:f>
              <c:numCache>
                <c:formatCode>_("$"* #,##0.00_);_("$"* \(#,##0.00\);_("$"* "-"??_);_(@_)</c:formatCode>
                <c:ptCount val="2"/>
                <c:pt idx="0">
                  <c:v>17598</c:v>
                </c:pt>
                <c:pt idx="1">
                  <c:v>8241.6666666666661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D-4B22-B8E8-E511C46CC8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final Excel 2 Librado.xlsx]T. Dinamicas Top Empresas Méxic!TablaDinámica3</c:name>
    <c:fmtId val="0"/>
  </c:pivotSource>
  <c:chart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'T. Dinamicas Top Empresas Méxic'!$B$58</c:f>
              <c:strCache>
                <c:ptCount val="1"/>
                <c:pt idx="0">
                  <c:v>VM 2014 (mdd)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'T. Dinamicas Top Empresas Méxic'!$A$59:$A$60</c:f>
              <c:strCache>
                <c:ptCount val="1"/>
                <c:pt idx="0">
                  <c:v>Conglomerados</c:v>
                </c:pt>
              </c:strCache>
            </c:strRef>
          </c:cat>
          <c:val>
            <c:numRef>
              <c:f>'T. Dinamicas Top Empresas Méxic'!$B$59:$B$60</c:f>
              <c:numCache>
                <c:formatCode>_("$"* #,##0.00_);_("$"* \(#,##0.00\);_("$"* "-"??_);_(@_)</c:formatCode>
                <c:ptCount val="1"/>
                <c:pt idx="0">
                  <c:v>15259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0-4A16-8613-2D445E1CDE9A}"/>
            </c:ext>
          </c:extLst>
        </c:ser>
        <c:ser>
          <c:idx val="1"/>
          <c:order val="1"/>
          <c:tx>
            <c:strRef>
              <c:f>'T. Dinamicas Top Empresas Méxic'!$C$58</c:f>
              <c:strCache>
                <c:ptCount val="1"/>
                <c:pt idx="0">
                  <c:v>VM 2015 (mdd)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'T. Dinamicas Top Empresas Méxic'!$A$59:$A$60</c:f>
              <c:strCache>
                <c:ptCount val="1"/>
                <c:pt idx="0">
                  <c:v>Conglomerados</c:v>
                </c:pt>
              </c:strCache>
            </c:strRef>
          </c:cat>
          <c:val>
            <c:numRef>
              <c:f>'T. Dinamicas Top Empresas Méxic'!$C$59:$C$60</c:f>
              <c:numCache>
                <c:formatCode>_("$"* #,##0.00_);_("$"* \(#,##0.00\);_("$"* "-"??_);_(@_)</c:formatCode>
                <c:ptCount val="1"/>
                <c:pt idx="0">
                  <c:v>19900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7-424E-B2FB-549A032FB515}"/>
            </c:ext>
          </c:extLst>
        </c:ser>
        <c:ser>
          <c:idx val="2"/>
          <c:order val="2"/>
          <c:tx>
            <c:strRef>
              <c:f>'T. Dinamicas Top Empresas Méxic'!$D$58</c:f>
              <c:strCache>
                <c:ptCount val="1"/>
                <c:pt idx="0">
                  <c:v>VM 2016 (mdd)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'T. Dinamicas Top Empresas Méxic'!$A$59:$A$60</c:f>
              <c:strCache>
                <c:ptCount val="1"/>
                <c:pt idx="0">
                  <c:v>Conglomerados</c:v>
                </c:pt>
              </c:strCache>
            </c:strRef>
          </c:cat>
          <c:val>
            <c:numRef>
              <c:f>'T. Dinamicas Top Empresas Méxic'!$D$59:$D$60</c:f>
              <c:numCache>
                <c:formatCode>_("$"* #,##0.00_);_("$"* \(#,##0.00\);_("$"* "-"??_);_(@_)</c:formatCode>
                <c:ptCount val="1"/>
                <c:pt idx="0">
                  <c:v>42360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07-424E-B2FB-549A032FB5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7493040"/>
        <c:axId val="897493456"/>
      </c:lineChart>
      <c:catAx>
        <c:axId val="8974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7493456"/>
        <c:crosses val="autoZero"/>
        <c:auto val="1"/>
        <c:lblAlgn val="ctr"/>
        <c:lblOffset val="100"/>
        <c:noMultiLvlLbl val="0"/>
      </c:catAx>
      <c:valAx>
        <c:axId val="8974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74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final Excel 2 Librado.xlsx]T. Dinamicas Top Empresas Méxic!TablaDinámica4</c:name>
    <c:fmtId val="0"/>
  </c:pivotSource>
  <c:chart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144000" tIns="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'T. Dinamicas Top Empresas Méxic'!$B$73</c:f>
              <c:strCache>
                <c:ptCount val="1"/>
                <c:pt idx="0">
                  <c:v>VM 2014 (mdd)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144000" tIns="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'T. Dinamicas Top Empresas Méxic'!$A$74:$A$75</c:f>
              <c:strCache>
                <c:ptCount val="1"/>
                <c:pt idx="0">
                  <c:v>Conglomerados</c:v>
                </c:pt>
              </c:strCache>
            </c:strRef>
          </c:cat>
          <c:val>
            <c:numRef>
              <c:f>'T. Dinamicas Top Empresas Méxic'!$B$74:$B$75</c:f>
              <c:numCache>
                <c:formatCode>0%</c:formatCode>
                <c:ptCount val="1"/>
                <c:pt idx="0">
                  <c:v>8.0028321183196111E-2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15-4699-9A89-42FA7E09E3F4}"/>
            </c:ext>
          </c:extLst>
        </c:ser>
        <c:ser>
          <c:idx val="1"/>
          <c:order val="1"/>
          <c:tx>
            <c:strRef>
              <c:f>'T. Dinamicas Top Empresas Méxic'!$C$73</c:f>
              <c:strCache>
                <c:ptCount val="1"/>
                <c:pt idx="0">
                  <c:v>VM 2015 (mdd)2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'T. Dinamicas Top Empresas Méxic'!$A$74:$A$75</c:f>
              <c:strCache>
                <c:ptCount val="1"/>
                <c:pt idx="0">
                  <c:v>Conglomerados</c:v>
                </c:pt>
              </c:strCache>
            </c:strRef>
          </c:cat>
          <c:val>
            <c:numRef>
              <c:f>'T. Dinamicas Top Empresas Méxic'!$C$74:$C$75</c:f>
              <c:numCache>
                <c:formatCode>0%</c:formatCode>
                <c:ptCount val="1"/>
                <c:pt idx="0">
                  <c:v>8.7775787997212348E-2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15-4699-9A89-42FA7E09E3F4}"/>
            </c:ext>
          </c:extLst>
        </c:ser>
        <c:ser>
          <c:idx val="2"/>
          <c:order val="2"/>
          <c:tx>
            <c:strRef>
              <c:f>'T. Dinamicas Top Empresas Méxic'!$D$73</c:f>
              <c:strCache>
                <c:ptCount val="1"/>
                <c:pt idx="0">
                  <c:v>VM 2016 (mdd)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'T. Dinamicas Top Empresas Méxic'!$A$74:$A$75</c:f>
              <c:strCache>
                <c:ptCount val="1"/>
                <c:pt idx="0">
                  <c:v>Conglomerados</c:v>
                </c:pt>
              </c:strCache>
            </c:strRef>
          </c:cat>
          <c:val>
            <c:numRef>
              <c:f>'T. Dinamicas Top Empresas Méxic'!$D$74:$D$75</c:f>
              <c:numCache>
                <c:formatCode>0%</c:formatCode>
                <c:ptCount val="1"/>
                <c:pt idx="0">
                  <c:v>0.19442519265810815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15-4699-9A89-42FA7E09E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07488736"/>
        <c:axId val="707484992"/>
      </c:areaChart>
      <c:catAx>
        <c:axId val="7074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7484992"/>
        <c:crosses val="autoZero"/>
        <c:auto val="1"/>
        <c:lblAlgn val="ctr"/>
        <c:lblOffset val="100"/>
        <c:noMultiLvlLbl val="0"/>
      </c:catAx>
      <c:valAx>
        <c:axId val="7074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748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final Excel 2 Librado.xlsx]T. Dinamicas Top Empresas Méxic!TablaDinámica1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VM</a:t>
            </a:r>
            <a:r>
              <a:rPr lang="es-MX" baseline="0"/>
              <a:t> TOP 10 EMPRESA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'T. Dinamicas Top Empresas Méxic'!$B$22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'T. Dinamicas Top Empresas Méxic'!$A$23:$A$25</c:f>
              <c:strCache>
                <c:ptCount val="3"/>
                <c:pt idx="0">
                  <c:v>VM 2014 (mdd)</c:v>
                </c:pt>
                <c:pt idx="1">
                  <c:v>VM 2015 (mdd)</c:v>
                </c:pt>
                <c:pt idx="2">
                  <c:v>VM 2016 (mdd)</c:v>
                </c:pt>
              </c:strCache>
            </c:strRef>
          </c:cat>
          <c:val>
            <c:numRef>
              <c:f>'T. Dinamicas Top Empresas Méxic'!$B$23:$B$25</c:f>
              <c:numCache>
                <c:formatCode>_("$"* #,##0.00_);_("$"* \(#,##0.00\);_("$"* "-"??_);_(@_)</c:formatCode>
                <c:ptCount val="3"/>
                <c:pt idx="0">
                  <c:v>15259</c:v>
                </c:pt>
                <c:pt idx="1">
                  <c:v>19900</c:v>
                </c:pt>
                <c:pt idx="2">
                  <c:v>42360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A-4B11-988D-EB48A244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1399007"/>
        <c:axId val="1811389439"/>
      </c:barChart>
      <c:catAx>
        <c:axId val="18113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1389439"/>
        <c:crosses val="autoZero"/>
        <c:auto val="1"/>
        <c:lblAlgn val="ctr"/>
        <c:lblOffset val="100"/>
        <c:noMultiLvlLbl val="0"/>
      </c:catAx>
      <c:valAx>
        <c:axId val="18113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139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041922"/>
    </a:soli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final Excel 2 Librado.xlsx]T. Dinamicas Top Empresas Méxic!TablaDinámica7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VALOR</a:t>
            </a:r>
            <a:r>
              <a:rPr lang="en-US" baseline="0">
                <a:solidFill>
                  <a:srgbClr val="FFFF00"/>
                </a:solidFill>
              </a:rPr>
              <a:t> DEL MERCADO POR AÑO Y RAMO</a:t>
            </a:r>
            <a:endParaRPr lang="en-US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'T. Dinamicas Top Empresas Méxic'!$B$5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78F-408A-B834-10B6A17DB5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78F-408A-B834-10B6A17DB5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378F-408A-B834-10B6A17DB5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378F-408A-B834-10B6A17DB5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378F-408A-B834-10B6A17DB5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378F-408A-B834-10B6A17DB5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'T. Dinamicas Top Empresas Méxic'!$A$6:$A$8</c:f>
              <c:strCache>
                <c:ptCount val="3"/>
                <c:pt idx="0">
                  <c:v>VM 2014 (mdd)</c:v>
                </c:pt>
                <c:pt idx="1">
                  <c:v>VM 2015 (mdd)</c:v>
                </c:pt>
                <c:pt idx="2">
                  <c:v>VM 2016 (mdd)</c:v>
                </c:pt>
              </c:strCache>
            </c:strRef>
          </c:cat>
          <c:val>
            <c:numRef>
              <c:f>'T. Dinamicas Top Empresas Méxic'!$B$6:$B$8</c:f>
              <c:numCache>
                <c:formatCode>_("$"* #,##0.00_);_("$"* \(#,##0.00\);_("$"* "-"??_);_(@_)</c:formatCode>
                <c:ptCount val="3"/>
                <c:pt idx="0">
                  <c:v>15259</c:v>
                </c:pt>
                <c:pt idx="1">
                  <c:v>19900</c:v>
                </c:pt>
                <c:pt idx="2">
                  <c:v>42360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8F-408A-B834-10B6A17DB535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29000">
          <a:srgbClr val="041922"/>
        </a:gs>
        <a:gs pos="0">
          <a:schemeClr val="bg1"/>
        </a:gs>
      </a:gsLst>
      <a:lin ang="13500000" scaled="1"/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13" Type="http://schemas.openxmlformats.org/officeDocument/2006/relationships/image" Target="../media/image25.png"/><Relationship Id="rId18" Type="http://schemas.openxmlformats.org/officeDocument/2006/relationships/chart" Target="../charts/chart10.xml"/><Relationship Id="rId3" Type="http://schemas.openxmlformats.org/officeDocument/2006/relationships/image" Target="../media/image27.png"/><Relationship Id="rId21" Type="http://schemas.openxmlformats.org/officeDocument/2006/relationships/chart" Target="../charts/chart13.xml"/><Relationship Id="rId7" Type="http://schemas.openxmlformats.org/officeDocument/2006/relationships/image" Target="../media/image31.png"/><Relationship Id="rId12" Type="http://schemas.openxmlformats.org/officeDocument/2006/relationships/image" Target="../media/image24.png"/><Relationship Id="rId17" Type="http://schemas.openxmlformats.org/officeDocument/2006/relationships/chart" Target="../charts/chart9.xml"/><Relationship Id="rId2" Type="http://schemas.openxmlformats.org/officeDocument/2006/relationships/image" Target="../media/image18.png"/><Relationship Id="rId16" Type="http://schemas.openxmlformats.org/officeDocument/2006/relationships/image" Target="../media/image20.png"/><Relationship Id="rId20" Type="http://schemas.openxmlformats.org/officeDocument/2006/relationships/chart" Target="../charts/chart12.xml"/><Relationship Id="rId1" Type="http://schemas.openxmlformats.org/officeDocument/2006/relationships/chart" Target="../charts/chart8.xml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29.png"/><Relationship Id="rId15" Type="http://schemas.openxmlformats.org/officeDocument/2006/relationships/image" Target="../media/image21.png"/><Relationship Id="rId10" Type="http://schemas.openxmlformats.org/officeDocument/2006/relationships/image" Target="../media/image22.png"/><Relationship Id="rId19" Type="http://schemas.openxmlformats.org/officeDocument/2006/relationships/chart" Target="../charts/chart11.xml"/><Relationship Id="rId4" Type="http://schemas.openxmlformats.org/officeDocument/2006/relationships/image" Target="../media/image28.png"/><Relationship Id="rId9" Type="http://schemas.openxmlformats.org/officeDocument/2006/relationships/image" Target="../media/image19.png"/><Relationship Id="rId1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123825</xdr:rowOff>
    </xdr:from>
    <xdr:to>
      <xdr:col>4</xdr:col>
      <xdr:colOff>66675</xdr:colOff>
      <xdr:row>23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247651</xdr:colOff>
      <xdr:row>4</xdr:row>
      <xdr:rowOff>85724</xdr:rowOff>
    </xdr:from>
    <xdr:to>
      <xdr:col>21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10</xdr:col>
      <xdr:colOff>57150</xdr:colOff>
      <xdr:row>4</xdr:row>
      <xdr:rowOff>228600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3057525</xdr:colOff>
      <xdr:row>0</xdr:row>
      <xdr:rowOff>0</xdr:rowOff>
    </xdr:from>
    <xdr:to>
      <xdr:col>10</xdr:col>
      <xdr:colOff>371475</xdr:colOff>
      <xdr:row>17</xdr:row>
      <xdr:rowOff>9526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485775</xdr:colOff>
      <xdr:row>20</xdr:row>
      <xdr:rowOff>28575</xdr:rowOff>
    </xdr:from>
    <xdr:to>
      <xdr:col>8</xdr:col>
      <xdr:colOff>19050</xdr:colOff>
      <xdr:row>36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39</xdr:row>
      <xdr:rowOff>19050</xdr:rowOff>
    </xdr:from>
    <xdr:to>
      <xdr:col>10</xdr:col>
      <xdr:colOff>476250</xdr:colOff>
      <xdr:row>55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33337</xdr:colOff>
      <xdr:row>55</xdr:row>
      <xdr:rowOff>171450</xdr:rowOff>
    </xdr:from>
    <xdr:to>
      <xdr:col>11</xdr:col>
      <xdr:colOff>700087</xdr:colOff>
      <xdr:row>70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142874</xdr:colOff>
      <xdr:row>71</xdr:row>
      <xdr:rowOff>47625</xdr:rowOff>
    </xdr:from>
    <xdr:to>
      <xdr:col>6</xdr:col>
      <xdr:colOff>1333499</xdr:colOff>
      <xdr:row>85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82</xdr:row>
      <xdr:rowOff>19048</xdr:rowOff>
    </xdr:from>
    <xdr:to>
      <xdr:col>11</xdr:col>
      <xdr:colOff>200025</xdr:colOff>
      <xdr:row>103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9525</xdr:rowOff>
    </xdr:from>
    <xdr:to>
      <xdr:col>11</xdr:col>
      <xdr:colOff>600075</xdr:colOff>
      <xdr:row>6</xdr:row>
      <xdr:rowOff>152400</xdr:rowOff>
    </xdr:to>
    <xdr:sp macro="" textlink="">
      <xdr:nvSpPr>
        <xdr:cNvPr id="7" name="Redondear rectángulo de esquina diagonal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9525" y="9525"/>
          <a:ext cx="8972550" cy="1285875"/>
        </a:xfrm>
        <a:prstGeom prst="round2DiagRect">
          <a:avLst/>
        </a:prstGeom>
        <a:gradFill flip="none" rotWithShape="1">
          <a:gsLst>
            <a:gs pos="55000">
              <a:srgbClr val="073245"/>
            </a:gs>
            <a:gs pos="100000">
              <a:schemeClr val="bg1"/>
            </a:gs>
          </a:gsLst>
          <a:lin ang="2700000" scaled="1"/>
          <a:tileRect/>
        </a:gradFill>
        <a:ln>
          <a:noFill/>
        </a:ln>
        <a:effectLst>
          <a:outerShdw blurRad="50800" dist="50800" dir="5400000" algn="ctr" rotWithShape="0">
            <a:schemeClr val="accent6">
              <a:lumMod val="60000"/>
              <a:lumOff val="40000"/>
            </a:schemeClr>
          </a:outerShdw>
          <a:softEdge rad="787400"/>
        </a:effectLst>
        <a:scene3d>
          <a:camera prst="orthographicFront"/>
          <a:lightRig rig="threePt" dir="t"/>
        </a:scene3d>
        <a:sp3d>
          <a:bevelB w="114300" prst="artDeco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0</xdr:col>
      <xdr:colOff>190500</xdr:colOff>
      <xdr:row>0</xdr:row>
      <xdr:rowOff>85725</xdr:rowOff>
    </xdr:from>
    <xdr:to>
      <xdr:col>1</xdr:col>
      <xdr:colOff>609600</xdr:colOff>
      <xdr:row>1</xdr:row>
      <xdr:rowOff>142875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85725"/>
          <a:ext cx="1181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2</xdr:row>
      <xdr:rowOff>142875</xdr:rowOff>
    </xdr:from>
    <xdr:to>
      <xdr:col>4</xdr:col>
      <xdr:colOff>533400</xdr:colOff>
      <xdr:row>4</xdr:row>
      <xdr:rowOff>9525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523875"/>
          <a:ext cx="1181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742950</xdr:colOff>
      <xdr:row>2</xdr:row>
      <xdr:rowOff>104775</xdr:rowOff>
    </xdr:from>
    <xdr:to>
      <xdr:col>2</xdr:col>
      <xdr:colOff>400050</xdr:colOff>
      <xdr:row>3</xdr:row>
      <xdr:rowOff>161925</xdr:rowOff>
    </xdr:to>
    <xdr:pic>
      <xdr:nvPicPr>
        <xdr:cNvPr id="10" name="Imagen 13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85775"/>
          <a:ext cx="1181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628650</xdr:colOff>
      <xdr:row>0</xdr:row>
      <xdr:rowOff>161925</xdr:rowOff>
    </xdr:from>
    <xdr:to>
      <xdr:col>10</xdr:col>
      <xdr:colOff>285750</xdr:colOff>
      <xdr:row>2</xdr:row>
      <xdr:rowOff>28575</xdr:rowOff>
    </xdr:to>
    <xdr:pic>
      <xdr:nvPicPr>
        <xdr:cNvPr id="11" name="Imagen 14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161925"/>
          <a:ext cx="1181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600075</xdr:colOff>
      <xdr:row>0</xdr:row>
      <xdr:rowOff>142875</xdr:rowOff>
    </xdr:from>
    <xdr:to>
      <xdr:col>8</xdr:col>
      <xdr:colOff>257175</xdr:colOff>
      <xdr:row>2</xdr:row>
      <xdr:rowOff>9525</xdr:rowOff>
    </xdr:to>
    <xdr:pic>
      <xdr:nvPicPr>
        <xdr:cNvPr id="12" name="Imagen 15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142875"/>
          <a:ext cx="1181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428625</xdr:colOff>
      <xdr:row>0</xdr:row>
      <xdr:rowOff>133350</xdr:rowOff>
    </xdr:from>
    <xdr:to>
      <xdr:col>6</xdr:col>
      <xdr:colOff>123825</xdr:colOff>
      <xdr:row>2</xdr:row>
      <xdr:rowOff>0</xdr:rowOff>
    </xdr:to>
    <xdr:pic>
      <xdr:nvPicPr>
        <xdr:cNvPr id="13" name="Imagen 16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5" y="133350"/>
          <a:ext cx="1219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352425</xdr:colOff>
      <xdr:row>0</xdr:row>
      <xdr:rowOff>104775</xdr:rowOff>
    </xdr:from>
    <xdr:to>
      <xdr:col>4</xdr:col>
      <xdr:colOff>9525</xdr:colOff>
      <xdr:row>1</xdr:row>
      <xdr:rowOff>161925</xdr:rowOff>
    </xdr:to>
    <xdr:pic>
      <xdr:nvPicPr>
        <xdr:cNvPr id="14" name="Imagen 17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5" y="104775"/>
          <a:ext cx="1181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9524</xdr:colOff>
      <xdr:row>4</xdr:row>
      <xdr:rowOff>180975</xdr:rowOff>
    </xdr:from>
    <xdr:to>
      <xdr:col>10</xdr:col>
      <xdr:colOff>495299</xdr:colOff>
      <xdr:row>6</xdr:row>
      <xdr:rowOff>47625</xdr:rowOff>
    </xdr:to>
    <xdr:pic>
      <xdr:nvPicPr>
        <xdr:cNvPr id="15" name="Imagen 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4" y="942975"/>
          <a:ext cx="1247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428625</xdr:colOff>
      <xdr:row>4</xdr:row>
      <xdr:rowOff>171450</xdr:rowOff>
    </xdr:from>
    <xdr:to>
      <xdr:col>4</xdr:col>
      <xdr:colOff>161925</xdr:colOff>
      <xdr:row>6</xdr:row>
      <xdr:rowOff>38100</xdr:rowOff>
    </xdr:to>
    <xdr:pic>
      <xdr:nvPicPr>
        <xdr:cNvPr id="18" name="Imagen 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933450"/>
          <a:ext cx="1257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314324</xdr:colOff>
      <xdr:row>4</xdr:row>
      <xdr:rowOff>142875</xdr:rowOff>
    </xdr:from>
    <xdr:to>
      <xdr:col>1</xdr:col>
      <xdr:colOff>704849</xdr:colOff>
      <xdr:row>6</xdr:row>
      <xdr:rowOff>9525</xdr:rowOff>
    </xdr:to>
    <xdr:pic>
      <xdr:nvPicPr>
        <xdr:cNvPr id="19" name="Imagen 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4" y="904875"/>
          <a:ext cx="11525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276225</xdr:colOff>
      <xdr:row>2</xdr:row>
      <xdr:rowOff>152400</xdr:rowOff>
    </xdr:from>
    <xdr:to>
      <xdr:col>10</xdr:col>
      <xdr:colOff>733425</xdr:colOff>
      <xdr:row>4</xdr:row>
      <xdr:rowOff>19050</xdr:rowOff>
    </xdr:to>
    <xdr:pic>
      <xdr:nvPicPr>
        <xdr:cNvPr id="20" name="Imagen 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533400"/>
          <a:ext cx="1219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3</xdr:row>
      <xdr:rowOff>0</xdr:rowOff>
    </xdr:from>
    <xdr:to>
      <xdr:col>8</xdr:col>
      <xdr:colOff>666750</xdr:colOff>
      <xdr:row>4</xdr:row>
      <xdr:rowOff>57150</xdr:rowOff>
    </xdr:to>
    <xdr:pic>
      <xdr:nvPicPr>
        <xdr:cNvPr id="21" name="Imagen 1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71500"/>
          <a:ext cx="1257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180974</xdr:colOff>
      <xdr:row>2</xdr:row>
      <xdr:rowOff>161925</xdr:rowOff>
    </xdr:from>
    <xdr:to>
      <xdr:col>6</xdr:col>
      <xdr:colOff>609599</xdr:colOff>
      <xdr:row>4</xdr:row>
      <xdr:rowOff>28575</xdr:rowOff>
    </xdr:to>
    <xdr:pic>
      <xdr:nvPicPr>
        <xdr:cNvPr id="22" name="Imagen 1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4" y="542925"/>
          <a:ext cx="11906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12</xdr:row>
      <xdr:rowOff>9525</xdr:rowOff>
    </xdr:from>
    <xdr:to>
      <xdr:col>5</xdr:col>
      <xdr:colOff>476250</xdr:colOff>
      <xdr:row>20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Nombre">
              <a:extLst>
                <a:ext uri="{FF2B5EF4-FFF2-40B4-BE49-F238E27FC236}">
                  <a16:creationId xmlns:a16="http://schemas.microsoft.com/office/drawing/2014/main" id="{00000000-0008-0000-0D00-00001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2295525"/>
              <a:ext cx="4257675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666750</xdr:colOff>
      <xdr:row>12</xdr:row>
      <xdr:rowOff>9526</xdr:rowOff>
    </xdr:from>
    <xdr:to>
      <xdr:col>11</xdr:col>
      <xdr:colOff>514349</xdr:colOff>
      <xdr:row>21</xdr:row>
      <xdr:rowOff>9526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Industria">
              <a:extLst>
                <a:ext uri="{FF2B5EF4-FFF2-40B4-BE49-F238E27FC236}">
                  <a16:creationId xmlns:a16="http://schemas.microsoft.com/office/drawing/2014/main" id="{00000000-0008-0000-0D00-00001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6750" y="2295526"/>
              <a:ext cx="4419599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447675</xdr:colOff>
      <xdr:row>4</xdr:row>
      <xdr:rowOff>152400</xdr:rowOff>
    </xdr:from>
    <xdr:to>
      <xdr:col>6</xdr:col>
      <xdr:colOff>266700</xdr:colOff>
      <xdr:row>6</xdr:row>
      <xdr:rowOff>19050</xdr:rowOff>
    </xdr:to>
    <xdr:pic>
      <xdr:nvPicPr>
        <xdr:cNvPr id="26" name="Imagen 6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914400"/>
          <a:ext cx="1343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666750</xdr:colOff>
      <xdr:row>4</xdr:row>
      <xdr:rowOff>171449</xdr:rowOff>
    </xdr:from>
    <xdr:to>
      <xdr:col>8</xdr:col>
      <xdr:colOff>381000</xdr:colOff>
      <xdr:row>6</xdr:row>
      <xdr:rowOff>104774</xdr:rowOff>
    </xdr:to>
    <xdr:pic>
      <xdr:nvPicPr>
        <xdr:cNvPr id="27" name="Imagen 5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933449"/>
          <a:ext cx="12382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5</xdr:col>
      <xdr:colOff>9525</xdr:colOff>
      <xdr:row>38</xdr:row>
      <xdr:rowOff>9526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52</xdr:row>
      <xdr:rowOff>76200</xdr:rowOff>
    </xdr:from>
    <xdr:to>
      <xdr:col>5</xdr:col>
      <xdr:colOff>447675</xdr:colOff>
      <xdr:row>66</xdr:row>
      <xdr:rowOff>180975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11</xdr:col>
      <xdr:colOff>628650</xdr:colOff>
      <xdr:row>52</xdr:row>
      <xdr:rowOff>76200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20</xdr:row>
      <xdr:rowOff>180974</xdr:rowOff>
    </xdr:from>
    <xdr:to>
      <xdr:col>11</xdr:col>
      <xdr:colOff>657222</xdr:colOff>
      <xdr:row>38</xdr:row>
      <xdr:rowOff>28575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466724</xdr:colOff>
      <xdr:row>52</xdr:row>
      <xdr:rowOff>57150</xdr:rowOff>
    </xdr:from>
    <xdr:to>
      <xdr:col>11</xdr:col>
      <xdr:colOff>647699</xdr:colOff>
      <xdr:row>66</xdr:row>
      <xdr:rowOff>133350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95250</xdr:colOff>
      <xdr:row>7</xdr:row>
      <xdr:rowOff>47625</xdr:rowOff>
    </xdr:from>
    <xdr:to>
      <xdr:col>11</xdr:col>
      <xdr:colOff>571500</xdr:colOff>
      <xdr:row>11</xdr:row>
      <xdr:rowOff>133350</xdr:rowOff>
    </xdr:to>
    <xdr:sp macro="" textlink="">
      <xdr:nvSpPr>
        <xdr:cNvPr id="2" name="Redondear rectángulo de esquina diagonal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95250" y="1381125"/>
          <a:ext cx="8858250" cy="847725"/>
        </a:xfrm>
        <a:prstGeom prst="round2DiagRect">
          <a:avLst/>
        </a:prstGeom>
        <a:gradFill flip="none" rotWithShape="1">
          <a:gsLst>
            <a:gs pos="35000">
              <a:srgbClr val="041922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effectLst>
          <a:outerShdw blurRad="50800" dist="50800" dir="5400000" algn="ctr" rotWithShape="0">
            <a:schemeClr val="accent6">
              <a:lumMod val="40000"/>
              <a:lumOff val="6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600"/>
            <a:t>VALOR</a:t>
          </a:r>
          <a:r>
            <a:rPr lang="es-MX" sz="1600" baseline="0"/>
            <a:t> DEL MERCADO DE LAS PRINCIPALES EMPRESAS MEXICANAS (TOP 10) </a:t>
          </a:r>
          <a:endParaRPr lang="es-MX" sz="16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critorio/DOCUMETOS/Simulador_Excel_2016v7.1.4_HASH/Simulador_Excel_2016v7.1.4_HASH/Personales/Mis%20Documentos/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brado Jaime Vazquez Cabrera" refreshedDate="44374.840154976853" createdVersion="6" refreshedVersion="6" minRefreshableVersion="3" recordCount="30" xr:uid="{00000000-000A-0000-FFFF-FFFF00000000}">
  <cacheSource type="worksheet">
    <worksheetSource name="Tabla5"/>
  </cacheSource>
  <cacheFields count="6">
    <cacheField name="Giro Comercial" numFmtId="0">
      <sharedItems/>
    </cacheField>
    <cacheField name="Código" numFmtId="0">
      <sharedItems/>
    </cacheField>
    <cacheField name="Operación" numFmtId="0">
      <sharedItems count="2">
        <s v="Alquiler"/>
        <s v="Venta"/>
      </sharedItems>
    </cacheField>
    <cacheField name="Estado" numFmtId="0">
      <sharedItems count="4">
        <s v="Puebla"/>
        <s v="Hidalgo"/>
        <s v="Veracruz"/>
        <s v="Tlaxcala"/>
      </sharedItems>
    </cacheField>
    <cacheField name="Monto" numFmtId="44">
      <sharedItems containsSemiMixedTypes="0" containsString="0" containsNumber="1" containsInteger="1" minValue="358846" maxValue="2937300"/>
    </cacheField>
    <cacheField name="Porcentaje de venta" numFmtId="169">
      <sharedItems containsSemiMixedTypes="0" containsString="0" containsNumber="1" minValue="1.0152437930666492E-2" maxValue="8.31018206521646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brado Jaime Vazquez Cabrera" refreshedDate="44374.840155092592" createdVersion="6" refreshedVersion="6" minRefreshableVersion="3" recordCount="15" xr:uid="{00000000-000A-0000-FFFF-FFFF01000000}">
  <cacheSource type="worksheet">
    <worksheetSource name="tbl_Rendimiento5"/>
  </cacheSource>
  <cacheFields count="20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/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Valor de mercado 2015 (mdd)" numFmtId="167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Valor de mercado 2016 (mdd)" numFmtId="167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/>
    </cacheField>
    <cacheField name="Promedio valor mercado (mdd) 2014-16" numFmtId="167">
      <sharedItems containsSemiMixedTypes="0" containsString="0" containsNumber="1" minValue="-1397.6666666666667" maxValue="56028.666666666664" count="15">
        <n v="56028.666666666664"/>
        <n v="27409.333333333332"/>
        <n v="6968.666666666667"/>
        <n v="19271.666666666668"/>
        <n v="10358"/>
        <n v="19476.333333333332"/>
        <n v="9926"/>
        <n v="5904"/>
        <n v="17598"/>
        <n v="19609"/>
        <n v="12946.333333333334"/>
        <n v="8241.6666666666661"/>
        <n v="-400.33333333333331"/>
        <n v="-1397.6666666666667"/>
        <n v="-187.33333333333334"/>
      </sharedItems>
    </cacheField>
    <cacheField name="% Valor mercado 2014 (mdd)" numFmtId="10">
      <sharedItems containsSemiMixedTypes="0" containsString="0" containsNumber="1" minValue="-2.8882362196465096E-2" maxValue="0.32058530445271938"/>
    </cacheField>
    <cacheField name="% Valor mercado 2015 (mdd)2" numFmtId="9">
      <sharedItems containsSemiMixedTypes="0" containsString="0" containsNumber="1" minValue="7.8071932037721535E-4" maxValue="0.22892278377162417"/>
    </cacheField>
    <cacheField name="% Valor mercado 2016 (mdd)2" numFmtId="0">
      <sharedItems containsSemiMixedTypes="0" containsString="0" containsNumber="1" minValue="-1.4949075837758695E-2" maxValue="0.25271603181670055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Estacionamiento"/>
    <s v="Est"/>
    <x v="0"/>
    <x v="0"/>
    <n v="2133903"/>
    <n v="6.0372186836590125E-2"/>
  </r>
  <r>
    <s v="Local"/>
    <s v="Loc"/>
    <x v="1"/>
    <x v="1"/>
    <n v="1945424"/>
    <n v="5.5039756354617109E-2"/>
  </r>
  <r>
    <s v="Oficina"/>
    <s v="Ofi"/>
    <x v="0"/>
    <x v="1"/>
    <n v="712416"/>
    <n v="2.0155607756011492E-2"/>
  </r>
  <r>
    <s v="Estacionamiento"/>
    <s v="Est"/>
    <x v="0"/>
    <x v="1"/>
    <n v="1815450"/>
    <n v="5.1362543935918152E-2"/>
  </r>
  <r>
    <s v="Suelo"/>
    <s v="Sue"/>
    <x v="1"/>
    <x v="2"/>
    <n v="1138024"/>
    <n v="3.2196870032294649E-2"/>
  </r>
  <r>
    <s v="Industrial"/>
    <s v="Ind"/>
    <x v="0"/>
    <x v="1"/>
    <n v="953156"/>
    <n v="2.6966601629229116E-2"/>
  </r>
  <r>
    <s v="Estacionamiento"/>
    <s v="Est"/>
    <x v="0"/>
    <x v="2"/>
    <n v="406686"/>
    <n v="1.150592279772112E-2"/>
  </r>
  <r>
    <s v="Oficina"/>
    <s v="Ofi"/>
    <x v="1"/>
    <x v="1"/>
    <n v="2158475"/>
    <n v="6.106737559397446E-2"/>
  </r>
  <r>
    <s v="Piso"/>
    <s v="Pis"/>
    <x v="0"/>
    <x v="0"/>
    <n v="1024380"/>
    <n v="2.8981664467253757E-2"/>
  </r>
  <r>
    <s v="Estacionamiento"/>
    <s v="Est"/>
    <x v="1"/>
    <x v="0"/>
    <n v="2042768"/>
    <n v="5.7793803823232612E-2"/>
  </r>
  <r>
    <s v="Oficina"/>
    <s v="Ofi"/>
    <x v="0"/>
    <x v="1"/>
    <n v="627068"/>
    <n v="1.7740950012838867E-2"/>
  </r>
  <r>
    <s v="Industrial"/>
    <s v="Ind"/>
    <x v="1"/>
    <x v="1"/>
    <n v="999328"/>
    <n v="2.8272895594146471E-2"/>
  </r>
  <r>
    <s v="Estacionamiento"/>
    <s v="Est"/>
    <x v="1"/>
    <x v="3"/>
    <n v="2937300"/>
    <n v="8.310182065216469E-2"/>
  </r>
  <r>
    <s v="Local"/>
    <s v="Loc"/>
    <x v="1"/>
    <x v="2"/>
    <n v="664700"/>
    <n v="1.880563108551863E-2"/>
  </r>
  <r>
    <s v="Industrial"/>
    <s v="Ind"/>
    <x v="0"/>
    <x v="1"/>
    <n v="820336"/>
    <n v="2.3208870441056129E-2"/>
  </r>
  <r>
    <s v="Casa"/>
    <s v="Cas"/>
    <x v="0"/>
    <x v="1"/>
    <n v="937960"/>
    <n v="2.653667779896653E-2"/>
  </r>
  <r>
    <s v="Casa"/>
    <s v="Cas"/>
    <x v="0"/>
    <x v="2"/>
    <n v="358846"/>
    <n v="1.0152437930666492E-2"/>
  </r>
  <r>
    <s v="Suelo"/>
    <s v="Sue"/>
    <x v="1"/>
    <x v="3"/>
    <n v="1679605"/>
    <n v="4.7519229726782783E-2"/>
  </r>
  <r>
    <s v="Piso"/>
    <s v="Pis"/>
    <x v="0"/>
    <x v="1"/>
    <n v="472615"/>
    <n v="1.3371179984176902E-2"/>
  </r>
  <r>
    <s v="Oficina"/>
    <s v="Ofi"/>
    <x v="0"/>
    <x v="3"/>
    <n v="1169496"/>
    <n v="3.3087272953196474E-2"/>
  </r>
  <r>
    <s v="Industrial"/>
    <s v="Ind"/>
    <x v="1"/>
    <x v="3"/>
    <n v="2020992"/>
    <n v="5.7177719239934505E-2"/>
  </r>
  <r>
    <s v="Oficina"/>
    <s v="Ofi"/>
    <x v="0"/>
    <x v="0"/>
    <n v="727552"/>
    <n v="2.0583834071808711E-2"/>
  </r>
  <r>
    <s v="Casa"/>
    <s v="Cas"/>
    <x v="0"/>
    <x v="1"/>
    <n v="1438929"/>
    <n v="4.0710046535661557E-2"/>
  </r>
  <r>
    <s v="Oficina"/>
    <s v="Ofi"/>
    <x v="0"/>
    <x v="2"/>
    <n v="427390"/>
    <n v="1.2091678455904628E-2"/>
  </r>
  <r>
    <s v="Oficina"/>
    <s v="Ofi"/>
    <x v="0"/>
    <x v="3"/>
    <n v="1170684"/>
    <n v="3.3120883739610786E-2"/>
  </r>
  <r>
    <s v="Local"/>
    <s v="Loc"/>
    <x v="0"/>
    <x v="2"/>
    <n v="549780"/>
    <n v="1.5554325046180881E-2"/>
  </r>
  <r>
    <s v="Local"/>
    <s v="Loc"/>
    <x v="0"/>
    <x v="2"/>
    <n v="659330"/>
    <n v="1.8653703540868056E-2"/>
  </r>
  <r>
    <s v="Casa"/>
    <s v="Cas"/>
    <x v="0"/>
    <x v="3"/>
    <n v="1660560"/>
    <n v="4.6980410343566745E-2"/>
  </r>
  <r>
    <s v="Casa"/>
    <s v="Cas"/>
    <x v="0"/>
    <x v="2"/>
    <n v="753571"/>
    <n v="2.1319961219716202E-2"/>
  </r>
  <r>
    <s v="Local"/>
    <s v="Loc"/>
    <x v="0"/>
    <x v="2"/>
    <n v="939072"/>
    <n v="2.656813840039137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n v="1"/>
    <x v="0"/>
    <x v="0"/>
    <x v="0"/>
    <x v="0"/>
    <m/>
    <x v="0"/>
    <n v="0.32058530445271938"/>
    <n v="0.22892278377162417"/>
    <n v="0.25271603181670055"/>
    <m/>
    <m/>
    <m/>
    <m/>
    <m/>
    <m/>
    <m/>
    <m/>
    <m/>
  </r>
  <r>
    <x v="1"/>
    <n v="2"/>
    <x v="1"/>
    <x v="1"/>
    <x v="1"/>
    <x v="1"/>
    <m/>
    <x v="1"/>
    <n v="0.16849006136256359"/>
    <n v="0.14820434556313242"/>
    <n v="7.5741372267330048E-2"/>
    <m/>
    <m/>
    <m/>
    <m/>
    <m/>
    <m/>
    <m/>
    <m/>
    <m/>
  </r>
  <r>
    <x v="2"/>
    <n v="3"/>
    <x v="2"/>
    <x v="2"/>
    <x v="2"/>
    <x v="2"/>
    <m/>
    <x v="2"/>
    <n v="2.2688414538207375E-2"/>
    <n v="6.7044822992845615E-2"/>
    <n v="6.3339651999100395E-3"/>
    <m/>
    <m/>
    <m/>
    <m/>
    <m/>
    <m/>
    <m/>
    <m/>
    <m/>
  </r>
  <r>
    <x v="3"/>
    <n v="4"/>
    <x v="3"/>
    <x v="3"/>
    <x v="3"/>
    <x v="3"/>
    <m/>
    <x v="3"/>
    <n v="6.0313630880579013E-2"/>
    <n v="8.1600606932081834E-2"/>
    <n v="0.12766611741702735"/>
    <m/>
    <m/>
    <m/>
    <m/>
    <m/>
    <m/>
    <m/>
    <m/>
    <m/>
  </r>
  <r>
    <x v="4"/>
    <n v="5"/>
    <x v="4"/>
    <x v="4"/>
    <x v="4"/>
    <x v="4"/>
    <m/>
    <x v="4"/>
    <n v="8.8739707347773644E-2"/>
    <n v="6.880916044002576E-2"/>
    <n v="-6.6368939703405194E-3"/>
    <m/>
    <m/>
    <m/>
    <m/>
    <m/>
    <m/>
    <m/>
    <m/>
    <m/>
  </r>
  <r>
    <x v="5"/>
    <n v="6"/>
    <x v="5"/>
    <x v="5"/>
    <x v="5"/>
    <x v="5"/>
    <m/>
    <x v="5"/>
    <n v="0.11183196097970315"/>
    <n v="4.4990604903093763E-2"/>
    <n v="0.12349396207882574"/>
    <m/>
    <m/>
    <m/>
    <m/>
    <m/>
    <m/>
    <m/>
    <m/>
    <m/>
  </r>
  <r>
    <x v="6"/>
    <n v="7"/>
    <x v="2"/>
    <x v="6"/>
    <x v="6"/>
    <x v="6"/>
    <m/>
    <x v="6"/>
    <n v="-1.7391304347826087E-2"/>
    <n v="5.866422011873991E-2"/>
    <n v="9.0851092150013996E-2"/>
    <m/>
    <m/>
    <m/>
    <m/>
    <m/>
    <m/>
    <m/>
    <m/>
    <m/>
  </r>
  <r>
    <x v="7"/>
    <n v="8"/>
    <x v="6"/>
    <x v="7"/>
    <x v="7"/>
    <x v="7"/>
    <m/>
    <x v="7"/>
    <n v="-2.8053705354801488E-2"/>
    <n v="5.9546388842329982E-2"/>
    <n v="4.3883363243724556E-2"/>
    <m/>
    <m/>
    <m/>
    <m/>
    <m/>
    <m/>
    <m/>
    <m/>
    <m/>
  </r>
  <r>
    <x v="8"/>
    <n v="9"/>
    <x v="7"/>
    <x v="8"/>
    <x v="8"/>
    <x v="8"/>
    <m/>
    <x v="8"/>
    <n v="0.1089106833796612"/>
    <n v="4.1461930008733473E-2"/>
    <n v="0.10385866995910462"/>
    <m/>
    <m/>
    <m/>
    <m/>
    <m/>
    <m/>
    <m/>
    <m/>
    <m/>
  </r>
  <r>
    <x v="9"/>
    <n v="10"/>
    <x v="8"/>
    <x v="9"/>
    <x v="9"/>
    <x v="9"/>
    <m/>
    <x v="9"/>
    <n v="0.17330990716945507"/>
    <n v="7.0132413525410872E-2"/>
    <n v="4.5356698627181891E-2"/>
    <m/>
    <m/>
    <m/>
    <m/>
    <m/>
    <m/>
    <m/>
    <m/>
    <m/>
  </r>
  <r>
    <x v="10"/>
    <n v="11"/>
    <x v="1"/>
    <x v="10"/>
    <x v="10"/>
    <x v="10"/>
    <m/>
    <x v="10"/>
    <n v="6.3245397807730627E-2"/>
    <n v="4.9842532882839172E-2"/>
    <n v="7.1050566155512612E-2"/>
    <m/>
    <m/>
    <m/>
    <m/>
    <m/>
    <m/>
    <m/>
    <m/>
    <m/>
  </r>
  <r>
    <x v="11"/>
    <n v="12"/>
    <x v="7"/>
    <x v="11"/>
    <x v="11"/>
    <x v="11"/>
    <m/>
    <x v="11"/>
    <n v="-2.8882362196465096E-2"/>
    <n v="4.6313857988478875E-2"/>
    <n v="9.0566522699003546E-2"/>
    <m/>
    <m/>
    <m/>
    <m/>
    <m/>
    <m/>
    <m/>
    <m/>
    <m/>
  </r>
  <r>
    <x v="12"/>
    <n v="13"/>
    <x v="9"/>
    <x v="12"/>
    <x v="12"/>
    <x v="12"/>
    <m/>
    <x v="12"/>
    <n v="-8.0610478837782554E-3"/>
    <n v="1.0453699374542375E-3"/>
    <n v="4.543931556457202E-4"/>
    <m/>
    <m/>
    <m/>
    <m/>
    <m/>
    <m/>
    <m/>
    <m/>
    <m/>
  </r>
  <r>
    <x v="13"/>
    <n v="14"/>
    <x v="10"/>
    <x v="13"/>
    <x v="13"/>
    <x v="13"/>
    <m/>
    <x v="13"/>
    <n v="-1.1050506110033042E-2"/>
    <n v="7.8071932037721535E-4"/>
    <n v="-1.0386784961881463E-2"/>
    <m/>
    <m/>
    <m/>
    <m/>
    <m/>
    <m/>
    <m/>
    <m/>
    <m/>
  </r>
  <r>
    <x v="14"/>
    <n v="15"/>
    <x v="11"/>
    <x v="14"/>
    <x v="14"/>
    <x v="14"/>
    <m/>
    <x v="14"/>
    <n v="-2.4676142025489064E-2"/>
    <n v="3.2640242772832735E-2"/>
    <n v="-1.4949075837758695E-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8" firstHeaderRow="1" firstDataRow="1" firstDataCol="1" rowPageCount="1" colPageCount="1"/>
  <pivotFields count="6"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numFmtId="44" showAll="0"/>
    <pivotField dataField="1" numFmtId="169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Suma de Porcentaje de venta" fld="5" baseField="3" baseItem="0" numFmtId="1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1000000}" name="TablaDinámica2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9">
  <location ref="C41:D44" firstHeaderRow="1" firstDataRow="1" firstDataCol="1"/>
  <pivotFields count="20">
    <pivotField axis="axisRow" showAll="0" defaultSubtotal="0">
      <items count="15">
        <item x="0"/>
        <item x="10"/>
        <item x="5"/>
        <item n="Liverpool" x="9"/>
        <item x="1"/>
        <item x="14"/>
        <item x="8"/>
        <item x="7"/>
        <item x="11"/>
        <item x="2"/>
        <item x="3"/>
        <item x="12"/>
        <item x="13"/>
        <item x="6"/>
        <item x="4"/>
      </items>
    </pivotField>
    <pivotField showAll="0"/>
    <pivotField showAll="0">
      <items count="13">
        <item h="1" x="6"/>
        <item h="1" x="2"/>
        <item h="1" x="1"/>
        <item h="1" x="9"/>
        <item x="7"/>
        <item h="1" x="10"/>
        <item h="1" x="11"/>
        <item h="1" x="5"/>
        <item h="1" x="4"/>
        <item h="1" x="3"/>
        <item h="1" x="0"/>
        <item h="1" x="8"/>
        <item t="default"/>
      </items>
    </pivotField>
    <pivotField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numFmtId="167" showAll="0"/>
    <pivotField numFmtId="167" showAll="0"/>
    <pivotField showAll="0"/>
    <pivotField dataField="1" numFmtId="167" showAll="0" sortType="ascending">
      <items count="16">
        <item x="13"/>
        <item x="12"/>
        <item x="14"/>
        <item x="7"/>
        <item x="2"/>
        <item x="11"/>
        <item x="6"/>
        <item x="4"/>
        <item x="10"/>
        <item x="8"/>
        <item x="3"/>
        <item x="5"/>
        <item x="9"/>
        <item x="1"/>
        <item x="0"/>
        <item t="default"/>
      </items>
    </pivotField>
    <pivotField numFmtId="10" showAll="0"/>
    <pivotField numFmtId="9"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 v="6"/>
    </i>
    <i>
      <x v="8"/>
    </i>
    <i t="grand">
      <x/>
    </i>
  </rowItems>
  <colItems count="1">
    <i/>
  </colItems>
  <dataFields count="1">
    <dataField name="Suma de Promedio valor mercado (mdd) 2014-16" fld="7" baseField="9" baseItem="5" numFmtId="44"/>
  </dataFields>
  <formats count="2">
    <format dxfId="47">
      <pivotArea collapsedLevelsAreSubtotals="1" fieldPosition="0">
        <references count="1">
          <reference field="0" count="1">
            <x v="0"/>
          </reference>
        </references>
      </pivotArea>
    </format>
    <format dxfId="46">
      <pivotArea dataOnly="0" outline="0" axis="axisValues" fieldPosition="0"/>
    </format>
  </formats>
  <chartFormats count="91">
    <chartFormat chart="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1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1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11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11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1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1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1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1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1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2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12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6" format="9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7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8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7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8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8" format="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9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9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9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9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9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9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9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8" format="9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8" format="98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8" format="9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8" format="10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8" format="10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8" format="10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8" format="10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ablaDinámica1" cacheId="3" dataOnRows="1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7">
  <location ref="A22:B25" firstHeaderRow="1" firstDataRow="1" firstDataCol="1" rowPageCount="1" colPageCount="1"/>
  <pivotFields count="20">
    <pivotField axis="axisPage" multipleItemSelectionAllowed="1"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showAll="0">
      <items count="13">
        <item h="1" x="6"/>
        <item h="1" x="2"/>
        <item h="1" x="1"/>
        <item h="1" x="9"/>
        <item x="7"/>
        <item h="1" x="10"/>
        <item h="1" x="11"/>
        <item h="1" x="5"/>
        <item h="1" x="4"/>
        <item h="1" x="3"/>
        <item h="1" x="0"/>
        <item h="1" x="8"/>
        <item t="default"/>
      </items>
    </pivotField>
    <pivotField dataField="1" numFmtId="167" showAll="0"/>
    <pivotField dataField="1" numFmtId="167" showAll="0" defaultSubtotal="0"/>
    <pivotField dataField="1" numFmtId="167" showAll="0"/>
    <pivotField showAll="0"/>
    <pivotField numFmtId="167" showAll="0" defaultSubtotal="0"/>
    <pivotField numFmtId="10" showAll="0" defaultSubtotal="0"/>
    <pivotField numFmtId="9"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pageFields count="1">
    <pageField fld="0" hier="-1"/>
  </pageFields>
  <dataFields count="3">
    <dataField name="VM 2014 (mdd)" fld="3" baseField="0" baseItem="0"/>
    <dataField name="VM 2015 (mdd)" fld="4" baseField="0" baseItem="0"/>
    <dataField name="VM 2016 (mdd)" fld="5" baseField="0" baseItem="0"/>
  </dataFields>
  <formats count="3">
    <format dxfId="50">
      <pivotArea outline="0" collapsedLevelsAreSubtotals="1" fieldPosition="0"/>
    </format>
    <format dxfId="49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48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</formats>
  <chartFormats count="16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4000000}" name="TablaDinámica7" cacheId="3" dataOnRows="1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7">
  <location ref="A5:B8" firstHeaderRow="1" firstDataRow="1" firstDataCol="1" rowPageCount="1" colPageCount="1"/>
  <pivotFields count="20">
    <pivotField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axis="axisPage" multipleItemSelectionAllowed="1" showAll="0">
      <items count="13">
        <item h="1" x="6"/>
        <item h="1" x="2"/>
        <item h="1" x="1"/>
        <item h="1" x="9"/>
        <item x="7"/>
        <item h="1" x="10"/>
        <item h="1" x="11"/>
        <item h="1" x="5"/>
        <item h="1" x="4"/>
        <item h="1" x="3"/>
        <item h="1" x="0"/>
        <item h="1" x="8"/>
        <item t="default"/>
      </items>
    </pivotField>
    <pivotField dataField="1" numFmtId="167" multipleItemSelectionAllowed="1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7" multipleItemSelectionAllowed="1" showAll="0" defaultSubtotal="0">
      <items count="15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</items>
    </pivotField>
    <pivotField dataField="1" numFmtId="167" multipleItemSelectionAllowed="1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numFmtId="167" showAll="0" defaultSubtotal="0"/>
    <pivotField numFmtId="10" showAll="0" defaultSubtotal="0"/>
    <pivotField numFmtId="9"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pageFields count="1">
    <pageField fld="2" hier="-1"/>
  </pageFields>
  <dataFields count="3">
    <dataField name="VM 2014 (mdd)" fld="3" baseField="0" baseItem="0"/>
    <dataField name="VM 2015 (mdd)" fld="4" baseField="0" baseItem="0"/>
    <dataField name="VM 2016 (mdd)" fld="5" baseField="0" baseItem="0"/>
  </dataFields>
  <formats count="5">
    <format dxfId="55">
      <pivotArea collapsedLevelsAreSubtotals="1" fieldPosition="0">
        <references count="1">
          <reference field="2" count="0"/>
        </references>
      </pivotArea>
    </format>
    <format dxfId="5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8">
    <chartFormat chart="1" format="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9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" format="95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" format="96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" format="97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" format="98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1" format="99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1" format="100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1" format="10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1" format="102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1" format="103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1" format="104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1" format="105">
      <pivotArea type="data" outline="0" fieldPosition="0">
        <references count="2">
          <reference field="4294967294" count="1" selected="0">
            <x v="2"/>
          </reference>
          <reference field="2" count="1" selected="0">
            <x v="6"/>
          </reference>
        </references>
      </pivotArea>
    </chartFormat>
    <chartFormat chart="1" format="10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8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6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17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3000000}" name="TablaDinámica4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3">
  <location ref="A73:D75" firstHeaderRow="0" firstDataRow="1" firstDataCol="1"/>
  <pivotFields count="20">
    <pivotField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axis="axisRow" showAll="0">
      <items count="13">
        <item h="1" x="6"/>
        <item h="1" x="2"/>
        <item h="1" x="1"/>
        <item h="1" x="9"/>
        <item x="7"/>
        <item h="1" x="10"/>
        <item h="1" x="11"/>
        <item h="1" x="5"/>
        <item h="1" x="4"/>
        <item h="1" x="3"/>
        <item h="1" x="0"/>
        <item h="1" x="8"/>
        <item t="default"/>
      </items>
    </pivotField>
    <pivotField numFmtId="167" showAll="0"/>
    <pivotField numFmtId="167" showAll="0"/>
    <pivotField numFmtId="167" showAll="0"/>
    <pivotField showAll="0"/>
    <pivotField numFmtId="167" showAll="0"/>
    <pivotField dataField="1" numFmtId="10" showAll="0"/>
    <pivotField dataField="1" numFmtId="9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M 2014 (mdd)" fld="8" baseField="0" baseItem="0"/>
    <dataField name="VM 2015 (mdd)2" fld="9" baseField="0" baseItem="0"/>
    <dataField name="VM 2016 (mdd)" fld="10" baseField="0" baseItem="0"/>
  </dataFields>
  <formats count="3">
    <format dxfId="58">
      <pivotArea dataOnly="0" outline="0" fieldPosition="0">
        <references count="1">
          <reference field="4294967294" count="1">
            <x v="0"/>
          </reference>
        </references>
      </pivotArea>
    </format>
    <format dxfId="57">
      <pivotArea dataOnly="0" outline="0" fieldPosition="0">
        <references count="1">
          <reference field="4294967294" count="1">
            <x v="1"/>
          </reference>
        </references>
      </pivotArea>
    </format>
    <format dxfId="56">
      <pivotArea dataOnly="0" outline="0" fieldPosition="0">
        <references count="1">
          <reference field="4294967294" count="1">
            <x v="2"/>
          </reference>
        </references>
      </pivotArea>
    </format>
  </formats>
  <chartFormats count="9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2000000}" name="TablaDinámica3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7">
  <location ref="A58:D60" firstHeaderRow="0" firstDataRow="1" firstDataCol="1" rowPageCount="3" colPageCount="1"/>
  <pivotFields count="20">
    <pivotField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axis="axisRow" showAll="0">
      <items count="13">
        <item h="1" x="6"/>
        <item h="1" x="2"/>
        <item h="1" x="1"/>
        <item h="1" x="9"/>
        <item x="7"/>
        <item h="1" x="10"/>
        <item h="1" x="11"/>
        <item h="1" x="5"/>
        <item h="1" x="4"/>
        <item h="1" x="3"/>
        <item h="1" x="0"/>
        <item h="1" x="8"/>
        <item t="default"/>
      </items>
    </pivotField>
    <pivotField axis="axisPage"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axis="axisPage" dataField="1" numFmtId="167" showAll="0">
      <items count="16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  <item t="default"/>
      </items>
    </pivotField>
    <pivotField axis="axisPage" dataField="1"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numFmtId="167" showAll="0"/>
    <pivotField numFmtId="10" multipleItemSelectionAllowed="1" showAll="0"/>
    <pivotField numFmtId="9"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" hier="-1"/>
    <pageField fld="4" hier="-1"/>
    <pageField fld="5" hier="-1"/>
  </pageFields>
  <dataFields count="3">
    <dataField name="VM 2014 (mdd)" fld="3" baseField="0" baseItem="0"/>
    <dataField name="VM 2015 (mdd)" fld="4" baseField="0" baseItem="0"/>
    <dataField name="VM 2016 (mdd)" fld="5" baseField="0" baseItem="0"/>
  </dataFields>
  <formats count="3">
    <format dxfId="61">
      <pivotArea dataOnly="0" outline="0" fieldPosition="0">
        <references count="1">
          <reference field="4294967294" count="1">
            <x v="1"/>
          </reference>
        </references>
      </pivotArea>
    </format>
    <format dxfId="60">
      <pivotArea dataOnly="0" outline="0" fieldPosition="0">
        <references count="1">
          <reference field="4294967294" count="1">
            <x v="2"/>
          </reference>
        </references>
      </pivotArea>
    </format>
    <format dxfId="59">
      <pivotArea dataOnly="0" outline="0" fieldPosition="0">
        <references count="1">
          <reference field="4294967294" count="1">
            <x v="0"/>
          </reference>
        </references>
      </pivotArea>
    </format>
  </formats>
  <chartFormats count="6"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00000000-0013-0000-FFFF-FFFF01000000}" sourceName="Nombre">
  <pivotTables>
    <pivotTable tabId="14" name="TablaDinámica2"/>
    <pivotTable tabId="14" name="TablaDinámica1"/>
    <pivotTable tabId="14" name="TablaDinámica3"/>
    <pivotTable tabId="14" name="TablaDinámica7"/>
    <pivotTable tabId="14" name="TablaDinámica4"/>
  </pivotTables>
  <data>
    <tabular pivotCacheId="1">
      <items count="15">
        <i x="8" s="1"/>
        <i x="11" s="1"/>
        <i x="0" s="1" nd="1"/>
        <i x="10" s="1" nd="1"/>
        <i x="5" s="1" nd="1"/>
        <i x="1" s="1" nd="1"/>
        <i x="14" s="1" nd="1"/>
        <i x="7" s="1" nd="1"/>
        <i x="2" s="1" nd="1"/>
        <i x="3" s="1" nd="1"/>
        <i x="12" s="1" nd="1"/>
        <i x="13" s="1" nd="1"/>
        <i x="6" s="1" nd="1"/>
        <i x="4" s="1" nd="1"/>
        <i x="9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00000000-0013-0000-FFFF-FFFF02000000}" sourceName="Industria">
  <pivotTables>
    <pivotTable tabId="14" name="TablaDinámica1"/>
    <pivotTable tabId="14" name="TablaDinámica3"/>
    <pivotTable tabId="14" name="TablaDinámica7"/>
    <pivotTable tabId="14" name="TablaDinámica2"/>
    <pivotTable tabId="14" name="TablaDinámica4"/>
  </pivotTables>
  <data>
    <tabular pivotCacheId="1">
      <items count="12">
        <i x="6"/>
        <i x="2"/>
        <i x="1"/>
        <i x="9"/>
        <i x="7" s="1"/>
        <i x="10"/>
        <i x="11"/>
        <i x="5"/>
        <i x="4"/>
        <i x="3"/>
        <i x="0"/>
        <i x="8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00000000-0014-0000-FFFF-FFFF01000000}" cache="SegmentaciónDeDatos_Nombre" caption="Nombre" columnCount="3" style="SlicerStyleLight6" rowHeight="241300"/>
  <slicer name="Industria" xr10:uid="{00000000-0014-0000-FFFF-FFFF02000000}" cache="SegmentaciónDeDatos_Industria" caption="Industria" columnCount="2" style="SlicerStyleOther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a6" displayName="Tabla6" ref="A6:J55" totalsRowCount="1" headerRowDxfId="181" tableBorderDxfId="180">
  <autoFilter ref="A6:J54" xr:uid="{00000000-0009-0000-0100-000006000000}"/>
  <tableColumns count="10">
    <tableColumn id="1" xr3:uid="{00000000-0010-0000-0000-000001000000}" name="ID" totalsRowLabel="Total" dataDxfId="179" totalsRowDxfId="43"/>
    <tableColumn id="2" xr3:uid="{00000000-0010-0000-0000-000002000000}" name="FechaDeOrden" dataDxfId="178" totalsRowDxfId="42"/>
    <tableColumn id="3" xr3:uid="{00000000-0010-0000-0000-000003000000}" name="Empleado" dataDxfId="177" totalsRowDxfId="41"/>
    <tableColumn id="4" xr3:uid="{00000000-0010-0000-0000-000004000000}" name="Status" dataDxfId="176" totalsRowDxfId="40"/>
    <tableColumn id="5" xr3:uid="{00000000-0010-0000-0000-000005000000}" name="Compañía" dataDxfId="175" totalsRowDxfId="39"/>
    <tableColumn id="6" xr3:uid="{00000000-0010-0000-0000-000006000000}" name="Fecha de envío" dataDxfId="174" totalsRowDxfId="38"/>
    <tableColumn id="7" xr3:uid="{00000000-0010-0000-0000-000007000000}" name="Cantidad" dataDxfId="173" totalsRowDxfId="37"/>
    <tableColumn id="8" xr3:uid="{00000000-0010-0000-0000-000008000000}" name="Precio" totalsRowFunction="max" dataDxfId="172" totalsRowDxfId="36" dataCellStyle="Moneda"/>
    <tableColumn id="9" xr3:uid="{00000000-0010-0000-0000-000009000000}" name="Costo de envío" dataDxfId="171" totalsRowDxfId="35" dataCellStyle="Moneda"/>
    <tableColumn id="10" xr3:uid="{00000000-0010-0000-0000-00000A000000}" name="Total" totalsRowFunction="count" dataDxfId="170" totalsRowDxfId="3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bl_Rendimiento5" displayName="tbl_Rendimiento5" ref="B9:U25" totalsRowCount="1" headerRowDxfId="101">
  <autoFilter ref="B9:U24" xr:uid="{00000000-0009-0000-0100-000005000000}"/>
  <tableColumns count="20">
    <tableColumn id="1" xr3:uid="{00000000-0010-0000-0900-000001000000}" name="Nombre" totalsRowLabel="Total" dataDxfId="100" totalsRowDxfId="99"/>
    <tableColumn id="2" xr3:uid="{00000000-0010-0000-0900-000002000000}" name="Lugar de la lista de México" dataDxfId="98" totalsRowDxfId="97"/>
    <tableColumn id="4" xr3:uid="{00000000-0010-0000-0900-000004000000}" name="Industria" dataDxfId="96" totalsRowDxfId="95"/>
    <tableColumn id="22" xr3:uid="{00000000-0010-0000-0900-000016000000}" name="Valor de mercado 2014 (mdd)" totalsRowFunction="sum" dataDxfId="94" totalsRowDxfId="93"/>
    <tableColumn id="5" xr3:uid="{00000000-0010-0000-0900-000005000000}" name="Valor de mercado 2015 (mdd)" totalsRowFunction="sum" dataDxfId="92" totalsRowDxfId="91"/>
    <tableColumn id="20" xr3:uid="{00000000-0010-0000-0900-000014000000}" name="Valor de mercado 2016 (mdd)" totalsRowFunction="sum" dataDxfId="90" totalsRowDxfId="89"/>
    <tableColumn id="19" xr3:uid="{00000000-0010-0000-0900-000013000000}" name="Logo" dataDxfId="88" dataCellStyle="Normal 5"/>
    <tableColumn id="3" xr3:uid="{00000000-0010-0000-0900-000003000000}" name="Promedio valor mercado (mdd) 2014-16" dataDxfId="87" totalsRowDxfId="86" dataCellStyle="Normal 5"/>
    <tableColumn id="7" xr3:uid="{00000000-0010-0000-0900-000007000000}" name="% Valor mercado 2014 (mdd)" dataDxfId="85" totalsRowDxfId="84" dataCellStyle="Normal 5">
      <calculatedColumnFormula>tbl_Rendimiento5[[#This Row],[Valor de mercado 2014 (mdd)]]/tbl_Rendimiento5[[#Totals],[Valor de mercado 2014 (mdd)]]</calculatedColumnFormula>
    </tableColumn>
    <tableColumn id="8" xr3:uid="{00000000-0010-0000-0900-000008000000}" name="% Valor mercado 2015 (mdd)2" dataDxfId="83" totalsRowDxfId="82">
      <calculatedColumnFormula>tbl_Rendimiento5[[#This Row],[Valor de mercado 2015 (mdd)]]/tbl_Rendimiento5[[#Totals],[Valor de mercado 2015 (mdd)]]</calculatedColumnFormula>
    </tableColumn>
    <tableColumn id="9" xr3:uid="{00000000-0010-0000-0900-000009000000}" name="% Valor mercado 2016 (mdd)2" dataDxfId="81" totalsRowDxfId="80">
      <calculatedColumnFormula>tbl_Rendimiento5[[#This Row],[Valor de mercado 2016 (mdd)]]/tbl_Rendimiento5[[#Totals],[Valor de mercado 2016 (mdd)]]</calculatedColumnFormula>
    </tableColumn>
    <tableColumn id="10" xr3:uid="{00000000-0010-0000-0900-00000A000000}" name="Columna4" dataDxfId="79" totalsRowDxfId="78"/>
    <tableColumn id="11" xr3:uid="{00000000-0010-0000-0900-00000B000000}" name="Columna5" dataDxfId="77" totalsRowDxfId="76"/>
    <tableColumn id="12" xr3:uid="{00000000-0010-0000-0900-00000C000000}" name="Columna6" dataDxfId="75" totalsRowDxfId="74"/>
    <tableColumn id="13" xr3:uid="{00000000-0010-0000-0900-00000D000000}" name="Columna7" dataDxfId="73" totalsRowDxfId="72"/>
    <tableColumn id="14" xr3:uid="{00000000-0010-0000-0900-00000E000000}" name="Columna8" dataDxfId="71" totalsRowDxfId="70"/>
    <tableColumn id="15" xr3:uid="{00000000-0010-0000-0900-00000F000000}" name="Columna9" dataDxfId="69" totalsRowDxfId="68"/>
    <tableColumn id="16" xr3:uid="{00000000-0010-0000-0900-000010000000}" name="Columna10" dataDxfId="67" totalsRowDxfId="66"/>
    <tableColumn id="17" xr3:uid="{00000000-0010-0000-0900-000011000000}" name="Columna11" dataDxfId="65" totalsRowDxfId="64"/>
    <tableColumn id="18" xr3:uid="{00000000-0010-0000-0900-000012000000}" name="Columna12" totalsRowFunction="count" dataDxfId="63" totalsRowDxfId="6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6:J36" totalsRowCount="1">
  <autoFilter ref="A6:J35" xr:uid="{00000000-0009-0000-0100-000001000000}"/>
  <tableColumns count="10">
    <tableColumn id="1" xr3:uid="{00000000-0010-0000-0100-000001000000}" name="Compañía" totalsRowFunction="count"/>
    <tableColumn id="2" xr3:uid="{00000000-0010-0000-0100-000002000000}" name="ID" totalsRowFunction="count"/>
    <tableColumn id="3" xr3:uid="{00000000-0010-0000-0100-000003000000}" name="Primer nombre" totalsRowFunction="count"/>
    <tableColumn id="4" xr3:uid="{00000000-0010-0000-0100-000004000000}" name="Apellido" totalsRowFunction="count"/>
    <tableColumn id="5" xr3:uid="{00000000-0010-0000-0100-000005000000}" name="Teléfono" totalsRowFunction="count"/>
    <tableColumn id="6" xr3:uid="{00000000-0010-0000-0100-000006000000}" name="Puesto" totalsRowFunction="count"/>
    <tableColumn id="7" xr3:uid="{00000000-0010-0000-0100-000007000000}" name="Compras realizadas" totalsRowFunction="count" dataDxfId="169" totalsRowDxfId="168"/>
    <tableColumn id="8" xr3:uid="{00000000-0010-0000-0100-000008000000}" name="Dirección" totalsRowFunction="count"/>
    <tableColumn id="9" xr3:uid="{00000000-0010-0000-0100-000009000000}" name="Estado/Provincia" totalsRowFunction="count"/>
    <tableColumn id="10" xr3:uid="{00000000-0010-0000-0100-00000A000000}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7" displayName="Tabla7" ref="A4:E15" totalsRowCount="1">
  <autoFilter ref="A4:E14" xr:uid="{00000000-0009-0000-0100-000007000000}"/>
  <tableColumns count="5">
    <tableColumn id="1" xr3:uid="{00000000-0010-0000-0200-000001000000}" name="Compañía" totalsRowLabel="Total"/>
    <tableColumn id="2" xr3:uid="{00000000-0010-0000-0200-000002000000}" name="Pedidos" totalsRowFunction="average"/>
    <tableColumn id="3" xr3:uid="{00000000-0010-0000-0200-000003000000}" name="Primer nombre"/>
    <tableColumn id="4" xr3:uid="{00000000-0010-0000-0200-000004000000}" name="Apellido"/>
    <tableColumn id="5" xr3:uid="{00000000-0010-0000-0200-000005000000}" name="Puesto" totalsRowFunction="cou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a8" displayName="Tabla8" ref="C8:K40" totalsRowCount="1" headerRowDxfId="167" tableBorderDxfId="166" headerRowCellStyle="Normal 3">
  <autoFilter ref="C8:K39" xr:uid="{00000000-0009-0000-0100-000008000000}"/>
  <tableColumns count="9">
    <tableColumn id="1" xr3:uid="{00000000-0010-0000-0300-000001000000}" name="Referencia" totalsRowLabel="Total"/>
    <tableColumn id="2" xr3:uid="{00000000-0010-0000-0300-000002000000}" name="Fecha Alta" dataDxfId="165" totalsRowDxfId="164" dataCellStyle="Normal 3"/>
    <tableColumn id="3" xr3:uid="{00000000-0010-0000-0300-000003000000}" name="Tipo"/>
    <tableColumn id="4" xr3:uid="{00000000-0010-0000-0300-000004000000}" name="Operación" totalsRowFunction="count"/>
    <tableColumn id="5" xr3:uid="{00000000-0010-0000-0300-000005000000}" name="Estado"/>
    <tableColumn id="6" xr3:uid="{00000000-0010-0000-0300-000006000000}" name="Superficie" totalsRowFunction="sum"/>
    <tableColumn id="7" xr3:uid="{00000000-0010-0000-0300-000007000000}" name="Monto" totalsRowFunction="sum" dataDxfId="163" totalsRowDxfId="162" dataCellStyle="Normal 3"/>
    <tableColumn id="8" xr3:uid="{00000000-0010-0000-0300-000008000000}" name="Fecha Venta" dataDxfId="161" totalsRowDxfId="160" dataCellStyle="Normal 3"/>
    <tableColumn id="9" xr3:uid="{00000000-0010-0000-0300-000009000000}" name="Vendedor" totalsRowFunction="coun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a5" displayName="Tabla5" ref="C6:H37" totalsRowCount="1">
  <autoFilter ref="C6:H36" xr:uid="{00000000-0009-0000-0100-000002000000}"/>
  <tableColumns count="6">
    <tableColumn id="1" xr3:uid="{00000000-0010-0000-0400-000001000000}" name="Giro Comercial" totalsRowLabel="Total"/>
    <tableColumn id="5" xr3:uid="{00000000-0010-0000-0400-000005000000}" name="Código" dataDxfId="159">
      <calculatedColumnFormula>LEFT(C7,3)</calculatedColumnFormula>
    </tableColumn>
    <tableColumn id="2" xr3:uid="{00000000-0010-0000-0400-000002000000}" name="Operación"/>
    <tableColumn id="3" xr3:uid="{00000000-0010-0000-0400-000003000000}" name="Estado"/>
    <tableColumn id="4" xr3:uid="{00000000-0010-0000-0400-000004000000}" name="Monto" totalsRowFunction="sum" dataDxfId="158" totalsRowDxfId="157"/>
    <tableColumn id="6" xr3:uid="{00000000-0010-0000-0400-000006000000}" name="Porcentaje de venta" totalsRowFunction="sum" dataDxfId="156" totalsRowDxfId="155" dataCellStyle="Normal 3">
      <calculatedColumnFormula>Tabla5[[#This Row],[Monto]]/Tabla5[[#Totals],[Monto]]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Auditoría" displayName="Auditoría" ref="C4:I25">
  <tableColumns count="7">
    <tableColumn id="1" xr3:uid="{00000000-0010-0000-0500-000001000000}" name="Referencia" totalsRowLabel="Total"/>
    <tableColumn id="2" xr3:uid="{00000000-0010-0000-0500-000002000000}" name="Fecha Alta" dataDxfId="154"/>
    <tableColumn id="3" xr3:uid="{00000000-0010-0000-0500-000003000000}" name="Tipo"/>
    <tableColumn id="4" xr3:uid="{00000000-0010-0000-0500-000004000000}" name="Operación"/>
    <tableColumn id="5" xr3:uid="{00000000-0010-0000-0500-000005000000}" name="Estado"/>
    <tableColumn id="6" xr3:uid="{00000000-0010-0000-0500-000006000000}" name="Superficie"/>
    <tableColumn id="7" xr3:uid="{00000000-0010-0000-0500-000007000000}" name="Monto de venta" totalsRowFunction="sum" dataDxfId="153" totalsRowDxfId="152"/>
  </tableColumns>
  <tableStyleInfo name="TableStyleMedium11" showFirstColumn="0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a9" displayName="Tabla9" ref="C5:L33" totalsRowShown="0" dataDxfId="149" dataCellStyle="Normal 4">
  <autoFilter ref="C5:L33" xr:uid="{00000000-0009-0000-0100-000009000000}"/>
  <tableColumns count="10">
    <tableColumn id="1" xr3:uid="{00000000-0010-0000-0600-000001000000}" name="Columna1" dataDxfId="148" dataCellStyle="Normal 4"/>
    <tableColumn id="2" xr3:uid="{00000000-0010-0000-0600-000002000000}" name="Columna2" dataDxfId="147" dataCellStyle="Normal 4"/>
    <tableColumn id="3" xr3:uid="{00000000-0010-0000-0600-000003000000}" name="Columna3" dataDxfId="146" dataCellStyle="Normal 4"/>
    <tableColumn id="4" xr3:uid="{00000000-0010-0000-0600-000004000000}" name="Columna4" dataDxfId="145" dataCellStyle="Normal 4"/>
    <tableColumn id="5" xr3:uid="{00000000-0010-0000-0600-000005000000}" name="Columna5" dataDxfId="144" dataCellStyle="Moneda 2"/>
    <tableColumn id="6" xr3:uid="{00000000-0010-0000-0600-000006000000}" name="Columna6" dataDxfId="143" dataCellStyle="Normal 4"/>
    <tableColumn id="7" xr3:uid="{00000000-0010-0000-0600-000007000000}" name="Columna7" dataDxfId="142" dataCellStyle="Normal 4"/>
    <tableColumn id="8" xr3:uid="{00000000-0010-0000-0600-000008000000}" name="Fecha de Vencimiento" dataDxfId="141" dataCellStyle="Normal 4">
      <calculatedColumnFormula>Tabla9[[#This Row],[Columna3]]+30</calculatedColumnFormula>
    </tableColumn>
    <tableColumn id="9" xr3:uid="{00000000-0010-0000-0600-000009000000}" name="Fecha de vencimiento2" dataDxfId="140" dataCellStyle="Normal 4">
      <calculatedColumnFormula>Tabla9[[#This Row],[Columna3]]+90</calculatedColumnFormula>
    </tableColumn>
    <tableColumn id="10" xr3:uid="{00000000-0010-0000-0600-00000A000000}" name="Fecha de vencimiento3" dataDxfId="139" dataCellStyle="Normal 4">
      <calculatedColumnFormula>Tabla9[[#This Row],[Columna3]]+120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a10" displayName="Tabla10" ref="B12:H39" totalsRowShown="0" headerRowBorderDxfId="138" tableBorderDxfId="137" totalsRowBorderDxfId="136">
  <autoFilter ref="B12:H39" xr:uid="{00000000-0009-0000-0100-00000A000000}"/>
  <tableColumns count="7">
    <tableColumn id="1" xr3:uid="{00000000-0010-0000-0700-000001000000}" name="Cuenta No." dataDxfId="135" dataCellStyle="Normal 4"/>
    <tableColumn id="2" xr3:uid="{00000000-0010-0000-0700-000002000000}" name="Factura No." dataDxfId="134" dataCellStyle="Normal 4"/>
    <tableColumn id="3" xr3:uid="{00000000-0010-0000-0700-000003000000}" name="Fecha Factura" dataDxfId="133" dataCellStyle="Normal 4"/>
    <tableColumn id="4" xr3:uid="{00000000-0010-0000-0700-000004000000}" name="Fecha Vencim." dataDxfId="132" dataCellStyle="Normal 4"/>
    <tableColumn id="5" xr3:uid="{00000000-0010-0000-0700-000005000000}" name="Monto" dataDxfId="131" dataCellStyle="Moneda 2"/>
    <tableColumn id="6" xr3:uid="{00000000-0010-0000-0700-000006000000}" name="Vendedor" dataDxfId="130" dataCellStyle="Moneda 2"/>
    <tableColumn id="7" xr3:uid="{00000000-0010-0000-0700-000007000000}" name="Días Vencidos" dataDxfId="129" dataCellStyle="Normal 4">
      <calculatedColumnFormula>IF(C$8&gt;Tabla10[[#This Row],[Fecha Vencim.]],C$8-Tabla10[[#This Row],[Fecha Vencim.]],"No Vencida")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bl_Rendimiento7" displayName="tbl_Rendimiento7" ref="B11:U26" totalsRowShown="0">
  <autoFilter ref="B11:U26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0000000-0010-0000-0800-000001000000}" name="Nombre" dataDxfId="124"/>
    <tableColumn id="3" xr3:uid="{00000000-0010-0000-0800-000003000000}" name="Lugar en lista global" dataDxfId="123"/>
    <tableColumn id="20" xr3:uid="{00000000-0010-0000-0800-000014000000}" name="País" dataDxfId="122"/>
    <tableColumn id="4" xr3:uid="{00000000-0010-0000-0800-000004000000}" name="Industria" dataDxfId="121"/>
    <tableColumn id="5" xr3:uid="{00000000-0010-0000-0800-000005000000}" name="Valor de mercado 2015 (mdd)" dataDxfId="120"/>
    <tableColumn id="6" xr3:uid="{00000000-0010-0000-0800-000006000000}" name="Valor de mercado 2016(mdd)" dataDxfId="119"/>
    <tableColumn id="21" xr3:uid="{00000000-0010-0000-0800-000015000000}" name="Ganancia/Perdida" dataDxfId="118"/>
    <tableColumn id="19" xr3:uid="{00000000-0010-0000-0800-000013000000}" name="Logo"/>
    <tableColumn id="7" xr3:uid="{00000000-0010-0000-0800-000007000000}" name="Columna1" dataDxfId="117"/>
    <tableColumn id="8" xr3:uid="{00000000-0010-0000-0800-000008000000}" name="Columna2" dataDxfId="116"/>
    <tableColumn id="9" xr3:uid="{00000000-0010-0000-0800-000009000000}" name="Columna3" dataDxfId="115"/>
    <tableColumn id="10" xr3:uid="{00000000-0010-0000-0800-00000A000000}" name="Columna4" dataDxfId="114"/>
    <tableColumn id="11" xr3:uid="{00000000-0010-0000-0800-00000B000000}" name="Columna5" dataDxfId="113"/>
    <tableColumn id="12" xr3:uid="{00000000-0010-0000-0800-00000C000000}" name="Columna6" dataDxfId="112"/>
    <tableColumn id="13" xr3:uid="{00000000-0010-0000-0800-00000D000000}" name="Columna7" dataDxfId="111"/>
    <tableColumn id="14" xr3:uid="{00000000-0010-0000-0800-00000E000000}" name="Columna8" dataDxfId="110"/>
    <tableColumn id="15" xr3:uid="{00000000-0010-0000-0800-00000F000000}" name="Columna9" dataDxfId="109"/>
    <tableColumn id="16" xr3:uid="{00000000-0010-0000-0800-000010000000}" name="Columna10" dataDxfId="108"/>
    <tableColumn id="17" xr3:uid="{00000000-0010-0000-0800-000011000000}" name="Columna11" dataDxfId="107"/>
    <tableColumn id="18" xr3:uid="{00000000-0010-0000-0800-000012000000}" name="Columna12" dataDxfId="106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8.xml"/><Relationship Id="rId4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9.xml"/><Relationship Id="rId4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10.xml"/><Relationship Id="rId4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8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7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zoomScaleNormal="100" workbookViewId="0">
      <selection activeCell="F2" sqref="F2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4" ht="31.5" x14ac:dyDescent="0.5">
      <c r="A1" s="159" t="s">
        <v>212</v>
      </c>
      <c r="B1" s="159"/>
      <c r="C1" s="159"/>
      <c r="D1" s="159"/>
      <c r="E1" s="159"/>
      <c r="F1" s="159"/>
    </row>
    <row r="2" spans="1:14" ht="31.5" x14ac:dyDescent="0.5">
      <c r="A2" s="6" t="s">
        <v>213</v>
      </c>
      <c r="B2" s="5"/>
      <c r="C2" s="5"/>
      <c r="D2" s="5"/>
      <c r="E2" s="5"/>
      <c r="F2" s="5">
        <v>1</v>
      </c>
    </row>
    <row r="3" spans="1:14" ht="31.5" x14ac:dyDescent="0.5">
      <c r="A3" s="6" t="s">
        <v>214</v>
      </c>
      <c r="K3" s="156">
        <v>1</v>
      </c>
    </row>
    <row r="4" spans="1:14" ht="31.5" x14ac:dyDescent="0.5">
      <c r="A4" s="6" t="s">
        <v>215</v>
      </c>
      <c r="H4" s="156">
        <v>1</v>
      </c>
    </row>
    <row r="5" spans="1:14" ht="18.75" x14ac:dyDescent="0.3">
      <c r="A5" s="6"/>
    </row>
    <row r="6" spans="1:14" x14ac:dyDescent="0.25">
      <c r="A6" s="103" t="s">
        <v>0</v>
      </c>
      <c r="B6" s="103" t="s">
        <v>1</v>
      </c>
      <c r="C6" s="103" t="s">
        <v>2</v>
      </c>
      <c r="D6" s="103" t="s">
        <v>3</v>
      </c>
      <c r="E6" s="103" t="s">
        <v>4</v>
      </c>
      <c r="F6" s="103" t="s">
        <v>5</v>
      </c>
      <c r="G6" s="103" t="s">
        <v>6</v>
      </c>
      <c r="H6" s="103" t="s">
        <v>7</v>
      </c>
      <c r="I6" s="103" t="s">
        <v>8</v>
      </c>
      <c r="J6" s="103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3" t="s">
        <v>11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4" x14ac:dyDescent="0.25">
      <c r="A8" s="3">
        <v>80</v>
      </c>
      <c r="B8" s="2">
        <v>42582</v>
      </c>
      <c r="C8" s="3" t="s">
        <v>10</v>
      </c>
      <c r="D8" s="3" t="s">
        <v>11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3" t="s">
        <v>14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3" t="s">
        <v>14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3" t="s">
        <v>14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3" t="s">
        <v>11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3" t="s">
        <v>14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3" t="s">
        <v>14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3" t="s">
        <v>14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3" t="s">
        <v>14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57" t="s">
        <v>27</v>
      </c>
      <c r="N16" s="157"/>
    </row>
    <row r="17" spans="1:14" x14ac:dyDescent="0.25">
      <c r="A17" s="3">
        <v>71</v>
      </c>
      <c r="B17" s="2">
        <v>42174</v>
      </c>
      <c r="C17" s="3" t="s">
        <v>16</v>
      </c>
      <c r="D17" s="3" t="s">
        <v>11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58">
        <f>VALUE(MAX(Tabla6[Precio]))</f>
        <v>4799</v>
      </c>
      <c r="N17" s="158"/>
    </row>
    <row r="18" spans="1:14" x14ac:dyDescent="0.25">
      <c r="A18" s="3">
        <v>70</v>
      </c>
      <c r="B18" s="2">
        <v>42308</v>
      </c>
      <c r="C18" s="3" t="s">
        <v>16</v>
      </c>
      <c r="D18" s="3" t="s">
        <v>11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3" t="s">
        <v>14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3" t="s">
        <v>14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  <row r="55" spans="1:10" x14ac:dyDescent="0.25">
      <c r="A55" s="104" t="s">
        <v>9</v>
      </c>
      <c r="B55" s="104"/>
      <c r="C55" s="104"/>
      <c r="D55" s="104"/>
      <c r="E55" s="104"/>
      <c r="F55" s="104"/>
      <c r="G55" s="104"/>
      <c r="H55" s="106">
        <f>SUBTOTAL(104,Tabla6[Precio])</f>
        <v>4799</v>
      </c>
      <c r="I55" s="105"/>
      <c r="J55" s="104">
        <f>SUBTOTAL(103,Tabla6[Total])</f>
        <v>0</v>
      </c>
    </row>
  </sheetData>
  <mergeCells count="3">
    <mergeCell ref="M16:N16"/>
    <mergeCell ref="M17:N17"/>
    <mergeCell ref="A1:F1"/>
  </mergeCells>
  <phoneticPr fontId="2" type="noConversion"/>
  <conditionalFormatting sqref="D7:D54">
    <cfRule type="cellIs" dxfId="45" priority="6" operator="equal">
      <formula>"cerrado"</formula>
    </cfRule>
    <cfRule type="cellIs" dxfId="44" priority="7" operator="equal">
      <formula>"nuevo"</formula>
    </cfRule>
  </conditionalFormatting>
  <conditionalFormatting sqref="F2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K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H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66"/>
  <sheetViews>
    <sheetView showGridLines="0" topLeftCell="A4" zoomScaleNormal="100" workbookViewId="0">
      <selection activeCell="H15" sqref="H15"/>
    </sheetView>
  </sheetViews>
  <sheetFormatPr baseColWidth="10" defaultColWidth="7.28515625" defaultRowHeight="12.75" x14ac:dyDescent="0.2"/>
  <cols>
    <col min="1" max="1" width="3.28515625" style="22" customWidth="1"/>
    <col min="2" max="2" width="11.85546875" style="23" customWidth="1"/>
    <col min="3" max="3" width="12" style="23" customWidth="1"/>
    <col min="4" max="4" width="13.7109375" style="50" customWidth="1"/>
    <col min="5" max="5" width="14.28515625" style="51" customWidth="1"/>
    <col min="6" max="6" width="14.42578125" style="22" customWidth="1"/>
    <col min="7" max="7" width="16.85546875" style="22" bestFit="1" customWidth="1"/>
    <col min="8" max="8" width="13.7109375" style="27" customWidth="1"/>
    <col min="9" max="11" width="7.28515625" style="22"/>
    <col min="12" max="12" width="10.140625" style="22" bestFit="1" customWidth="1"/>
    <col min="13" max="16384" width="7.28515625" style="22"/>
  </cols>
  <sheetData>
    <row r="1" spans="1:12" ht="31.5" x14ac:dyDescent="0.5">
      <c r="A1" s="60" t="s">
        <v>212</v>
      </c>
      <c r="B1" s="60"/>
      <c r="C1" s="60"/>
      <c r="D1" s="60"/>
      <c r="E1" s="60"/>
      <c r="F1" s="60"/>
    </row>
    <row r="2" spans="1:12" ht="31.5" x14ac:dyDescent="0.5">
      <c r="A2" s="6" t="s">
        <v>358</v>
      </c>
      <c r="B2" s="5"/>
      <c r="C2" s="5"/>
      <c r="D2" s="5"/>
      <c r="E2" s="5"/>
      <c r="F2" s="5"/>
      <c r="K2" s="170">
        <v>1</v>
      </c>
    </row>
    <row r="3" spans="1:12" ht="18.75" x14ac:dyDescent="0.3">
      <c r="A3" s="6" t="s">
        <v>360</v>
      </c>
      <c r="B3" s="24"/>
      <c r="C3" s="25"/>
      <c r="D3" s="26"/>
      <c r="E3" s="26"/>
      <c r="F3" s="26"/>
    </row>
    <row r="4" spans="1:12" ht="31.5" x14ac:dyDescent="0.5">
      <c r="A4" s="6" t="s">
        <v>359</v>
      </c>
      <c r="G4" s="170">
        <v>1</v>
      </c>
    </row>
    <row r="8" spans="1:12" ht="25.5" x14ac:dyDescent="0.2">
      <c r="B8" s="27" t="s">
        <v>347</v>
      </c>
      <c r="C8" s="49">
        <v>42661</v>
      </c>
    </row>
    <row r="9" spans="1:12" s="52" customFormat="1" ht="32.25" customHeight="1" x14ac:dyDescent="0.2">
      <c r="A9" s="22"/>
      <c r="B9" s="23"/>
      <c r="C9" s="23"/>
      <c r="D9" s="50"/>
      <c r="E9" s="51"/>
      <c r="F9" s="22"/>
    </row>
    <row r="10" spans="1:12" x14ac:dyDescent="0.2">
      <c r="L10" s="57"/>
    </row>
    <row r="11" spans="1:12" x14ac:dyDescent="0.2">
      <c r="L11" s="57"/>
    </row>
    <row r="12" spans="1:12" x14ac:dyDescent="0.2">
      <c r="A12" s="52"/>
      <c r="B12" s="131" t="s">
        <v>266</v>
      </c>
      <c r="C12" s="132" t="s">
        <v>267</v>
      </c>
      <c r="D12" s="133" t="s">
        <v>268</v>
      </c>
      <c r="E12" s="134" t="s">
        <v>348</v>
      </c>
      <c r="F12" s="135" t="s">
        <v>226</v>
      </c>
      <c r="G12" s="136" t="s">
        <v>228</v>
      </c>
      <c r="H12" s="137" t="s">
        <v>349</v>
      </c>
      <c r="L12" s="57"/>
    </row>
    <row r="13" spans="1:12" x14ac:dyDescent="0.2">
      <c r="B13" s="129">
        <v>10024</v>
      </c>
      <c r="C13" s="59">
        <v>42465</v>
      </c>
      <c r="D13" s="61">
        <v>42465</v>
      </c>
      <c r="E13" s="62">
        <v>42495</v>
      </c>
      <c r="F13" s="63">
        <v>150</v>
      </c>
      <c r="G13" s="64" t="s">
        <v>350</v>
      </c>
      <c r="H13" s="130">
        <f>IF(C$8&gt;Tabla10[[#This Row],[Fecha Vencim.]],C$8-Tabla10[[#This Row],[Fecha Vencim.]],"No Vencida")</f>
        <v>166</v>
      </c>
      <c r="L13" s="57"/>
    </row>
    <row r="14" spans="1:12" x14ac:dyDescent="0.2">
      <c r="B14" s="129">
        <v>10014</v>
      </c>
      <c r="C14" s="59">
        <v>42465</v>
      </c>
      <c r="D14" s="61">
        <v>42465</v>
      </c>
      <c r="E14" s="62">
        <v>42495</v>
      </c>
      <c r="F14" s="63">
        <v>550</v>
      </c>
      <c r="G14" s="64" t="s">
        <v>351</v>
      </c>
      <c r="H14" s="130">
        <f>IF(C$8&gt;Tabla10[[#This Row],[Fecha Vencim.]],C$8-Tabla10[[#This Row],[Fecha Vencim.]],"No Vencida")</f>
        <v>166</v>
      </c>
      <c r="L14" s="57"/>
    </row>
    <row r="15" spans="1:12" x14ac:dyDescent="0.2">
      <c r="B15" s="129">
        <v>10034</v>
      </c>
      <c r="C15" s="59">
        <v>42465</v>
      </c>
      <c r="D15" s="61">
        <v>42830</v>
      </c>
      <c r="E15" s="62">
        <v>42860</v>
      </c>
      <c r="F15" s="63">
        <v>750</v>
      </c>
      <c r="G15" s="64" t="s">
        <v>352</v>
      </c>
      <c r="H15" s="130" t="str">
        <f>IF(C$8&gt;Tabla10[[#This Row],[Fecha Vencim.]],C$8-Tabla10[[#This Row],[Fecha Vencim.]],"No Vencida")</f>
        <v>No Vencida</v>
      </c>
    </row>
    <row r="16" spans="1:12" x14ac:dyDescent="0.2">
      <c r="B16" s="129">
        <v>10029</v>
      </c>
      <c r="C16" s="59">
        <v>42465</v>
      </c>
      <c r="D16" s="61">
        <v>42830</v>
      </c>
      <c r="E16" s="62">
        <v>42860</v>
      </c>
      <c r="F16" s="63">
        <v>240</v>
      </c>
      <c r="G16" s="64" t="s">
        <v>354</v>
      </c>
      <c r="H16" s="130" t="str">
        <f>IF(C$8&gt;Tabla10[[#This Row],[Fecha Vencim.]],C$8-Tabla10[[#This Row],[Fecha Vencim.]],"No Vencida")</f>
        <v>No Vencida</v>
      </c>
    </row>
    <row r="17" spans="2:8" x14ac:dyDescent="0.2">
      <c r="B17" s="129">
        <v>10030</v>
      </c>
      <c r="C17" s="59">
        <v>42526</v>
      </c>
      <c r="D17" s="61">
        <v>42526</v>
      </c>
      <c r="E17" s="62">
        <v>42556</v>
      </c>
      <c r="F17" s="63">
        <v>61.5</v>
      </c>
      <c r="G17" s="64" t="s">
        <v>353</v>
      </c>
      <c r="H17" s="130">
        <f>IF(C$8&gt;Tabla10[[#This Row],[Fecha Vencim.]],C$8-Tabla10[[#This Row],[Fecha Vencim.]],"No Vencida")</f>
        <v>105</v>
      </c>
    </row>
    <row r="18" spans="2:8" x14ac:dyDescent="0.2">
      <c r="B18" s="129">
        <v>10018</v>
      </c>
      <c r="C18" s="59">
        <v>42526</v>
      </c>
      <c r="D18" s="61">
        <v>42526</v>
      </c>
      <c r="E18" s="62">
        <v>42556</v>
      </c>
      <c r="F18" s="63">
        <v>211.25</v>
      </c>
      <c r="G18" s="64" t="s">
        <v>353</v>
      </c>
      <c r="H18" s="130">
        <f>IF(C$8&gt;Tabla10[[#This Row],[Fecha Vencim.]],C$8-Tabla10[[#This Row],[Fecha Vencim.]],"No Vencida")</f>
        <v>105</v>
      </c>
    </row>
    <row r="19" spans="2:8" x14ac:dyDescent="0.2">
      <c r="B19" s="129">
        <v>10035</v>
      </c>
      <c r="C19" s="59">
        <v>42526</v>
      </c>
      <c r="D19" s="61">
        <v>42891</v>
      </c>
      <c r="E19" s="62">
        <v>42921</v>
      </c>
      <c r="F19" s="63">
        <v>220.13</v>
      </c>
      <c r="G19" s="64" t="s">
        <v>350</v>
      </c>
      <c r="H19" s="130" t="str">
        <f>IF(C$8&gt;Tabla10[[#This Row],[Fecha Vencim.]],C$8-Tabla10[[#This Row],[Fecha Vencim.]],"No Vencida")</f>
        <v>No Vencida</v>
      </c>
    </row>
    <row r="20" spans="2:8" x14ac:dyDescent="0.2">
      <c r="B20" s="129">
        <v>10010</v>
      </c>
      <c r="C20" s="59">
        <v>42528</v>
      </c>
      <c r="D20" s="61">
        <v>42893</v>
      </c>
      <c r="E20" s="62">
        <v>42923</v>
      </c>
      <c r="F20" s="63">
        <v>151.44</v>
      </c>
      <c r="G20" s="64" t="s">
        <v>351</v>
      </c>
      <c r="H20" s="130" t="str">
        <f>IF(C$8&gt;Tabla10[[#This Row],[Fecha Vencim.]],C$8-Tabla10[[#This Row],[Fecha Vencim.]],"No Vencida")</f>
        <v>No Vencida</v>
      </c>
    </row>
    <row r="21" spans="2:8" x14ac:dyDescent="0.2">
      <c r="B21" s="129">
        <v>10030</v>
      </c>
      <c r="C21" s="59">
        <v>42528</v>
      </c>
      <c r="D21" s="61">
        <v>42528</v>
      </c>
      <c r="E21" s="62">
        <v>42558</v>
      </c>
      <c r="F21" s="63">
        <v>198.77</v>
      </c>
      <c r="G21" s="64" t="s">
        <v>352</v>
      </c>
      <c r="H21" s="130">
        <f>IF(C$8&gt;Tabla10[[#This Row],[Fecha Vencim.]],C$8-Tabla10[[#This Row],[Fecha Vencim.]],"No Vencida")</f>
        <v>103</v>
      </c>
    </row>
    <row r="22" spans="2:8" x14ac:dyDescent="0.2">
      <c r="B22" s="129">
        <v>10012</v>
      </c>
      <c r="C22" s="59">
        <v>42528</v>
      </c>
      <c r="D22" s="61">
        <v>42528</v>
      </c>
      <c r="E22" s="62">
        <v>42558</v>
      </c>
      <c r="F22" s="63">
        <v>98.66</v>
      </c>
      <c r="G22" s="64" t="s">
        <v>352</v>
      </c>
      <c r="H22" s="130">
        <f>IF(C$8&gt;Tabla10[[#This Row],[Fecha Vencim.]],C$8-Tabla10[[#This Row],[Fecha Vencim.]],"No Vencida")</f>
        <v>103</v>
      </c>
    </row>
    <row r="23" spans="2:8" x14ac:dyDescent="0.2">
      <c r="B23" s="129">
        <v>10024</v>
      </c>
      <c r="C23" s="59">
        <v>42529</v>
      </c>
      <c r="D23" s="61">
        <v>42528</v>
      </c>
      <c r="E23" s="62">
        <v>42558</v>
      </c>
      <c r="F23" s="63">
        <v>135.63999999999999</v>
      </c>
      <c r="G23" s="64" t="s">
        <v>352</v>
      </c>
      <c r="H23" s="130">
        <f>IF(C$8&gt;Tabla10[[#This Row],[Fecha Vencim.]],C$8-Tabla10[[#This Row],[Fecha Vencim.]],"No Vencida")</f>
        <v>103</v>
      </c>
    </row>
    <row r="24" spans="2:8" x14ac:dyDescent="0.2">
      <c r="B24" s="129">
        <v>10014</v>
      </c>
      <c r="C24" s="59">
        <v>42529</v>
      </c>
      <c r="D24" s="61">
        <v>42528</v>
      </c>
      <c r="E24" s="62">
        <v>42558</v>
      </c>
      <c r="F24" s="63">
        <v>56.5</v>
      </c>
      <c r="G24" s="64" t="s">
        <v>353</v>
      </c>
      <c r="H24" s="130">
        <f>IF(C$8&gt;Tabla10[[#This Row],[Fecha Vencim.]],C$8-Tabla10[[#This Row],[Fecha Vencim.]],"No Vencida")</f>
        <v>103</v>
      </c>
    </row>
    <row r="25" spans="2:8" x14ac:dyDescent="0.2">
      <c r="B25" s="129">
        <v>10021</v>
      </c>
      <c r="C25" s="59">
        <v>42529</v>
      </c>
      <c r="D25" s="61">
        <v>42528</v>
      </c>
      <c r="E25" s="62">
        <v>42558</v>
      </c>
      <c r="F25" s="63">
        <v>414.35</v>
      </c>
      <c r="G25" s="64" t="s">
        <v>353</v>
      </c>
      <c r="H25" s="130">
        <f>IF(C$8&gt;Tabla10[[#This Row],[Fecha Vencim.]],C$8-Tabla10[[#This Row],[Fecha Vencim.]],"No Vencida")</f>
        <v>103</v>
      </c>
    </row>
    <row r="26" spans="2:8" x14ac:dyDescent="0.2">
      <c r="B26" s="129">
        <v>10022</v>
      </c>
      <c r="C26" s="59">
        <v>42529</v>
      </c>
      <c r="D26" s="61">
        <v>42651</v>
      </c>
      <c r="E26" s="62">
        <v>42682</v>
      </c>
      <c r="F26" s="63">
        <v>75.989999999999995</v>
      </c>
      <c r="G26" s="64" t="s">
        <v>355</v>
      </c>
      <c r="H26" s="130" t="str">
        <f>IF(C$8&gt;Tabla10[[#This Row],[Fecha Vencim.]],C$8-Tabla10[[#This Row],[Fecha Vencim.]],"No Vencida")</f>
        <v>No Vencida</v>
      </c>
    </row>
    <row r="27" spans="2:8" x14ac:dyDescent="0.2">
      <c r="B27" s="129">
        <v>10026</v>
      </c>
      <c r="C27" s="59">
        <v>42529</v>
      </c>
      <c r="D27" s="61">
        <v>42529</v>
      </c>
      <c r="E27" s="62">
        <v>42559</v>
      </c>
      <c r="F27" s="63">
        <v>159.88</v>
      </c>
      <c r="G27" s="64" t="s">
        <v>355</v>
      </c>
      <c r="H27" s="130">
        <f>IF(C$8&gt;Tabla10[[#This Row],[Fecha Vencim.]],C$8-Tabla10[[#This Row],[Fecha Vencim.]],"No Vencida")</f>
        <v>102</v>
      </c>
    </row>
    <row r="28" spans="2:8" x14ac:dyDescent="0.2">
      <c r="B28" s="129">
        <v>10033</v>
      </c>
      <c r="C28" s="59">
        <v>42529</v>
      </c>
      <c r="D28" s="61">
        <v>42712</v>
      </c>
      <c r="E28" s="62">
        <v>42743</v>
      </c>
      <c r="F28" s="63">
        <v>190</v>
      </c>
      <c r="G28" s="64" t="s">
        <v>354</v>
      </c>
      <c r="H28" s="130" t="str">
        <f>IF(C$8&gt;Tabla10[[#This Row],[Fecha Vencim.]],C$8-Tabla10[[#This Row],[Fecha Vencim.]],"No Vencida")</f>
        <v>No Vencida</v>
      </c>
    </row>
    <row r="29" spans="2:8" x14ac:dyDescent="0.2">
      <c r="B29" s="129">
        <v>10029</v>
      </c>
      <c r="C29" s="59">
        <v>42530</v>
      </c>
      <c r="D29" s="61">
        <v>42529</v>
      </c>
      <c r="E29" s="62">
        <v>42559</v>
      </c>
      <c r="F29" s="63">
        <v>267.99</v>
      </c>
      <c r="G29" s="64" t="s">
        <v>353</v>
      </c>
      <c r="H29" s="130">
        <f>IF(C$8&gt;Tabla10[[#This Row],[Fecha Vencim.]],C$8-Tabla10[[#This Row],[Fecha Vencim.]],"No Vencida")</f>
        <v>102</v>
      </c>
    </row>
    <row r="30" spans="2:8" x14ac:dyDescent="0.2">
      <c r="B30" s="129">
        <v>10015</v>
      </c>
      <c r="C30" s="59">
        <v>42530</v>
      </c>
      <c r="D30" s="61">
        <v>42712</v>
      </c>
      <c r="E30" s="62">
        <v>42743</v>
      </c>
      <c r="F30" s="63">
        <v>561.11</v>
      </c>
      <c r="G30" s="64" t="s">
        <v>352</v>
      </c>
      <c r="H30" s="130" t="str">
        <f>IF(C$8&gt;Tabla10[[#This Row],[Fecha Vencim.]],C$8-Tabla10[[#This Row],[Fecha Vencim.]],"No Vencida")</f>
        <v>No Vencida</v>
      </c>
    </row>
    <row r="31" spans="2:8" x14ac:dyDescent="0.2">
      <c r="B31" s="129">
        <v>10036</v>
      </c>
      <c r="C31" s="59">
        <v>42530</v>
      </c>
      <c r="D31" s="61">
        <v>42529</v>
      </c>
      <c r="E31" s="62">
        <v>42559</v>
      </c>
      <c r="F31" s="63">
        <v>180.25</v>
      </c>
      <c r="G31" s="64" t="s">
        <v>350</v>
      </c>
      <c r="H31" s="130">
        <f>IF(C$8&gt;Tabla10[[#This Row],[Fecha Vencim.]],C$8-Tabla10[[#This Row],[Fecha Vencim.]],"No Vencida")</f>
        <v>102</v>
      </c>
    </row>
    <row r="32" spans="2:8" x14ac:dyDescent="0.2">
      <c r="B32" s="129">
        <v>10032</v>
      </c>
      <c r="C32" s="59">
        <v>42530</v>
      </c>
      <c r="D32" s="61">
        <v>42529</v>
      </c>
      <c r="E32" s="62">
        <v>42559</v>
      </c>
      <c r="F32" s="63">
        <v>424.6</v>
      </c>
      <c r="G32" s="64" t="s">
        <v>351</v>
      </c>
      <c r="H32" s="130">
        <f>IF(C$8&gt;Tabla10[[#This Row],[Fecha Vencim.]],C$8-Tabla10[[#This Row],[Fecha Vencim.]],"No Vencida")</f>
        <v>102</v>
      </c>
    </row>
    <row r="33" spans="2:8" x14ac:dyDescent="0.2">
      <c r="B33" s="129">
        <v>10017</v>
      </c>
      <c r="C33" s="59">
        <v>42531</v>
      </c>
      <c r="D33" s="61">
        <v>42530</v>
      </c>
      <c r="E33" s="62">
        <v>42560</v>
      </c>
      <c r="F33" s="63">
        <v>119.85</v>
      </c>
      <c r="G33" s="64" t="s">
        <v>354</v>
      </c>
      <c r="H33" s="130">
        <f>IF(C$8&gt;Tabla10[[#This Row],[Fecha Vencim.]],C$8-Tabla10[[#This Row],[Fecha Vencim.]],"No Vencida")</f>
        <v>101</v>
      </c>
    </row>
    <row r="34" spans="2:8" x14ac:dyDescent="0.2">
      <c r="B34" s="129">
        <v>10026</v>
      </c>
      <c r="C34" s="59">
        <v>42531</v>
      </c>
      <c r="D34" s="61">
        <v>42713</v>
      </c>
      <c r="E34" s="62">
        <v>42744</v>
      </c>
      <c r="F34" s="63">
        <v>114.5</v>
      </c>
      <c r="G34" s="64" t="s">
        <v>351</v>
      </c>
      <c r="H34" s="130" t="str">
        <f>IF(C$8&gt;Tabla10[[#This Row],[Fecha Vencim.]],C$8-Tabla10[[#This Row],[Fecha Vencim.]],"No Vencida")</f>
        <v>No Vencida</v>
      </c>
    </row>
    <row r="35" spans="2:8" x14ac:dyDescent="0.2">
      <c r="B35" s="129">
        <v>10033</v>
      </c>
      <c r="C35" s="59">
        <v>42531</v>
      </c>
      <c r="D35" s="61">
        <v>42530</v>
      </c>
      <c r="E35" s="62">
        <v>42560</v>
      </c>
      <c r="F35" s="63">
        <v>323.68</v>
      </c>
      <c r="G35" s="64" t="s">
        <v>352</v>
      </c>
      <c r="H35" s="130">
        <f>IF(C$8&gt;Tabla10[[#This Row],[Fecha Vencim.]],C$8-Tabla10[[#This Row],[Fecha Vencim.]],"No Vencida")</f>
        <v>101</v>
      </c>
    </row>
    <row r="36" spans="2:8" x14ac:dyDescent="0.2">
      <c r="B36" s="129">
        <v>10029</v>
      </c>
      <c r="C36" s="59">
        <v>42531</v>
      </c>
      <c r="D36" s="61">
        <v>42530</v>
      </c>
      <c r="E36" s="62">
        <v>42560</v>
      </c>
      <c r="F36" s="63">
        <v>244.97</v>
      </c>
      <c r="G36" s="64" t="s">
        <v>354</v>
      </c>
      <c r="H36" s="130">
        <f>IF(C$8&gt;Tabla10[[#This Row],[Fecha Vencim.]],C$8-Tabla10[[#This Row],[Fecha Vencim.]],"No Vencida")</f>
        <v>101</v>
      </c>
    </row>
    <row r="37" spans="2:8" x14ac:dyDescent="0.2">
      <c r="B37" s="129">
        <v>10023</v>
      </c>
      <c r="C37" s="59">
        <v>42532</v>
      </c>
      <c r="D37" s="61">
        <v>42530</v>
      </c>
      <c r="E37" s="62">
        <v>42560</v>
      </c>
      <c r="F37" s="63">
        <v>1751.25</v>
      </c>
      <c r="G37" s="64" t="s">
        <v>350</v>
      </c>
      <c r="H37" s="130">
        <f>IF(C$8&gt;Tabla10[[#This Row],[Fecha Vencim.]],C$8-Tabla10[[#This Row],[Fecha Vencim.]],"No Vencida")</f>
        <v>101</v>
      </c>
    </row>
    <row r="38" spans="2:8" x14ac:dyDescent="0.2">
      <c r="B38" s="129">
        <v>10016</v>
      </c>
      <c r="C38" s="59">
        <v>42532</v>
      </c>
      <c r="D38" s="61">
        <v>42713</v>
      </c>
      <c r="E38" s="62">
        <v>42560</v>
      </c>
      <c r="F38" s="63">
        <v>531.66999999999996</v>
      </c>
      <c r="G38" s="64" t="s">
        <v>351</v>
      </c>
      <c r="H38" s="130">
        <f>IF(C$8&gt;Tabla10[[#This Row],[Fecha Vencim.]],C$8-Tabla10[[#This Row],[Fecha Vencim.]],"No Vencida")</f>
        <v>101</v>
      </c>
    </row>
    <row r="39" spans="2:8" x14ac:dyDescent="0.2">
      <c r="B39" s="138">
        <v>10028</v>
      </c>
      <c r="C39" s="139">
        <v>42551</v>
      </c>
      <c r="D39" s="140">
        <v>42530</v>
      </c>
      <c r="E39" s="141">
        <v>42560</v>
      </c>
      <c r="F39" s="142">
        <v>1150.95</v>
      </c>
      <c r="G39" s="143" t="s">
        <v>354</v>
      </c>
      <c r="H39" s="130">
        <f>IF(C$8&gt;Tabla10[[#This Row],[Fecha Vencim.]],C$8-Tabla10[[#This Row],[Fecha Vencim.]],"No Vencida")</f>
        <v>101</v>
      </c>
    </row>
    <row r="40" spans="2:8" x14ac:dyDescent="0.2">
      <c r="D40" s="53"/>
      <c r="E40" s="54"/>
      <c r="F40" s="55"/>
      <c r="G40" s="58"/>
      <c r="H40" s="56"/>
    </row>
    <row r="41" spans="2:8" x14ac:dyDescent="0.2">
      <c r="D41" s="53"/>
      <c r="E41" s="54"/>
      <c r="F41" s="55"/>
      <c r="G41" s="58"/>
      <c r="H41" s="56"/>
    </row>
    <row r="42" spans="2:8" x14ac:dyDescent="0.2">
      <c r="D42" s="53"/>
      <c r="E42" s="54"/>
      <c r="F42" s="55"/>
      <c r="G42" s="58"/>
      <c r="H42" s="56"/>
    </row>
    <row r="43" spans="2:8" x14ac:dyDescent="0.2">
      <c r="D43" s="53"/>
      <c r="E43" s="54"/>
      <c r="F43" s="55"/>
      <c r="G43" s="58"/>
      <c r="H43" s="56"/>
    </row>
    <row r="44" spans="2:8" x14ac:dyDescent="0.2">
      <c r="D44" s="53"/>
      <c r="E44" s="54"/>
      <c r="F44" s="55"/>
      <c r="G44" s="58"/>
      <c r="H44" s="56"/>
    </row>
    <row r="45" spans="2:8" x14ac:dyDescent="0.2">
      <c r="D45" s="53"/>
      <c r="E45" s="54"/>
      <c r="F45" s="55"/>
      <c r="G45" s="58"/>
      <c r="H45" s="56"/>
    </row>
    <row r="46" spans="2:8" x14ac:dyDescent="0.2">
      <c r="D46" s="53"/>
      <c r="E46" s="54"/>
      <c r="F46" s="55"/>
      <c r="G46" s="58"/>
      <c r="H46" s="56"/>
    </row>
    <row r="47" spans="2:8" x14ac:dyDescent="0.2">
      <c r="D47" s="53"/>
      <c r="E47" s="54"/>
      <c r="F47" s="55"/>
      <c r="G47" s="58"/>
      <c r="H47" s="56"/>
    </row>
    <row r="48" spans="2:8" x14ac:dyDescent="0.2">
      <c r="D48" s="53"/>
      <c r="E48" s="54"/>
      <c r="F48" s="55"/>
      <c r="G48" s="58"/>
      <c r="H48" s="56"/>
    </row>
    <row r="49" spans="4:8" x14ac:dyDescent="0.2">
      <c r="D49" s="53"/>
      <c r="E49" s="54"/>
      <c r="F49" s="55"/>
      <c r="G49" s="58"/>
      <c r="H49" s="56"/>
    </row>
    <row r="50" spans="4:8" x14ac:dyDescent="0.2">
      <c r="D50" s="53"/>
      <c r="E50" s="54"/>
      <c r="F50" s="55"/>
      <c r="G50" s="58"/>
      <c r="H50" s="56"/>
    </row>
    <row r="51" spans="4:8" x14ac:dyDescent="0.2">
      <c r="D51" s="53"/>
      <c r="E51" s="54"/>
      <c r="F51" s="55"/>
      <c r="G51" s="58"/>
      <c r="H51" s="56"/>
    </row>
    <row r="52" spans="4:8" x14ac:dyDescent="0.2">
      <c r="D52" s="53"/>
      <c r="E52" s="54"/>
      <c r="F52" s="55"/>
      <c r="G52" s="58"/>
      <c r="H52" s="56"/>
    </row>
    <row r="53" spans="4:8" x14ac:dyDescent="0.2">
      <c r="D53" s="53"/>
      <c r="E53" s="54"/>
      <c r="F53" s="55"/>
      <c r="G53" s="58"/>
      <c r="H53" s="56"/>
    </row>
    <row r="54" spans="4:8" x14ac:dyDescent="0.2">
      <c r="D54" s="53"/>
      <c r="E54" s="54"/>
      <c r="F54" s="55"/>
      <c r="G54" s="58"/>
      <c r="H54" s="56"/>
    </row>
    <row r="55" spans="4:8" x14ac:dyDescent="0.2">
      <c r="D55" s="53"/>
      <c r="E55" s="54"/>
      <c r="F55" s="55"/>
      <c r="G55" s="58"/>
      <c r="H55" s="56"/>
    </row>
    <row r="56" spans="4:8" x14ac:dyDescent="0.2">
      <c r="D56" s="53"/>
      <c r="E56" s="54"/>
      <c r="F56" s="55"/>
      <c r="G56" s="58"/>
      <c r="H56" s="56"/>
    </row>
    <row r="57" spans="4:8" x14ac:dyDescent="0.2">
      <c r="D57" s="53"/>
      <c r="E57" s="54"/>
      <c r="F57" s="55"/>
      <c r="G57" s="58"/>
      <c r="H57" s="56"/>
    </row>
    <row r="58" spans="4:8" x14ac:dyDescent="0.2">
      <c r="D58" s="53"/>
      <c r="E58" s="54"/>
      <c r="F58" s="55"/>
      <c r="G58" s="58"/>
      <c r="H58" s="56"/>
    </row>
    <row r="59" spans="4:8" x14ac:dyDescent="0.2">
      <c r="D59" s="53"/>
      <c r="E59" s="54"/>
      <c r="F59" s="55"/>
      <c r="G59" s="58"/>
      <c r="H59" s="56"/>
    </row>
    <row r="60" spans="4:8" x14ac:dyDescent="0.2">
      <c r="D60" s="53"/>
      <c r="E60" s="54"/>
      <c r="F60" s="55"/>
      <c r="G60" s="58"/>
      <c r="H60" s="56"/>
    </row>
    <row r="61" spans="4:8" x14ac:dyDescent="0.2">
      <c r="D61" s="53"/>
      <c r="E61" s="54"/>
      <c r="F61" s="55"/>
      <c r="G61" s="58"/>
      <c r="H61" s="56"/>
    </row>
    <row r="62" spans="4:8" x14ac:dyDescent="0.2">
      <c r="D62" s="53"/>
      <c r="E62" s="54"/>
      <c r="F62" s="55"/>
      <c r="G62" s="58"/>
      <c r="H62" s="56"/>
    </row>
    <row r="63" spans="4:8" x14ac:dyDescent="0.2">
      <c r="D63" s="53"/>
      <c r="E63" s="54"/>
      <c r="F63" s="55"/>
      <c r="G63" s="58"/>
      <c r="H63" s="56"/>
    </row>
    <row r="64" spans="4:8" x14ac:dyDescent="0.2">
      <c r="D64" s="53"/>
      <c r="E64" s="54"/>
      <c r="F64" s="55"/>
    </row>
    <row r="65" spans="4:6" x14ac:dyDescent="0.2">
      <c r="D65" s="53"/>
      <c r="E65" s="54"/>
      <c r="F65" s="55"/>
    </row>
    <row r="66" spans="4:6" x14ac:dyDescent="0.2">
      <c r="D66" s="53"/>
      <c r="E66" s="54"/>
      <c r="F66" s="55"/>
    </row>
  </sheetData>
  <sheetProtection selectLockedCells="1"/>
  <conditionalFormatting sqref="K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G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verticalDpi="0" r:id="rId1"/>
  <drawing r:id="rId2"/>
  <legacy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 fitToPage="1"/>
  </sheetPr>
  <dimension ref="A1:X26"/>
  <sheetViews>
    <sheetView showGridLines="0" topLeftCell="C1" zoomScaleNormal="145" workbookViewId="0">
      <selection activeCell="G5" sqref="G5"/>
    </sheetView>
  </sheetViews>
  <sheetFormatPr baseColWidth="10" defaultColWidth="0" defaultRowHeight="18" customHeight="1" x14ac:dyDescent="0.25"/>
  <cols>
    <col min="1" max="1" width="1.7109375" style="65" customWidth="1"/>
    <col min="2" max="2" width="45.42578125" style="65" customWidth="1"/>
    <col min="3" max="4" width="24" style="65" customWidth="1"/>
    <col min="5" max="5" width="26" style="65" customWidth="1"/>
    <col min="6" max="8" width="25.85546875" style="65" customWidth="1"/>
    <col min="9" max="9" width="22.42578125" style="65" customWidth="1"/>
    <col min="10" max="13" width="9.28515625" style="66" hidden="1" customWidth="1"/>
    <col min="14" max="14" width="10.7109375" style="67" hidden="1" customWidth="1"/>
    <col min="15" max="15" width="9.28515625" style="67" hidden="1" customWidth="1"/>
    <col min="16" max="19" width="9.28515625" style="66" hidden="1" customWidth="1"/>
    <col min="20" max="20" width="13.28515625" style="67" hidden="1" customWidth="1"/>
    <col min="21" max="21" width="6.42578125" style="65" hidden="1" customWidth="1"/>
    <col min="22" max="24" width="1.28515625" style="65" hidden="1" customWidth="1"/>
    <col min="25" max="16384" width="0" style="65" hidden="1"/>
  </cols>
  <sheetData>
    <row r="1" spans="1:21" ht="34.5" customHeight="1" x14ac:dyDescent="0.5">
      <c r="A1" s="60" t="s">
        <v>212</v>
      </c>
    </row>
    <row r="2" spans="1:21" ht="31.5" x14ac:dyDescent="0.5">
      <c r="A2" s="6" t="s">
        <v>437</v>
      </c>
      <c r="H2" s="170">
        <v>1</v>
      </c>
    </row>
    <row r="5" spans="1:21" ht="12.75" x14ac:dyDescent="0.25"/>
    <row r="6" spans="1:21" ht="34.5" x14ac:dyDescent="0.35">
      <c r="B6" s="166" t="s">
        <v>361</v>
      </c>
      <c r="C6" s="166"/>
      <c r="D6" s="166"/>
      <c r="E6" s="166"/>
      <c r="F6" s="166"/>
      <c r="G6" s="166"/>
      <c r="H6" s="166"/>
      <c r="I6" s="166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</row>
    <row r="7" spans="1:21" ht="34.5" x14ac:dyDescent="0.25">
      <c r="B7" s="69" t="s">
        <v>362</v>
      </c>
      <c r="C7" s="70"/>
      <c r="D7" s="70"/>
      <c r="E7" s="71"/>
      <c r="F7" s="70"/>
      <c r="G7" s="70"/>
      <c r="H7" s="70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</row>
    <row r="8" spans="1:21" ht="12.75" x14ac:dyDescent="0.25"/>
    <row r="9" spans="1:21" ht="12.75" x14ac:dyDescent="0.25">
      <c r="B9" s="72"/>
      <c r="C9" s="73" t="s">
        <v>363</v>
      </c>
      <c r="D9" s="73"/>
      <c r="E9" s="73"/>
      <c r="F9" s="74" t="s">
        <v>364</v>
      </c>
      <c r="G9" s="74"/>
      <c r="H9" s="74"/>
      <c r="I9" s="74"/>
      <c r="J9" s="73"/>
      <c r="K9" s="73"/>
      <c r="L9" s="73"/>
      <c r="M9" s="73"/>
      <c r="N9" s="73"/>
      <c r="O9" s="73"/>
      <c r="P9" s="73"/>
      <c r="Q9" s="73"/>
      <c r="R9" s="73"/>
      <c r="S9" s="73"/>
      <c r="T9" s="75"/>
      <c r="U9" s="76"/>
    </row>
    <row r="10" spans="1:21" ht="6" customHeight="1" x14ac:dyDescent="0.25">
      <c r="B10" s="72"/>
      <c r="C10" s="77"/>
      <c r="D10" s="78"/>
      <c r="E10" s="79"/>
      <c r="F10" s="80"/>
      <c r="G10" s="74"/>
      <c r="H10" s="74"/>
      <c r="I10" s="74"/>
      <c r="J10" s="77"/>
      <c r="K10" s="79"/>
      <c r="L10" s="77"/>
      <c r="M10" s="79"/>
      <c r="N10" s="77"/>
      <c r="O10" s="79"/>
      <c r="P10" s="77"/>
      <c r="Q10" s="78"/>
      <c r="R10" s="78"/>
      <c r="S10" s="79"/>
      <c r="T10" s="81"/>
      <c r="U10" s="81"/>
    </row>
    <row r="11" spans="1:21" s="84" customFormat="1" ht="30" customHeight="1" x14ac:dyDescent="0.25">
      <c r="B11" s="82" t="s">
        <v>365</v>
      </c>
      <c r="C11" s="83" t="s">
        <v>366</v>
      </c>
      <c r="D11" s="83" t="s">
        <v>367</v>
      </c>
      <c r="E11" s="82" t="s">
        <v>368</v>
      </c>
      <c r="F11" s="82" t="s">
        <v>369</v>
      </c>
      <c r="G11" s="82" t="s">
        <v>370</v>
      </c>
      <c r="H11" s="82" t="s">
        <v>371</v>
      </c>
      <c r="I11" s="82" t="s">
        <v>372</v>
      </c>
      <c r="J11" s="82" t="s">
        <v>260</v>
      </c>
      <c r="K11" s="82" t="s">
        <v>261</v>
      </c>
      <c r="L11" s="82" t="s">
        <v>262</v>
      </c>
      <c r="M11" s="82" t="s">
        <v>263</v>
      </c>
      <c r="N11" s="82" t="s">
        <v>373</v>
      </c>
      <c r="O11" s="82" t="s">
        <v>374</v>
      </c>
      <c r="P11" s="82" t="s">
        <v>375</v>
      </c>
      <c r="Q11" s="82" t="s">
        <v>376</v>
      </c>
      <c r="R11" s="82" t="s">
        <v>377</v>
      </c>
      <c r="S11" s="82" t="s">
        <v>378</v>
      </c>
      <c r="T11" s="82" t="s">
        <v>379</v>
      </c>
      <c r="U11" s="82" t="s">
        <v>380</v>
      </c>
    </row>
    <row r="12" spans="1:21" s="93" customFormat="1" ht="24" customHeight="1" x14ac:dyDescent="0.25">
      <c r="B12" s="85" t="s">
        <v>381</v>
      </c>
      <c r="C12" s="86">
        <v>1</v>
      </c>
      <c r="D12" s="86" t="s">
        <v>382</v>
      </c>
      <c r="E12" s="85" t="s">
        <v>383</v>
      </c>
      <c r="F12" s="87">
        <v>310000000</v>
      </c>
      <c r="G12" s="87">
        <v>358752007</v>
      </c>
      <c r="H12" s="87"/>
      <c r="I12" s="85"/>
      <c r="J12" s="88"/>
      <c r="K12" s="89"/>
      <c r="L12" s="88"/>
      <c r="M12" s="89"/>
      <c r="N12" s="90"/>
      <c r="O12" s="90"/>
      <c r="P12" s="91"/>
      <c r="Q12" s="91"/>
      <c r="R12" s="89"/>
      <c r="S12" s="88"/>
      <c r="T12" s="90"/>
      <c r="U12" s="92"/>
    </row>
    <row r="13" spans="1:21" s="93" customFormat="1" ht="24" customHeight="1" x14ac:dyDescent="0.25">
      <c r="B13" s="85" t="s">
        <v>384</v>
      </c>
      <c r="C13" s="86">
        <v>2</v>
      </c>
      <c r="D13" s="86" t="s">
        <v>382</v>
      </c>
      <c r="E13" s="85" t="s">
        <v>383</v>
      </c>
      <c r="F13" s="87">
        <v>280000000</v>
      </c>
      <c r="G13" s="87">
        <v>267972981</v>
      </c>
      <c r="H13" s="87"/>
      <c r="I13" s="65"/>
      <c r="J13" s="94"/>
      <c r="K13" s="95"/>
      <c r="L13" s="94"/>
      <c r="M13" s="95"/>
      <c r="N13" s="96"/>
      <c r="O13" s="96"/>
      <c r="P13" s="97"/>
      <c r="Q13" s="97"/>
      <c r="R13" s="95"/>
      <c r="S13" s="94"/>
      <c r="T13" s="96"/>
      <c r="U13" s="98"/>
    </row>
    <row r="14" spans="1:21" ht="24" customHeight="1" x14ac:dyDescent="0.25">
      <c r="B14" s="85" t="s">
        <v>385</v>
      </c>
      <c r="C14" s="86">
        <v>3</v>
      </c>
      <c r="D14" s="86" t="s">
        <v>382</v>
      </c>
      <c r="E14" s="85" t="s">
        <v>383</v>
      </c>
      <c r="F14" s="87">
        <v>280000000</v>
      </c>
      <c r="G14" s="87">
        <v>324244137</v>
      </c>
      <c r="H14" s="87"/>
      <c r="J14" s="94"/>
      <c r="K14" s="95"/>
      <c r="L14" s="94"/>
      <c r="M14" s="95"/>
      <c r="N14" s="96"/>
      <c r="O14" s="96"/>
      <c r="P14" s="97"/>
      <c r="Q14" s="97"/>
      <c r="R14" s="95"/>
      <c r="S14" s="94"/>
      <c r="T14" s="96"/>
      <c r="U14" s="98"/>
    </row>
    <row r="15" spans="1:21" ht="24" customHeight="1" x14ac:dyDescent="0.25">
      <c r="B15" s="85" t="s">
        <v>386</v>
      </c>
      <c r="C15" s="86">
        <v>4</v>
      </c>
      <c r="D15" s="86" t="s">
        <v>387</v>
      </c>
      <c r="E15" s="85" t="s">
        <v>388</v>
      </c>
      <c r="F15" s="87">
        <v>56100000</v>
      </c>
      <c r="G15" s="87">
        <v>85060949</v>
      </c>
      <c r="H15" s="87"/>
      <c r="J15" s="94"/>
      <c r="K15" s="95"/>
      <c r="L15" s="94"/>
      <c r="M15" s="95"/>
      <c r="N15" s="96"/>
      <c r="O15" s="96"/>
      <c r="P15" s="97"/>
      <c r="Q15" s="97"/>
      <c r="R15" s="95"/>
      <c r="S15" s="94"/>
      <c r="T15" s="96"/>
      <c r="U15" s="98"/>
    </row>
    <row r="16" spans="1:21" ht="24" customHeight="1" x14ac:dyDescent="0.25">
      <c r="B16" s="85" t="s">
        <v>389</v>
      </c>
      <c r="C16" s="86">
        <v>5</v>
      </c>
      <c r="D16" s="86" t="s">
        <v>387</v>
      </c>
      <c r="E16" s="85" t="s">
        <v>390</v>
      </c>
      <c r="F16" s="87">
        <v>24000000</v>
      </c>
      <c r="G16" s="87">
        <v>-67885594</v>
      </c>
      <c r="H16" s="87"/>
      <c r="J16" s="94"/>
      <c r="K16" s="95"/>
      <c r="L16" s="94"/>
      <c r="M16" s="95"/>
      <c r="N16" s="96"/>
      <c r="O16" s="96"/>
      <c r="P16" s="97"/>
      <c r="Q16" s="97"/>
      <c r="R16" s="95"/>
      <c r="S16" s="94"/>
      <c r="T16" s="96"/>
      <c r="U16" s="98"/>
    </row>
    <row r="17" spans="2:21" s="93" customFormat="1" ht="24" customHeight="1" x14ac:dyDescent="0.25">
      <c r="B17" s="85" t="s">
        <v>391</v>
      </c>
      <c r="C17" s="86">
        <v>6</v>
      </c>
      <c r="D17" s="86" t="s">
        <v>382</v>
      </c>
      <c r="E17" s="85" t="s">
        <v>383</v>
      </c>
      <c r="F17" s="87">
        <v>23000000</v>
      </c>
      <c r="G17" s="87">
        <v>31816071</v>
      </c>
      <c r="H17" s="87"/>
      <c r="I17" s="65"/>
      <c r="J17" s="94"/>
      <c r="K17" s="95"/>
      <c r="L17" s="94"/>
      <c r="M17" s="95"/>
      <c r="N17" s="96"/>
      <c r="O17" s="96"/>
      <c r="P17" s="97"/>
      <c r="Q17" s="97"/>
      <c r="R17" s="95"/>
      <c r="S17" s="94"/>
      <c r="T17" s="96"/>
      <c r="U17" s="98"/>
    </row>
    <row r="18" spans="2:21" ht="24" customHeight="1" x14ac:dyDescent="0.25">
      <c r="B18" s="85" t="s">
        <v>392</v>
      </c>
      <c r="C18" s="86">
        <v>7</v>
      </c>
      <c r="D18" s="86" t="s">
        <v>387</v>
      </c>
      <c r="E18" s="85" t="s">
        <v>383</v>
      </c>
      <c r="F18" s="87">
        <v>22000000</v>
      </c>
      <c r="G18" s="87">
        <v>15320259</v>
      </c>
      <c r="H18" s="87"/>
      <c r="J18" s="94"/>
      <c r="K18" s="95"/>
      <c r="L18" s="94"/>
      <c r="M18" s="95"/>
      <c r="N18" s="96"/>
      <c r="O18" s="96"/>
      <c r="P18" s="97"/>
      <c r="Q18" s="97"/>
      <c r="R18" s="95"/>
      <c r="S18" s="94"/>
      <c r="T18" s="96"/>
      <c r="U18" s="98"/>
    </row>
    <row r="19" spans="2:21" ht="24" customHeight="1" x14ac:dyDescent="0.25">
      <c r="B19" s="85" t="s">
        <v>393</v>
      </c>
      <c r="C19" s="86">
        <v>8</v>
      </c>
      <c r="D19" s="86" t="s">
        <v>387</v>
      </c>
      <c r="E19" s="85" t="s">
        <v>394</v>
      </c>
      <c r="F19" s="87">
        <v>22000000</v>
      </c>
      <c r="G19" s="87">
        <v>43952449</v>
      </c>
      <c r="H19" s="87"/>
      <c r="J19" s="94"/>
      <c r="K19" s="95"/>
      <c r="L19" s="94"/>
      <c r="M19" s="95"/>
      <c r="N19" s="96"/>
      <c r="O19" s="96"/>
      <c r="P19" s="97"/>
      <c r="Q19" s="97"/>
      <c r="R19" s="95"/>
      <c r="S19" s="94"/>
      <c r="T19" s="96"/>
      <c r="U19" s="98"/>
    </row>
    <row r="20" spans="2:21" ht="24" customHeight="1" x14ac:dyDescent="0.25">
      <c r="B20" s="85" t="s">
        <v>395</v>
      </c>
      <c r="C20" s="86">
        <v>9</v>
      </c>
      <c r="D20" s="86" t="s">
        <v>387</v>
      </c>
      <c r="E20" s="85" t="s">
        <v>396</v>
      </c>
      <c r="F20" s="87">
        <v>21000000</v>
      </c>
      <c r="G20" s="87">
        <v>61894042</v>
      </c>
      <c r="H20" s="87"/>
      <c r="J20" s="94"/>
      <c r="K20" s="95"/>
      <c r="L20" s="94"/>
      <c r="M20" s="95"/>
      <c r="N20" s="96"/>
      <c r="O20" s="96"/>
      <c r="P20" s="97"/>
      <c r="Q20" s="97"/>
      <c r="R20" s="95"/>
      <c r="S20" s="94"/>
      <c r="T20" s="96"/>
      <c r="U20" s="98"/>
    </row>
    <row r="21" spans="2:21" s="93" customFormat="1" ht="24" customHeight="1" x14ac:dyDescent="0.25">
      <c r="B21" s="85" t="s">
        <v>397</v>
      </c>
      <c r="C21" s="86">
        <v>10</v>
      </c>
      <c r="D21" s="86" t="s">
        <v>398</v>
      </c>
      <c r="E21" s="85" t="s">
        <v>399</v>
      </c>
      <c r="F21" s="87">
        <v>21000000</v>
      </c>
      <c r="G21" s="87">
        <v>51254207</v>
      </c>
      <c r="H21" s="87"/>
      <c r="I21" s="65"/>
      <c r="J21" s="88"/>
      <c r="K21" s="89"/>
      <c r="L21" s="88"/>
      <c r="M21" s="89"/>
      <c r="N21" s="90"/>
      <c r="O21" s="90"/>
      <c r="P21" s="91"/>
      <c r="Q21" s="91"/>
      <c r="R21" s="89"/>
      <c r="S21" s="88"/>
      <c r="T21" s="90"/>
      <c r="U21" s="92"/>
    </row>
    <row r="22" spans="2:21" s="93" customFormat="1" ht="24" customHeight="1" x14ac:dyDescent="0.25">
      <c r="B22" s="85" t="s">
        <v>400</v>
      </c>
      <c r="C22" s="86">
        <v>11</v>
      </c>
      <c r="D22" s="86" t="s">
        <v>387</v>
      </c>
      <c r="E22" s="85" t="s">
        <v>383</v>
      </c>
      <c r="F22" s="87">
        <v>21000000</v>
      </c>
      <c r="G22" s="87">
        <v>-51402883</v>
      </c>
      <c r="H22" s="87"/>
      <c r="I22" s="65"/>
      <c r="J22" s="94"/>
      <c r="K22" s="95"/>
      <c r="L22" s="94"/>
      <c r="M22" s="95"/>
      <c r="N22" s="96"/>
      <c r="O22" s="96"/>
      <c r="P22" s="97"/>
      <c r="Q22" s="97"/>
      <c r="R22" s="95"/>
      <c r="S22" s="94"/>
      <c r="T22" s="96"/>
      <c r="U22" s="98"/>
    </row>
    <row r="23" spans="2:21" ht="24" customHeight="1" x14ac:dyDescent="0.25">
      <c r="B23" s="85" t="s">
        <v>401</v>
      </c>
      <c r="C23" s="86">
        <v>12</v>
      </c>
      <c r="D23" s="86" t="s">
        <v>387</v>
      </c>
      <c r="E23" s="85" t="s">
        <v>402</v>
      </c>
      <c r="F23" s="87">
        <v>20000000</v>
      </c>
      <c r="G23" s="87">
        <v>6998855</v>
      </c>
      <c r="H23" s="87"/>
      <c r="J23" s="94"/>
      <c r="K23" s="95"/>
      <c r="L23" s="94"/>
      <c r="M23" s="95"/>
      <c r="N23" s="96"/>
      <c r="O23" s="96"/>
      <c r="P23" s="97"/>
      <c r="Q23" s="97"/>
      <c r="R23" s="95"/>
      <c r="S23" s="94"/>
      <c r="T23" s="96"/>
      <c r="U23" s="98"/>
    </row>
    <row r="24" spans="2:21" ht="24" customHeight="1" x14ac:dyDescent="0.25">
      <c r="B24" s="85" t="s">
        <v>403</v>
      </c>
      <c r="C24" s="86">
        <v>13</v>
      </c>
      <c r="D24" s="86" t="s">
        <v>387</v>
      </c>
      <c r="E24" s="85" t="s">
        <v>404</v>
      </c>
      <c r="F24" s="87">
        <v>18000000</v>
      </c>
      <c r="G24" s="87">
        <v>-67569210</v>
      </c>
      <c r="H24" s="87"/>
      <c r="J24" s="94"/>
      <c r="K24" s="95"/>
      <c r="L24" s="94"/>
      <c r="M24" s="95"/>
      <c r="N24" s="96"/>
      <c r="O24" s="96"/>
      <c r="P24" s="97"/>
      <c r="Q24" s="97"/>
      <c r="R24" s="95"/>
      <c r="S24" s="94"/>
      <c r="T24" s="96"/>
      <c r="U24" s="98"/>
    </row>
    <row r="25" spans="2:21" ht="24" customHeight="1" x14ac:dyDescent="0.25">
      <c r="B25" s="85" t="s">
        <v>405</v>
      </c>
      <c r="C25" s="86">
        <v>14</v>
      </c>
      <c r="D25" s="86" t="s">
        <v>406</v>
      </c>
      <c r="E25" s="85" t="s">
        <v>383</v>
      </c>
      <c r="F25" s="87">
        <v>18000000</v>
      </c>
      <c r="G25" s="87">
        <v>15087630</v>
      </c>
      <c r="H25" s="87"/>
      <c r="J25" s="94"/>
      <c r="K25" s="95"/>
      <c r="L25" s="94"/>
      <c r="M25" s="95"/>
      <c r="N25" s="96"/>
      <c r="O25" s="96"/>
      <c r="P25" s="97"/>
      <c r="Q25" s="97"/>
      <c r="R25" s="95"/>
      <c r="S25" s="94"/>
      <c r="T25" s="96"/>
      <c r="U25" s="98"/>
    </row>
    <row r="26" spans="2:21" s="93" customFormat="1" ht="24" customHeight="1" x14ac:dyDescent="0.25">
      <c r="B26" s="85" t="s">
        <v>407</v>
      </c>
      <c r="C26" s="86">
        <v>15</v>
      </c>
      <c r="D26" s="86" t="s">
        <v>387</v>
      </c>
      <c r="E26" s="85" t="s">
        <v>408</v>
      </c>
      <c r="F26" s="87">
        <v>17000000</v>
      </c>
      <c r="G26" s="87">
        <v>40238117</v>
      </c>
      <c r="H26" s="87"/>
      <c r="I26" s="65"/>
      <c r="J26" s="94"/>
      <c r="K26" s="95"/>
      <c r="L26" s="94"/>
      <c r="M26" s="95"/>
      <c r="N26" s="96"/>
      <c r="O26" s="96"/>
      <c r="P26" s="97"/>
      <c r="Q26" s="97"/>
      <c r="R26" s="95"/>
      <c r="S26" s="94"/>
      <c r="T26" s="96"/>
      <c r="U26" s="98"/>
    </row>
  </sheetData>
  <mergeCells count="1">
    <mergeCell ref="B6:I6"/>
  </mergeCells>
  <conditionalFormatting sqref="T9:U10 U27:U65482">
    <cfRule type="cellIs" dxfId="128" priority="8" stopIfTrue="1" operator="equal">
      <formula>"VERDE"</formula>
    </cfRule>
    <cfRule type="cellIs" dxfId="127" priority="9" stopIfTrue="1" operator="equal">
      <formula>"AMARILLO"</formula>
    </cfRule>
    <cfRule type="cellIs" dxfId="126" priority="10" stopIfTrue="1" operator="equal">
      <formula>"ROJO"</formula>
    </cfRule>
  </conditionalFormatting>
  <conditionalFormatting sqref="J12:M26 R12:S26">
    <cfRule type="expression" dxfId="125" priority="2">
      <formula>J12&lt;0</formula>
    </cfRule>
  </conditionalFormatting>
  <conditionalFormatting sqref="H2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00000000-0003-0000-0A00-000000000000}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'Top Empresas Mundial'!F12:G12</xm:f>
              <xm:sqref>H12</xm:sqref>
            </x14:sparkline>
            <x14:sparkline>
              <xm:f>'Top Empresas Mundial'!F13:G13</xm:f>
              <xm:sqref>H13</xm:sqref>
            </x14:sparkline>
            <x14:sparkline>
              <xm:f>'Top Empresas Mundial'!F14:G14</xm:f>
              <xm:sqref>H14</xm:sqref>
            </x14:sparkline>
            <x14:sparkline>
              <xm:f>'Top Empresas Mundial'!F15:G15</xm:f>
              <xm:sqref>H15</xm:sqref>
            </x14:sparkline>
            <x14:sparkline>
              <xm:f>'Top Empresas Mundial'!F16:G16</xm:f>
              <xm:sqref>H16</xm:sqref>
            </x14:sparkline>
            <x14:sparkline>
              <xm:f>'Top Empresas Mundial'!F17:G17</xm:f>
              <xm:sqref>H17</xm:sqref>
            </x14:sparkline>
            <x14:sparkline>
              <xm:f>'Top Empresas Mundial'!F18:G18</xm:f>
              <xm:sqref>H18</xm:sqref>
            </x14:sparkline>
            <x14:sparkline>
              <xm:f>'Top Empresas Mundial'!F19:G19</xm:f>
              <xm:sqref>H19</xm:sqref>
            </x14:sparkline>
            <x14:sparkline>
              <xm:f>'Top Empresas Mundial'!F20:G20</xm:f>
              <xm:sqref>H20</xm:sqref>
            </x14:sparkline>
            <x14:sparkline>
              <xm:f>'Top Empresas Mundial'!F21:G21</xm:f>
              <xm:sqref>H21</xm:sqref>
            </x14:sparkline>
            <x14:sparkline>
              <xm:f>'Top Empresas Mundial'!F22:G22</xm:f>
              <xm:sqref>H22</xm:sqref>
            </x14:sparkline>
            <x14:sparkline>
              <xm:f>'Top Empresas Mundial'!F23:G23</xm:f>
              <xm:sqref>H23</xm:sqref>
            </x14:sparkline>
            <x14:sparkline>
              <xm:f>'Top Empresas Mundial'!F24:G24</xm:f>
              <xm:sqref>H24</xm:sqref>
            </x14:sparkline>
            <x14:sparkline>
              <xm:f>'Top Empresas Mundial'!F25:G25</xm:f>
              <xm:sqref>H25</xm:sqref>
            </x14:sparkline>
            <x14:sparkline>
              <xm:f>'Top Empresas Mundial'!F26:G26</xm:f>
              <xm:sqref>H26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 fitToPage="1"/>
  </sheetPr>
  <dimension ref="A1:V25"/>
  <sheetViews>
    <sheetView showGridLines="0" tabSelected="1" zoomScaleNormal="100" workbookViewId="0">
      <selection activeCell="D3" sqref="D3"/>
    </sheetView>
  </sheetViews>
  <sheetFormatPr baseColWidth="10" defaultColWidth="0" defaultRowHeight="18" customHeight="1" x14ac:dyDescent="0.25"/>
  <cols>
    <col min="1" max="1" width="1.7109375" style="65" customWidth="1"/>
    <col min="2" max="2" width="24.7109375" style="65" customWidth="1"/>
    <col min="3" max="3" width="23.5703125" style="65" customWidth="1"/>
    <col min="4" max="4" width="26" style="65" customWidth="1"/>
    <col min="5" max="5" width="15.85546875" style="65" customWidth="1"/>
    <col min="6" max="6" width="15" style="65" customWidth="1"/>
    <col min="7" max="7" width="15.7109375" style="65" customWidth="1"/>
    <col min="8" max="8" width="21.28515625" style="65" customWidth="1"/>
    <col min="9" max="9" width="16.28515625" style="65" customWidth="1"/>
    <col min="10" max="10" width="9.7109375" style="65" customWidth="1"/>
    <col min="11" max="14" width="9.7109375" style="66" customWidth="1"/>
    <col min="15" max="16" width="9.7109375" style="67" customWidth="1"/>
    <col min="17" max="20" width="9.7109375" style="66" customWidth="1"/>
    <col min="21" max="21" width="9.7109375" style="67" customWidth="1"/>
    <col min="22" max="16381" width="9.7109375" style="65" customWidth="1"/>
    <col min="16382" max="16384" width="13.7109375" style="65" customWidth="1"/>
  </cols>
  <sheetData>
    <row r="1" spans="1:22" ht="34.5" customHeight="1" x14ac:dyDescent="0.5">
      <c r="A1" s="60" t="s">
        <v>212</v>
      </c>
      <c r="K1" s="65"/>
      <c r="O1" s="66"/>
      <c r="Q1" s="67"/>
      <c r="U1" s="66"/>
      <c r="V1" s="67"/>
    </row>
    <row r="2" spans="1:22" ht="18" customHeight="1" x14ac:dyDescent="0.3">
      <c r="A2" s="6" t="s">
        <v>438</v>
      </c>
      <c r="K2" s="65"/>
      <c r="O2" s="66"/>
      <c r="Q2" s="67"/>
      <c r="U2" s="66"/>
      <c r="V2" s="67"/>
    </row>
    <row r="3" spans="1:22" ht="31.5" x14ac:dyDescent="0.5">
      <c r="A3" s="6" t="s">
        <v>439</v>
      </c>
      <c r="D3" s="170">
        <v>1</v>
      </c>
    </row>
    <row r="4" spans="1:22" ht="34.5" x14ac:dyDescent="0.35">
      <c r="B4" s="99" t="s">
        <v>409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</row>
    <row r="5" spans="1:22" ht="34.5" x14ac:dyDescent="0.25">
      <c r="B5" s="69" t="s">
        <v>362</v>
      </c>
      <c r="C5" s="71"/>
      <c r="D5" s="71"/>
      <c r="E5" s="71"/>
      <c r="F5" s="71"/>
      <c r="G5" s="70"/>
      <c r="H5" s="70"/>
      <c r="I5" s="70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</row>
    <row r="6" spans="1:22" ht="12.75" x14ac:dyDescent="0.25"/>
    <row r="7" spans="1:22" ht="12.75" x14ac:dyDescent="0.25">
      <c r="B7" s="72"/>
      <c r="C7" s="72"/>
      <c r="D7" s="73"/>
      <c r="E7" s="100"/>
      <c r="F7" s="100"/>
      <c r="G7" s="74"/>
      <c r="H7" s="74"/>
      <c r="I7" s="74"/>
      <c r="J7" s="74"/>
      <c r="K7" s="73"/>
      <c r="L7" s="73"/>
      <c r="M7" s="73"/>
      <c r="N7" s="73"/>
      <c r="O7" s="73"/>
      <c r="P7" s="73"/>
      <c r="Q7" s="73"/>
      <c r="R7" s="73"/>
      <c r="S7" s="73"/>
      <c r="T7" s="73"/>
      <c r="U7" s="75"/>
      <c r="V7" s="76"/>
    </row>
    <row r="8" spans="1:22" ht="6" customHeight="1" x14ac:dyDescent="0.25">
      <c r="B8" s="72"/>
      <c r="C8" s="101"/>
      <c r="D8" s="79"/>
      <c r="E8" s="79"/>
      <c r="F8" s="79"/>
      <c r="G8" s="80"/>
      <c r="H8" s="80"/>
      <c r="I8" s="144"/>
      <c r="J8" s="74"/>
      <c r="K8" s="77"/>
      <c r="L8" s="79"/>
      <c r="M8" s="77"/>
      <c r="N8" s="79"/>
      <c r="O8" s="77"/>
      <c r="P8" s="79"/>
      <c r="Q8" s="77"/>
      <c r="R8" s="78"/>
      <c r="S8" s="78"/>
      <c r="T8" s="79"/>
      <c r="U8" s="81"/>
      <c r="V8" s="81"/>
    </row>
    <row r="9" spans="1:22" s="84" customFormat="1" ht="30" customHeight="1" x14ac:dyDescent="0.25">
      <c r="B9" s="82" t="s">
        <v>365</v>
      </c>
      <c r="C9" s="102" t="s">
        <v>410</v>
      </c>
      <c r="D9" s="83" t="s">
        <v>368</v>
      </c>
      <c r="E9" s="83" t="s">
        <v>411</v>
      </c>
      <c r="F9" s="83" t="s">
        <v>369</v>
      </c>
      <c r="G9" s="83" t="s">
        <v>412</v>
      </c>
      <c r="H9" s="82" t="s">
        <v>372</v>
      </c>
      <c r="I9" s="83" t="s">
        <v>450</v>
      </c>
      <c r="J9" s="83" t="s">
        <v>451</v>
      </c>
      <c r="K9" s="83" t="s">
        <v>454</v>
      </c>
      <c r="L9" s="83" t="s">
        <v>455</v>
      </c>
      <c r="M9" s="82" t="s">
        <v>263</v>
      </c>
      <c r="N9" s="82" t="s">
        <v>373</v>
      </c>
      <c r="O9" s="82" t="s">
        <v>374</v>
      </c>
      <c r="P9" s="82" t="s">
        <v>375</v>
      </c>
      <c r="Q9" s="82" t="s">
        <v>376</v>
      </c>
      <c r="R9" s="82" t="s">
        <v>377</v>
      </c>
      <c r="S9" s="82" t="s">
        <v>378</v>
      </c>
      <c r="T9" s="82" t="s">
        <v>379</v>
      </c>
      <c r="U9" s="82" t="s">
        <v>380</v>
      </c>
    </row>
    <row r="10" spans="1:22" s="93" customFormat="1" ht="24" customHeight="1" x14ac:dyDescent="0.25">
      <c r="B10" s="85" t="s">
        <v>413</v>
      </c>
      <c r="C10" s="85">
        <v>1</v>
      </c>
      <c r="D10" s="85" t="s">
        <v>402</v>
      </c>
      <c r="E10" s="87">
        <v>61126</v>
      </c>
      <c r="F10" s="87">
        <v>51900</v>
      </c>
      <c r="G10" s="87">
        <v>55060</v>
      </c>
      <c r="H10" s="85"/>
      <c r="I10" s="87">
        <f>AVERAGE(tbl_Rendimiento5[[#This Row],[Valor de mercado 2014 (mdd)]],tbl_Rendimiento5[[#This Row],[Valor de mercado 2015 (mdd)]],tbl_Rendimiento5[[#This Row],[Valor de mercado 2016 (mdd)]])</f>
        <v>56028.666666666664</v>
      </c>
      <c r="J10" s="152">
        <f>tbl_Rendimiento5[[#This Row],[Valor de mercado 2014 (mdd)]]/tbl_Rendimiento5[[#Totals],[Valor de mercado 2014 (mdd)]]</f>
        <v>0.32058530445271938</v>
      </c>
      <c r="K10" s="151">
        <f>tbl_Rendimiento5[[#This Row],[Valor de mercado 2015 (mdd)]]/tbl_Rendimiento5[[#Totals],[Valor de mercado 2015 (mdd)]]</f>
        <v>0.22892278377162417</v>
      </c>
      <c r="L10" s="151">
        <f>tbl_Rendimiento5[[#This Row],[Valor de mercado 2016 (mdd)]]/tbl_Rendimiento5[[#Totals],[Valor de mercado 2016 (mdd)]]</f>
        <v>0.25271603181670055</v>
      </c>
      <c r="M10" s="89"/>
      <c r="N10" s="90"/>
      <c r="O10" s="90"/>
      <c r="P10" s="91"/>
      <c r="Q10" s="91"/>
      <c r="R10" s="89"/>
      <c r="S10" s="88"/>
      <c r="T10" s="90"/>
      <c r="U10" s="92"/>
    </row>
    <row r="11" spans="1:22" s="93" customFormat="1" ht="24" customHeight="1" x14ac:dyDescent="0.25">
      <c r="B11" s="85" t="s">
        <v>414</v>
      </c>
      <c r="C11" s="85">
        <v>2</v>
      </c>
      <c r="D11" s="85" t="s">
        <v>415</v>
      </c>
      <c r="E11" s="87">
        <v>32126</v>
      </c>
      <c r="F11" s="87">
        <v>33600</v>
      </c>
      <c r="G11" s="87">
        <v>16502</v>
      </c>
      <c r="H11" s="65"/>
      <c r="I11" s="87">
        <f>AVERAGE(tbl_Rendimiento5[[#This Row],[Valor de mercado 2014 (mdd)]],tbl_Rendimiento5[[#This Row],[Valor de mercado 2015 (mdd)]],tbl_Rendimiento5[[#This Row],[Valor de mercado 2016 (mdd)]])</f>
        <v>27409.333333333332</v>
      </c>
      <c r="J11" s="153">
        <f>tbl_Rendimiento5[[#This Row],[Valor de mercado 2014 (mdd)]]/tbl_Rendimiento5[[#Totals],[Valor de mercado 2014 (mdd)]]</f>
        <v>0.16849006136256359</v>
      </c>
      <c r="K11" s="151">
        <f>tbl_Rendimiento5[[#This Row],[Valor de mercado 2015 (mdd)]]/tbl_Rendimiento5[[#Totals],[Valor de mercado 2015 (mdd)]]</f>
        <v>0.14820434556313242</v>
      </c>
      <c r="L11" s="151">
        <f>tbl_Rendimiento5[[#This Row],[Valor de mercado 2016 (mdd)]]/tbl_Rendimiento5[[#Totals],[Valor de mercado 2016 (mdd)]]</f>
        <v>7.5741372267330048E-2</v>
      </c>
      <c r="M11" s="95"/>
      <c r="N11" s="96"/>
      <c r="O11" s="96"/>
      <c r="P11" s="97"/>
      <c r="Q11" s="97"/>
      <c r="R11" s="95"/>
      <c r="S11" s="94"/>
      <c r="T11" s="96"/>
      <c r="U11" s="98"/>
    </row>
    <row r="12" spans="1:22" ht="24" customHeight="1" x14ac:dyDescent="0.25">
      <c r="B12" s="85" t="s">
        <v>416</v>
      </c>
      <c r="C12" s="85">
        <v>3</v>
      </c>
      <c r="D12" s="85" t="s">
        <v>383</v>
      </c>
      <c r="E12" s="87">
        <v>4326</v>
      </c>
      <c r="F12" s="87">
        <v>15200</v>
      </c>
      <c r="G12" s="87">
        <v>1380</v>
      </c>
      <c r="I12" s="87">
        <f>AVERAGE(tbl_Rendimiento5[[#This Row],[Valor de mercado 2014 (mdd)]],tbl_Rendimiento5[[#This Row],[Valor de mercado 2015 (mdd)]],tbl_Rendimiento5[[#This Row],[Valor de mercado 2016 (mdd)]])</f>
        <v>6968.666666666667</v>
      </c>
      <c r="J12" s="153">
        <f>tbl_Rendimiento5[[#This Row],[Valor de mercado 2014 (mdd)]]/tbl_Rendimiento5[[#Totals],[Valor de mercado 2014 (mdd)]]</f>
        <v>2.2688414538207375E-2</v>
      </c>
      <c r="K12" s="151">
        <f>tbl_Rendimiento5[[#This Row],[Valor de mercado 2015 (mdd)]]/tbl_Rendimiento5[[#Totals],[Valor de mercado 2015 (mdd)]]</f>
        <v>6.7044822992845615E-2</v>
      </c>
      <c r="L12" s="151">
        <f>tbl_Rendimiento5[[#This Row],[Valor de mercado 2016 (mdd)]]/tbl_Rendimiento5[[#Totals],[Valor de mercado 2016 (mdd)]]</f>
        <v>6.3339651999100395E-3</v>
      </c>
      <c r="M12" s="95"/>
      <c r="N12" s="96"/>
      <c r="O12" s="96"/>
      <c r="P12" s="97"/>
      <c r="Q12" s="97"/>
      <c r="R12" s="95"/>
      <c r="S12" s="94"/>
      <c r="T12" s="96"/>
      <c r="U12" s="98"/>
    </row>
    <row r="13" spans="1:22" ht="24" customHeight="1" x14ac:dyDescent="0.25">
      <c r="B13" s="85" t="s">
        <v>417</v>
      </c>
      <c r="C13" s="85">
        <v>4</v>
      </c>
      <c r="D13" s="85" t="s">
        <v>418</v>
      </c>
      <c r="E13" s="87">
        <v>11500</v>
      </c>
      <c r="F13" s="87">
        <v>18500</v>
      </c>
      <c r="G13" s="87">
        <v>27815</v>
      </c>
      <c r="I13" s="87">
        <f>AVERAGE(tbl_Rendimiento5[[#This Row],[Valor de mercado 2014 (mdd)]],tbl_Rendimiento5[[#This Row],[Valor de mercado 2015 (mdd)]],tbl_Rendimiento5[[#This Row],[Valor de mercado 2016 (mdd)]])</f>
        <v>19271.666666666668</v>
      </c>
      <c r="J13" s="153">
        <f>tbl_Rendimiento5[[#This Row],[Valor de mercado 2014 (mdd)]]/tbl_Rendimiento5[[#Totals],[Valor de mercado 2014 (mdd)]]</f>
        <v>6.0313630880579013E-2</v>
      </c>
      <c r="K13" s="151">
        <f>tbl_Rendimiento5[[#This Row],[Valor de mercado 2015 (mdd)]]/tbl_Rendimiento5[[#Totals],[Valor de mercado 2015 (mdd)]]</f>
        <v>8.1600606932081834E-2</v>
      </c>
      <c r="L13" s="151">
        <f>tbl_Rendimiento5[[#This Row],[Valor de mercado 2016 (mdd)]]/tbl_Rendimiento5[[#Totals],[Valor de mercado 2016 (mdd)]]</f>
        <v>0.12766611741702735</v>
      </c>
      <c r="M13" s="95"/>
      <c r="N13" s="96"/>
      <c r="O13" s="96"/>
      <c r="P13" s="97"/>
      <c r="Q13" s="97"/>
      <c r="R13" s="95"/>
      <c r="S13" s="94"/>
      <c r="T13" s="96"/>
      <c r="U13" s="98"/>
    </row>
    <row r="14" spans="1:22" ht="24" customHeight="1" x14ac:dyDescent="0.25">
      <c r="B14" s="85" t="s">
        <v>419</v>
      </c>
      <c r="C14" s="85">
        <v>5</v>
      </c>
      <c r="D14" s="85" t="s">
        <v>420</v>
      </c>
      <c r="E14" s="87">
        <v>16920</v>
      </c>
      <c r="F14" s="87">
        <v>15600</v>
      </c>
      <c r="G14" s="87">
        <v>-1446</v>
      </c>
      <c r="I14" s="87">
        <f>AVERAGE(tbl_Rendimiento5[[#This Row],[Valor de mercado 2014 (mdd)]],tbl_Rendimiento5[[#This Row],[Valor de mercado 2015 (mdd)]],tbl_Rendimiento5[[#This Row],[Valor de mercado 2016 (mdd)]])</f>
        <v>10358</v>
      </c>
      <c r="J14" s="153">
        <f>tbl_Rendimiento5[[#This Row],[Valor de mercado 2014 (mdd)]]/tbl_Rendimiento5[[#Totals],[Valor de mercado 2014 (mdd)]]</f>
        <v>8.8739707347773644E-2</v>
      </c>
      <c r="K14" s="151">
        <f>tbl_Rendimiento5[[#This Row],[Valor de mercado 2015 (mdd)]]/tbl_Rendimiento5[[#Totals],[Valor de mercado 2015 (mdd)]]</f>
        <v>6.880916044002576E-2</v>
      </c>
      <c r="L14" s="151">
        <f>tbl_Rendimiento5[[#This Row],[Valor de mercado 2016 (mdd)]]/tbl_Rendimiento5[[#Totals],[Valor de mercado 2016 (mdd)]]</f>
        <v>-6.6368939703405194E-3</v>
      </c>
      <c r="M14" s="95"/>
      <c r="N14" s="96"/>
      <c r="O14" s="96"/>
      <c r="P14" s="97"/>
      <c r="Q14" s="97"/>
      <c r="R14" s="95"/>
      <c r="S14" s="94"/>
      <c r="T14" s="96"/>
      <c r="U14" s="98"/>
    </row>
    <row r="15" spans="1:22" s="93" customFormat="1" ht="24" customHeight="1" x14ac:dyDescent="0.25">
      <c r="B15" s="85" t="s">
        <v>421</v>
      </c>
      <c r="C15" s="85">
        <v>6</v>
      </c>
      <c r="D15" s="85" t="s">
        <v>422</v>
      </c>
      <c r="E15" s="87">
        <v>21323</v>
      </c>
      <c r="F15" s="87">
        <v>10200</v>
      </c>
      <c r="G15" s="87">
        <v>26906</v>
      </c>
      <c r="H15" s="65"/>
      <c r="I15" s="87">
        <f>AVERAGE(tbl_Rendimiento5[[#This Row],[Valor de mercado 2014 (mdd)]],tbl_Rendimiento5[[#This Row],[Valor de mercado 2015 (mdd)]],tbl_Rendimiento5[[#This Row],[Valor de mercado 2016 (mdd)]])</f>
        <v>19476.333333333332</v>
      </c>
      <c r="J15" s="153">
        <f>tbl_Rendimiento5[[#This Row],[Valor de mercado 2014 (mdd)]]/tbl_Rendimiento5[[#Totals],[Valor de mercado 2014 (mdd)]]</f>
        <v>0.11183196097970315</v>
      </c>
      <c r="K15" s="151">
        <f>tbl_Rendimiento5[[#This Row],[Valor de mercado 2015 (mdd)]]/tbl_Rendimiento5[[#Totals],[Valor de mercado 2015 (mdd)]]</f>
        <v>4.4990604903093763E-2</v>
      </c>
      <c r="L15" s="151">
        <f>tbl_Rendimiento5[[#This Row],[Valor de mercado 2016 (mdd)]]/tbl_Rendimiento5[[#Totals],[Valor de mercado 2016 (mdd)]]</f>
        <v>0.12349396207882574</v>
      </c>
      <c r="M15" s="95"/>
      <c r="N15" s="96"/>
      <c r="O15" s="96"/>
      <c r="P15" s="97"/>
      <c r="Q15" s="97"/>
      <c r="R15" s="95"/>
      <c r="S15" s="94"/>
      <c r="T15" s="96"/>
      <c r="U15" s="98"/>
    </row>
    <row r="16" spans="1:22" ht="24" customHeight="1" x14ac:dyDescent="0.25">
      <c r="B16" s="85" t="s">
        <v>423</v>
      </c>
      <c r="C16" s="85">
        <v>7</v>
      </c>
      <c r="D16" s="85" t="s">
        <v>383</v>
      </c>
      <c r="E16" s="87">
        <v>-3316</v>
      </c>
      <c r="F16" s="87">
        <v>13300</v>
      </c>
      <c r="G16" s="87">
        <v>19794</v>
      </c>
      <c r="I16" s="87">
        <f>AVERAGE(tbl_Rendimiento5[[#This Row],[Valor de mercado 2014 (mdd)]],tbl_Rendimiento5[[#This Row],[Valor de mercado 2015 (mdd)]],tbl_Rendimiento5[[#This Row],[Valor de mercado 2016 (mdd)]])</f>
        <v>9926</v>
      </c>
      <c r="J16" s="153">
        <f>tbl_Rendimiento5[[#This Row],[Valor de mercado 2014 (mdd)]]/tbl_Rendimiento5[[#Totals],[Valor de mercado 2014 (mdd)]]</f>
        <v>-1.7391304347826087E-2</v>
      </c>
      <c r="K16" s="151">
        <f>tbl_Rendimiento5[[#This Row],[Valor de mercado 2015 (mdd)]]/tbl_Rendimiento5[[#Totals],[Valor de mercado 2015 (mdd)]]</f>
        <v>5.866422011873991E-2</v>
      </c>
      <c r="L16" s="151">
        <f>tbl_Rendimiento5[[#This Row],[Valor de mercado 2016 (mdd)]]/tbl_Rendimiento5[[#Totals],[Valor de mercado 2016 (mdd)]]</f>
        <v>9.0851092150013996E-2</v>
      </c>
      <c r="M16" s="95"/>
      <c r="N16" s="96"/>
      <c r="O16" s="96"/>
      <c r="P16" s="97"/>
      <c r="Q16" s="97"/>
      <c r="R16" s="95"/>
      <c r="S16" s="94"/>
      <c r="T16" s="96"/>
      <c r="U16" s="98"/>
    </row>
    <row r="17" spans="2:21" ht="24" customHeight="1" x14ac:dyDescent="0.25">
      <c r="B17" s="85" t="s">
        <v>424</v>
      </c>
      <c r="C17" s="85">
        <v>8</v>
      </c>
      <c r="D17" s="85" t="s">
        <v>425</v>
      </c>
      <c r="E17" s="87">
        <v>-5349</v>
      </c>
      <c r="F17" s="87">
        <v>13500</v>
      </c>
      <c r="G17" s="87">
        <v>9561</v>
      </c>
      <c r="I17" s="87">
        <f>AVERAGE(tbl_Rendimiento5[[#This Row],[Valor de mercado 2014 (mdd)]],tbl_Rendimiento5[[#This Row],[Valor de mercado 2015 (mdd)]],tbl_Rendimiento5[[#This Row],[Valor de mercado 2016 (mdd)]])</f>
        <v>5904</v>
      </c>
      <c r="J17" s="153">
        <f>tbl_Rendimiento5[[#This Row],[Valor de mercado 2014 (mdd)]]/tbl_Rendimiento5[[#Totals],[Valor de mercado 2014 (mdd)]]</f>
        <v>-2.8053705354801488E-2</v>
      </c>
      <c r="K17" s="151">
        <f>tbl_Rendimiento5[[#This Row],[Valor de mercado 2015 (mdd)]]/tbl_Rendimiento5[[#Totals],[Valor de mercado 2015 (mdd)]]</f>
        <v>5.9546388842329982E-2</v>
      </c>
      <c r="L17" s="151">
        <f>tbl_Rendimiento5[[#This Row],[Valor de mercado 2016 (mdd)]]/tbl_Rendimiento5[[#Totals],[Valor de mercado 2016 (mdd)]]</f>
        <v>4.3883363243724556E-2</v>
      </c>
      <c r="M17" s="95"/>
      <c r="N17" s="96"/>
      <c r="O17" s="96"/>
      <c r="P17" s="97"/>
      <c r="Q17" s="97"/>
      <c r="R17" s="95"/>
      <c r="S17" s="94"/>
      <c r="T17" s="96"/>
      <c r="U17" s="98"/>
    </row>
    <row r="18" spans="2:21" ht="24" customHeight="1" x14ac:dyDescent="0.25">
      <c r="B18" s="85" t="s">
        <v>426</v>
      </c>
      <c r="C18" s="85">
        <v>9</v>
      </c>
      <c r="D18" s="85" t="s">
        <v>427</v>
      </c>
      <c r="E18" s="87">
        <v>20766</v>
      </c>
      <c r="F18" s="87">
        <v>9400</v>
      </c>
      <c r="G18" s="87">
        <v>22628</v>
      </c>
      <c r="I18" s="87">
        <f>AVERAGE(tbl_Rendimiento5[[#This Row],[Valor de mercado 2014 (mdd)]],tbl_Rendimiento5[[#This Row],[Valor de mercado 2015 (mdd)]],tbl_Rendimiento5[[#This Row],[Valor de mercado 2016 (mdd)]])</f>
        <v>17598</v>
      </c>
      <c r="J18" s="153">
        <f>tbl_Rendimiento5[[#This Row],[Valor de mercado 2014 (mdd)]]/tbl_Rendimiento5[[#Totals],[Valor de mercado 2014 (mdd)]]</f>
        <v>0.1089106833796612</v>
      </c>
      <c r="K18" s="151">
        <f>tbl_Rendimiento5[[#This Row],[Valor de mercado 2015 (mdd)]]/tbl_Rendimiento5[[#Totals],[Valor de mercado 2015 (mdd)]]</f>
        <v>4.1461930008733473E-2</v>
      </c>
      <c r="L18" s="151">
        <f>tbl_Rendimiento5[[#This Row],[Valor de mercado 2016 (mdd)]]/tbl_Rendimiento5[[#Totals],[Valor de mercado 2016 (mdd)]]</f>
        <v>0.10385866995910462</v>
      </c>
      <c r="M18" s="95"/>
      <c r="N18" s="96"/>
      <c r="O18" s="96"/>
      <c r="P18" s="97"/>
      <c r="Q18" s="97"/>
      <c r="R18" s="95"/>
      <c r="S18" s="94"/>
      <c r="T18" s="96"/>
      <c r="U18" s="98"/>
    </row>
    <row r="19" spans="2:21" s="93" customFormat="1" ht="24" customHeight="1" x14ac:dyDescent="0.25">
      <c r="B19" s="85" t="s">
        <v>428</v>
      </c>
      <c r="C19" s="85">
        <v>10</v>
      </c>
      <c r="D19" s="85" t="s">
        <v>429</v>
      </c>
      <c r="E19" s="87">
        <v>33045</v>
      </c>
      <c r="F19" s="87">
        <v>15900</v>
      </c>
      <c r="G19" s="87">
        <v>9882</v>
      </c>
      <c r="H19" s="65"/>
      <c r="I19" s="87">
        <f>AVERAGE(tbl_Rendimiento5[[#This Row],[Valor de mercado 2014 (mdd)]],tbl_Rendimiento5[[#This Row],[Valor de mercado 2015 (mdd)]],tbl_Rendimiento5[[#This Row],[Valor de mercado 2016 (mdd)]])</f>
        <v>19609</v>
      </c>
      <c r="J19" s="153">
        <f>tbl_Rendimiento5[[#This Row],[Valor de mercado 2014 (mdd)]]/tbl_Rendimiento5[[#Totals],[Valor de mercado 2014 (mdd)]]</f>
        <v>0.17330990716945507</v>
      </c>
      <c r="K19" s="151">
        <f>tbl_Rendimiento5[[#This Row],[Valor de mercado 2015 (mdd)]]/tbl_Rendimiento5[[#Totals],[Valor de mercado 2015 (mdd)]]</f>
        <v>7.0132413525410872E-2</v>
      </c>
      <c r="L19" s="151">
        <f>tbl_Rendimiento5[[#This Row],[Valor de mercado 2016 (mdd)]]/tbl_Rendimiento5[[#Totals],[Valor de mercado 2016 (mdd)]]</f>
        <v>4.5356698627181891E-2</v>
      </c>
      <c r="M19" s="89"/>
      <c r="N19" s="90"/>
      <c r="O19" s="90"/>
      <c r="P19" s="91"/>
      <c r="Q19" s="91"/>
      <c r="R19" s="89"/>
      <c r="S19" s="88"/>
      <c r="T19" s="90"/>
      <c r="U19" s="92"/>
    </row>
    <row r="20" spans="2:21" s="93" customFormat="1" ht="24" customHeight="1" x14ac:dyDescent="0.25">
      <c r="B20" s="85" t="s">
        <v>430</v>
      </c>
      <c r="C20" s="85">
        <v>11</v>
      </c>
      <c r="D20" s="85" t="s">
        <v>415</v>
      </c>
      <c r="E20" s="87">
        <v>12059</v>
      </c>
      <c r="F20" s="87">
        <v>11300</v>
      </c>
      <c r="G20" s="87">
        <v>15480</v>
      </c>
      <c r="H20" s="65"/>
      <c r="I20" s="87">
        <f>AVERAGE(tbl_Rendimiento5[[#This Row],[Valor de mercado 2014 (mdd)]],tbl_Rendimiento5[[#This Row],[Valor de mercado 2015 (mdd)]],tbl_Rendimiento5[[#This Row],[Valor de mercado 2016 (mdd)]])</f>
        <v>12946.333333333334</v>
      </c>
      <c r="J20" s="153">
        <f>tbl_Rendimiento5[[#This Row],[Valor de mercado 2014 (mdd)]]/tbl_Rendimiento5[[#Totals],[Valor de mercado 2014 (mdd)]]</f>
        <v>6.3245397807730627E-2</v>
      </c>
      <c r="K20" s="151">
        <f>tbl_Rendimiento5[[#This Row],[Valor de mercado 2015 (mdd)]]/tbl_Rendimiento5[[#Totals],[Valor de mercado 2015 (mdd)]]</f>
        <v>4.9842532882839172E-2</v>
      </c>
      <c r="L20" s="151">
        <f>tbl_Rendimiento5[[#This Row],[Valor de mercado 2016 (mdd)]]/tbl_Rendimiento5[[#Totals],[Valor de mercado 2016 (mdd)]]</f>
        <v>7.1050566155512612E-2</v>
      </c>
      <c r="M20" s="95"/>
      <c r="N20" s="96"/>
      <c r="O20" s="96"/>
      <c r="P20" s="97"/>
      <c r="Q20" s="97"/>
      <c r="R20" s="95"/>
      <c r="S20" s="94"/>
      <c r="T20" s="96"/>
      <c r="U20" s="98"/>
    </row>
    <row r="21" spans="2:21" ht="24" customHeight="1" x14ac:dyDescent="0.25">
      <c r="B21" s="85" t="s">
        <v>431</v>
      </c>
      <c r="C21" s="85">
        <v>12</v>
      </c>
      <c r="D21" s="85" t="s">
        <v>427</v>
      </c>
      <c r="E21" s="87">
        <v>-5507</v>
      </c>
      <c r="F21" s="87">
        <v>10500</v>
      </c>
      <c r="G21" s="87">
        <v>19732</v>
      </c>
      <c r="I21" s="87">
        <f>AVERAGE(tbl_Rendimiento5[[#This Row],[Valor de mercado 2014 (mdd)]],tbl_Rendimiento5[[#This Row],[Valor de mercado 2015 (mdd)]],tbl_Rendimiento5[[#This Row],[Valor de mercado 2016 (mdd)]])</f>
        <v>8241.6666666666661</v>
      </c>
      <c r="J21" s="153">
        <f>tbl_Rendimiento5[[#This Row],[Valor de mercado 2014 (mdd)]]/tbl_Rendimiento5[[#Totals],[Valor de mercado 2014 (mdd)]]</f>
        <v>-2.8882362196465096E-2</v>
      </c>
      <c r="K21" s="151">
        <f>tbl_Rendimiento5[[#This Row],[Valor de mercado 2015 (mdd)]]/tbl_Rendimiento5[[#Totals],[Valor de mercado 2015 (mdd)]]</f>
        <v>4.6313857988478875E-2</v>
      </c>
      <c r="L21" s="151">
        <f>tbl_Rendimiento5[[#This Row],[Valor de mercado 2016 (mdd)]]/tbl_Rendimiento5[[#Totals],[Valor de mercado 2016 (mdd)]]</f>
        <v>9.0566522699003546E-2</v>
      </c>
      <c r="M21" s="95"/>
      <c r="N21" s="96"/>
      <c r="O21" s="96"/>
      <c r="P21" s="97"/>
      <c r="Q21" s="97"/>
      <c r="R21" s="95"/>
      <c r="S21" s="94"/>
      <c r="T21" s="96"/>
      <c r="U21" s="98"/>
    </row>
    <row r="22" spans="2:21" ht="24" customHeight="1" x14ac:dyDescent="0.25">
      <c r="B22" s="85" t="s">
        <v>432</v>
      </c>
      <c r="C22" s="85">
        <v>13</v>
      </c>
      <c r="D22" s="85" t="s">
        <v>404</v>
      </c>
      <c r="E22" s="87">
        <v>-1537</v>
      </c>
      <c r="F22" s="87">
        <v>237</v>
      </c>
      <c r="G22" s="87">
        <v>99</v>
      </c>
      <c r="I22" s="87">
        <f>AVERAGE(tbl_Rendimiento5[[#This Row],[Valor de mercado 2014 (mdd)]],tbl_Rendimiento5[[#This Row],[Valor de mercado 2015 (mdd)]],tbl_Rendimiento5[[#This Row],[Valor de mercado 2016 (mdd)]])</f>
        <v>-400.33333333333331</v>
      </c>
      <c r="J22" s="153">
        <f>tbl_Rendimiento5[[#This Row],[Valor de mercado 2014 (mdd)]]/tbl_Rendimiento5[[#Totals],[Valor de mercado 2014 (mdd)]]</f>
        <v>-8.0610478837782554E-3</v>
      </c>
      <c r="K22" s="151">
        <f>tbl_Rendimiento5[[#This Row],[Valor de mercado 2015 (mdd)]]/tbl_Rendimiento5[[#Totals],[Valor de mercado 2015 (mdd)]]</f>
        <v>1.0453699374542375E-3</v>
      </c>
      <c r="L22" s="151">
        <f>tbl_Rendimiento5[[#This Row],[Valor de mercado 2016 (mdd)]]/tbl_Rendimiento5[[#Totals],[Valor de mercado 2016 (mdd)]]</f>
        <v>4.543931556457202E-4</v>
      </c>
      <c r="M22" s="95"/>
      <c r="N22" s="96"/>
      <c r="O22" s="96"/>
      <c r="P22" s="97"/>
      <c r="Q22" s="97"/>
      <c r="R22" s="95"/>
      <c r="S22" s="94"/>
      <c r="T22" s="96"/>
      <c r="U22" s="98"/>
    </row>
    <row r="23" spans="2:21" ht="24" customHeight="1" x14ac:dyDescent="0.25">
      <c r="B23" s="85" t="s">
        <v>433</v>
      </c>
      <c r="C23" s="85">
        <v>14</v>
      </c>
      <c r="D23" s="85" t="s">
        <v>434</v>
      </c>
      <c r="E23" s="87">
        <v>-2107</v>
      </c>
      <c r="F23" s="87">
        <v>177</v>
      </c>
      <c r="G23" s="87">
        <v>-2263</v>
      </c>
      <c r="I23" s="87">
        <f>AVERAGE(tbl_Rendimiento5[[#This Row],[Valor de mercado 2014 (mdd)]],tbl_Rendimiento5[[#This Row],[Valor de mercado 2015 (mdd)]],tbl_Rendimiento5[[#This Row],[Valor de mercado 2016 (mdd)]])</f>
        <v>-1397.6666666666667</v>
      </c>
      <c r="J23" s="153">
        <f>tbl_Rendimiento5[[#This Row],[Valor de mercado 2014 (mdd)]]/tbl_Rendimiento5[[#Totals],[Valor de mercado 2014 (mdd)]]</f>
        <v>-1.1050506110033042E-2</v>
      </c>
      <c r="K23" s="151">
        <f>tbl_Rendimiento5[[#This Row],[Valor de mercado 2015 (mdd)]]/tbl_Rendimiento5[[#Totals],[Valor de mercado 2015 (mdd)]]</f>
        <v>7.8071932037721535E-4</v>
      </c>
      <c r="L23" s="151">
        <f>tbl_Rendimiento5[[#This Row],[Valor de mercado 2016 (mdd)]]/tbl_Rendimiento5[[#Totals],[Valor de mercado 2016 (mdd)]]</f>
        <v>-1.0386784961881463E-2</v>
      </c>
      <c r="M23" s="95"/>
      <c r="N23" s="96"/>
      <c r="O23" s="96"/>
      <c r="P23" s="97"/>
      <c r="Q23" s="97"/>
      <c r="R23" s="95"/>
      <c r="S23" s="94"/>
      <c r="T23" s="96"/>
      <c r="U23" s="98"/>
    </row>
    <row r="24" spans="2:21" s="93" customFormat="1" ht="24" customHeight="1" x14ac:dyDescent="0.25">
      <c r="B24" s="85" t="s">
        <v>435</v>
      </c>
      <c r="C24" s="85">
        <v>15</v>
      </c>
      <c r="D24" s="85" t="s">
        <v>436</v>
      </c>
      <c r="E24" s="87">
        <v>-4705</v>
      </c>
      <c r="F24" s="87">
        <v>7400</v>
      </c>
      <c r="G24" s="87">
        <v>-3257</v>
      </c>
      <c r="H24" s="65"/>
      <c r="I24" s="87">
        <f>AVERAGE(tbl_Rendimiento5[[#This Row],[Valor de mercado 2014 (mdd)]],tbl_Rendimiento5[[#This Row],[Valor de mercado 2015 (mdd)]],tbl_Rendimiento5[[#This Row],[Valor de mercado 2016 (mdd)]])</f>
        <v>-187.33333333333334</v>
      </c>
      <c r="J24" s="153">
        <f>tbl_Rendimiento5[[#This Row],[Valor de mercado 2014 (mdd)]]/tbl_Rendimiento5[[#Totals],[Valor de mercado 2014 (mdd)]]</f>
        <v>-2.4676142025489064E-2</v>
      </c>
      <c r="K24" s="95">
        <f>tbl_Rendimiento5[[#This Row],[Valor de mercado 2015 (mdd)]]/tbl_Rendimiento5[[#Totals],[Valor de mercado 2015 (mdd)]]</f>
        <v>3.2640242772832735E-2</v>
      </c>
      <c r="L24" s="94">
        <f>tbl_Rendimiento5[[#This Row],[Valor de mercado 2016 (mdd)]]/tbl_Rendimiento5[[#Totals],[Valor de mercado 2016 (mdd)]]</f>
        <v>-1.4949075837758695E-2</v>
      </c>
      <c r="M24" s="95"/>
      <c r="N24" s="96"/>
      <c r="O24" s="96"/>
      <c r="P24" s="97"/>
      <c r="Q24" s="97"/>
      <c r="R24" s="95"/>
      <c r="S24" s="94"/>
      <c r="T24" s="96"/>
      <c r="U24" s="98"/>
    </row>
    <row r="25" spans="2:21" ht="18" customHeight="1" x14ac:dyDescent="0.25">
      <c r="B25" s="150" t="s">
        <v>9</v>
      </c>
      <c r="C25" s="150"/>
      <c r="D25" s="150"/>
      <c r="E25" s="149">
        <f>SUBTOTAL(109,tbl_Rendimiento5[Valor de mercado 2014 (mdd)])</f>
        <v>190670</v>
      </c>
      <c r="F25" s="154">
        <f>SUBTOTAL(109,tbl_Rendimiento5[Valor de mercado 2015 (mdd)])</f>
        <v>226714</v>
      </c>
      <c r="G25" s="149">
        <f>SUBTOTAL(109,tbl_Rendimiento5[Valor de mercado 2016 (mdd)])</f>
        <v>217873</v>
      </c>
      <c r="H25"/>
      <c r="I25" s="145"/>
      <c r="J25" s="145"/>
      <c r="K25" s="146"/>
      <c r="L25" s="146"/>
      <c r="M25" s="146"/>
      <c r="N25" s="147"/>
      <c r="O25" s="147"/>
      <c r="P25" s="147"/>
      <c r="Q25" s="147"/>
      <c r="R25" s="146"/>
      <c r="S25" s="146"/>
      <c r="T25" s="147"/>
      <c r="U25" s="148">
        <f>SUBTOTAL(103,tbl_Rendimiento5[Columna12])</f>
        <v>0</v>
      </c>
    </row>
  </sheetData>
  <conditionalFormatting sqref="U7:V8 V26:V65481">
    <cfRule type="cellIs" dxfId="105" priority="8" stopIfTrue="1" operator="equal">
      <formula>"VERDE"</formula>
    </cfRule>
    <cfRule type="cellIs" dxfId="104" priority="9" stopIfTrue="1" operator="equal">
      <formula>"AMARILLO"</formula>
    </cfRule>
    <cfRule type="cellIs" dxfId="103" priority="10" stopIfTrue="1" operator="equal">
      <formula>"ROJO"</formula>
    </cfRule>
  </conditionalFormatting>
  <conditionalFormatting sqref="K24:M24 R10:S24 M10:M23">
    <cfRule type="expression" dxfId="102" priority="2">
      <formula>K10&lt;0</formula>
    </cfRule>
  </conditionalFormatting>
  <conditionalFormatting sqref="D3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61" fitToHeight="0" orientation="landscape" r:id="rId1"/>
  <headerFooter alignWithMargins="0"/>
  <drawing r:id="rId2"/>
  <legacyDrawing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D75"/>
  <sheetViews>
    <sheetView topLeftCell="E62" workbookViewId="0">
      <selection activeCell="G77" sqref="G77"/>
    </sheetView>
  </sheetViews>
  <sheetFormatPr baseColWidth="10" defaultRowHeight="15" x14ac:dyDescent="0.25"/>
  <cols>
    <col min="1" max="1" width="17.5703125" bestFit="1" customWidth="1"/>
    <col min="2" max="2" width="14.42578125" bestFit="1" customWidth="1"/>
    <col min="3" max="3" width="15.42578125" bestFit="1" customWidth="1"/>
    <col min="4" max="4" width="14.42578125" bestFit="1" customWidth="1"/>
    <col min="5" max="39" width="35.42578125" customWidth="1"/>
    <col min="40" max="45" width="35.42578125" bestFit="1" customWidth="1"/>
    <col min="46" max="48" width="40.42578125" bestFit="1" customWidth="1"/>
  </cols>
  <sheetData>
    <row r="3" spans="1:2" x14ac:dyDescent="0.25">
      <c r="A3" s="171" t="s">
        <v>368</v>
      </c>
      <c r="B3" s="169" t="s">
        <v>427</v>
      </c>
    </row>
    <row r="5" spans="1:2" x14ac:dyDescent="0.25">
      <c r="A5" s="171" t="s">
        <v>459</v>
      </c>
    </row>
    <row r="6" spans="1:2" x14ac:dyDescent="0.25">
      <c r="A6" s="173" t="s">
        <v>456</v>
      </c>
      <c r="B6" s="107">
        <v>15259</v>
      </c>
    </row>
    <row r="7" spans="1:2" x14ac:dyDescent="0.25">
      <c r="A7" s="174" t="s">
        <v>457</v>
      </c>
      <c r="B7" s="107">
        <v>19900</v>
      </c>
    </row>
    <row r="8" spans="1:2" x14ac:dyDescent="0.25">
      <c r="A8" s="175" t="s">
        <v>458</v>
      </c>
      <c r="B8" s="107">
        <v>42360</v>
      </c>
    </row>
    <row r="20" spans="1:2" x14ac:dyDescent="0.25">
      <c r="A20" s="171" t="s">
        <v>365</v>
      </c>
      <c r="B20" s="169" t="s">
        <v>453</v>
      </c>
    </row>
    <row r="22" spans="1:2" x14ac:dyDescent="0.25">
      <c r="A22" s="171" t="s">
        <v>459</v>
      </c>
    </row>
    <row r="23" spans="1:2" x14ac:dyDescent="0.25">
      <c r="A23" s="155" t="s">
        <v>456</v>
      </c>
      <c r="B23" s="107">
        <v>15259</v>
      </c>
    </row>
    <row r="24" spans="1:2" x14ac:dyDescent="0.25">
      <c r="A24" s="172" t="s">
        <v>457</v>
      </c>
      <c r="B24" s="107">
        <v>19900</v>
      </c>
    </row>
    <row r="25" spans="1:2" x14ac:dyDescent="0.25">
      <c r="A25" s="155" t="s">
        <v>458</v>
      </c>
      <c r="B25" s="107">
        <v>42360</v>
      </c>
    </row>
    <row r="41" spans="3:4" x14ac:dyDescent="0.25">
      <c r="C41" s="171" t="s">
        <v>442</v>
      </c>
      <c r="D41" s="107" t="s">
        <v>452</v>
      </c>
    </row>
    <row r="42" spans="3:4" x14ac:dyDescent="0.25">
      <c r="C42" s="172" t="s">
        <v>426</v>
      </c>
      <c r="D42" s="107">
        <v>17598</v>
      </c>
    </row>
    <row r="43" spans="3:4" x14ac:dyDescent="0.25">
      <c r="C43" s="172" t="s">
        <v>431</v>
      </c>
      <c r="D43" s="107">
        <v>8241.6666666666661</v>
      </c>
    </row>
    <row r="44" spans="3:4" x14ac:dyDescent="0.25">
      <c r="C44" s="172" t="s">
        <v>443</v>
      </c>
      <c r="D44" s="107">
        <v>25839.666666666664</v>
      </c>
    </row>
    <row r="54" spans="1:4" x14ac:dyDescent="0.25">
      <c r="A54" s="171" t="s">
        <v>411</v>
      </c>
      <c r="B54" s="169" t="s">
        <v>453</v>
      </c>
    </row>
    <row r="55" spans="1:4" x14ac:dyDescent="0.25">
      <c r="A55" s="171" t="s">
        <v>369</v>
      </c>
      <c r="B55" s="169" t="s">
        <v>453</v>
      </c>
    </row>
    <row r="56" spans="1:4" x14ac:dyDescent="0.25">
      <c r="A56" s="171" t="s">
        <v>412</v>
      </c>
      <c r="B56" s="169" t="s">
        <v>453</v>
      </c>
    </row>
    <row r="58" spans="1:4" x14ac:dyDescent="0.25">
      <c r="A58" s="171" t="s">
        <v>442</v>
      </c>
      <c r="B58" s="107" t="s">
        <v>456</v>
      </c>
      <c r="C58" s="107" t="s">
        <v>457</v>
      </c>
      <c r="D58" s="107" t="s">
        <v>458</v>
      </c>
    </row>
    <row r="59" spans="1:4" x14ac:dyDescent="0.25">
      <c r="A59" s="172" t="s">
        <v>427</v>
      </c>
      <c r="B59" s="107">
        <v>15259</v>
      </c>
      <c r="C59" s="107">
        <v>19900</v>
      </c>
      <c r="D59" s="107">
        <v>42360</v>
      </c>
    </row>
    <row r="60" spans="1:4" x14ac:dyDescent="0.25">
      <c r="A60" s="172" t="s">
        <v>443</v>
      </c>
      <c r="B60" s="107">
        <v>15259</v>
      </c>
      <c r="C60" s="107">
        <v>19900</v>
      </c>
      <c r="D60" s="107">
        <v>42360</v>
      </c>
    </row>
    <row r="73" spans="1:4" x14ac:dyDescent="0.25">
      <c r="A73" s="171" t="s">
        <v>442</v>
      </c>
      <c r="B73" s="176" t="s">
        <v>456</v>
      </c>
      <c r="C73" s="176" t="s">
        <v>460</v>
      </c>
      <c r="D73" s="176" t="s">
        <v>458</v>
      </c>
    </row>
    <row r="74" spans="1:4" x14ac:dyDescent="0.25">
      <c r="A74" s="172" t="s">
        <v>427</v>
      </c>
      <c r="B74" s="176">
        <v>8.0028321183196111E-2</v>
      </c>
      <c r="C74" s="176">
        <v>8.7775787997212348E-2</v>
      </c>
      <c r="D74" s="176">
        <v>0.19442519265810815</v>
      </c>
    </row>
    <row r="75" spans="1:4" x14ac:dyDescent="0.25">
      <c r="A75" s="172" t="s">
        <v>443</v>
      </c>
      <c r="B75" s="176">
        <v>8.0028321183196111E-2</v>
      </c>
      <c r="C75" s="176">
        <v>8.7775787997212348E-2</v>
      </c>
      <c r="D75" s="176">
        <v>0.19442519265810815</v>
      </c>
    </row>
  </sheetData>
  <pageMargins left="0.7" right="0.7" top="0.75" bottom="0.75" header="0.3" footer="0.3"/>
  <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topLeftCell="A31" workbookViewId="0">
      <selection activeCell="N8" sqref="N8"/>
    </sheetView>
  </sheetViews>
  <sheetFormatPr baseColWidth="10" defaultRowHeight="15" x14ac:dyDescent="0.25"/>
  <sheetData/>
  <pageMargins left="0.7" right="0.7" top="0.75" bottom="0.75" header="0.3" footer="0.3"/>
  <pageSetup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workbookViewId="0">
      <selection activeCell="I2" sqref="I2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59" t="s">
        <v>212</v>
      </c>
      <c r="B1" s="159"/>
      <c r="C1" s="159"/>
      <c r="D1" s="159"/>
      <c r="E1" s="159"/>
      <c r="F1" s="159"/>
    </row>
    <row r="2" spans="1:10" ht="31.5" x14ac:dyDescent="0.5">
      <c r="A2" s="6" t="s">
        <v>217</v>
      </c>
      <c r="B2" s="5"/>
      <c r="C2" s="5"/>
      <c r="D2" s="5"/>
      <c r="E2" s="5"/>
      <c r="F2" s="5"/>
      <c r="I2" s="156">
        <v>1</v>
      </c>
    </row>
    <row r="3" spans="1:10" ht="31.5" x14ac:dyDescent="0.5">
      <c r="A3" s="6" t="s">
        <v>216</v>
      </c>
      <c r="I3" s="156">
        <v>1</v>
      </c>
    </row>
    <row r="4" spans="1:10" ht="31.5" x14ac:dyDescent="0.5">
      <c r="A4" s="6" t="s">
        <v>218</v>
      </c>
      <c r="I4" s="156">
        <v>1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08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08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08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08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08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08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08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08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08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08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08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08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08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08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08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08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08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08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08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08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08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08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08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08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08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08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08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08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08">
        <v>6</v>
      </c>
      <c r="H35" t="s">
        <v>175</v>
      </c>
      <c r="I35" t="s">
        <v>140</v>
      </c>
      <c r="J35" t="s">
        <v>141</v>
      </c>
    </row>
    <row r="36" spans="1:10" x14ac:dyDescent="0.25">
      <c r="A36">
        <f>SUBTOTAL(103,Tabla1[Compañía])</f>
        <v>29</v>
      </c>
      <c r="B36">
        <f>SUBTOTAL(103,Tabla1[ID])</f>
        <v>29</v>
      </c>
      <c r="C36">
        <f>SUBTOTAL(103,Tabla1[Primer nombre])</f>
        <v>29</v>
      </c>
      <c r="D36">
        <f>SUBTOTAL(103,Tabla1[Apellido])</f>
        <v>29</v>
      </c>
      <c r="E36">
        <f>SUBTOTAL(103,Tabla1[Teléfono])</f>
        <v>29</v>
      </c>
      <c r="F36">
        <f>SUBTOTAL(103,Tabla1[Puesto])</f>
        <v>29</v>
      </c>
      <c r="G36" s="110">
        <f>SUBTOTAL(103,Tabla1[Compras realizadas])</f>
        <v>29</v>
      </c>
      <c r="H36">
        <f>SUBTOTAL(103,Tabla1[Dirección])</f>
        <v>29</v>
      </c>
      <c r="I36">
        <f>SUBTOTAL(103,Tabla1[Estado/Provincia])</f>
        <v>29</v>
      </c>
      <c r="J36">
        <f>SUBTOTAL(103,Tabla1[Ciudad])</f>
        <v>29</v>
      </c>
    </row>
    <row r="37" spans="1:10" x14ac:dyDescent="0.25">
      <c r="I37" s="109" t="s">
        <v>440</v>
      </c>
      <c r="J37" s="1">
        <f>SUM(Tabla1[#Totals])</f>
        <v>290</v>
      </c>
    </row>
    <row r="41" spans="1:10" ht="15.75" thickBot="1" x14ac:dyDescent="0.3">
      <c r="C41" s="160" t="s">
        <v>176</v>
      </c>
      <c r="D41" s="160"/>
    </row>
    <row r="42" spans="1:10" x14ac:dyDescent="0.25">
      <c r="C42" s="161" t="s">
        <v>177</v>
      </c>
      <c r="D42" s="162">
        <f>AVERAGE(Tabla1[Compras realizadas])</f>
        <v>8.931034482758621</v>
      </c>
    </row>
    <row r="43" spans="1:10" ht="15.75" thickBot="1" x14ac:dyDescent="0.3">
      <c r="C43" s="161"/>
      <c r="D43" s="163"/>
    </row>
  </sheetData>
  <mergeCells count="4">
    <mergeCell ref="C41:D41"/>
    <mergeCell ref="C42:C43"/>
    <mergeCell ref="D42:D43"/>
    <mergeCell ref="A1:F1"/>
  </mergeCells>
  <phoneticPr fontId="2" type="noConversion"/>
  <conditionalFormatting sqref="I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I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I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workbookViewId="0">
      <selection activeCell="B6" sqref="B6"/>
    </sheetView>
  </sheetViews>
  <sheetFormatPr baseColWidth="10" defaultColWidth="9" defaultRowHeight="15" x14ac:dyDescent="0.25"/>
  <cols>
    <col min="1" max="1" width="13.140625" style="1" customWidth="1"/>
    <col min="2" max="2" width="10.28515625" style="1" customWidth="1"/>
    <col min="3" max="3" width="16.5703125" style="1" customWidth="1"/>
    <col min="4" max="4" width="17.42578125" style="1" bestFit="1" customWidth="1"/>
    <col min="5" max="5" width="19.5703125" style="1" bestFit="1" customWidth="1"/>
    <col min="6" max="16384" width="9" style="1"/>
  </cols>
  <sheetData>
    <row r="1" spans="1:12" ht="31.5" x14ac:dyDescent="0.5">
      <c r="A1" s="159" t="s">
        <v>212</v>
      </c>
      <c r="B1" s="159"/>
      <c r="C1" s="159"/>
      <c r="D1" s="159"/>
      <c r="E1" s="159"/>
      <c r="F1" s="159"/>
    </row>
    <row r="2" spans="1:12" ht="31.5" x14ac:dyDescent="0.5">
      <c r="A2" s="6" t="s">
        <v>219</v>
      </c>
      <c r="B2" s="5"/>
      <c r="C2" s="5"/>
      <c r="D2" s="5"/>
      <c r="E2" s="5"/>
      <c r="F2" s="5"/>
      <c r="L2" s="156">
        <v>1</v>
      </c>
    </row>
    <row r="3" spans="1:12" ht="31.5" x14ac:dyDescent="0.5">
      <c r="A3" s="6"/>
      <c r="B3" s="5"/>
      <c r="C3" s="5"/>
      <c r="D3" s="5"/>
      <c r="E3" s="5"/>
      <c r="F3" s="5"/>
    </row>
    <row r="4" spans="1:12" x14ac:dyDescent="0.25">
      <c r="A4" t="s">
        <v>4</v>
      </c>
      <c r="B4" t="s">
        <v>178</v>
      </c>
      <c r="C4" t="s">
        <v>37</v>
      </c>
      <c r="D4" t="s">
        <v>38</v>
      </c>
      <c r="E4" t="s">
        <v>40</v>
      </c>
    </row>
    <row r="5" spans="1:12" x14ac:dyDescent="0.25">
      <c r="A5" t="s">
        <v>179</v>
      </c>
      <c r="B5">
        <v>4</v>
      </c>
      <c r="C5" t="s">
        <v>180</v>
      </c>
      <c r="D5" t="s">
        <v>181</v>
      </c>
      <c r="E5" t="s">
        <v>182</v>
      </c>
      <c r="H5" s="167">
        <v>4</v>
      </c>
    </row>
    <row r="6" spans="1:12" x14ac:dyDescent="0.25">
      <c r="A6" t="s">
        <v>183</v>
      </c>
      <c r="B6">
        <v>10</v>
      </c>
      <c r="C6" t="s">
        <v>184</v>
      </c>
      <c r="D6" t="s">
        <v>185</v>
      </c>
      <c r="E6" t="s">
        <v>186</v>
      </c>
      <c r="H6" s="168">
        <v>10</v>
      </c>
    </row>
    <row r="7" spans="1:12" x14ac:dyDescent="0.25">
      <c r="A7" t="s">
        <v>187</v>
      </c>
      <c r="B7">
        <v>2</v>
      </c>
      <c r="C7" t="s">
        <v>188</v>
      </c>
      <c r="D7" t="s">
        <v>189</v>
      </c>
      <c r="E7" t="s">
        <v>186</v>
      </c>
      <c r="H7" s="167">
        <v>2</v>
      </c>
    </row>
    <row r="8" spans="1:12" x14ac:dyDescent="0.25">
      <c r="A8" t="s">
        <v>190</v>
      </c>
      <c r="B8">
        <v>1</v>
      </c>
      <c r="C8" t="s">
        <v>191</v>
      </c>
      <c r="D8" t="s">
        <v>101</v>
      </c>
      <c r="E8" t="s">
        <v>186</v>
      </c>
      <c r="H8" s="168">
        <v>1</v>
      </c>
    </row>
    <row r="9" spans="1:12" x14ac:dyDescent="0.25">
      <c r="A9" t="s">
        <v>192</v>
      </c>
      <c r="B9">
        <v>6</v>
      </c>
      <c r="C9" t="s">
        <v>193</v>
      </c>
      <c r="D9" t="s">
        <v>194</v>
      </c>
      <c r="E9" t="s">
        <v>195</v>
      </c>
      <c r="H9" s="167">
        <v>6</v>
      </c>
    </row>
    <row r="10" spans="1:12" x14ac:dyDescent="0.25">
      <c r="A10" t="s">
        <v>196</v>
      </c>
      <c r="B10">
        <v>3</v>
      </c>
      <c r="C10" t="s">
        <v>197</v>
      </c>
      <c r="D10" t="s">
        <v>198</v>
      </c>
      <c r="E10" t="s">
        <v>199</v>
      </c>
      <c r="H10" s="168">
        <v>3</v>
      </c>
    </row>
    <row r="11" spans="1:12" x14ac:dyDescent="0.25">
      <c r="A11" t="s">
        <v>200</v>
      </c>
      <c r="B11">
        <v>5</v>
      </c>
      <c r="C11" t="s">
        <v>201</v>
      </c>
      <c r="D11" t="s">
        <v>202</v>
      </c>
      <c r="E11" t="s">
        <v>186</v>
      </c>
      <c r="H11" s="167">
        <v>5</v>
      </c>
    </row>
    <row r="12" spans="1:12" x14ac:dyDescent="0.25">
      <c r="A12" t="s">
        <v>203</v>
      </c>
      <c r="B12">
        <v>7</v>
      </c>
      <c r="C12" t="s">
        <v>204</v>
      </c>
      <c r="D12" t="s">
        <v>205</v>
      </c>
      <c r="E12" t="s">
        <v>182</v>
      </c>
      <c r="H12" s="168">
        <v>7</v>
      </c>
    </row>
    <row r="13" spans="1:12" x14ac:dyDescent="0.25">
      <c r="A13" t="s">
        <v>206</v>
      </c>
      <c r="B13">
        <v>8</v>
      </c>
      <c r="C13" t="s">
        <v>207</v>
      </c>
      <c r="D13" t="s">
        <v>208</v>
      </c>
      <c r="E13" t="s">
        <v>199</v>
      </c>
      <c r="H13" s="167">
        <v>8</v>
      </c>
    </row>
    <row r="14" spans="1:12" x14ac:dyDescent="0.25">
      <c r="A14" t="s">
        <v>209</v>
      </c>
      <c r="B14">
        <v>9</v>
      </c>
      <c r="C14" t="s">
        <v>210</v>
      </c>
      <c r="D14" t="s">
        <v>211</v>
      </c>
      <c r="E14" t="s">
        <v>186</v>
      </c>
      <c r="H14" s="168">
        <v>9</v>
      </c>
    </row>
    <row r="15" spans="1:12" x14ac:dyDescent="0.25">
      <c r="A15" t="s">
        <v>9</v>
      </c>
      <c r="B15">
        <f>SUBTOTAL(101,Tabla7[Pedidos])</f>
        <v>5.5</v>
      </c>
      <c r="C15"/>
      <c r="D15"/>
      <c r="E15">
        <f>SUBTOTAL(103,Tabla7[Puesto])</f>
        <v>10</v>
      </c>
    </row>
  </sheetData>
  <mergeCells count="1">
    <mergeCell ref="A1:F1"/>
  </mergeCells>
  <phoneticPr fontId="2" type="noConversion"/>
  <conditionalFormatting sqref="B5:B14">
    <cfRule type="cellIs" dxfId="33" priority="3" operator="greaterThan">
      <formula>$B$15</formula>
    </cfRule>
  </conditionalFormatting>
  <conditionalFormatting sqref="L2">
    <cfRule type="iconSet" priority="2">
      <iconSet iconSet="3Symbols2" showValue="0" reverse="1">
        <cfvo type="percent" val="0"/>
        <cfvo type="percent" val="33"/>
        <cfvo type="percent" val="67"/>
      </iconSet>
    </cfRule>
  </conditionalFormatting>
  <conditionalFormatting sqref="H5:H14">
    <cfRule type="aboveAverage" dxfId="32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40"/>
  <sheetViews>
    <sheetView zoomScale="73" zoomScaleNormal="73" workbookViewId="0">
      <selection activeCell="M2" sqref="M2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5.28515625" style="7" customWidth="1"/>
    <col min="15" max="16384" width="12.5703125" style="7"/>
  </cols>
  <sheetData>
    <row r="1" spans="2:14" ht="31.5" x14ac:dyDescent="0.5">
      <c r="B1" s="159" t="s">
        <v>212</v>
      </c>
      <c r="C1" s="159"/>
      <c r="D1" s="159"/>
      <c r="E1" s="159"/>
      <c r="F1" s="159"/>
      <c r="G1" s="159"/>
    </row>
    <row r="2" spans="2:14" ht="31.5" x14ac:dyDescent="0.5">
      <c r="B2" s="6" t="s">
        <v>254</v>
      </c>
      <c r="C2" s="5"/>
      <c r="D2" s="5"/>
      <c r="E2" s="5"/>
      <c r="F2" s="5"/>
      <c r="G2" s="5"/>
      <c r="M2" s="156">
        <v>1</v>
      </c>
    </row>
    <row r="3" spans="2:14" ht="43.5" customHeight="1" x14ac:dyDescent="0.5">
      <c r="B3" s="6" t="s">
        <v>255</v>
      </c>
      <c r="C3" s="5"/>
      <c r="D3" s="5"/>
      <c r="E3" s="5"/>
      <c r="F3" s="5"/>
      <c r="G3" s="5"/>
      <c r="M3" s="156">
        <v>1</v>
      </c>
    </row>
    <row r="4" spans="2:14" ht="43.5" customHeight="1" x14ac:dyDescent="0.5">
      <c r="B4" s="6" t="s">
        <v>256</v>
      </c>
      <c r="C4" s="5"/>
      <c r="D4" s="5"/>
      <c r="E4" s="5"/>
      <c r="F4" s="5"/>
      <c r="G4" s="5"/>
      <c r="M4" s="156">
        <v>1</v>
      </c>
    </row>
    <row r="5" spans="2:14" ht="17.25" thickBot="1" x14ac:dyDescent="0.35"/>
    <row r="6" spans="2:14" ht="31.5" customHeight="1" thickTop="1" thickBot="1" x14ac:dyDescent="0.35">
      <c r="C6" s="164"/>
      <c r="D6" s="164"/>
      <c r="E6" s="164"/>
      <c r="F6" s="164"/>
      <c r="G6" s="164"/>
      <c r="H6" s="164"/>
      <c r="I6" s="164"/>
      <c r="J6" s="164"/>
      <c r="K6" s="164"/>
    </row>
    <row r="7" spans="2:14" ht="31.5" customHeight="1" thickTop="1" x14ac:dyDescent="0.3">
      <c r="C7" s="165"/>
      <c r="D7" s="165"/>
      <c r="E7" s="165"/>
      <c r="F7" s="165"/>
      <c r="G7" s="165"/>
      <c r="H7" s="165"/>
      <c r="I7" s="165"/>
      <c r="J7" s="165"/>
      <c r="K7" s="165"/>
    </row>
    <row r="8" spans="2:14" ht="17.25" thickBot="1" x14ac:dyDescent="0.35">
      <c r="C8" s="111" t="s">
        <v>220</v>
      </c>
      <c r="D8" s="111" t="s">
        <v>221</v>
      </c>
      <c r="E8" s="111" t="s">
        <v>222</v>
      </c>
      <c r="F8" s="111" t="s">
        <v>223</v>
      </c>
      <c r="G8" s="111" t="s">
        <v>224</v>
      </c>
      <c r="H8" s="111" t="s">
        <v>225</v>
      </c>
      <c r="I8" s="111" t="s">
        <v>226</v>
      </c>
      <c r="J8" s="111" t="s">
        <v>227</v>
      </c>
      <c r="K8" s="111" t="s">
        <v>228</v>
      </c>
    </row>
    <row r="9" spans="2:14" x14ac:dyDescent="0.3">
      <c r="C9" s="8">
        <v>1</v>
      </c>
      <c r="D9" s="9">
        <v>37987</v>
      </c>
      <c r="E9" s="8" t="s">
        <v>229</v>
      </c>
      <c r="F9" s="8" t="s">
        <v>230</v>
      </c>
      <c r="G9" s="8" t="s">
        <v>231</v>
      </c>
      <c r="H9" s="8">
        <v>291</v>
      </c>
      <c r="I9" s="10">
        <v>2133903</v>
      </c>
      <c r="J9" s="9">
        <v>38157</v>
      </c>
      <c r="K9" s="8" t="s">
        <v>232</v>
      </c>
    </row>
    <row r="10" spans="2:14" x14ac:dyDescent="0.3">
      <c r="C10" s="7">
        <v>2</v>
      </c>
      <c r="D10" s="11">
        <v>37987</v>
      </c>
      <c r="E10" s="7" t="s">
        <v>233</v>
      </c>
      <c r="F10" s="7" t="s">
        <v>234</v>
      </c>
      <c r="G10" s="7" t="s">
        <v>235</v>
      </c>
      <c r="H10" s="7">
        <v>199</v>
      </c>
      <c r="I10" s="12">
        <v>1945424</v>
      </c>
      <c r="J10" s="11">
        <v>38096</v>
      </c>
      <c r="K10" s="7" t="s">
        <v>76</v>
      </c>
      <c r="M10" s="13" t="s">
        <v>222</v>
      </c>
      <c r="N10" s="14" t="s">
        <v>6</v>
      </c>
    </row>
    <row r="11" spans="2:14" x14ac:dyDescent="0.3">
      <c r="C11" s="15"/>
      <c r="D11" s="16">
        <v>37987</v>
      </c>
      <c r="E11" s="15" t="s">
        <v>236</v>
      </c>
      <c r="F11" s="15" t="s">
        <v>230</v>
      </c>
      <c r="G11" s="15" t="s">
        <v>235</v>
      </c>
      <c r="H11" s="15">
        <v>82</v>
      </c>
      <c r="I11" s="17">
        <v>712416</v>
      </c>
      <c r="J11" s="16">
        <v>38299</v>
      </c>
      <c r="K11" s="15" t="s">
        <v>237</v>
      </c>
      <c r="M11" s="18" t="s">
        <v>230</v>
      </c>
      <c r="N11" s="19">
        <v>21</v>
      </c>
    </row>
    <row r="12" spans="2:14" x14ac:dyDescent="0.3">
      <c r="D12" s="11">
        <v>37988</v>
      </c>
      <c r="E12" s="7" t="s">
        <v>229</v>
      </c>
      <c r="F12" s="7" t="s">
        <v>230</v>
      </c>
      <c r="G12" s="7" t="s">
        <v>235</v>
      </c>
      <c r="H12" s="7">
        <v>285</v>
      </c>
      <c r="I12" s="12">
        <v>1815450</v>
      </c>
      <c r="J12" s="11">
        <v>38104</v>
      </c>
      <c r="K12" s="7" t="s">
        <v>238</v>
      </c>
      <c r="M12" s="20" t="s">
        <v>234</v>
      </c>
      <c r="N12" s="21">
        <v>9</v>
      </c>
    </row>
    <row r="13" spans="2:14" x14ac:dyDescent="0.3">
      <c r="C13" s="15"/>
      <c r="D13" s="16">
        <v>37988</v>
      </c>
      <c r="E13" s="15" t="s">
        <v>239</v>
      </c>
      <c r="F13" s="15" t="s">
        <v>234</v>
      </c>
      <c r="G13" s="15" t="s">
        <v>240</v>
      </c>
      <c r="H13" s="15">
        <v>152</v>
      </c>
      <c r="I13" s="17">
        <v>1138024</v>
      </c>
      <c r="J13" s="16">
        <v>38178</v>
      </c>
      <c r="K13" s="15" t="s">
        <v>241</v>
      </c>
    </row>
    <row r="14" spans="2:14" x14ac:dyDescent="0.3">
      <c r="D14" s="11">
        <v>37989</v>
      </c>
      <c r="E14" s="7" t="s">
        <v>242</v>
      </c>
      <c r="F14" s="7" t="s">
        <v>230</v>
      </c>
      <c r="G14" s="7" t="s">
        <v>235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/>
      <c r="D15" s="16">
        <v>37989</v>
      </c>
      <c r="E15" s="15" t="s">
        <v>229</v>
      </c>
      <c r="F15" s="15" t="s">
        <v>230</v>
      </c>
      <c r="G15" s="15" t="s">
        <v>240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D16" s="11">
        <v>37989</v>
      </c>
      <c r="E16" s="7" t="s">
        <v>236</v>
      </c>
      <c r="F16" s="7" t="s">
        <v>234</v>
      </c>
      <c r="G16" s="7" t="s">
        <v>235</v>
      </c>
      <c r="H16" s="7">
        <v>235</v>
      </c>
      <c r="I16" s="12">
        <v>2158475</v>
      </c>
      <c r="J16" s="11">
        <v>38291</v>
      </c>
      <c r="K16" s="7" t="s">
        <v>238</v>
      </c>
    </row>
    <row r="17" spans="3:11" x14ac:dyDescent="0.3">
      <c r="C17" s="15"/>
      <c r="D17" s="16">
        <v>37990</v>
      </c>
      <c r="E17" s="15" t="s">
        <v>243</v>
      </c>
      <c r="F17" s="15" t="s">
        <v>230</v>
      </c>
      <c r="G17" s="15" t="s">
        <v>231</v>
      </c>
      <c r="H17" s="15">
        <v>108</v>
      </c>
      <c r="I17" s="17">
        <v>1024380</v>
      </c>
      <c r="J17" s="16">
        <v>38349</v>
      </c>
      <c r="K17" s="15" t="s">
        <v>238</v>
      </c>
    </row>
    <row r="18" spans="3:11" x14ac:dyDescent="0.3">
      <c r="D18" s="11">
        <v>37990</v>
      </c>
      <c r="E18" s="7" t="s">
        <v>229</v>
      </c>
      <c r="F18" s="7" t="s">
        <v>234</v>
      </c>
      <c r="G18" s="7" t="s">
        <v>231</v>
      </c>
      <c r="H18" s="7">
        <v>299</v>
      </c>
      <c r="I18" s="12">
        <v>2042768</v>
      </c>
      <c r="J18" s="11">
        <v>38266</v>
      </c>
      <c r="K18" s="7" t="s">
        <v>237</v>
      </c>
    </row>
    <row r="19" spans="3:11" x14ac:dyDescent="0.3">
      <c r="C19" s="15"/>
      <c r="D19" s="16">
        <v>37990</v>
      </c>
      <c r="E19" s="15" t="s">
        <v>236</v>
      </c>
      <c r="F19" s="15" t="s">
        <v>230</v>
      </c>
      <c r="G19" s="15" t="s">
        <v>235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D20" s="11">
        <v>37990</v>
      </c>
      <c r="E20" s="7" t="s">
        <v>242</v>
      </c>
      <c r="F20" s="7" t="s">
        <v>234</v>
      </c>
      <c r="G20" s="7" t="s">
        <v>235</v>
      </c>
      <c r="H20" s="7">
        <v>187</v>
      </c>
      <c r="I20" s="12">
        <v>999328</v>
      </c>
      <c r="J20" s="11">
        <v>38082</v>
      </c>
      <c r="K20" s="7" t="s">
        <v>232</v>
      </c>
    </row>
    <row r="21" spans="3:11" x14ac:dyDescent="0.3">
      <c r="C21" s="15"/>
      <c r="D21" s="16">
        <v>37990</v>
      </c>
      <c r="E21" s="15" t="s">
        <v>229</v>
      </c>
      <c r="F21" s="15" t="s">
        <v>234</v>
      </c>
      <c r="G21" s="15" t="s">
        <v>244</v>
      </c>
      <c r="H21" s="15">
        <v>300</v>
      </c>
      <c r="I21" s="17">
        <v>2937300</v>
      </c>
      <c r="J21" s="16">
        <v>38295</v>
      </c>
      <c r="K21" s="15" t="s">
        <v>238</v>
      </c>
    </row>
    <row r="22" spans="3:11" x14ac:dyDescent="0.3">
      <c r="D22" s="11">
        <v>37990</v>
      </c>
      <c r="E22" s="7" t="s">
        <v>233</v>
      </c>
      <c r="F22" s="7" t="s">
        <v>234</v>
      </c>
      <c r="G22" s="7" t="s">
        <v>240</v>
      </c>
      <c r="H22" s="7">
        <v>68</v>
      </c>
      <c r="I22" s="12">
        <v>664700</v>
      </c>
      <c r="J22" s="11">
        <v>38261</v>
      </c>
      <c r="K22" s="7" t="s">
        <v>232</v>
      </c>
    </row>
    <row r="23" spans="3:11" x14ac:dyDescent="0.3">
      <c r="C23" s="15"/>
      <c r="D23" s="16">
        <v>37990</v>
      </c>
      <c r="E23" s="15" t="s">
        <v>242</v>
      </c>
      <c r="F23" s="15" t="s">
        <v>230</v>
      </c>
      <c r="G23" s="15" t="s">
        <v>235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D24" s="11">
        <v>37991</v>
      </c>
      <c r="E24" s="7" t="s">
        <v>245</v>
      </c>
      <c r="F24" s="7" t="s">
        <v>230</v>
      </c>
      <c r="G24" s="7" t="s">
        <v>235</v>
      </c>
      <c r="H24" s="7">
        <v>179</v>
      </c>
      <c r="I24" s="12">
        <v>937960</v>
      </c>
      <c r="J24" s="11">
        <v>38312</v>
      </c>
      <c r="K24" s="7" t="s">
        <v>232</v>
      </c>
    </row>
    <row r="25" spans="3:11" x14ac:dyDescent="0.3">
      <c r="C25" s="15"/>
      <c r="D25" s="16">
        <v>37991</v>
      </c>
      <c r="E25" s="15" t="s">
        <v>245</v>
      </c>
      <c r="F25" s="15" t="s">
        <v>230</v>
      </c>
      <c r="G25" s="15" t="s">
        <v>240</v>
      </c>
      <c r="H25" s="15">
        <v>58</v>
      </c>
      <c r="I25" s="17">
        <v>358846</v>
      </c>
      <c r="J25" s="16">
        <v>38268</v>
      </c>
      <c r="K25" s="15" t="s">
        <v>246</v>
      </c>
    </row>
    <row r="26" spans="3:11" x14ac:dyDescent="0.3">
      <c r="D26" s="11">
        <v>37992</v>
      </c>
      <c r="E26" s="7" t="s">
        <v>239</v>
      </c>
      <c r="F26" s="7" t="s">
        <v>234</v>
      </c>
      <c r="G26" s="7" t="s">
        <v>244</v>
      </c>
      <c r="H26" s="7">
        <v>283</v>
      </c>
      <c r="I26" s="12">
        <v>1679605</v>
      </c>
      <c r="J26" s="11">
        <v>38144</v>
      </c>
      <c r="K26" s="7" t="s">
        <v>232</v>
      </c>
    </row>
    <row r="27" spans="3:11" x14ac:dyDescent="0.3">
      <c r="C27" s="15"/>
      <c r="D27" s="16">
        <v>37993</v>
      </c>
      <c r="E27" s="15" t="s">
        <v>243</v>
      </c>
      <c r="F27" s="15" t="s">
        <v>230</v>
      </c>
      <c r="G27" s="15" t="s">
        <v>235</v>
      </c>
      <c r="H27" s="15">
        <v>55</v>
      </c>
      <c r="I27" s="17">
        <v>472615</v>
      </c>
      <c r="J27" s="16">
        <v>38086</v>
      </c>
      <c r="K27" s="15" t="s">
        <v>246</v>
      </c>
    </row>
    <row r="28" spans="3:11" x14ac:dyDescent="0.3">
      <c r="D28" s="11">
        <v>37994</v>
      </c>
      <c r="E28" s="7" t="s">
        <v>236</v>
      </c>
      <c r="F28" s="7" t="s">
        <v>230</v>
      </c>
      <c r="G28" s="7" t="s">
        <v>244</v>
      </c>
      <c r="H28" s="7">
        <v>148</v>
      </c>
      <c r="I28" s="12">
        <v>1169496</v>
      </c>
      <c r="J28" s="11">
        <v>38218</v>
      </c>
      <c r="K28" s="7" t="s">
        <v>241</v>
      </c>
    </row>
    <row r="29" spans="3:11" x14ac:dyDescent="0.3">
      <c r="C29" s="15"/>
      <c r="D29" s="16">
        <v>37995</v>
      </c>
      <c r="E29" s="15" t="s">
        <v>242</v>
      </c>
      <c r="F29" s="15" t="s">
        <v>234</v>
      </c>
      <c r="G29" s="15" t="s">
        <v>244</v>
      </c>
      <c r="H29" s="15">
        <v>228</v>
      </c>
      <c r="I29" s="17">
        <v>2020992</v>
      </c>
      <c r="J29" s="16">
        <v>38150</v>
      </c>
      <c r="K29" s="15" t="s">
        <v>232</v>
      </c>
    </row>
    <row r="30" spans="3:11" x14ac:dyDescent="0.3">
      <c r="D30" s="11">
        <v>37995</v>
      </c>
      <c r="E30" s="7" t="s">
        <v>236</v>
      </c>
      <c r="F30" s="7" t="s">
        <v>230</v>
      </c>
      <c r="G30" s="7" t="s">
        <v>231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/>
      <c r="D31" s="16">
        <v>37996</v>
      </c>
      <c r="E31" s="15" t="s">
        <v>245</v>
      </c>
      <c r="F31" s="15" t="s">
        <v>230</v>
      </c>
      <c r="G31" s="15" t="s">
        <v>235</v>
      </c>
      <c r="H31" s="15">
        <v>183</v>
      </c>
      <c r="I31" s="17">
        <v>1438929</v>
      </c>
      <c r="J31" s="16">
        <v>38098</v>
      </c>
      <c r="K31" s="15" t="s">
        <v>246</v>
      </c>
    </row>
    <row r="32" spans="3:11" x14ac:dyDescent="0.3">
      <c r="D32" s="11">
        <v>37996</v>
      </c>
      <c r="E32" s="7" t="s">
        <v>236</v>
      </c>
      <c r="F32" s="7" t="s">
        <v>230</v>
      </c>
      <c r="G32" s="7" t="s">
        <v>240</v>
      </c>
      <c r="H32" s="7">
        <v>79</v>
      </c>
      <c r="I32" s="12">
        <v>427390</v>
      </c>
      <c r="J32" s="11">
        <v>38322</v>
      </c>
      <c r="K32" s="7" t="s">
        <v>237</v>
      </c>
    </row>
    <row r="33" spans="3:11" x14ac:dyDescent="0.3">
      <c r="C33" s="15"/>
      <c r="D33" s="16">
        <v>37996</v>
      </c>
      <c r="E33" s="15" t="s">
        <v>236</v>
      </c>
      <c r="F33" s="15" t="s">
        <v>230</v>
      </c>
      <c r="G33" s="15" t="s">
        <v>244</v>
      </c>
      <c r="H33" s="15">
        <v>124</v>
      </c>
      <c r="I33" s="17">
        <v>1170684</v>
      </c>
      <c r="J33" s="16">
        <v>38130</v>
      </c>
      <c r="K33" s="15" t="s">
        <v>238</v>
      </c>
    </row>
    <row r="34" spans="3:11" x14ac:dyDescent="0.3">
      <c r="D34" s="11">
        <v>37996</v>
      </c>
      <c r="E34" s="7" t="s">
        <v>233</v>
      </c>
      <c r="F34" s="7" t="s">
        <v>230</v>
      </c>
      <c r="G34" s="7" t="s">
        <v>240</v>
      </c>
      <c r="H34" s="7">
        <v>70</v>
      </c>
      <c r="I34" s="12">
        <v>549780</v>
      </c>
      <c r="J34" s="11">
        <v>38160</v>
      </c>
      <c r="K34" s="7" t="s">
        <v>238</v>
      </c>
    </row>
    <row r="35" spans="3:11" x14ac:dyDescent="0.3">
      <c r="C35" s="15"/>
      <c r="D35" s="16">
        <v>37997</v>
      </c>
      <c r="E35" s="15" t="s">
        <v>233</v>
      </c>
      <c r="F35" s="15" t="s">
        <v>230</v>
      </c>
      <c r="G35" s="15" t="s">
        <v>240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D36" s="11">
        <v>37998</v>
      </c>
      <c r="E36" s="7" t="s">
        <v>245</v>
      </c>
      <c r="F36" s="7" t="s">
        <v>230</v>
      </c>
      <c r="G36" s="7" t="s">
        <v>244</v>
      </c>
      <c r="H36" s="7">
        <v>187</v>
      </c>
      <c r="I36" s="12">
        <v>1660560</v>
      </c>
      <c r="J36" s="11">
        <v>38154</v>
      </c>
      <c r="K36" s="7" t="s">
        <v>237</v>
      </c>
    </row>
    <row r="37" spans="3:11" x14ac:dyDescent="0.3">
      <c r="C37" s="15"/>
      <c r="D37" s="16">
        <v>37998</v>
      </c>
      <c r="E37" s="15" t="s">
        <v>245</v>
      </c>
      <c r="F37" s="15" t="s">
        <v>230</v>
      </c>
      <c r="G37" s="15" t="s">
        <v>240</v>
      </c>
      <c r="H37" s="15">
        <v>91</v>
      </c>
      <c r="I37" s="17">
        <v>753571</v>
      </c>
      <c r="J37" s="16">
        <v>38175</v>
      </c>
      <c r="K37" s="15" t="s">
        <v>246</v>
      </c>
    </row>
    <row r="38" spans="3:11" x14ac:dyDescent="0.3">
      <c r="C38" s="112"/>
      <c r="D38" s="113">
        <v>37998</v>
      </c>
      <c r="E38" s="112" t="s">
        <v>233</v>
      </c>
      <c r="F38" s="112" t="s">
        <v>230</v>
      </c>
      <c r="G38" s="112" t="s">
        <v>240</v>
      </c>
      <c r="H38" s="112">
        <v>201</v>
      </c>
      <c r="I38" s="114">
        <v>939072</v>
      </c>
      <c r="J38" s="113">
        <v>38203</v>
      </c>
      <c r="K38" s="112" t="s">
        <v>232</v>
      </c>
    </row>
    <row r="39" spans="3:11" x14ac:dyDescent="0.3">
      <c r="C39" s="112"/>
      <c r="D39" s="113"/>
      <c r="E39" s="112"/>
      <c r="F39" s="112"/>
      <c r="G39" s="112"/>
      <c r="H39" s="112"/>
      <c r="I39" s="114"/>
      <c r="J39" s="113"/>
      <c r="K39" s="112"/>
    </row>
    <row r="40" spans="3:11" x14ac:dyDescent="0.3">
      <c r="C40" t="s">
        <v>9</v>
      </c>
      <c r="D40" s="115"/>
      <c r="E40"/>
      <c r="F40">
        <f>SUBTOTAL(103,Tabla8[Operación])</f>
        <v>30</v>
      </c>
      <c r="G40"/>
      <c r="H40">
        <f>SUBTOTAL(109,Tabla8[Superficie])</f>
        <v>4778</v>
      </c>
      <c r="I40" s="116">
        <f>SUBTOTAL(109,Tabla8[Monto])</f>
        <v>35345796</v>
      </c>
      <c r="J40" s="115"/>
      <c r="K40">
        <f>SUBTOTAL(103,Tabla8[Vendedor])</f>
        <v>30</v>
      </c>
    </row>
  </sheetData>
  <mergeCells count="2">
    <mergeCell ref="C6:K7"/>
    <mergeCell ref="B1:G1"/>
  </mergeCells>
  <conditionalFormatting sqref="H9:H39">
    <cfRule type="iconSet" priority="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conditionalFormatting sqref="M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M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M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32F6-7329-43EC-ABAB-84BD4358A05E}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7"/>
  <sheetViews>
    <sheetView workbookViewId="0">
      <selection activeCell="H3" sqref="H3"/>
    </sheetView>
  </sheetViews>
  <sheetFormatPr baseColWidth="10" defaultColWidth="12.5703125" defaultRowHeight="16.5" x14ac:dyDescent="0.3"/>
  <cols>
    <col min="1" max="2" width="12.5703125" style="7" customWidth="1"/>
    <col min="3" max="3" width="19.140625" style="7" bestFit="1" customWidth="1"/>
    <col min="4" max="4" width="12.28515625" style="7" customWidth="1"/>
    <col min="5" max="5" width="14.5703125" style="7" customWidth="1"/>
    <col min="6" max="6" width="12.5703125" style="7"/>
    <col min="7" max="7" width="15.5703125" style="7" bestFit="1" customWidth="1"/>
    <col min="8" max="16384" width="12.5703125" style="7"/>
  </cols>
  <sheetData>
    <row r="1" spans="1:12" ht="31.5" x14ac:dyDescent="0.5">
      <c r="A1" s="159" t="s">
        <v>212</v>
      </c>
      <c r="B1" s="159"/>
      <c r="C1" s="159"/>
      <c r="D1" s="159"/>
      <c r="E1" s="159"/>
      <c r="F1" s="159"/>
    </row>
    <row r="2" spans="1:12" ht="31.5" x14ac:dyDescent="0.5">
      <c r="A2" s="6" t="s">
        <v>257</v>
      </c>
      <c r="B2" s="5"/>
      <c r="C2" s="5"/>
      <c r="D2" s="5"/>
      <c r="E2" s="5"/>
      <c r="F2" s="5"/>
      <c r="L2" s="156">
        <v>1</v>
      </c>
    </row>
    <row r="3" spans="1:12" ht="31.5" x14ac:dyDescent="0.5">
      <c r="A3" s="6" t="s">
        <v>258</v>
      </c>
      <c r="B3" s="5"/>
      <c r="C3" s="5"/>
      <c r="D3" s="5"/>
      <c r="E3" s="5"/>
      <c r="F3" s="5"/>
      <c r="H3" s="156">
        <v>1</v>
      </c>
    </row>
    <row r="4" spans="1:12" ht="31.5" x14ac:dyDescent="0.5">
      <c r="A4" s="6" t="s">
        <v>259</v>
      </c>
      <c r="B4" s="5"/>
      <c r="C4" s="5"/>
      <c r="D4" s="5"/>
      <c r="E4" s="5"/>
      <c r="F4" s="5"/>
      <c r="J4" s="156">
        <v>1</v>
      </c>
    </row>
    <row r="5" spans="1:12" ht="31.5" x14ac:dyDescent="0.5">
      <c r="A5" s="6"/>
      <c r="B5" s="5"/>
      <c r="C5" s="5"/>
      <c r="D5" s="5"/>
      <c r="E5" s="5"/>
      <c r="F5" s="5"/>
    </row>
    <row r="6" spans="1:12" x14ac:dyDescent="0.3">
      <c r="C6" s="7" t="s">
        <v>247</v>
      </c>
      <c r="D6" s="7" t="s">
        <v>248</v>
      </c>
      <c r="E6" s="7" t="s">
        <v>223</v>
      </c>
      <c r="F6" s="7" t="s">
        <v>224</v>
      </c>
      <c r="G6" s="7" t="s">
        <v>226</v>
      </c>
      <c r="H6" s="7" t="s">
        <v>441</v>
      </c>
    </row>
    <row r="7" spans="1:12" x14ac:dyDescent="0.3">
      <c r="C7" s="7" t="s">
        <v>229</v>
      </c>
      <c r="D7" s="7" t="str">
        <f t="shared" ref="D7:D36" si="0">LEFT(C7,3)</f>
        <v>Est</v>
      </c>
      <c r="E7" s="7" t="s">
        <v>230</v>
      </c>
      <c r="F7" s="7" t="s">
        <v>231</v>
      </c>
      <c r="G7" s="117">
        <v>2133903</v>
      </c>
      <c r="H7" s="118">
        <f>Tabla5[[#This Row],[Monto]]/Tabla5[[#Totals],[Monto]]</f>
        <v>6.0372186836590125E-2</v>
      </c>
    </row>
    <row r="8" spans="1:12" x14ac:dyDescent="0.3">
      <c r="C8" s="7" t="s">
        <v>233</v>
      </c>
      <c r="D8" s="7" t="str">
        <f t="shared" si="0"/>
        <v>Loc</v>
      </c>
      <c r="E8" s="7" t="s">
        <v>234</v>
      </c>
      <c r="F8" s="7" t="s">
        <v>235</v>
      </c>
      <c r="G8" s="117">
        <v>1945424</v>
      </c>
      <c r="H8" s="118">
        <f>Tabla5[[#This Row],[Monto]]/Tabla5[[#Totals],[Monto]]</f>
        <v>5.5039756354617109E-2</v>
      </c>
    </row>
    <row r="9" spans="1:12" x14ac:dyDescent="0.3">
      <c r="C9" s="7" t="s">
        <v>236</v>
      </c>
      <c r="D9" s="7" t="str">
        <f t="shared" si="0"/>
        <v>Ofi</v>
      </c>
      <c r="E9" s="7" t="s">
        <v>230</v>
      </c>
      <c r="F9" s="7" t="s">
        <v>235</v>
      </c>
      <c r="G9" s="117">
        <v>712416</v>
      </c>
      <c r="H9" s="118">
        <f>Tabla5[[#This Row],[Monto]]/Tabla5[[#Totals],[Monto]]</f>
        <v>2.0155607756011492E-2</v>
      </c>
    </row>
    <row r="10" spans="1:12" x14ac:dyDescent="0.3">
      <c r="C10" s="7" t="s">
        <v>229</v>
      </c>
      <c r="D10" s="7" t="str">
        <f t="shared" si="0"/>
        <v>Est</v>
      </c>
      <c r="E10" s="7" t="s">
        <v>230</v>
      </c>
      <c r="F10" s="7" t="s">
        <v>235</v>
      </c>
      <c r="G10" s="117">
        <v>1815450</v>
      </c>
      <c r="H10" s="118">
        <f>Tabla5[[#This Row],[Monto]]/Tabla5[[#Totals],[Monto]]</f>
        <v>5.1362543935918152E-2</v>
      </c>
    </row>
    <row r="11" spans="1:12" x14ac:dyDescent="0.3">
      <c r="C11" s="7" t="s">
        <v>239</v>
      </c>
      <c r="D11" s="7" t="str">
        <f t="shared" si="0"/>
        <v>Sue</v>
      </c>
      <c r="E11" s="7" t="s">
        <v>234</v>
      </c>
      <c r="F11" s="7" t="s">
        <v>240</v>
      </c>
      <c r="G11" s="117">
        <v>1138024</v>
      </c>
      <c r="H11" s="118">
        <f>Tabla5[[#This Row],[Monto]]/Tabla5[[#Totals],[Monto]]</f>
        <v>3.2196870032294649E-2</v>
      </c>
    </row>
    <row r="12" spans="1:12" x14ac:dyDescent="0.3">
      <c r="C12" s="7" t="s">
        <v>242</v>
      </c>
      <c r="D12" s="7" t="str">
        <f t="shared" si="0"/>
        <v>Ind</v>
      </c>
      <c r="E12" s="7" t="s">
        <v>230</v>
      </c>
      <c r="F12" s="7" t="s">
        <v>235</v>
      </c>
      <c r="G12" s="117">
        <v>953156</v>
      </c>
      <c r="H12" s="118">
        <f>Tabla5[[#This Row],[Monto]]/Tabla5[[#Totals],[Monto]]</f>
        <v>2.6966601629229116E-2</v>
      </c>
      <c r="J12"/>
    </row>
    <row r="13" spans="1:12" x14ac:dyDescent="0.3">
      <c r="C13" s="7" t="s">
        <v>229</v>
      </c>
      <c r="D13" s="7" t="str">
        <f t="shared" si="0"/>
        <v>Est</v>
      </c>
      <c r="E13" s="7" t="s">
        <v>230</v>
      </c>
      <c r="F13" s="7" t="s">
        <v>240</v>
      </c>
      <c r="G13" s="117">
        <v>406686</v>
      </c>
      <c r="H13" s="118">
        <f>Tabla5[[#This Row],[Monto]]/Tabla5[[#Totals],[Monto]]</f>
        <v>1.150592279772112E-2</v>
      </c>
      <c r="J13"/>
    </row>
    <row r="14" spans="1:12" x14ac:dyDescent="0.3">
      <c r="C14" s="7" t="s">
        <v>236</v>
      </c>
      <c r="D14" s="7" t="str">
        <f t="shared" si="0"/>
        <v>Ofi</v>
      </c>
      <c r="E14" s="7" t="s">
        <v>234</v>
      </c>
      <c r="F14" s="7" t="s">
        <v>235</v>
      </c>
      <c r="G14" s="117">
        <v>2158475</v>
      </c>
      <c r="H14" s="118">
        <f>Tabla5[[#This Row],[Monto]]/Tabla5[[#Totals],[Monto]]</f>
        <v>6.106737559397446E-2</v>
      </c>
      <c r="J14"/>
    </row>
    <row r="15" spans="1:12" x14ac:dyDescent="0.3">
      <c r="C15" s="7" t="s">
        <v>243</v>
      </c>
      <c r="D15" s="7" t="str">
        <f t="shared" si="0"/>
        <v>Pis</v>
      </c>
      <c r="E15" s="7" t="s">
        <v>230</v>
      </c>
      <c r="F15" s="7" t="s">
        <v>231</v>
      </c>
      <c r="G15" s="117">
        <v>1024380</v>
      </c>
      <c r="H15" s="118">
        <f>Tabla5[[#This Row],[Monto]]/Tabla5[[#Totals],[Monto]]</f>
        <v>2.8981664467253757E-2</v>
      </c>
      <c r="J15"/>
    </row>
    <row r="16" spans="1:12" x14ac:dyDescent="0.3">
      <c r="C16" s="7" t="s">
        <v>229</v>
      </c>
      <c r="D16" s="7" t="str">
        <f t="shared" si="0"/>
        <v>Est</v>
      </c>
      <c r="E16" s="7" t="s">
        <v>234</v>
      </c>
      <c r="F16" s="7" t="s">
        <v>231</v>
      </c>
      <c r="G16" s="117">
        <v>2042768</v>
      </c>
      <c r="H16" s="118">
        <f>Tabla5[[#This Row],[Monto]]/Tabla5[[#Totals],[Monto]]</f>
        <v>5.7793803823232612E-2</v>
      </c>
      <c r="J16"/>
    </row>
    <row r="17" spans="3:10" x14ac:dyDescent="0.3">
      <c r="C17" s="7" t="s">
        <v>236</v>
      </c>
      <c r="D17" s="7" t="str">
        <f t="shared" si="0"/>
        <v>Ofi</v>
      </c>
      <c r="E17" s="7" t="s">
        <v>230</v>
      </c>
      <c r="F17" s="7" t="s">
        <v>235</v>
      </c>
      <c r="G17" s="117">
        <v>627068</v>
      </c>
      <c r="H17" s="118">
        <f>Tabla5[[#This Row],[Monto]]/Tabla5[[#Totals],[Monto]]</f>
        <v>1.7740950012838867E-2</v>
      </c>
      <c r="J17"/>
    </row>
    <row r="18" spans="3:10" x14ac:dyDescent="0.3">
      <c r="C18" s="7" t="s">
        <v>242</v>
      </c>
      <c r="D18" s="7" t="str">
        <f t="shared" si="0"/>
        <v>Ind</v>
      </c>
      <c r="E18" s="7" t="s">
        <v>234</v>
      </c>
      <c r="F18" s="7" t="s">
        <v>235</v>
      </c>
      <c r="G18" s="117">
        <v>999328</v>
      </c>
      <c r="H18" s="118">
        <f>Tabla5[[#This Row],[Monto]]/Tabla5[[#Totals],[Monto]]</f>
        <v>2.8272895594146471E-2</v>
      </c>
      <c r="J18"/>
    </row>
    <row r="19" spans="3:10" x14ac:dyDescent="0.3">
      <c r="C19" s="7" t="s">
        <v>229</v>
      </c>
      <c r="D19" s="7" t="str">
        <f t="shared" si="0"/>
        <v>Est</v>
      </c>
      <c r="E19" s="7" t="s">
        <v>234</v>
      </c>
      <c r="F19" s="7" t="s">
        <v>244</v>
      </c>
      <c r="G19" s="117">
        <v>2937300</v>
      </c>
      <c r="H19" s="118">
        <f>Tabla5[[#This Row],[Monto]]/Tabla5[[#Totals],[Monto]]</f>
        <v>8.310182065216469E-2</v>
      </c>
    </row>
    <row r="20" spans="3:10" x14ac:dyDescent="0.3">
      <c r="C20" s="7" t="s">
        <v>233</v>
      </c>
      <c r="D20" s="7" t="str">
        <f t="shared" si="0"/>
        <v>Loc</v>
      </c>
      <c r="E20" s="7" t="s">
        <v>234</v>
      </c>
      <c r="F20" s="7" t="s">
        <v>240</v>
      </c>
      <c r="G20" s="117">
        <v>664700</v>
      </c>
      <c r="H20" s="118">
        <f>Tabla5[[#This Row],[Monto]]/Tabla5[[#Totals],[Monto]]</f>
        <v>1.880563108551863E-2</v>
      </c>
    </row>
    <row r="21" spans="3:10" x14ac:dyDescent="0.3">
      <c r="C21" s="7" t="s">
        <v>242</v>
      </c>
      <c r="D21" s="7" t="str">
        <f t="shared" si="0"/>
        <v>Ind</v>
      </c>
      <c r="E21" s="7" t="s">
        <v>230</v>
      </c>
      <c r="F21" s="7" t="s">
        <v>235</v>
      </c>
      <c r="G21" s="117">
        <v>820336</v>
      </c>
      <c r="H21" s="118">
        <f>Tabla5[[#This Row],[Monto]]/Tabla5[[#Totals],[Monto]]</f>
        <v>2.3208870441056129E-2</v>
      </c>
    </row>
    <row r="22" spans="3:10" x14ac:dyDescent="0.3">
      <c r="C22" s="7" t="s">
        <v>245</v>
      </c>
      <c r="D22" s="7" t="str">
        <f t="shared" si="0"/>
        <v>Cas</v>
      </c>
      <c r="E22" s="7" t="s">
        <v>230</v>
      </c>
      <c r="F22" s="7" t="s">
        <v>235</v>
      </c>
      <c r="G22" s="117">
        <v>937960</v>
      </c>
      <c r="H22" s="118">
        <f>Tabla5[[#This Row],[Monto]]/Tabla5[[#Totals],[Monto]]</f>
        <v>2.653667779896653E-2</v>
      </c>
    </row>
    <row r="23" spans="3:10" x14ac:dyDescent="0.3">
      <c r="C23" s="7" t="s">
        <v>245</v>
      </c>
      <c r="D23" s="7" t="str">
        <f t="shared" si="0"/>
        <v>Cas</v>
      </c>
      <c r="E23" s="7" t="s">
        <v>230</v>
      </c>
      <c r="F23" s="7" t="s">
        <v>240</v>
      </c>
      <c r="G23" s="117">
        <v>358846</v>
      </c>
      <c r="H23" s="118">
        <f>Tabla5[[#This Row],[Monto]]/Tabla5[[#Totals],[Monto]]</f>
        <v>1.0152437930666492E-2</v>
      </c>
    </row>
    <row r="24" spans="3:10" x14ac:dyDescent="0.3">
      <c r="C24" s="7" t="s">
        <v>239</v>
      </c>
      <c r="D24" s="7" t="str">
        <f t="shared" si="0"/>
        <v>Sue</v>
      </c>
      <c r="E24" s="7" t="s">
        <v>234</v>
      </c>
      <c r="F24" s="7" t="s">
        <v>244</v>
      </c>
      <c r="G24" s="117">
        <v>1679605</v>
      </c>
      <c r="H24" s="118">
        <f>Tabla5[[#This Row],[Monto]]/Tabla5[[#Totals],[Monto]]</f>
        <v>4.7519229726782783E-2</v>
      </c>
    </row>
    <row r="25" spans="3:10" x14ac:dyDescent="0.3">
      <c r="C25" s="7" t="s">
        <v>243</v>
      </c>
      <c r="D25" s="7" t="str">
        <f t="shared" si="0"/>
        <v>Pis</v>
      </c>
      <c r="E25" s="7" t="s">
        <v>230</v>
      </c>
      <c r="F25" s="7" t="s">
        <v>235</v>
      </c>
      <c r="G25" s="117">
        <v>472615</v>
      </c>
      <c r="H25" s="118">
        <f>Tabla5[[#This Row],[Monto]]/Tabla5[[#Totals],[Monto]]</f>
        <v>1.3371179984176902E-2</v>
      </c>
    </row>
    <row r="26" spans="3:10" x14ac:dyDescent="0.3">
      <c r="C26" s="7" t="s">
        <v>236</v>
      </c>
      <c r="D26" s="7" t="str">
        <f t="shared" si="0"/>
        <v>Ofi</v>
      </c>
      <c r="E26" s="7" t="s">
        <v>230</v>
      </c>
      <c r="F26" s="7" t="s">
        <v>244</v>
      </c>
      <c r="G26" s="117">
        <v>1169496</v>
      </c>
      <c r="H26" s="118">
        <f>Tabla5[[#This Row],[Monto]]/Tabla5[[#Totals],[Monto]]</f>
        <v>3.3087272953196474E-2</v>
      </c>
    </row>
    <row r="27" spans="3:10" x14ac:dyDescent="0.3">
      <c r="C27" s="7" t="s">
        <v>242</v>
      </c>
      <c r="D27" s="7" t="str">
        <f t="shared" si="0"/>
        <v>Ind</v>
      </c>
      <c r="E27" s="7" t="s">
        <v>234</v>
      </c>
      <c r="F27" s="7" t="s">
        <v>244</v>
      </c>
      <c r="G27" s="117">
        <v>2020992</v>
      </c>
      <c r="H27" s="118">
        <f>Tabla5[[#This Row],[Monto]]/Tabla5[[#Totals],[Monto]]</f>
        <v>5.7177719239934505E-2</v>
      </c>
    </row>
    <row r="28" spans="3:10" x14ac:dyDescent="0.3">
      <c r="C28" s="7" t="s">
        <v>236</v>
      </c>
      <c r="D28" s="7" t="str">
        <f t="shared" si="0"/>
        <v>Ofi</v>
      </c>
      <c r="E28" s="7" t="s">
        <v>230</v>
      </c>
      <c r="F28" s="7" t="s">
        <v>231</v>
      </c>
      <c r="G28" s="117">
        <v>727552</v>
      </c>
      <c r="H28" s="118">
        <f>Tabla5[[#This Row],[Monto]]/Tabla5[[#Totals],[Monto]]</f>
        <v>2.0583834071808711E-2</v>
      </c>
    </row>
    <row r="29" spans="3:10" x14ac:dyDescent="0.3">
      <c r="C29" s="7" t="s">
        <v>245</v>
      </c>
      <c r="D29" s="7" t="str">
        <f t="shared" si="0"/>
        <v>Cas</v>
      </c>
      <c r="E29" s="7" t="s">
        <v>230</v>
      </c>
      <c r="F29" s="7" t="s">
        <v>235</v>
      </c>
      <c r="G29" s="117">
        <v>1438929</v>
      </c>
      <c r="H29" s="118">
        <f>Tabla5[[#This Row],[Monto]]/Tabla5[[#Totals],[Monto]]</f>
        <v>4.0710046535661557E-2</v>
      </c>
    </row>
    <row r="30" spans="3:10" x14ac:dyDescent="0.3">
      <c r="C30" s="7" t="s">
        <v>236</v>
      </c>
      <c r="D30" s="7" t="str">
        <f t="shared" si="0"/>
        <v>Ofi</v>
      </c>
      <c r="E30" s="7" t="s">
        <v>230</v>
      </c>
      <c r="F30" s="7" t="s">
        <v>240</v>
      </c>
      <c r="G30" s="117">
        <v>427390</v>
      </c>
      <c r="H30" s="118">
        <f>Tabla5[[#This Row],[Monto]]/Tabla5[[#Totals],[Monto]]</f>
        <v>1.2091678455904628E-2</v>
      </c>
    </row>
    <row r="31" spans="3:10" x14ac:dyDescent="0.3">
      <c r="C31" s="7" t="s">
        <v>236</v>
      </c>
      <c r="D31" s="7" t="str">
        <f t="shared" si="0"/>
        <v>Ofi</v>
      </c>
      <c r="E31" s="7" t="s">
        <v>230</v>
      </c>
      <c r="F31" s="7" t="s">
        <v>244</v>
      </c>
      <c r="G31" s="117">
        <v>1170684</v>
      </c>
      <c r="H31" s="118">
        <f>Tabla5[[#This Row],[Monto]]/Tabla5[[#Totals],[Monto]]</f>
        <v>3.3120883739610786E-2</v>
      </c>
    </row>
    <row r="32" spans="3:10" x14ac:dyDescent="0.3">
      <c r="C32" s="7" t="s">
        <v>233</v>
      </c>
      <c r="D32" s="7" t="str">
        <f t="shared" si="0"/>
        <v>Loc</v>
      </c>
      <c r="E32" s="7" t="s">
        <v>230</v>
      </c>
      <c r="F32" s="7" t="s">
        <v>240</v>
      </c>
      <c r="G32" s="117">
        <v>549780</v>
      </c>
      <c r="H32" s="118">
        <f>Tabla5[[#This Row],[Monto]]/Tabla5[[#Totals],[Monto]]</f>
        <v>1.5554325046180881E-2</v>
      </c>
    </row>
    <row r="33" spans="3:8" x14ac:dyDescent="0.3">
      <c r="C33" s="7" t="s">
        <v>233</v>
      </c>
      <c r="D33" s="7" t="str">
        <f t="shared" si="0"/>
        <v>Loc</v>
      </c>
      <c r="E33" s="7" t="s">
        <v>230</v>
      </c>
      <c r="F33" s="7" t="s">
        <v>240</v>
      </c>
      <c r="G33" s="117">
        <v>659330</v>
      </c>
      <c r="H33" s="118">
        <f>Tabla5[[#This Row],[Monto]]/Tabla5[[#Totals],[Monto]]</f>
        <v>1.8653703540868056E-2</v>
      </c>
    </row>
    <row r="34" spans="3:8" x14ac:dyDescent="0.3">
      <c r="C34" s="7" t="s">
        <v>245</v>
      </c>
      <c r="D34" s="7" t="str">
        <f t="shared" si="0"/>
        <v>Cas</v>
      </c>
      <c r="E34" s="7" t="s">
        <v>230</v>
      </c>
      <c r="F34" s="7" t="s">
        <v>244</v>
      </c>
      <c r="G34" s="117">
        <v>1660560</v>
      </c>
      <c r="H34" s="118">
        <f>Tabla5[[#This Row],[Monto]]/Tabla5[[#Totals],[Monto]]</f>
        <v>4.6980410343566745E-2</v>
      </c>
    </row>
    <row r="35" spans="3:8" x14ac:dyDescent="0.3">
      <c r="C35" s="7" t="s">
        <v>245</v>
      </c>
      <c r="D35" s="7" t="str">
        <f t="shared" si="0"/>
        <v>Cas</v>
      </c>
      <c r="E35" s="7" t="s">
        <v>230</v>
      </c>
      <c r="F35" s="7" t="s">
        <v>240</v>
      </c>
      <c r="G35" s="117">
        <v>753571</v>
      </c>
      <c r="H35" s="118">
        <f>Tabla5[[#This Row],[Monto]]/Tabla5[[#Totals],[Monto]]</f>
        <v>2.1319961219716202E-2</v>
      </c>
    </row>
    <row r="36" spans="3:8" x14ac:dyDescent="0.3">
      <c r="C36" s="7" t="s">
        <v>233</v>
      </c>
      <c r="D36" s="7" t="str">
        <f t="shared" si="0"/>
        <v>Loc</v>
      </c>
      <c r="E36" s="7" t="s">
        <v>230</v>
      </c>
      <c r="F36" s="7" t="s">
        <v>240</v>
      </c>
      <c r="G36" s="117">
        <v>939072</v>
      </c>
      <c r="H36" s="118">
        <f>Tabla5[[#This Row],[Monto]]/Tabla5[[#Totals],[Monto]]</f>
        <v>2.6568138400391378E-2</v>
      </c>
    </row>
    <row r="37" spans="3:8" x14ac:dyDescent="0.3">
      <c r="C37" t="s">
        <v>9</v>
      </c>
      <c r="D37"/>
      <c r="E37"/>
      <c r="F37"/>
      <c r="G37" s="107">
        <f>SUBTOTAL(109,Tabla5[Monto])</f>
        <v>35345796</v>
      </c>
      <c r="H37" s="122">
        <f>SUBTOTAL(109,Tabla5[Porcentaje de venta])</f>
        <v>1</v>
      </c>
    </row>
  </sheetData>
  <mergeCells count="1">
    <mergeCell ref="A1:F1"/>
  </mergeCells>
  <conditionalFormatting sqref="L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H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G9" sqref="G9"/>
    </sheetView>
  </sheetViews>
  <sheetFormatPr baseColWidth="10" defaultRowHeight="15" x14ac:dyDescent="0.25"/>
  <cols>
    <col min="1" max="1" width="17.5703125" bestFit="1" customWidth="1"/>
    <col min="2" max="2" width="27.140625" bestFit="1" customWidth="1"/>
  </cols>
  <sheetData>
    <row r="1" spans="1:2" x14ac:dyDescent="0.25">
      <c r="A1" s="119" t="s">
        <v>223</v>
      </c>
      <c r="B1" t="s">
        <v>230</v>
      </c>
    </row>
    <row r="3" spans="1:2" x14ac:dyDescent="0.25">
      <c r="A3" s="119" t="s">
        <v>442</v>
      </c>
      <c r="B3" t="s">
        <v>444</v>
      </c>
    </row>
    <row r="4" spans="1:2" x14ac:dyDescent="0.25">
      <c r="A4" s="120" t="s">
        <v>235</v>
      </c>
      <c r="B4" s="121">
        <v>0.22005247809385872</v>
      </c>
    </row>
    <row r="5" spans="1:2" x14ac:dyDescent="0.25">
      <c r="A5" s="120" t="s">
        <v>231</v>
      </c>
      <c r="B5" s="121">
        <v>0.10993768537565259</v>
      </c>
    </row>
    <row r="6" spans="1:2" x14ac:dyDescent="0.25">
      <c r="A6" s="120" t="s">
        <v>244</v>
      </c>
      <c r="B6" s="121">
        <v>0.113188567036374</v>
      </c>
    </row>
    <row r="7" spans="1:2" x14ac:dyDescent="0.25">
      <c r="A7" s="120" t="s">
        <v>240</v>
      </c>
      <c r="B7" s="121">
        <v>0.11584616739144876</v>
      </c>
    </row>
    <row r="8" spans="1:2" x14ac:dyDescent="0.25">
      <c r="A8" s="120" t="s">
        <v>443</v>
      </c>
      <c r="B8" s="121">
        <v>0.55902489789733401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J29"/>
  <sheetViews>
    <sheetView topLeftCell="D1" workbookViewId="0">
      <selection activeCell="K9" sqref="K9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10" ht="31.5" x14ac:dyDescent="0.5">
      <c r="D1" s="159" t="s">
        <v>212</v>
      </c>
      <c r="E1" s="159"/>
      <c r="F1" s="159"/>
      <c r="G1" s="159"/>
      <c r="H1" s="159"/>
      <c r="I1" s="159"/>
    </row>
    <row r="2" spans="3:10" ht="31.5" x14ac:dyDescent="0.5">
      <c r="D2" s="6" t="s">
        <v>264</v>
      </c>
      <c r="E2" s="5"/>
      <c r="F2" s="5"/>
      <c r="G2" s="5"/>
      <c r="H2" s="5"/>
      <c r="I2" s="5"/>
      <c r="J2" s="156">
        <v>1</v>
      </c>
    </row>
    <row r="4" spans="3:10" x14ac:dyDescent="0.3">
      <c r="C4" s="7" t="s">
        <v>220</v>
      </c>
      <c r="D4" s="7" t="s">
        <v>221</v>
      </c>
      <c r="E4" s="7" t="s">
        <v>222</v>
      </c>
      <c r="F4" s="7" t="s">
        <v>223</v>
      </c>
      <c r="G4" s="7" t="s">
        <v>224</v>
      </c>
      <c r="H4" s="7" t="s">
        <v>225</v>
      </c>
      <c r="I4" s="7" t="s">
        <v>253</v>
      </c>
    </row>
    <row r="5" spans="3:10" x14ac:dyDescent="0.3">
      <c r="C5" s="7">
        <v>47</v>
      </c>
      <c r="D5" s="11">
        <v>38006</v>
      </c>
      <c r="E5" s="7" t="s">
        <v>243</v>
      </c>
      <c r="F5" s="7" t="s">
        <v>230</v>
      </c>
      <c r="G5" s="7" t="s">
        <v>244</v>
      </c>
      <c r="H5" s="7">
        <v>53</v>
      </c>
      <c r="I5" s="12">
        <v>249418</v>
      </c>
    </row>
    <row r="6" spans="3:10" x14ac:dyDescent="0.3">
      <c r="C6" s="7">
        <v>56</v>
      </c>
      <c r="D6" s="11">
        <v>38009</v>
      </c>
      <c r="E6" s="7" t="s">
        <v>243</v>
      </c>
      <c r="F6" s="7" t="s">
        <v>234</v>
      </c>
      <c r="G6" s="7" t="s">
        <v>231</v>
      </c>
      <c r="H6" s="7">
        <v>54</v>
      </c>
      <c r="I6" s="12">
        <v>239220</v>
      </c>
    </row>
    <row r="7" spans="3:10" x14ac:dyDescent="0.3">
      <c r="C7" s="7">
        <v>75</v>
      </c>
      <c r="D7" s="11">
        <v>38015</v>
      </c>
      <c r="E7" s="7" t="s">
        <v>239</v>
      </c>
      <c r="F7" s="7" t="s">
        <v>234</v>
      </c>
      <c r="G7" s="7" t="s">
        <v>240</v>
      </c>
      <c r="H7" s="7">
        <v>41</v>
      </c>
      <c r="I7" s="12">
        <v>187862</v>
      </c>
    </row>
    <row r="8" spans="3:10" x14ac:dyDescent="0.3">
      <c r="C8" s="7">
        <v>89</v>
      </c>
      <c r="D8" s="11">
        <v>38021</v>
      </c>
      <c r="E8" s="7" t="s">
        <v>233</v>
      </c>
      <c r="F8" s="7" t="s">
        <v>230</v>
      </c>
      <c r="G8" s="7" t="s">
        <v>244</v>
      </c>
      <c r="H8" s="7">
        <v>49</v>
      </c>
      <c r="I8" s="12">
        <v>219716</v>
      </c>
    </row>
    <row r="9" spans="3:10" x14ac:dyDescent="0.3">
      <c r="C9" s="7">
        <v>135</v>
      </c>
      <c r="D9" s="11">
        <v>38039</v>
      </c>
      <c r="E9" s="7" t="s">
        <v>233</v>
      </c>
      <c r="F9" s="7" t="s">
        <v>234</v>
      </c>
      <c r="G9" s="7" t="s">
        <v>231</v>
      </c>
      <c r="H9" s="7">
        <v>45</v>
      </c>
      <c r="I9" s="12">
        <v>229455</v>
      </c>
    </row>
    <row r="10" spans="3:10" x14ac:dyDescent="0.3">
      <c r="C10" s="7">
        <v>195</v>
      </c>
      <c r="D10" s="11">
        <v>38065</v>
      </c>
      <c r="E10" s="7" t="s">
        <v>243</v>
      </c>
      <c r="F10" s="7" t="s">
        <v>234</v>
      </c>
      <c r="G10" s="7" t="s">
        <v>235</v>
      </c>
      <c r="H10" s="7">
        <v>62</v>
      </c>
      <c r="I10" s="12">
        <v>250852</v>
      </c>
    </row>
    <row r="11" spans="3:10" x14ac:dyDescent="0.3">
      <c r="C11" s="7">
        <v>202</v>
      </c>
      <c r="D11" s="11">
        <v>38068</v>
      </c>
      <c r="E11" s="7" t="s">
        <v>243</v>
      </c>
      <c r="F11" s="7" t="s">
        <v>234</v>
      </c>
      <c r="G11" s="7" t="s">
        <v>235</v>
      </c>
      <c r="H11" s="7">
        <v>52</v>
      </c>
      <c r="I11" s="12">
        <v>298272</v>
      </c>
    </row>
    <row r="12" spans="3:10" x14ac:dyDescent="0.3">
      <c r="C12" s="7">
        <v>292</v>
      </c>
      <c r="D12" s="11">
        <v>38098</v>
      </c>
      <c r="E12" s="7" t="s">
        <v>229</v>
      </c>
      <c r="F12" s="7" t="s">
        <v>234</v>
      </c>
      <c r="G12" s="7" t="s">
        <v>244</v>
      </c>
      <c r="H12" s="7">
        <v>54</v>
      </c>
      <c r="I12" s="12">
        <v>258444</v>
      </c>
    </row>
    <row r="13" spans="3:10" x14ac:dyDescent="0.3">
      <c r="C13" s="7">
        <v>322</v>
      </c>
      <c r="D13" s="11">
        <v>38110</v>
      </c>
      <c r="E13" s="7" t="s">
        <v>239</v>
      </c>
      <c r="F13" s="7" t="s">
        <v>234</v>
      </c>
      <c r="G13" s="7" t="s">
        <v>244</v>
      </c>
      <c r="H13" s="7">
        <v>42</v>
      </c>
      <c r="I13" s="12">
        <v>255906</v>
      </c>
    </row>
    <row r="14" spans="3:10" x14ac:dyDescent="0.3">
      <c r="C14" s="7">
        <v>445</v>
      </c>
      <c r="D14" s="11">
        <v>38155</v>
      </c>
      <c r="E14" s="7" t="s">
        <v>233</v>
      </c>
      <c r="F14" s="7" t="s">
        <v>230</v>
      </c>
      <c r="G14" s="7" t="s">
        <v>235</v>
      </c>
      <c r="H14" s="7">
        <v>44</v>
      </c>
      <c r="I14" s="12">
        <v>189156</v>
      </c>
    </row>
    <row r="15" spans="3:10" x14ac:dyDescent="0.3">
      <c r="C15" s="7">
        <v>466</v>
      </c>
      <c r="D15" s="11">
        <v>38162</v>
      </c>
      <c r="E15" s="7" t="s">
        <v>233</v>
      </c>
      <c r="F15" s="7" t="s">
        <v>230</v>
      </c>
      <c r="G15" s="7" t="s">
        <v>240</v>
      </c>
      <c r="H15" s="7">
        <v>44</v>
      </c>
      <c r="I15" s="12">
        <v>242704</v>
      </c>
    </row>
    <row r="16" spans="3:10" x14ac:dyDescent="0.3">
      <c r="C16" s="7">
        <v>489</v>
      </c>
      <c r="D16" s="11">
        <v>38169</v>
      </c>
      <c r="E16" s="7" t="s">
        <v>245</v>
      </c>
      <c r="F16" s="7" t="s">
        <v>234</v>
      </c>
      <c r="G16" s="7" t="s">
        <v>240</v>
      </c>
      <c r="H16" s="7">
        <v>60</v>
      </c>
      <c r="I16" s="12">
        <v>253920</v>
      </c>
    </row>
    <row r="17" spans="3:9" x14ac:dyDescent="0.3">
      <c r="C17" s="7">
        <v>511</v>
      </c>
      <c r="D17" s="11">
        <v>38174</v>
      </c>
      <c r="E17" s="7" t="s">
        <v>242</v>
      </c>
      <c r="F17" s="7" t="s">
        <v>234</v>
      </c>
      <c r="G17" s="7" t="s">
        <v>231</v>
      </c>
      <c r="H17" s="7">
        <v>40</v>
      </c>
      <c r="I17" s="12">
        <v>258560</v>
      </c>
    </row>
    <row r="18" spans="3:9" x14ac:dyDescent="0.3">
      <c r="C18" s="7">
        <v>515</v>
      </c>
      <c r="D18" s="11">
        <v>38176</v>
      </c>
      <c r="E18" s="7" t="s">
        <v>236</v>
      </c>
      <c r="F18" s="7" t="s">
        <v>234</v>
      </c>
      <c r="G18" s="7" t="s">
        <v>244</v>
      </c>
      <c r="H18" s="7">
        <v>47</v>
      </c>
      <c r="I18" s="12">
        <v>262777</v>
      </c>
    </row>
    <row r="19" spans="3:9" x14ac:dyDescent="0.3">
      <c r="C19" s="7">
        <v>520</v>
      </c>
      <c r="D19" s="11">
        <v>38177</v>
      </c>
      <c r="E19" s="7" t="s">
        <v>239</v>
      </c>
      <c r="F19" s="7" t="s">
        <v>234</v>
      </c>
      <c r="G19" s="7" t="s">
        <v>231</v>
      </c>
      <c r="H19" s="7">
        <v>42</v>
      </c>
      <c r="I19" s="12">
        <v>279342</v>
      </c>
    </row>
    <row r="20" spans="3:9" x14ac:dyDescent="0.3">
      <c r="C20" s="7">
        <v>541</v>
      </c>
      <c r="D20" s="11">
        <v>38184</v>
      </c>
      <c r="E20" s="7" t="s">
        <v>245</v>
      </c>
      <c r="F20" s="7" t="s">
        <v>230</v>
      </c>
      <c r="G20" s="7" t="s">
        <v>235</v>
      </c>
      <c r="H20" s="7">
        <v>62</v>
      </c>
      <c r="I20" s="12">
        <v>251596</v>
      </c>
    </row>
    <row r="21" spans="3:9" x14ac:dyDescent="0.3">
      <c r="C21" s="7">
        <v>561</v>
      </c>
      <c r="D21" s="11">
        <v>38193</v>
      </c>
      <c r="E21" s="7" t="s">
        <v>229</v>
      </c>
      <c r="F21" s="7" t="s">
        <v>234</v>
      </c>
      <c r="G21" s="7" t="s">
        <v>231</v>
      </c>
      <c r="H21" s="7">
        <v>53</v>
      </c>
      <c r="I21" s="12">
        <v>280741</v>
      </c>
    </row>
    <row r="22" spans="3:9" x14ac:dyDescent="0.3">
      <c r="C22" s="7">
        <v>574</v>
      </c>
      <c r="D22" s="11">
        <v>38196</v>
      </c>
      <c r="E22" s="7" t="s">
        <v>233</v>
      </c>
      <c r="F22" s="7" t="s">
        <v>230</v>
      </c>
      <c r="G22" s="7" t="s">
        <v>231</v>
      </c>
      <c r="H22" s="7">
        <v>58</v>
      </c>
      <c r="I22" s="12">
        <v>251430</v>
      </c>
    </row>
    <row r="23" spans="3:9" x14ac:dyDescent="0.3">
      <c r="C23" s="7">
        <v>677</v>
      </c>
      <c r="D23" s="11">
        <v>38229</v>
      </c>
      <c r="E23" s="7" t="s">
        <v>242</v>
      </c>
      <c r="F23" s="7" t="s">
        <v>230</v>
      </c>
      <c r="G23" s="7" t="s">
        <v>240</v>
      </c>
      <c r="H23" s="7">
        <v>54</v>
      </c>
      <c r="I23" s="12">
        <v>227178</v>
      </c>
    </row>
    <row r="24" spans="3:9" x14ac:dyDescent="0.3">
      <c r="C24" s="7">
        <v>771</v>
      </c>
      <c r="D24" s="11">
        <v>38264</v>
      </c>
      <c r="E24" s="7" t="s">
        <v>242</v>
      </c>
      <c r="F24" s="7" t="s">
        <v>234</v>
      </c>
      <c r="G24" s="7" t="s">
        <v>235</v>
      </c>
      <c r="H24" s="7">
        <v>44</v>
      </c>
      <c r="I24" s="12">
        <v>223564</v>
      </c>
    </row>
    <row r="25" spans="3:9" x14ac:dyDescent="0.3">
      <c r="C25" s="7">
        <v>782</v>
      </c>
      <c r="D25" s="11">
        <v>38266</v>
      </c>
      <c r="E25" s="7" t="s">
        <v>239</v>
      </c>
      <c r="F25" s="7" t="s">
        <v>234</v>
      </c>
      <c r="G25" s="7" t="s">
        <v>235</v>
      </c>
      <c r="H25" s="7">
        <v>74</v>
      </c>
      <c r="I25" s="12">
        <v>299996</v>
      </c>
    </row>
    <row r="26" spans="3:9" x14ac:dyDescent="0.3">
      <c r="D26" s="11"/>
      <c r="I26" s="12"/>
    </row>
    <row r="27" spans="3:9" x14ac:dyDescent="0.3">
      <c r="D27" s="11"/>
      <c r="I27" s="12"/>
    </row>
    <row r="28" spans="3:9" x14ac:dyDescent="0.3">
      <c r="D28" s="7" t="s">
        <v>252</v>
      </c>
      <c r="E28" s="12">
        <f>SUMIF(Operación,"Alquiler",Venta)</f>
        <v>1631198</v>
      </c>
      <c r="G28" s="7" t="s">
        <v>251</v>
      </c>
      <c r="H28" s="12">
        <f>MAX(Venta)</f>
        <v>299996</v>
      </c>
    </row>
    <row r="29" spans="3:9" x14ac:dyDescent="0.3">
      <c r="D29" s="7" t="s">
        <v>250</v>
      </c>
      <c r="E29" s="12">
        <f>SUMIF(Operación,"Venta", Venta)</f>
        <v>3578911</v>
      </c>
      <c r="G29" s="7" t="s">
        <v>249</v>
      </c>
      <c r="H29" s="12">
        <f>MIN(Venta)</f>
        <v>187862</v>
      </c>
    </row>
  </sheetData>
  <mergeCells count="1">
    <mergeCell ref="D1:I1"/>
  </mergeCells>
  <phoneticPr fontId="13" type="noConversion"/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L60"/>
  <sheetViews>
    <sheetView showGridLines="0" topLeftCell="D1" zoomScaleNormal="100" workbookViewId="0">
      <selection activeCell="L2" sqref="L2"/>
    </sheetView>
  </sheetViews>
  <sheetFormatPr baseColWidth="10" defaultRowHeight="15" x14ac:dyDescent="0.25"/>
  <cols>
    <col min="1" max="2" width="2.5703125" style="22" customWidth="1"/>
    <col min="3" max="3" width="12.28515625" style="22" customWidth="1"/>
    <col min="4" max="4" width="12.28515625" style="23" customWidth="1"/>
    <col min="5" max="5" width="14.5703125" style="24" customWidth="1"/>
    <col min="6" max="6" width="21.140625" style="25" customWidth="1"/>
    <col min="7" max="7" width="17.85546875" style="26" customWidth="1"/>
    <col min="8" max="8" width="25.7109375" style="26" customWidth="1"/>
    <col min="9" max="9" width="30.85546875" style="26" customWidth="1"/>
    <col min="10" max="10" width="18.140625" style="27" customWidth="1"/>
    <col min="11" max="11" width="14.85546875" style="27" customWidth="1"/>
    <col min="12" max="12" width="14.28515625" style="127" customWidth="1"/>
    <col min="13" max="256" width="9.140625" style="22" customWidth="1"/>
    <col min="257" max="16384" width="11.42578125" style="22"/>
  </cols>
  <sheetData>
    <row r="1" spans="3:12" s="7" customFormat="1" ht="31.5" x14ac:dyDescent="0.5">
      <c r="D1" s="159" t="s">
        <v>212</v>
      </c>
      <c r="E1" s="159"/>
      <c r="F1" s="159"/>
      <c r="G1" s="159"/>
      <c r="H1" s="159"/>
      <c r="I1" s="159"/>
      <c r="L1" s="11"/>
    </row>
    <row r="2" spans="3:12" s="7" customFormat="1" ht="31.5" x14ac:dyDescent="0.5">
      <c r="D2" s="6" t="s">
        <v>356</v>
      </c>
      <c r="E2" s="5"/>
      <c r="F2" s="5"/>
      <c r="G2" s="5"/>
      <c r="H2" s="5"/>
      <c r="I2" s="5"/>
      <c r="J2" s="170">
        <v>1</v>
      </c>
      <c r="L2" s="11"/>
    </row>
    <row r="3" spans="3:12" ht="31.5" x14ac:dyDescent="0.5">
      <c r="D3" s="6" t="s">
        <v>357</v>
      </c>
      <c r="J3" s="170">
        <v>1</v>
      </c>
    </row>
    <row r="4" spans="3:12" ht="15.75" customHeight="1" x14ac:dyDescent="0.25"/>
    <row r="5" spans="3:12" ht="28.5" customHeight="1" x14ac:dyDescent="0.25">
      <c r="C5" s="22" t="s">
        <v>260</v>
      </c>
      <c r="D5" s="23" t="s">
        <v>261</v>
      </c>
      <c r="E5" s="24" t="s">
        <v>262</v>
      </c>
      <c r="F5" s="25" t="s">
        <v>263</v>
      </c>
      <c r="G5" s="26" t="s">
        <v>373</v>
      </c>
      <c r="H5" s="26" t="s">
        <v>374</v>
      </c>
      <c r="I5" s="26" t="s">
        <v>375</v>
      </c>
      <c r="J5" s="28" t="s">
        <v>265</v>
      </c>
      <c r="K5" s="29" t="s">
        <v>448</v>
      </c>
      <c r="L5" s="29" t="s">
        <v>449</v>
      </c>
    </row>
    <row r="6" spans="3:12" s="33" customFormat="1" ht="32.25" customHeight="1" x14ac:dyDescent="0.2">
      <c r="C6" s="30" t="s">
        <v>266</v>
      </c>
      <c r="D6" s="31" t="s">
        <v>267</v>
      </c>
      <c r="E6" s="30" t="s">
        <v>268</v>
      </c>
      <c r="F6" s="31" t="s">
        <v>269</v>
      </c>
      <c r="G6" s="32" t="s">
        <v>226</v>
      </c>
      <c r="H6" s="31" t="s">
        <v>270</v>
      </c>
      <c r="I6" s="31" t="s">
        <v>271</v>
      </c>
      <c r="J6" s="124" t="s">
        <v>445</v>
      </c>
      <c r="K6" s="124" t="s">
        <v>446</v>
      </c>
      <c r="L6" s="128" t="s">
        <v>447</v>
      </c>
    </row>
    <row r="7" spans="3:12" ht="12.75" x14ac:dyDescent="0.2">
      <c r="C7" s="34">
        <v>10024</v>
      </c>
      <c r="D7" s="35">
        <v>11772</v>
      </c>
      <c r="E7" s="36">
        <v>42465</v>
      </c>
      <c r="F7" s="37" t="s">
        <v>272</v>
      </c>
      <c r="G7" s="38">
        <v>150</v>
      </c>
      <c r="H7" s="37" t="s">
        <v>273</v>
      </c>
      <c r="I7" s="37" t="s">
        <v>274</v>
      </c>
      <c r="J7" s="123">
        <f>Tabla9[[#This Row],[Columna3]]+30</f>
        <v>42495</v>
      </c>
      <c r="K7" s="123">
        <f>Tabla9[[#This Row],[Columna3]]+90</f>
        <v>42555</v>
      </c>
      <c r="L7" s="123">
        <f>Tabla9[[#This Row],[Columna3]]+120</f>
        <v>42585</v>
      </c>
    </row>
    <row r="8" spans="3:12" ht="12.75" x14ac:dyDescent="0.2">
      <c r="C8" s="39">
        <v>10014</v>
      </c>
      <c r="D8" s="40">
        <v>11773</v>
      </c>
      <c r="E8" s="41">
        <v>42465</v>
      </c>
      <c r="F8" s="42" t="s">
        <v>275</v>
      </c>
      <c r="G8" s="43">
        <v>550</v>
      </c>
      <c r="H8" s="42" t="s">
        <v>276</v>
      </c>
      <c r="I8" s="42" t="s">
        <v>277</v>
      </c>
      <c r="J8" s="125">
        <f>Tabla9[[#This Row],[Columna3]]+30</f>
        <v>42495</v>
      </c>
      <c r="K8" s="125">
        <f>Tabla9[[#This Row],[Columna3]]+90</f>
        <v>42555</v>
      </c>
      <c r="L8" s="125">
        <f>Tabla9[[#This Row],[Columna3]]+120</f>
        <v>42585</v>
      </c>
    </row>
    <row r="9" spans="3:12" ht="12.75" x14ac:dyDescent="0.2">
      <c r="C9" s="44">
        <v>10034</v>
      </c>
      <c r="D9" s="45">
        <v>11774</v>
      </c>
      <c r="E9" s="46">
        <v>42465</v>
      </c>
      <c r="F9" s="47" t="s">
        <v>278</v>
      </c>
      <c r="G9" s="48">
        <v>750</v>
      </c>
      <c r="H9" s="47" t="s">
        <v>279</v>
      </c>
      <c r="I9" s="47" t="s">
        <v>280</v>
      </c>
      <c r="J9" s="126">
        <f>Tabla9[[#This Row],[Columna3]]+30</f>
        <v>42495</v>
      </c>
      <c r="K9" s="126">
        <f>Tabla9[[#This Row],[Columna3]]+90</f>
        <v>42555</v>
      </c>
      <c r="L9" s="126">
        <f>Tabla9[[#This Row],[Columna3]]+120</f>
        <v>42585</v>
      </c>
    </row>
    <row r="10" spans="3:12" ht="12.75" x14ac:dyDescent="0.2">
      <c r="C10" s="39">
        <v>10029</v>
      </c>
      <c r="D10" s="40">
        <v>11775</v>
      </c>
      <c r="E10" s="41">
        <v>42465</v>
      </c>
      <c r="F10" s="42" t="s">
        <v>281</v>
      </c>
      <c r="G10" s="43">
        <v>240</v>
      </c>
      <c r="H10" s="42" t="s">
        <v>282</v>
      </c>
      <c r="I10" s="42" t="s">
        <v>283</v>
      </c>
      <c r="J10" s="125">
        <f>Tabla9[[#This Row],[Columna3]]+30</f>
        <v>42495</v>
      </c>
      <c r="K10" s="125">
        <f>Tabla9[[#This Row],[Columna3]]+90</f>
        <v>42555</v>
      </c>
      <c r="L10" s="125">
        <f>Tabla9[[#This Row],[Columna3]]+120</f>
        <v>42585</v>
      </c>
    </row>
    <row r="11" spans="3:12" ht="12.75" x14ac:dyDescent="0.2">
      <c r="C11" s="44">
        <v>10030</v>
      </c>
      <c r="D11" s="45">
        <v>11776</v>
      </c>
      <c r="E11" s="46">
        <v>42526</v>
      </c>
      <c r="F11" s="47" t="s">
        <v>284</v>
      </c>
      <c r="G11" s="48">
        <v>61.5</v>
      </c>
      <c r="H11" s="47" t="s">
        <v>285</v>
      </c>
      <c r="I11" s="47" t="s">
        <v>286</v>
      </c>
      <c r="J11" s="126">
        <f>Tabla9[[#This Row],[Columna3]]+30</f>
        <v>42556</v>
      </c>
      <c r="K11" s="126">
        <f>Tabla9[[#This Row],[Columna3]]+90</f>
        <v>42616</v>
      </c>
      <c r="L11" s="126">
        <f>Tabla9[[#This Row],[Columna3]]+120</f>
        <v>42646</v>
      </c>
    </row>
    <row r="12" spans="3:12" ht="12.75" x14ac:dyDescent="0.2">
      <c r="C12" s="39">
        <v>10018</v>
      </c>
      <c r="D12" s="40">
        <v>11777</v>
      </c>
      <c r="E12" s="41">
        <v>42526</v>
      </c>
      <c r="F12" s="42" t="s">
        <v>287</v>
      </c>
      <c r="G12" s="43">
        <v>211.25</v>
      </c>
      <c r="H12" s="42" t="s">
        <v>288</v>
      </c>
      <c r="I12" s="42" t="s">
        <v>286</v>
      </c>
      <c r="J12" s="125">
        <f>Tabla9[[#This Row],[Columna3]]+30</f>
        <v>42556</v>
      </c>
      <c r="K12" s="125">
        <f>Tabla9[[#This Row],[Columna3]]+90</f>
        <v>42616</v>
      </c>
      <c r="L12" s="125">
        <f>Tabla9[[#This Row],[Columna3]]+120</f>
        <v>42646</v>
      </c>
    </row>
    <row r="13" spans="3:12" ht="12.75" x14ac:dyDescent="0.2">
      <c r="C13" s="44">
        <v>10035</v>
      </c>
      <c r="D13" s="45">
        <v>11778</v>
      </c>
      <c r="E13" s="46">
        <v>42526</v>
      </c>
      <c r="F13" s="47" t="s">
        <v>289</v>
      </c>
      <c r="G13" s="48">
        <v>220.13</v>
      </c>
      <c r="H13" s="47" t="s">
        <v>290</v>
      </c>
      <c r="I13" s="47" t="s">
        <v>291</v>
      </c>
      <c r="J13" s="126">
        <f>Tabla9[[#This Row],[Columna3]]+30</f>
        <v>42556</v>
      </c>
      <c r="K13" s="126">
        <f>Tabla9[[#This Row],[Columna3]]+90</f>
        <v>42616</v>
      </c>
      <c r="L13" s="126">
        <f>Tabla9[[#This Row],[Columna3]]+120</f>
        <v>42646</v>
      </c>
    </row>
    <row r="14" spans="3:12" ht="12.75" x14ac:dyDescent="0.2">
      <c r="C14" s="39">
        <v>10010</v>
      </c>
      <c r="D14" s="40">
        <v>11779</v>
      </c>
      <c r="E14" s="41">
        <v>42528</v>
      </c>
      <c r="F14" s="42" t="s">
        <v>292</v>
      </c>
      <c r="G14" s="43">
        <v>151.44</v>
      </c>
      <c r="H14" s="42" t="s">
        <v>293</v>
      </c>
      <c r="I14" s="42" t="s">
        <v>294</v>
      </c>
      <c r="J14" s="125">
        <f>Tabla9[[#This Row],[Columna3]]+30</f>
        <v>42558</v>
      </c>
      <c r="K14" s="125">
        <f>Tabla9[[#This Row],[Columna3]]+90</f>
        <v>42618</v>
      </c>
      <c r="L14" s="125">
        <f>Tabla9[[#This Row],[Columna3]]+120</f>
        <v>42648</v>
      </c>
    </row>
    <row r="15" spans="3:12" ht="12.75" x14ac:dyDescent="0.2">
      <c r="C15" s="44">
        <v>10012</v>
      </c>
      <c r="D15" s="45">
        <v>11781</v>
      </c>
      <c r="E15" s="46">
        <v>42528</v>
      </c>
      <c r="F15" s="47" t="s">
        <v>295</v>
      </c>
      <c r="G15" s="48">
        <v>98.66</v>
      </c>
      <c r="H15" s="47" t="s">
        <v>296</v>
      </c>
      <c r="I15" s="47" t="s">
        <v>297</v>
      </c>
      <c r="J15" s="126">
        <f>Tabla9[[#This Row],[Columna3]]+30</f>
        <v>42558</v>
      </c>
      <c r="K15" s="126">
        <f>Tabla9[[#This Row],[Columna3]]+90</f>
        <v>42618</v>
      </c>
      <c r="L15" s="126">
        <f>Tabla9[[#This Row],[Columna3]]+120</f>
        <v>42648</v>
      </c>
    </row>
    <row r="16" spans="3:12" ht="12.75" x14ac:dyDescent="0.2">
      <c r="C16" s="39">
        <v>10021</v>
      </c>
      <c r="D16" s="40">
        <v>11784</v>
      </c>
      <c r="E16" s="41">
        <v>42528</v>
      </c>
      <c r="F16" s="42" t="s">
        <v>298</v>
      </c>
      <c r="G16" s="43">
        <v>414.35</v>
      </c>
      <c r="H16" s="42" t="s">
        <v>299</v>
      </c>
      <c r="I16" s="42" t="s">
        <v>291</v>
      </c>
      <c r="J16" s="125">
        <f>Tabla9[[#This Row],[Columna3]]+30</f>
        <v>42558</v>
      </c>
      <c r="K16" s="125">
        <f>Tabla9[[#This Row],[Columna3]]+90</f>
        <v>42618</v>
      </c>
      <c r="L16" s="125">
        <f>Tabla9[[#This Row],[Columna3]]+120</f>
        <v>42648</v>
      </c>
    </row>
    <row r="17" spans="3:12" ht="12.75" x14ac:dyDescent="0.2">
      <c r="C17" s="44">
        <v>10022</v>
      </c>
      <c r="D17" s="45">
        <v>11785</v>
      </c>
      <c r="E17" s="46">
        <v>42529</v>
      </c>
      <c r="F17" s="47" t="s">
        <v>300</v>
      </c>
      <c r="G17" s="48">
        <v>75.989999999999995</v>
      </c>
      <c r="H17" s="47" t="s">
        <v>301</v>
      </c>
      <c r="I17" s="47" t="s">
        <v>302</v>
      </c>
      <c r="J17" s="126">
        <f>Tabla9[[#This Row],[Columna3]]+30</f>
        <v>42559</v>
      </c>
      <c r="K17" s="126">
        <f>Tabla9[[#This Row],[Columna3]]+90</f>
        <v>42619</v>
      </c>
      <c r="L17" s="126">
        <f>Tabla9[[#This Row],[Columna3]]+120</f>
        <v>42649</v>
      </c>
    </row>
    <row r="18" spans="3:12" ht="12.75" x14ac:dyDescent="0.2">
      <c r="C18" s="39">
        <v>10026</v>
      </c>
      <c r="D18" s="40">
        <v>11786</v>
      </c>
      <c r="E18" s="41">
        <v>42529</v>
      </c>
      <c r="F18" s="42" t="s">
        <v>303</v>
      </c>
      <c r="G18" s="43">
        <v>159.88</v>
      </c>
      <c r="H18" s="42" t="s">
        <v>304</v>
      </c>
      <c r="I18" s="42" t="s">
        <v>305</v>
      </c>
      <c r="J18" s="125">
        <f>Tabla9[[#This Row],[Columna3]]+30</f>
        <v>42559</v>
      </c>
      <c r="K18" s="125">
        <f>Tabla9[[#This Row],[Columna3]]+90</f>
        <v>42619</v>
      </c>
      <c r="L18" s="125">
        <f>Tabla9[[#This Row],[Columna3]]+120</f>
        <v>42649</v>
      </c>
    </row>
    <row r="19" spans="3:12" ht="12.75" x14ac:dyDescent="0.2">
      <c r="C19" s="44">
        <v>10033</v>
      </c>
      <c r="D19" s="45">
        <v>11787</v>
      </c>
      <c r="E19" s="46">
        <v>42529</v>
      </c>
      <c r="F19" s="47" t="s">
        <v>306</v>
      </c>
      <c r="G19" s="48">
        <v>190</v>
      </c>
      <c r="H19" s="47" t="s">
        <v>307</v>
      </c>
      <c r="I19" s="47" t="s">
        <v>308</v>
      </c>
      <c r="J19" s="126">
        <f>Tabla9[[#This Row],[Columna3]]+30</f>
        <v>42559</v>
      </c>
      <c r="K19" s="126">
        <f>Tabla9[[#This Row],[Columna3]]+90</f>
        <v>42619</v>
      </c>
      <c r="L19" s="126">
        <f>Tabla9[[#This Row],[Columna3]]+120</f>
        <v>42649</v>
      </c>
    </row>
    <row r="20" spans="3:12" ht="12.75" x14ac:dyDescent="0.2">
      <c r="C20" s="39">
        <v>10015</v>
      </c>
      <c r="D20" s="40">
        <v>11789</v>
      </c>
      <c r="E20" s="41">
        <v>42529</v>
      </c>
      <c r="F20" s="42" t="s">
        <v>309</v>
      </c>
      <c r="G20" s="43">
        <v>561.11</v>
      </c>
      <c r="H20" s="42" t="s">
        <v>310</v>
      </c>
      <c r="I20" s="42" t="s">
        <v>311</v>
      </c>
      <c r="J20" s="125">
        <f>Tabla9[[#This Row],[Columna3]]+30</f>
        <v>42559</v>
      </c>
      <c r="K20" s="125">
        <f>Tabla9[[#This Row],[Columna3]]+90</f>
        <v>42619</v>
      </c>
      <c r="L20" s="125">
        <f>Tabla9[[#This Row],[Columna3]]+120</f>
        <v>42649</v>
      </c>
    </row>
    <row r="21" spans="3:12" ht="12.75" x14ac:dyDescent="0.2">
      <c r="C21" s="44">
        <v>10036</v>
      </c>
      <c r="D21" s="45">
        <v>11790</v>
      </c>
      <c r="E21" s="46">
        <v>42529</v>
      </c>
      <c r="F21" s="47" t="s">
        <v>312</v>
      </c>
      <c r="G21" s="48">
        <v>180.25</v>
      </c>
      <c r="H21" s="47" t="s">
        <v>313</v>
      </c>
      <c r="I21" s="47" t="s">
        <v>314</v>
      </c>
      <c r="J21" s="126">
        <f>Tabla9[[#This Row],[Columna3]]+30</f>
        <v>42559</v>
      </c>
      <c r="K21" s="126">
        <f>Tabla9[[#This Row],[Columna3]]+90</f>
        <v>42619</v>
      </c>
      <c r="L21" s="126">
        <f>Tabla9[[#This Row],[Columna3]]+120</f>
        <v>42649</v>
      </c>
    </row>
    <row r="22" spans="3:12" ht="12.75" x14ac:dyDescent="0.2">
      <c r="C22" s="39">
        <v>10032</v>
      </c>
      <c r="D22" s="40">
        <v>11791</v>
      </c>
      <c r="E22" s="41">
        <v>42529</v>
      </c>
      <c r="F22" s="42" t="s">
        <v>315</v>
      </c>
      <c r="G22" s="43">
        <v>424.6</v>
      </c>
      <c r="H22" s="42" t="s">
        <v>316</v>
      </c>
      <c r="I22" s="42" t="s">
        <v>317</v>
      </c>
      <c r="J22" s="125">
        <f>Tabla9[[#This Row],[Columna3]]+30</f>
        <v>42559</v>
      </c>
      <c r="K22" s="125">
        <f>Tabla9[[#This Row],[Columna3]]+90</f>
        <v>42619</v>
      </c>
      <c r="L22" s="125">
        <f>Tabla9[[#This Row],[Columna3]]+120</f>
        <v>42649</v>
      </c>
    </row>
    <row r="23" spans="3:12" ht="12.75" x14ac:dyDescent="0.2">
      <c r="C23" s="44">
        <v>10017</v>
      </c>
      <c r="D23" s="45">
        <v>11792</v>
      </c>
      <c r="E23" s="46">
        <v>42530</v>
      </c>
      <c r="F23" s="47" t="s">
        <v>318</v>
      </c>
      <c r="G23" s="48">
        <v>119.85</v>
      </c>
      <c r="H23" s="47" t="s">
        <v>319</v>
      </c>
      <c r="I23" s="47" t="s">
        <v>317</v>
      </c>
      <c r="J23" s="126">
        <f>Tabla9[[#This Row],[Columna3]]+30</f>
        <v>42560</v>
      </c>
      <c r="K23" s="126">
        <f>Tabla9[[#This Row],[Columna3]]+90</f>
        <v>42620</v>
      </c>
      <c r="L23" s="126">
        <f>Tabla9[[#This Row],[Columna3]]+120</f>
        <v>42650</v>
      </c>
    </row>
    <row r="24" spans="3:12" ht="12.75" x14ac:dyDescent="0.2">
      <c r="C24" s="39">
        <v>10023</v>
      </c>
      <c r="D24" s="40">
        <v>11796</v>
      </c>
      <c r="E24" s="41">
        <v>42530</v>
      </c>
      <c r="F24" s="42" t="s">
        <v>320</v>
      </c>
      <c r="G24" s="43">
        <v>1751.25</v>
      </c>
      <c r="H24" s="42" t="s">
        <v>321</v>
      </c>
      <c r="I24" s="42" t="s">
        <v>305</v>
      </c>
      <c r="J24" s="125">
        <f>Tabla9[[#This Row],[Columna3]]+30</f>
        <v>42560</v>
      </c>
      <c r="K24" s="125">
        <f>Tabla9[[#This Row],[Columna3]]+90</f>
        <v>42620</v>
      </c>
      <c r="L24" s="125">
        <f>Tabla9[[#This Row],[Columna3]]+120</f>
        <v>42650</v>
      </c>
    </row>
    <row r="25" spans="3:12" ht="12.75" x14ac:dyDescent="0.2">
      <c r="C25" s="44">
        <v>10016</v>
      </c>
      <c r="D25" s="45">
        <v>11797</v>
      </c>
      <c r="E25" s="46">
        <v>42530</v>
      </c>
      <c r="F25" s="47" t="s">
        <v>322</v>
      </c>
      <c r="G25" s="48">
        <v>531.66999999999996</v>
      </c>
      <c r="H25" s="47" t="s">
        <v>323</v>
      </c>
      <c r="I25" s="47" t="s">
        <v>324</v>
      </c>
      <c r="J25" s="126">
        <f>Tabla9[[#This Row],[Columna3]]+30</f>
        <v>42560</v>
      </c>
      <c r="K25" s="126">
        <f>Tabla9[[#This Row],[Columna3]]+90</f>
        <v>42620</v>
      </c>
      <c r="L25" s="126">
        <f>Tabla9[[#This Row],[Columna3]]+120</f>
        <v>42650</v>
      </c>
    </row>
    <row r="26" spans="3:12" ht="12.75" x14ac:dyDescent="0.2">
      <c r="C26" s="39">
        <v>10028</v>
      </c>
      <c r="D26" s="40">
        <v>11798</v>
      </c>
      <c r="E26" s="41">
        <v>42530</v>
      </c>
      <c r="F26" s="42" t="s">
        <v>325</v>
      </c>
      <c r="G26" s="43">
        <v>1150.95</v>
      </c>
      <c r="H26" s="42" t="s">
        <v>326</v>
      </c>
      <c r="I26" s="42" t="s">
        <v>327</v>
      </c>
      <c r="J26" s="125">
        <f>Tabla9[[#This Row],[Columna3]]+30</f>
        <v>42560</v>
      </c>
      <c r="K26" s="125">
        <f>Tabla9[[#This Row],[Columna3]]+90</f>
        <v>42620</v>
      </c>
      <c r="L26" s="125">
        <f>Tabla9[[#This Row],[Columna3]]+120</f>
        <v>42650</v>
      </c>
    </row>
    <row r="27" spans="3:12" ht="12.75" x14ac:dyDescent="0.2">
      <c r="C27" s="44">
        <v>10025</v>
      </c>
      <c r="D27" s="45">
        <v>11802</v>
      </c>
      <c r="E27" s="46">
        <v>42531</v>
      </c>
      <c r="F27" s="47" t="s">
        <v>328</v>
      </c>
      <c r="G27" s="48">
        <v>433.94</v>
      </c>
      <c r="H27" s="47" t="s">
        <v>329</v>
      </c>
      <c r="I27" s="47" t="s">
        <v>330</v>
      </c>
      <c r="J27" s="126">
        <f>Tabla9[[#This Row],[Columna3]]+30</f>
        <v>42561</v>
      </c>
      <c r="K27" s="126">
        <f>Tabla9[[#This Row],[Columna3]]+90</f>
        <v>42621</v>
      </c>
      <c r="L27" s="126">
        <f>Tabla9[[#This Row],[Columna3]]+120</f>
        <v>42651</v>
      </c>
    </row>
    <row r="28" spans="3:12" ht="12.75" x14ac:dyDescent="0.2">
      <c r="C28" s="39">
        <v>10011</v>
      </c>
      <c r="D28" s="40">
        <v>11804</v>
      </c>
      <c r="E28" s="41">
        <v>42531</v>
      </c>
      <c r="F28" s="42" t="s">
        <v>331</v>
      </c>
      <c r="G28" s="43">
        <v>415.09</v>
      </c>
      <c r="H28" s="42" t="s">
        <v>332</v>
      </c>
      <c r="I28" s="42" t="s">
        <v>333</v>
      </c>
      <c r="J28" s="125">
        <f>Tabla9[[#This Row],[Columna3]]+30</f>
        <v>42561</v>
      </c>
      <c r="K28" s="125">
        <f>Tabla9[[#This Row],[Columna3]]+90</f>
        <v>42621</v>
      </c>
      <c r="L28" s="125">
        <f>Tabla9[[#This Row],[Columna3]]+120</f>
        <v>42651</v>
      </c>
    </row>
    <row r="29" spans="3:12" ht="12.75" x14ac:dyDescent="0.2">
      <c r="C29" s="44">
        <v>10013</v>
      </c>
      <c r="D29" s="45">
        <v>11805</v>
      </c>
      <c r="E29" s="46">
        <v>42531</v>
      </c>
      <c r="F29" s="47" t="s">
        <v>334</v>
      </c>
      <c r="G29" s="48">
        <v>410.75</v>
      </c>
      <c r="H29" s="47" t="s">
        <v>335</v>
      </c>
      <c r="I29" s="47" t="s">
        <v>336</v>
      </c>
      <c r="J29" s="126">
        <f>Tabla9[[#This Row],[Columna3]]+30</f>
        <v>42561</v>
      </c>
      <c r="K29" s="126">
        <f>Tabla9[[#This Row],[Columna3]]+90</f>
        <v>42621</v>
      </c>
      <c r="L29" s="126">
        <f>Tabla9[[#This Row],[Columna3]]+120</f>
        <v>42651</v>
      </c>
    </row>
    <row r="30" spans="3:12" ht="12.75" x14ac:dyDescent="0.2">
      <c r="C30" s="39">
        <v>10027</v>
      </c>
      <c r="D30" s="40">
        <v>11806</v>
      </c>
      <c r="E30" s="41">
        <v>42531</v>
      </c>
      <c r="F30" s="42" t="s">
        <v>337</v>
      </c>
      <c r="G30" s="43">
        <v>2568.75</v>
      </c>
      <c r="H30" s="42" t="s">
        <v>338</v>
      </c>
      <c r="I30" s="42" t="s">
        <v>339</v>
      </c>
      <c r="J30" s="125">
        <f>Tabla9[[#This Row],[Columna3]]+30</f>
        <v>42561</v>
      </c>
      <c r="K30" s="125">
        <f>Tabla9[[#This Row],[Columna3]]+90</f>
        <v>42621</v>
      </c>
      <c r="L30" s="125">
        <f>Tabla9[[#This Row],[Columna3]]+120</f>
        <v>42651</v>
      </c>
    </row>
    <row r="31" spans="3:12" ht="12.75" x14ac:dyDescent="0.2">
      <c r="C31" s="44">
        <v>10020</v>
      </c>
      <c r="D31" s="45">
        <v>11811</v>
      </c>
      <c r="E31" s="46">
        <v>42532</v>
      </c>
      <c r="F31" s="47" t="s">
        <v>340</v>
      </c>
      <c r="G31" s="48">
        <v>1611.34</v>
      </c>
      <c r="H31" s="47" t="s">
        <v>341</v>
      </c>
      <c r="I31" s="47" t="s">
        <v>311</v>
      </c>
      <c r="J31" s="126">
        <f>Tabla9[[#This Row],[Columna3]]+30</f>
        <v>42562</v>
      </c>
      <c r="K31" s="126">
        <f>Tabla9[[#This Row],[Columna3]]+90</f>
        <v>42622</v>
      </c>
      <c r="L31" s="126">
        <f>Tabla9[[#This Row],[Columna3]]+120</f>
        <v>42652</v>
      </c>
    </row>
    <row r="32" spans="3:12" ht="12.75" x14ac:dyDescent="0.2">
      <c r="C32" s="39">
        <v>10019</v>
      </c>
      <c r="D32" s="40">
        <v>11814</v>
      </c>
      <c r="E32" s="41">
        <v>42532</v>
      </c>
      <c r="F32" s="42" t="s">
        <v>342</v>
      </c>
      <c r="G32" s="43">
        <v>765.88</v>
      </c>
      <c r="H32" s="42" t="s">
        <v>343</v>
      </c>
      <c r="I32" s="42" t="s">
        <v>344</v>
      </c>
      <c r="J32" s="125">
        <f>Tabla9[[#This Row],[Columna3]]+30</f>
        <v>42562</v>
      </c>
      <c r="K32" s="125">
        <f>Tabla9[[#This Row],[Columna3]]+90</f>
        <v>42622</v>
      </c>
      <c r="L32" s="125">
        <f>Tabla9[[#This Row],[Columna3]]+120</f>
        <v>42652</v>
      </c>
    </row>
    <row r="33" spans="3:12" ht="12.75" x14ac:dyDescent="0.2">
      <c r="C33" s="44">
        <v>10031</v>
      </c>
      <c r="D33" s="45">
        <v>11822</v>
      </c>
      <c r="E33" s="46">
        <v>42551</v>
      </c>
      <c r="F33" s="47" t="s">
        <v>345</v>
      </c>
      <c r="G33" s="48">
        <v>4132.5</v>
      </c>
      <c r="H33" s="47" t="s">
        <v>346</v>
      </c>
      <c r="I33" s="47" t="s">
        <v>291</v>
      </c>
      <c r="J33" s="126">
        <f>Tabla9[[#This Row],[Columna3]]+30</f>
        <v>42581</v>
      </c>
      <c r="K33" s="126">
        <f>Tabla9[[#This Row],[Columna3]]+90</f>
        <v>42641</v>
      </c>
      <c r="L33" s="126">
        <f>Tabla9[[#This Row],[Columna3]]+120</f>
        <v>42671</v>
      </c>
    </row>
    <row r="34" spans="3:12" ht="12.75" x14ac:dyDescent="0.2">
      <c r="D34" s="22"/>
      <c r="E34" s="22"/>
      <c r="F34" s="22"/>
      <c r="G34" s="22"/>
      <c r="H34" s="22"/>
      <c r="I34" s="22"/>
      <c r="J34" s="22"/>
      <c r="K34" s="22"/>
      <c r="L34" s="57"/>
    </row>
    <row r="35" spans="3:12" ht="12.75" x14ac:dyDescent="0.2">
      <c r="D35" s="22"/>
      <c r="E35" s="22"/>
      <c r="F35" s="22"/>
      <c r="G35" s="22"/>
      <c r="H35" s="22"/>
      <c r="I35" s="22"/>
      <c r="J35" s="22"/>
      <c r="K35" s="22"/>
      <c r="L35" s="57"/>
    </row>
    <row r="36" spans="3:12" ht="12.75" x14ac:dyDescent="0.2">
      <c r="D36" s="22"/>
      <c r="E36" s="22"/>
      <c r="F36" s="22"/>
      <c r="G36" s="22"/>
      <c r="H36" s="22"/>
      <c r="I36" s="22"/>
      <c r="J36" s="22"/>
      <c r="K36" s="22"/>
      <c r="L36" s="57"/>
    </row>
    <row r="37" spans="3:12" ht="12.75" x14ac:dyDescent="0.2">
      <c r="D37" s="22"/>
      <c r="E37" s="22"/>
      <c r="F37" s="22"/>
      <c r="G37" s="22"/>
      <c r="H37" s="22"/>
      <c r="I37" s="22"/>
      <c r="J37" s="22"/>
      <c r="K37" s="22"/>
      <c r="L37" s="57"/>
    </row>
    <row r="38" spans="3:12" ht="12.75" x14ac:dyDescent="0.2">
      <c r="D38" s="22"/>
      <c r="E38" s="22"/>
      <c r="F38" s="22"/>
      <c r="G38" s="22"/>
      <c r="H38" s="22"/>
      <c r="I38" s="22"/>
      <c r="J38" s="22"/>
      <c r="K38" s="22"/>
      <c r="L38" s="57"/>
    </row>
    <row r="39" spans="3:12" ht="12.75" x14ac:dyDescent="0.2">
      <c r="D39" s="22"/>
      <c r="E39" s="22"/>
      <c r="F39" s="22"/>
      <c r="G39" s="22"/>
      <c r="H39" s="22"/>
      <c r="I39" s="22"/>
      <c r="J39" s="22"/>
      <c r="K39" s="22"/>
      <c r="L39" s="57"/>
    </row>
    <row r="40" spans="3:12" ht="12.75" x14ac:dyDescent="0.2">
      <c r="D40" s="22"/>
      <c r="E40" s="22"/>
      <c r="F40" s="22"/>
      <c r="G40" s="22"/>
      <c r="H40" s="22"/>
      <c r="I40" s="22"/>
      <c r="J40" s="22"/>
      <c r="K40" s="22"/>
      <c r="L40" s="57"/>
    </row>
    <row r="41" spans="3:12" ht="12.75" x14ac:dyDescent="0.2">
      <c r="D41" s="22"/>
      <c r="E41" s="22"/>
      <c r="F41" s="22"/>
      <c r="G41" s="22"/>
      <c r="H41" s="22"/>
      <c r="I41" s="22"/>
      <c r="J41" s="22"/>
      <c r="K41" s="22"/>
      <c r="L41" s="57"/>
    </row>
    <row r="42" spans="3:12" ht="12.75" x14ac:dyDescent="0.2">
      <c r="D42" s="22"/>
      <c r="E42" s="22"/>
      <c r="F42" s="22"/>
      <c r="G42" s="22"/>
      <c r="H42" s="22"/>
      <c r="I42" s="22"/>
      <c r="J42" s="22"/>
      <c r="K42" s="22"/>
      <c r="L42" s="57"/>
    </row>
    <row r="43" spans="3:12" ht="12.75" x14ac:dyDescent="0.2">
      <c r="D43" s="22"/>
      <c r="E43" s="22"/>
      <c r="F43" s="22"/>
      <c r="G43" s="22"/>
      <c r="H43" s="22"/>
      <c r="I43" s="22"/>
      <c r="J43" s="22"/>
      <c r="K43" s="22"/>
      <c r="L43" s="57"/>
    </row>
    <row r="44" spans="3:12" ht="12.75" x14ac:dyDescent="0.2">
      <c r="D44" s="22"/>
      <c r="E44" s="22"/>
      <c r="F44" s="22"/>
      <c r="G44" s="22"/>
      <c r="H44" s="22"/>
      <c r="I44" s="22"/>
      <c r="J44" s="22"/>
      <c r="K44" s="22"/>
      <c r="L44" s="57"/>
    </row>
    <row r="45" spans="3:12" ht="12.75" x14ac:dyDescent="0.2">
      <c r="D45" s="22"/>
      <c r="E45" s="22"/>
      <c r="F45" s="22"/>
      <c r="G45" s="22"/>
      <c r="H45" s="22"/>
      <c r="I45" s="22"/>
      <c r="J45" s="22"/>
      <c r="K45" s="22"/>
      <c r="L45" s="57"/>
    </row>
    <row r="46" spans="3:12" ht="12.75" x14ac:dyDescent="0.2">
      <c r="D46" s="22"/>
      <c r="E46" s="22"/>
      <c r="F46" s="22"/>
      <c r="G46" s="22"/>
      <c r="H46" s="22"/>
      <c r="I46" s="22"/>
      <c r="J46" s="22"/>
      <c r="K46" s="22"/>
      <c r="L46" s="57"/>
    </row>
    <row r="47" spans="3:12" ht="12.75" x14ac:dyDescent="0.2">
      <c r="D47" s="22"/>
      <c r="E47" s="22"/>
      <c r="F47" s="22"/>
      <c r="G47" s="22"/>
      <c r="H47" s="22"/>
      <c r="I47" s="22"/>
      <c r="J47" s="22"/>
      <c r="K47" s="22"/>
      <c r="L47" s="57"/>
    </row>
    <row r="48" spans="3:12" ht="12.75" x14ac:dyDescent="0.2">
      <c r="D48" s="22"/>
      <c r="E48" s="22"/>
      <c r="F48" s="22"/>
      <c r="G48" s="22"/>
      <c r="H48" s="22"/>
      <c r="I48" s="22"/>
      <c r="J48" s="22"/>
      <c r="K48" s="22"/>
      <c r="L48" s="57"/>
    </row>
    <row r="49" spans="12:12" s="22" customFormat="1" ht="12.75" x14ac:dyDescent="0.2">
      <c r="L49" s="57"/>
    </row>
    <row r="50" spans="12:12" s="22" customFormat="1" ht="12.75" x14ac:dyDescent="0.2">
      <c r="L50" s="57"/>
    </row>
    <row r="51" spans="12:12" s="22" customFormat="1" ht="12.75" x14ac:dyDescent="0.2">
      <c r="L51" s="57"/>
    </row>
    <row r="52" spans="12:12" s="22" customFormat="1" ht="12.75" x14ac:dyDescent="0.2">
      <c r="L52" s="57"/>
    </row>
    <row r="53" spans="12:12" s="22" customFormat="1" ht="12.75" x14ac:dyDescent="0.2">
      <c r="L53" s="57"/>
    </row>
    <row r="54" spans="12:12" s="22" customFormat="1" ht="12.75" x14ac:dyDescent="0.2">
      <c r="L54" s="57"/>
    </row>
    <row r="55" spans="12:12" s="22" customFormat="1" ht="12.75" x14ac:dyDescent="0.2">
      <c r="L55" s="57"/>
    </row>
    <row r="56" spans="12:12" s="22" customFormat="1" ht="12.75" x14ac:dyDescent="0.2">
      <c r="L56" s="57"/>
    </row>
    <row r="57" spans="12:12" s="22" customFormat="1" ht="12.75" x14ac:dyDescent="0.2">
      <c r="L57" s="57"/>
    </row>
    <row r="58" spans="12:12" s="22" customFormat="1" ht="12.75" x14ac:dyDescent="0.2">
      <c r="L58" s="57"/>
    </row>
    <row r="59" spans="12:12" s="22" customFormat="1" ht="12.75" x14ac:dyDescent="0.2">
      <c r="L59" s="57"/>
    </row>
    <row r="60" spans="12:12" s="22" customFormat="1" ht="12.75" x14ac:dyDescent="0.2">
      <c r="L60" s="57"/>
    </row>
  </sheetData>
  <mergeCells count="1">
    <mergeCell ref="D1:I1"/>
  </mergeCells>
  <conditionalFormatting sqref="G6:G33">
    <cfRule type="top10" dxfId="151" priority="4" rank="5"/>
  </conditionalFormatting>
  <conditionalFormatting sqref="G5:G33">
    <cfRule type="top10" dxfId="150" priority="3" rank="5"/>
  </conditionalFormatting>
  <conditionalFormatting sqref="J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B92725-F065-462A-B8EE-221B09C7F73E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14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19" baseType="lpstr">
      <vt:lpstr>Lista de pedidos</vt:lpstr>
      <vt:lpstr>Clientes</vt:lpstr>
      <vt:lpstr>Proveedores</vt:lpstr>
      <vt:lpstr>Inventario</vt:lpstr>
      <vt:lpstr>Hoja1</vt:lpstr>
      <vt:lpstr>Clasificación</vt:lpstr>
      <vt:lpstr>Grafico clasificación</vt:lpstr>
      <vt:lpstr>Auditoría</vt:lpstr>
      <vt:lpstr>RécordClientes</vt:lpstr>
      <vt:lpstr>RécordFacturas</vt:lpstr>
      <vt:lpstr>Top Empresas Mundial</vt:lpstr>
      <vt:lpstr>Top Empresas México</vt:lpstr>
      <vt:lpstr>T. Dinamicas Top Empresas Méxic</vt:lpstr>
      <vt:lpstr>Dashboard Top 10</vt:lpstr>
      <vt:lpstr>GraficoInventario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cp:lastPrinted>2021-06-28T02:45:00Z</cp:lastPrinted>
  <dcterms:created xsi:type="dcterms:W3CDTF">2021-06-24T20:15:17Z</dcterms:created>
  <dcterms:modified xsi:type="dcterms:W3CDTF">2021-06-28T16:40:39Z</dcterms:modified>
</cp:coreProperties>
</file>