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slicers/slicer1.xml" ContentType="application/vnd.ms-excel.slicer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924C8C8C-680A-4A74-A9C4-21CB58A12F9E}" xr6:coauthVersionLast="47" xr6:coauthVersionMax="47" xr10:uidLastSave="{00000000-0000-0000-0000-000000000000}"/>
  <bookViews>
    <workbookView xWindow="-120" yWindow="-120" windowWidth="20730" windowHeight="11160" firstSheet="6" activeTab="10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13" r:id="rId4"/>
    <sheet name="Grafica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</sheets>
  <externalReferences>
    <externalReference r:id="rId12"/>
    <externalReference r:id="rId13"/>
  </externalReferences>
  <definedNames>
    <definedName name="_xlnm._FilterDatabase" localSheetId="7" hidden="1">RécordClientes!$C$6:$L$33</definedName>
    <definedName name="_xlnm._FilterDatabase" localSheetId="8" hidden="1">RécordFacturas!$B$12:$B$66</definedName>
    <definedName name="_xlnm.Extract">#REF!</definedName>
    <definedName name="_xlnm.Print_Area" localSheetId="10">'Top Empresas México'!$B$11:$T$31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  <x14:slicerCache r:id="rId15"/>
        <x14:slicerCache r:id="rId16"/>
        <x14:slicerCache r:id="rId17"/>
      </x15:slicerCaches>
    </ext>
  </extLst>
</workbook>
</file>

<file path=xl/calcChain.xml><?xml version="1.0" encoding="utf-8"?>
<calcChain xmlns="http://schemas.openxmlformats.org/spreadsheetml/2006/main">
  <c r="F27" i="10" l="1"/>
  <c r="G27" i="10"/>
  <c r="U27" i="10"/>
  <c r="H13" i="9"/>
  <c r="N11" i="13"/>
  <c r="N12" i="13"/>
  <c r="N13" i="13" l="1"/>
  <c r="J7" i="8"/>
  <c r="E32" i="11"/>
  <c r="G32" i="11"/>
  <c r="F32" i="11"/>
  <c r="T32" i="11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E28" i="7"/>
  <c r="K5" i="6"/>
  <c r="L5" i="6" s="1"/>
  <c r="K4" i="6"/>
  <c r="K6" i="6" s="1"/>
  <c r="G37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H27" i="10" l="1"/>
  <c r="H13" i="6"/>
  <c r="H7" i="6"/>
  <c r="L4" i="6"/>
  <c r="L6" i="6" s="1"/>
  <c r="H35" i="6"/>
  <c r="H34" i="6"/>
  <c r="H18" i="6"/>
  <c r="H25" i="6"/>
  <c r="H36" i="6"/>
  <c r="H33" i="6"/>
  <c r="H17" i="6"/>
  <c r="H23" i="6"/>
  <c r="H32" i="6"/>
  <c r="H16" i="6"/>
  <c r="H26" i="6"/>
  <c r="H24" i="6"/>
  <c r="H27" i="6"/>
  <c r="H14" i="6"/>
  <c r="H15" i="6"/>
  <c r="H31" i="6"/>
  <c r="H22" i="6"/>
  <c r="H12" i="6"/>
  <c r="D37" i="6"/>
  <c r="H30" i="6"/>
  <c r="H20" i="6"/>
  <c r="H11" i="6"/>
  <c r="H28" i="6"/>
  <c r="H19" i="6"/>
  <c r="H10" i="6"/>
  <c r="H9" i="6"/>
  <c r="H8" i="6"/>
  <c r="H29" i="6"/>
  <c r="H21" i="6"/>
  <c r="H37" i="6" l="1"/>
  <c r="I39" i="13" l="1"/>
  <c r="K39" i="13"/>
  <c r="C10" i="13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B15" i="4" l="1"/>
  <c r="E15" i="4"/>
  <c r="D42" i="2"/>
  <c r="G36" i="2"/>
  <c r="J36" i="2"/>
  <c r="D40" i="2"/>
  <c r="M17" i="1" l="1"/>
  <c r="H28" i="7" l="1"/>
  <c r="E29" i="7"/>
  <c r="H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372B8264-0F7E-4F17-99F5-7FBE07BC6F3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32E20D20-AB71-4332-A518-A57340507D0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4" authorId="0" shapeId="0" xr:uid="{DD5A190A-40D5-462A-8ECA-4853149E238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10" authorId="0" shapeId="0" xr:uid="{8A292EC1-8A8B-42EC-8842-E13E28902CA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Bien te la paso por buena pero recuerda los dashboard son para hacer representaciones graficas vale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83C5E60C-48CF-48EE-B847-5207D57C808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3" authorId="0" shapeId="0" xr:uid="{C00AC01B-971D-45E5-A68C-26B22DD2E8D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4" authorId="0" shapeId="0" xr:uid="{8C976B31-A24C-4CF6-B8FD-A1873DB2E0F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E4D37B6A-6282-4786-90AA-05CAF70FD86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Creo que te confundiste el formato era el de abajo superior al promedio te dejo un ejemplo para que los compares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51CB18B2-4D23-43CB-ADAE-FE4952517FD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3FA340FB-D7A6-4866-A632-A55DF5AC809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Excelente, tu respondiste por una función esta bien pero era responder por el resultado que te arroja el flitro pero como te comento esta bien</t>
        </r>
      </text>
    </comment>
    <comment ref="M4" authorId="0" shapeId="0" xr:uid="{9D7BCF5E-3739-476A-8706-8819CFB7036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N2" authorId="0" shapeId="0" xr:uid="{7BFB97D7-89FF-4551-8D18-B456B28E200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N3" authorId="0" shapeId="0" xr:uid="{0BB805F7-7BAA-42D9-AA6D-0FD434D11BA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N4" authorId="0" shapeId="0" xr:uid="{FA630CFF-1975-4F89-9BEA-DC342DBAEDB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solo recuerda que los graficos que se prestan a los porcentajes son los circulares los de barra son para numeros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CB85BE2B-3373-4F11-9A13-855E19EC242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1838CBA1-6C0E-4A2D-9352-96E32FFCF2A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2214819F-6084-4A36-B7E7-1A5F28F5F6B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N2" authorId="0" shapeId="0" xr:uid="{7CB2C5A2-2B97-4EC0-8CD7-B4950516FC2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N3" authorId="0" shapeId="0" xr:uid="{0202ECEA-67A0-4F82-AD8F-5A14A68F6E0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B3" authorId="0" shapeId="0" xr:uid="{388596AC-DDB3-4780-B0AE-E625DAC62F6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El error radica en que eran minigraficos te dejo un ejemplo</t>
        </r>
      </text>
    </comment>
  </commentList>
</comments>
</file>

<file path=xl/sharedStrings.xml><?xml version="1.0" encoding="utf-8"?>
<sst xmlns="http://schemas.openxmlformats.org/spreadsheetml/2006/main" count="1036" uniqueCount="447">
  <si>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</si>
  <si>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</si>
  <si>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</si>
  <si>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</si>
  <si>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</si>
  <si>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</si>
  <si>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</si>
  <si>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</si>
  <si>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</si>
  <si>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</si>
  <si>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</si>
  <si>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</si>
  <si>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</si>
  <si>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</si>
  <si>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</si>
  <si>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</si>
  <si>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</si>
  <si>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</si>
  <si>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</si>
  <si>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</si>
  <si>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</si>
  <si>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</si>
  <si>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</si>
  <si>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</si>
  <si>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</si>
  <si>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</si>
  <si>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</si>
  <si>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</si>
  <si>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</si>
  <si>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</si>
  <si>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</si>
  <si>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</si>
  <si>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</si>
  <si>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</si>
  <si>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</si>
  <si>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</si>
  <si>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</si>
  <si>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</si>
  <si>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</si>
  <si>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</si>
  <si>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</si>
  <si>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</si>
  <si>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</si>
  <si>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</si>
  <si>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</si>
  <si>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</si>
  <si>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</si>
  <si>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</si>
  <si>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</si>
  <si>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</si>
  <si>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</si>
  <si>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</si>
  <si>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</si>
  <si>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</si>
  <si>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</si>
  <si>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</si>
  <si>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</si>
  <si>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</si>
  <si>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</si>
  <si>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</si>
  <si>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</si>
  <si>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</si>
  <si>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</si>
  <si>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</si>
  <si>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</si>
  <si>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</si>
  <si>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</si>
  <si>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</si>
  <si>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</si>
  <si>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</si>
  <si>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</si>
  <si>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</si>
  <si>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</si>
  <si>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</si>
  <si>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</si>
  <si>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</si>
  <si>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</si>
  <si>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</si>
  <si>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</si>
  <si>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</si>
  <si>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</si>
  <si>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</si>
  <si>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</si>
  <si>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</si>
  <si>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</si>
  <si>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</si>
  <si>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</si>
  <si>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</si>
  <si>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</si>
  <si>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</si>
  <si>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</si>
  <si>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</si>
  <si>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</si>
  <si>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</si>
  <si>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</si>
  <si>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</si>
  <si>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</si>
  <si>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</si>
  <si>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</si>
  <si>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</si>
  <si>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</si>
  <si>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</si>
  <si>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</si>
  <si>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</si>
  <si>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</si>
  <si>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</si>
  <si>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</si>
  <si>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</si>
  <si>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</si>
  <si>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</si>
  <si>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</si>
  <si>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</si>
  <si>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</si>
  <si>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</si>
  <si>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</si>
  <si>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</si>
  <si>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</si>
  <si>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</si>
  <si>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</si>
  <si>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</si>
  <si>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</si>
  <si>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</si>
  <si>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</si>
  <si>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</si>
  <si>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</si>
  <si>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</si>
  <si>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</si>
  <si>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</si>
  <si>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</si>
  <si>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</si>
  <si>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</si>
  <si>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</si>
  <si>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</si>
  <si>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</si>
  <si>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</si>
  <si>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</si>
  <si>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</si>
  <si>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</si>
  <si>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</si>
  <si>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</si>
  <si>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</si>
  <si>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</si>
  <si>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</si>
  <si>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</si>
  <si>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</si>
  <si>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</si>
  <si>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</si>
  <si>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</si>
  <si>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</si>
  <si>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</si>
  <si>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</si>
  <si>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</si>
  <si>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</si>
  <si>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</si>
  <si>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</si>
  <si>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</si>
  <si>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</si>
  <si>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</si>
  <si>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</si>
  <si>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</si>
  <si>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</si>
  <si>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</si>
  <si>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</si>
  <si>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</si>
  <si>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</si>
  <si>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</si>
  <si>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</si>
  <si>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</si>
  <si>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</si>
  <si>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</si>
  <si>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</si>
  <si>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</si>
  <si>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</si>
  <si>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</si>
  <si>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</si>
  <si>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</si>
  <si>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</si>
  <si>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</si>
  <si>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</si>
  <si>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</si>
  <si>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</si>
  <si>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</si>
  <si>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</si>
  <si>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</si>
  <si>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</si>
  <si>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</si>
  <si>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</si>
  <si>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</si>
  <si>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</si>
  <si>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</si>
  <si>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</si>
  <si>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</si>
  <si>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</si>
  <si>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</si>
  <si>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</si>
  <si>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</si>
  <si>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</si>
  <si>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</si>
  <si>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</si>
  <si>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</si>
  <si>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</si>
  <si>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</si>
  <si>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</si>
  <si>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</si>
  <si>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</si>
  <si>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</si>
  <si>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</si>
  <si>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</si>
  <si>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</si>
  <si>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</si>
  <si>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</si>
  <si>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</si>
  <si>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</si>
  <si>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</si>
  <si>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</si>
  <si>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</si>
  <si>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</si>
  <si>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</si>
  <si>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</si>
  <si>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</si>
  <si>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</si>
  <si>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</si>
  <si>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</si>
  <si>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</si>
  <si>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</si>
  <si>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</si>
  <si>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</si>
  <si>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</si>
  <si>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</si>
  <si>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</si>
  <si>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</si>
  <si>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</si>
  <si>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</si>
  <si>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</si>
  <si>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</si>
  <si>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</si>
  <si>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</si>
  <si>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</si>
  <si>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</si>
  <si>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</si>
  <si>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</si>
  <si>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</si>
  <si>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</si>
  <si>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</si>
  <si>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</si>
  <si>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</si>
  <si>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</si>
  <si>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</si>
  <si>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</si>
  <si>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</si>
  <si>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</si>
  <si>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</si>
  <si>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</si>
  <si>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</si>
  <si>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</si>
  <si>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</si>
  <si>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</si>
  <si>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</si>
  <si>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</si>
  <si>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</si>
  <si>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</si>
  <si>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</si>
  <si>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</si>
  <si>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</si>
  <si>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</si>
  <si>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</si>
  <si>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</si>
  <si>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</si>
  <si>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</si>
  <si>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</si>
  <si>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</si>
  <si>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</si>
  <si>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</si>
  <si>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</si>
  <si>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</si>
  <si>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</si>
  <si>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</si>
  <si>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</si>
  <si>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</si>
  <si>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</si>
  <si>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</si>
  <si>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</si>
  <si>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</si>
  <si>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</si>
  <si>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</si>
  <si>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</si>
  <si>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</si>
  <si>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</si>
  <si>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</si>
  <si>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</si>
  <si>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</si>
  <si>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</si>
  <si>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</si>
  <si>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</si>
  <si>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</si>
  <si>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</si>
  <si>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</si>
  <si>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</si>
  <si>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</si>
  <si>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</si>
  <si>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</si>
  <si>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</si>
  <si>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</si>
  <si>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</si>
  <si>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</si>
  <si>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</si>
  <si>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</si>
  <si>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</si>
  <si>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</si>
  <si>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</si>
  <si>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</si>
  <si>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</si>
  <si>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</si>
  <si>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</si>
  <si>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</si>
  <si>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</si>
  <si>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</si>
  <si>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</si>
  <si>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</si>
  <si>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</si>
  <si>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</si>
  <si>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</si>
  <si>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</si>
  <si>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</si>
  <si>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</si>
  <si>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</si>
  <si>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</si>
  <si>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</si>
  <si>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</si>
  <si>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</si>
  <si>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</si>
  <si>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</si>
  <si>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</si>
  <si>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</si>
  <si>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</si>
  <si>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</si>
  <si>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</si>
  <si>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</si>
  <si>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</si>
  <si>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</si>
  <si>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</si>
  <si>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</si>
  <si>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</si>
  <si>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</si>
  <si>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</si>
  <si>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</si>
  <si>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</si>
  <si>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</si>
  <si>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</si>
  <si>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</si>
  <si>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</si>
  <si>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</si>
  <si>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</si>
  <si>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</si>
  <si>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</si>
  <si>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</si>
  <si>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</si>
  <si>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</si>
  <si>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</si>
  <si>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</si>
  <si>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</si>
  <si>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</si>
  <si>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</si>
  <si>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</si>
  <si>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</si>
  <si>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</si>
  <si>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</si>
  <si>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</si>
  <si>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</si>
  <si>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</si>
  <si>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</si>
  <si>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</si>
  <si>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</si>
  <si>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</si>
  <si>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</si>
  <si>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</si>
  <si>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</si>
  <si>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</si>
  <si>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</si>
  <si>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</si>
  <si>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</si>
  <si>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</si>
  <si>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</si>
  <si>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</si>
  <si>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</si>
  <si>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</si>
  <si>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</si>
  <si>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</si>
  <si>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</si>
  <si>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</si>
  <si>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</si>
  <si>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</si>
  <si>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</si>
  <si>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</si>
  <si>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</si>
  <si>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</si>
  <si>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</si>
  <si>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</si>
  <si>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</si>
  <si>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</si>
  <si>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</si>
  <si>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</si>
  <si>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</si>
  <si>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</si>
  <si>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</si>
  <si>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</si>
  <si>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</si>
  <si>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</si>
  <si>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</si>
  <si>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</si>
  <si>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</si>
  <si>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</si>
  <si>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</si>
  <si>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</si>
  <si>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</si>
  <si>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</si>
  <si>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</si>
  <si>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</si>
  <si>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</si>
  <si>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</si>
  <si>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</si>
  <si>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</si>
  <si>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</si>
  <si>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</si>
  <si>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</si>
  <si>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</si>
  <si>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</si>
  <si>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</si>
  <si>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</si>
  <si>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</si>
  <si>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</si>
  <si>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</si>
  <si>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</si>
  <si>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</si>
  <si>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</si>
  <si>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</si>
  <si>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</si>
  <si>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</si>
  <si>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</si>
  <si>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</si>
  <si>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</si>
  <si>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</si>
  <si>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</si>
  <si>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</si>
  <si>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% Ventas</t>
  </si>
  <si>
    <t>ALQUILER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</si>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</sst>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#,##0.000"/>
    <numFmt numFmtId="173" formatCode="_-&quot;$&quot;* #,##0.00_-;\-&quot;$&quot;* #,##0.00_-;_-&quot;$&quot;* &quot;-&quot;??_-;_-@_-"/>
    <numFmt numFmtId="17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indexed="63"/>
      <name val="Calibri"/>
      <family val="2"/>
      <scheme val="minor"/>
    </font>
    <font>
      <strike/>
      <outline/>
      <shadow/>
      <sz val="1"/>
      <color indexed="63"/>
      <name val="Calibri"/>
      <family val="2"/>
    </font>
    <font>
      <sz val="10"/>
      <color indexed="6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2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74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4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6" xfId="8" applyFill="1" applyBorder="1"/>
    <xf numFmtId="14" fontId="11" fillId="10" borderId="6" xfId="8" applyNumberFormat="1" applyFill="1" applyBorder="1"/>
    <xf numFmtId="165" fontId="11" fillId="10" borderId="6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7" xfId="8" applyFont="1" applyFill="1" applyBorder="1"/>
    <xf numFmtId="0" fontId="12" fillId="11" borderId="8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7" xfId="8" applyFill="1" applyBorder="1"/>
    <xf numFmtId="0" fontId="11" fillId="0" borderId="9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3" xfId="10" applyNumberFormat="1" applyFont="1" applyFill="1" applyBorder="1" applyAlignment="1">
      <alignment horizontal="center" vertical="center" wrapText="1"/>
    </xf>
    <xf numFmtId="0" fontId="17" fillId="14" borderId="13" xfId="9" applyFont="1" applyFill="1" applyBorder="1" applyAlignment="1">
      <alignment horizontal="center" vertical="center"/>
    </xf>
    <xf numFmtId="164" fontId="17" fillId="14" borderId="13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4" xfId="9" applyFont="1" applyFill="1" applyBorder="1" applyAlignment="1">
      <alignment horizontal="center"/>
    </xf>
    <xf numFmtId="0" fontId="19" fillId="15" borderId="15" xfId="9" applyFont="1" applyFill="1" applyBorder="1" applyAlignment="1">
      <alignment horizontal="center"/>
    </xf>
    <xf numFmtId="14" fontId="19" fillId="15" borderId="15" xfId="9" applyNumberFormat="1" applyFont="1" applyFill="1" applyBorder="1" applyAlignment="1">
      <alignment horizontal="center"/>
    </xf>
    <xf numFmtId="0" fontId="19" fillId="15" borderId="15" xfId="9" applyFont="1" applyFill="1" applyBorder="1" applyAlignment="1">
      <alignment horizontal="left"/>
    </xf>
    <xf numFmtId="164" fontId="19" fillId="15" borderId="15" xfId="10" applyFont="1" applyFill="1" applyBorder="1"/>
    <xf numFmtId="0" fontId="19" fillId="16" borderId="16" xfId="9" applyFont="1" applyFill="1" applyBorder="1" applyAlignment="1">
      <alignment horizontal="center"/>
    </xf>
    <xf numFmtId="0" fontId="19" fillId="16" borderId="17" xfId="9" applyFont="1" applyFill="1" applyBorder="1" applyAlignment="1">
      <alignment horizontal="center"/>
    </xf>
    <xf numFmtId="14" fontId="19" fillId="16" borderId="17" xfId="9" applyNumberFormat="1" applyFont="1" applyFill="1" applyBorder="1" applyAlignment="1">
      <alignment horizontal="center"/>
    </xf>
    <xf numFmtId="0" fontId="19" fillId="16" borderId="17" xfId="9" applyFont="1" applyFill="1" applyBorder="1" applyAlignment="1">
      <alignment horizontal="left"/>
    </xf>
    <xf numFmtId="164" fontId="19" fillId="16" borderId="17" xfId="10" applyFont="1" applyFill="1" applyBorder="1"/>
    <xf numFmtId="0" fontId="19" fillId="15" borderId="16" xfId="9" applyFont="1" applyFill="1" applyBorder="1" applyAlignment="1">
      <alignment horizontal="center"/>
    </xf>
    <xf numFmtId="0" fontId="19" fillId="15" borderId="17" xfId="9" applyFont="1" applyFill="1" applyBorder="1" applyAlignment="1">
      <alignment horizontal="center"/>
    </xf>
    <xf numFmtId="14" fontId="19" fillId="15" borderId="17" xfId="9" applyNumberFormat="1" applyFont="1" applyFill="1" applyBorder="1" applyAlignment="1">
      <alignment horizontal="center"/>
    </xf>
    <xf numFmtId="0" fontId="19" fillId="15" borderId="17" xfId="9" applyFont="1" applyFill="1" applyBorder="1" applyAlignment="1">
      <alignment horizontal="left"/>
    </xf>
    <xf numFmtId="164" fontId="19" fillId="15" borderId="17" xfId="10" applyFont="1" applyFill="1" applyBorder="1"/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8" xfId="9" applyBorder="1" applyAlignment="1">
      <alignment horizontal="center"/>
    </xf>
    <xf numFmtId="0" fontId="17" fillId="14" borderId="18" xfId="9" applyFont="1" applyFill="1" applyBorder="1" applyAlignment="1">
      <alignment horizontal="center" vertical="center"/>
    </xf>
    <xf numFmtId="0" fontId="17" fillId="14" borderId="11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8" xfId="9" applyNumberFormat="1" applyFont="1" applyBorder="1" applyAlignment="1">
      <alignment horizontal="right"/>
    </xf>
    <xf numFmtId="14" fontId="20" fillId="0" borderId="18" xfId="9" applyNumberFormat="1" applyFont="1" applyBorder="1" applyAlignment="1">
      <alignment horizontal="right" wrapText="1"/>
    </xf>
    <xf numFmtId="164" fontId="19" fillId="0" borderId="18" xfId="10" applyFont="1" applyFill="1" applyBorder="1" applyProtection="1"/>
    <xf numFmtId="164" fontId="19" fillId="0" borderId="18" xfId="10" applyFont="1" applyFill="1" applyBorder="1" applyAlignment="1" applyProtection="1">
      <alignment horizontal="left"/>
    </xf>
    <xf numFmtId="0" fontId="22" fillId="0" borderId="0" xfId="11">
      <alignment vertical="center"/>
    </xf>
    <xf numFmtId="166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20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1" xfId="11" applyFont="1" applyBorder="1">
      <alignment vertical="center"/>
    </xf>
    <xf numFmtId="0" fontId="30" fillId="0" borderId="16" xfId="11" applyFont="1" applyBorder="1">
      <alignment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29" fillId="8" borderId="25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6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8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6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22" fillId="0" borderId="0" xfId="11" applyAlignment="1">
      <alignment horizontal="left" vertical="center" indent="1"/>
    </xf>
    <xf numFmtId="0" fontId="6" fillId="7" borderId="0" xfId="0" applyFont="1" applyFill="1" applyBorder="1"/>
    <xf numFmtId="3" fontId="0" fillId="0" borderId="0" xfId="0" applyNumberFormat="1"/>
    <xf numFmtId="169" fontId="0" fillId="0" borderId="0" xfId="0" applyNumberFormat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0" fontId="11" fillId="0" borderId="0" xfId="16" applyNumberFormat="1" applyFont="1"/>
    <xf numFmtId="10" fontId="11" fillId="0" borderId="0" xfId="8" applyNumberFormat="1"/>
    <xf numFmtId="10" fontId="35" fillId="0" borderId="0" xfId="0" applyNumberFormat="1" applyFont="1" applyFill="1" applyBorder="1" applyAlignment="1" applyProtection="1"/>
    <xf numFmtId="0" fontId="34" fillId="18" borderId="0" xfId="8" applyFont="1" applyFill="1"/>
    <xf numFmtId="0" fontId="34" fillId="19" borderId="0" xfId="8" applyFont="1" applyFill="1"/>
    <xf numFmtId="44" fontId="34" fillId="18" borderId="0" xfId="15" applyNumberFormat="1" applyFont="1" applyFill="1"/>
    <xf numFmtId="44" fontId="34" fillId="19" borderId="0" xfId="15" applyNumberFormat="1" applyFont="1" applyFill="1"/>
    <xf numFmtId="10" fontId="34" fillId="18" borderId="0" xfId="16" applyNumberFormat="1" applyFont="1" applyFill="1"/>
    <xf numFmtId="10" fontId="34" fillId="19" borderId="0" xfId="16" applyNumberFormat="1" applyFont="1" applyFill="1"/>
    <xf numFmtId="0" fontId="15" fillId="0" borderId="0" xfId="9" applyFont="1" applyAlignment="1">
      <alignment horizontal="center" vertical="center" wrapText="1"/>
    </xf>
    <xf numFmtId="14" fontId="15" fillId="0" borderId="0" xfId="9" applyNumberFormat="1" applyFont="1" applyAlignment="1">
      <alignment horizontal="center" vertical="center"/>
    </xf>
    <xf numFmtId="0" fontId="14" fillId="0" borderId="26" xfId="9" applyBorder="1" applyAlignment="1">
      <alignment horizontal="center"/>
    </xf>
    <xf numFmtId="0" fontId="20" fillId="0" borderId="11" xfId="9" applyFont="1" applyBorder="1" applyAlignment="1">
      <alignment horizontal="center" wrapText="1"/>
    </xf>
    <xf numFmtId="0" fontId="21" fillId="17" borderId="27" xfId="6" applyFont="1" applyFill="1" applyBorder="1" applyAlignment="1" applyProtection="1">
      <alignment horizontal="center" vertical="center" wrapText="1"/>
    </xf>
    <xf numFmtId="0" fontId="21" fillId="17" borderId="28" xfId="6" applyFont="1" applyFill="1" applyBorder="1" applyAlignment="1" applyProtection="1">
      <alignment horizontal="center" vertical="center" wrapText="1"/>
    </xf>
    <xf numFmtId="14" fontId="21" fillId="17" borderId="28" xfId="6" applyNumberFormat="1" applyFont="1" applyFill="1" applyBorder="1" applyAlignment="1" applyProtection="1">
      <alignment horizontal="center" vertical="center" wrapText="1"/>
    </xf>
    <xf numFmtId="0" fontId="21" fillId="17" borderId="28" xfId="6" applyNumberFormat="1" applyFont="1" applyFill="1" applyBorder="1" applyAlignment="1" applyProtection="1">
      <alignment horizontal="center" vertical="center" wrapText="1"/>
    </xf>
    <xf numFmtId="164" fontId="21" fillId="17" borderId="28" xfId="6" applyNumberFormat="1" applyFont="1" applyFill="1" applyBorder="1" applyAlignment="1" applyProtection="1">
      <alignment horizontal="center" vertical="center"/>
    </xf>
    <xf numFmtId="164" fontId="21" fillId="17" borderId="28" xfId="6" applyNumberFormat="1" applyFont="1" applyFill="1" applyBorder="1" applyAlignment="1" applyProtection="1">
      <alignment horizontal="center" vertical="center" wrapText="1"/>
    </xf>
    <xf numFmtId="0" fontId="21" fillId="17" borderId="29" xfId="6" applyNumberFormat="1" applyFont="1" applyFill="1" applyBorder="1" applyAlignment="1" applyProtection="1">
      <alignment horizontal="center" vertical="center" wrapText="1"/>
    </xf>
    <xf numFmtId="0" fontId="14" fillId="0" borderId="30" xfId="9" applyBorder="1" applyAlignment="1">
      <alignment horizontal="center"/>
    </xf>
    <xf numFmtId="0" fontId="14" fillId="0" borderId="31" xfId="9" applyBorder="1" applyAlignment="1">
      <alignment horizontal="center"/>
    </xf>
    <xf numFmtId="14" fontId="19" fillId="0" borderId="31" xfId="9" applyNumberFormat="1" applyFont="1" applyBorder="1" applyAlignment="1">
      <alignment horizontal="right"/>
    </xf>
    <xf numFmtId="14" fontId="20" fillId="0" borderId="31" xfId="9" applyNumberFormat="1" applyFont="1" applyBorder="1" applyAlignment="1">
      <alignment horizontal="right" wrapText="1"/>
    </xf>
    <xf numFmtId="164" fontId="19" fillId="0" borderId="31" xfId="10" applyFont="1" applyFill="1" applyBorder="1" applyProtection="1"/>
    <xf numFmtId="164" fontId="19" fillId="0" borderId="31" xfId="10" applyFont="1" applyFill="1" applyBorder="1" applyAlignment="1" applyProtection="1">
      <alignment horizontal="left"/>
    </xf>
    <xf numFmtId="0" fontId="20" fillId="0" borderId="13" xfId="9" applyFont="1" applyBorder="1" applyAlignment="1">
      <alignment horizontal="center" wrapText="1"/>
    </xf>
    <xf numFmtId="0" fontId="3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7" fillId="0" borderId="0" xfId="0" applyFont="1" applyFill="1" applyAlignment="1">
      <alignment vertical="center"/>
    </xf>
    <xf numFmtId="167" fontId="36" fillId="0" borderId="0" xfId="0" applyNumberFormat="1" applyFont="1" applyFill="1" applyAlignment="1">
      <alignment horizontal="center" vertical="center"/>
    </xf>
    <xf numFmtId="167" fontId="31" fillId="0" borderId="0" xfId="0" applyNumberFormat="1" applyFont="1" applyFill="1" applyAlignment="1">
      <alignment horizontal="center" vertical="center"/>
    </xf>
    <xf numFmtId="44" fontId="34" fillId="0" borderId="0" xfId="8" applyNumberFormat="1" applyFont="1"/>
    <xf numFmtId="10" fontId="34" fillId="0" borderId="0" xfId="8" applyNumberFormat="1" applyFont="1"/>
    <xf numFmtId="0" fontId="8" fillId="0" borderId="0" xfId="0" applyFont="1" applyAlignment="1">
      <alignment horizontal="left"/>
    </xf>
    <xf numFmtId="164" fontId="11" fillId="0" borderId="10" xfId="4" applyFont="1" applyBorder="1"/>
    <xf numFmtId="0" fontId="34" fillId="20" borderId="0" xfId="8" applyFont="1" applyFill="1"/>
    <xf numFmtId="164" fontId="34" fillId="20" borderId="0" xfId="8" applyNumberFormat="1" applyFont="1" applyFill="1"/>
    <xf numFmtId="44" fontId="11" fillId="0" borderId="0" xfId="4" applyNumberFormat="1" applyFont="1"/>
    <xf numFmtId="44" fontId="0" fillId="0" borderId="0" xfId="0" applyNumberFormat="1"/>
    <xf numFmtId="14" fontId="19" fillId="15" borderId="19" xfId="9" applyNumberFormat="1" applyFont="1" applyFill="1" applyBorder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7" fillId="0" borderId="0" xfId="0" applyFont="1"/>
    <xf numFmtId="167" fontId="38" fillId="0" borderId="0" xfId="0" applyNumberFormat="1" applyFon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0" fontId="3" fillId="0" borderId="1" xfId="5" applyBorder="1" applyAlignment="1">
      <alignment horizontal="center" vertical="center"/>
    </xf>
    <xf numFmtId="0" fontId="3" fillId="0" borderId="2" xfId="5" applyBorder="1" applyAlignment="1">
      <alignment horizontal="center" vertical="center"/>
    </xf>
    <xf numFmtId="0" fontId="10" fillId="8" borderId="3" xfId="7" applyFont="1" applyFill="1" applyAlignment="1">
      <alignment horizontal="center" vertical="center"/>
    </xf>
    <xf numFmtId="0" fontId="10" fillId="8" borderId="5" xfId="7" applyFont="1" applyFill="1" applyBorder="1" applyAlignment="1">
      <alignment horizontal="center" vertical="center"/>
    </xf>
    <xf numFmtId="0" fontId="16" fillId="13" borderId="11" xfId="9" applyFont="1" applyFill="1" applyBorder="1" applyAlignment="1">
      <alignment horizontal="center" vertical="center" wrapText="1"/>
    </xf>
    <xf numFmtId="0" fontId="16" fillId="13" borderId="12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  <xf numFmtId="0" fontId="0" fillId="21" borderId="32" xfId="0" applyFont="1" applyFill="1" applyBorder="1"/>
    <xf numFmtId="0" fontId="0" fillId="22" borderId="32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22">
    <cellStyle name="Celda de comprobación 2" xfId="7" xr:uid="{00000000-0005-0000-0000-000000000000}"/>
    <cellStyle name="Encabezado 1 2" xfId="12" xr:uid="{00000000-0005-0000-0000-000001000000}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illares" xfId="15" builtinId="3"/>
    <cellStyle name="Millares 2" xfId="19" xr:uid="{4208AE23-77F0-477E-95D5-FE5522BC3184}"/>
    <cellStyle name="Moneda" xfId="4" builtinId="4"/>
    <cellStyle name="Moneda 2" xfId="10" xr:uid="{00000000-0005-0000-0000-000009000000}"/>
    <cellStyle name="Moneda 2 2" xfId="18" xr:uid="{8D661FF3-C9AF-47B5-8B33-59EB9C773322}"/>
    <cellStyle name="Moneda 2 2 2" xfId="21" xr:uid="{1BC3461E-3F68-40A3-A934-892BDA95839C}"/>
    <cellStyle name="Moneda 3" xfId="17" xr:uid="{547C8D53-98C5-424A-A50D-727205A3D8FE}"/>
    <cellStyle name="Moneda 3 2" xfId="20" xr:uid="{B9B6354E-DCE7-44C2-9AA9-7B2A5FC8E6B2}"/>
    <cellStyle name="Normal" xfId="0" builtinId="0"/>
    <cellStyle name="Normal 2" xfId="5" xr:uid="{00000000-0005-0000-0000-00000B000000}"/>
    <cellStyle name="Normal 3" xfId="8" xr:uid="{00000000-0005-0000-0000-00000C000000}"/>
    <cellStyle name="Normal 4" xfId="9" xr:uid="{00000000-0005-0000-0000-00000D000000}"/>
    <cellStyle name="Normal 5" xfId="11" xr:uid="{00000000-0005-0000-0000-00000E000000}"/>
    <cellStyle name="Porcentaje" xfId="16" builtinId="5"/>
    <cellStyle name="Título 2 2" xfId="13" xr:uid="{00000000-0005-0000-0000-000010000000}"/>
  </cellStyles>
  <dxfs count="152">
    <dxf>
      <font>
        <b val="0"/>
        <i val="0"/>
        <strike/>
        <condense val="0"/>
        <extend val="0"/>
        <outline/>
        <shadow/>
        <u val="none"/>
        <vertAlign val="baseline"/>
        <sz val="1"/>
        <color indexed="63"/>
        <name val="Calibri"/>
        <family val="2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7" formatCode="[$$-540A]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numFmt numFmtId="165" formatCode="[$$-80A]#,##0.00"/>
    </dxf>
    <dxf>
      <numFmt numFmtId="165" formatCode="[$$-80A]#,##0.00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4" formatCode="0.0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19" formatCode="dd/mm/yyyy"/>
    </dxf>
    <dxf>
      <numFmt numFmtId="0" formatCode="General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numFmt numFmtId="169" formatCode="#,##0.0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0033CC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[2]Auditoría!$I$5</c:f>
              <c:numCache>
                <c:formatCode>General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2-4AC8-BC6E-EE2EEDF6455E}"/>
            </c:ext>
          </c:extLst>
        </c:ser>
        <c:ser>
          <c:idx val="1"/>
          <c:order val="1"/>
          <c:tx>
            <c:strRef>
              <c:f>[2]Auditoría!$G$6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[2]Auditoría!$I$6</c:f>
              <c:numCache>
                <c:formatCode>General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2-4AC8-BC6E-EE2EEDF6455E}"/>
            </c:ext>
          </c:extLst>
        </c:ser>
        <c:ser>
          <c:idx val="2"/>
          <c:order val="2"/>
          <c:tx>
            <c:strRef>
              <c:f>[2]Auditoría!$G$7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[2]Auditoría!$I$7</c:f>
              <c:numCache>
                <c:formatCode>General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2-4AC8-BC6E-EE2EEDF6455E}"/>
            </c:ext>
          </c:extLst>
        </c:ser>
        <c:ser>
          <c:idx val="3"/>
          <c:order val="3"/>
          <c:tx>
            <c:strRef>
              <c:f>[2]Auditoría!$G$8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[2]Auditoría!$I$8</c:f>
              <c:numCache>
                <c:formatCode>General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2-4AC8-BC6E-EE2EEDF6455E}"/>
            </c:ext>
          </c:extLst>
        </c:ser>
        <c:ser>
          <c:idx val="4"/>
          <c:order val="4"/>
          <c:tx>
            <c:strRef>
              <c:f>[2]Auditoría!$G$9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[2]Auditoría!$I$9</c:f>
              <c:numCache>
                <c:formatCode>General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82-4AC8-BC6E-EE2EEDF6455E}"/>
            </c:ext>
          </c:extLst>
        </c:ser>
        <c:ser>
          <c:idx val="5"/>
          <c:order val="5"/>
          <c:tx>
            <c:strRef>
              <c:f>[2]Auditoría!$G$10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[2]Auditoría!$I$10</c:f>
              <c:numCache>
                <c:formatCode>General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2-4AC8-BC6E-EE2EEDF6455E}"/>
            </c:ext>
          </c:extLst>
        </c:ser>
        <c:ser>
          <c:idx val="6"/>
          <c:order val="6"/>
          <c:tx>
            <c:strRef>
              <c:f>[2]Auditoría!$G$11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[2]Auditoría!$I$11</c:f>
              <c:numCache>
                <c:formatCode>General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2-4AC8-BC6E-EE2EEDF6455E}"/>
            </c:ext>
          </c:extLst>
        </c:ser>
        <c:ser>
          <c:idx val="7"/>
          <c:order val="7"/>
          <c:tx>
            <c:strRef>
              <c:f>[2]Auditoría!$G$12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[2]Auditoría!$I$12</c:f>
              <c:numCache>
                <c:formatCode>General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82-4AC8-BC6E-EE2EEDF6455E}"/>
            </c:ext>
          </c:extLst>
        </c:ser>
        <c:ser>
          <c:idx val="8"/>
          <c:order val="8"/>
          <c:tx>
            <c:strRef>
              <c:f>[2]Auditoría!$G$13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[2]Auditoría!$I$13</c:f>
              <c:numCache>
                <c:formatCode>General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82-4AC8-BC6E-EE2EEDF6455E}"/>
            </c:ext>
          </c:extLst>
        </c:ser>
        <c:ser>
          <c:idx val="9"/>
          <c:order val="9"/>
          <c:tx>
            <c:strRef>
              <c:f>[2]Auditoría!$G$14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[2]Auditoría!$I$14</c:f>
              <c:numCache>
                <c:formatCode>General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82-4AC8-BC6E-EE2EEDF6455E}"/>
            </c:ext>
          </c:extLst>
        </c:ser>
        <c:ser>
          <c:idx val="10"/>
          <c:order val="10"/>
          <c:tx>
            <c:strRef>
              <c:f>[2]Auditoría!$G$15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[2]Auditoría!$I$15</c:f>
              <c:numCache>
                <c:formatCode>General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82-4AC8-BC6E-EE2EEDF6455E}"/>
            </c:ext>
          </c:extLst>
        </c:ser>
        <c:ser>
          <c:idx val="11"/>
          <c:order val="11"/>
          <c:tx>
            <c:strRef>
              <c:f>[2]Auditoría!$G$16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[2]Auditoría!$I$16</c:f>
              <c:numCache>
                <c:formatCode>General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82-4AC8-BC6E-EE2EEDF6455E}"/>
            </c:ext>
          </c:extLst>
        </c:ser>
        <c:ser>
          <c:idx val="12"/>
          <c:order val="12"/>
          <c:tx>
            <c:strRef>
              <c:f>[2]Auditoría!$G$17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[2]Auditoría!$I$17</c:f>
              <c:numCache>
                <c:formatCode>General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82-4AC8-BC6E-EE2EEDF6455E}"/>
            </c:ext>
          </c:extLst>
        </c:ser>
        <c:ser>
          <c:idx val="13"/>
          <c:order val="13"/>
          <c:tx>
            <c:strRef>
              <c:f>[2]Auditoría!$G$18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[2]Auditoría!$I$18</c:f>
              <c:numCache>
                <c:formatCode>General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82-4AC8-BC6E-EE2EEDF6455E}"/>
            </c:ext>
          </c:extLst>
        </c:ser>
        <c:ser>
          <c:idx val="14"/>
          <c:order val="14"/>
          <c:tx>
            <c:strRef>
              <c:f>[2]Auditoría!$G$19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[2]Auditoría!$I$19</c:f>
              <c:numCache>
                <c:formatCode>General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82-4AC8-BC6E-EE2EEDF6455E}"/>
            </c:ext>
          </c:extLst>
        </c:ser>
        <c:ser>
          <c:idx val="15"/>
          <c:order val="15"/>
          <c:tx>
            <c:strRef>
              <c:f>[2]Auditoría!$G$20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[2]Auditoría!$I$20</c:f>
              <c:numCache>
                <c:formatCode>General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82-4AC8-BC6E-EE2EEDF6455E}"/>
            </c:ext>
          </c:extLst>
        </c:ser>
        <c:ser>
          <c:idx val="16"/>
          <c:order val="16"/>
          <c:tx>
            <c:strRef>
              <c:f>[2]Auditoría!$G$21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[2]Auditoría!$I$21</c:f>
              <c:numCache>
                <c:formatCode>General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82-4AC8-BC6E-EE2EEDF6455E}"/>
            </c:ext>
          </c:extLst>
        </c:ser>
        <c:ser>
          <c:idx val="17"/>
          <c:order val="17"/>
          <c:tx>
            <c:strRef>
              <c:f>[2]Auditoría!$G$22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[2]Auditoría!$I$22</c:f>
              <c:numCache>
                <c:formatCode>General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82-4AC8-BC6E-EE2EEDF6455E}"/>
            </c:ext>
          </c:extLst>
        </c:ser>
        <c:ser>
          <c:idx val="18"/>
          <c:order val="18"/>
          <c:tx>
            <c:strRef>
              <c:f>[2]Auditoría!$G$23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[2]Auditoría!$I$23</c:f>
              <c:numCache>
                <c:formatCode>General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82-4AC8-BC6E-EE2EEDF6455E}"/>
            </c:ext>
          </c:extLst>
        </c:ser>
        <c:ser>
          <c:idx val="19"/>
          <c:order val="19"/>
          <c:tx>
            <c:strRef>
              <c:f>[2]Auditoría!$G$24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[2]Auditoría!$I$24</c:f>
              <c:numCache>
                <c:formatCode>General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82-4AC8-BC6E-EE2EEDF6455E}"/>
            </c:ext>
          </c:extLst>
        </c:ser>
        <c:ser>
          <c:idx val="20"/>
          <c:order val="20"/>
          <c:tx>
            <c:strRef>
              <c:f>[2]Auditoría!$G$25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[2]Auditoría!$I$4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[2]Auditoría!$I$25</c:f>
              <c:numCache>
                <c:formatCode>General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82-4AC8-BC6E-EE2EEDF6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 Venta por matriz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Clasificación!$E$6</c:f>
              <c:strCache>
                <c:ptCount val="1"/>
                <c:pt idx="0">
                  <c:v>Operación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Clasificación!$C$7:$C$36</c:f>
              <c:strCache>
                <c:ptCount val="30"/>
                <c:pt idx="0">
                  <c:v>Estacionamiento</c:v>
                </c:pt>
                <c:pt idx="1">
                  <c:v>Local</c:v>
                </c:pt>
                <c:pt idx="2">
                  <c:v>Oficina</c:v>
                </c:pt>
                <c:pt idx="3">
                  <c:v>Estacionamiento</c:v>
                </c:pt>
                <c:pt idx="4">
                  <c:v>Suelo</c:v>
                </c:pt>
                <c:pt idx="5">
                  <c:v>Industrial</c:v>
                </c:pt>
                <c:pt idx="6">
                  <c:v>Estacionamiento</c:v>
                </c:pt>
                <c:pt idx="7">
                  <c:v>Oficina</c:v>
                </c:pt>
                <c:pt idx="8">
                  <c:v>Piso</c:v>
                </c:pt>
                <c:pt idx="9">
                  <c:v>Estacionamiento</c:v>
                </c:pt>
                <c:pt idx="10">
                  <c:v>Oficina</c:v>
                </c:pt>
                <c:pt idx="11">
                  <c:v>Industrial</c:v>
                </c:pt>
                <c:pt idx="12">
                  <c:v>Estacionamiento</c:v>
                </c:pt>
                <c:pt idx="13">
                  <c:v>Local</c:v>
                </c:pt>
                <c:pt idx="14">
                  <c:v>Industrial</c:v>
                </c:pt>
                <c:pt idx="15">
                  <c:v>Casa</c:v>
                </c:pt>
                <c:pt idx="16">
                  <c:v>Casa</c:v>
                </c:pt>
                <c:pt idx="17">
                  <c:v>Suelo</c:v>
                </c:pt>
                <c:pt idx="18">
                  <c:v>Piso</c:v>
                </c:pt>
                <c:pt idx="19">
                  <c:v>Oficina</c:v>
                </c:pt>
                <c:pt idx="20">
                  <c:v>Industrial</c:v>
                </c:pt>
                <c:pt idx="21">
                  <c:v>Oficina</c:v>
                </c:pt>
                <c:pt idx="22">
                  <c:v>Casa</c:v>
                </c:pt>
                <c:pt idx="23">
                  <c:v>Oficina</c:v>
                </c:pt>
                <c:pt idx="24">
                  <c:v>Oficina</c:v>
                </c:pt>
                <c:pt idx="25">
                  <c:v>Local</c:v>
                </c:pt>
                <c:pt idx="26">
                  <c:v>Local</c:v>
                </c:pt>
                <c:pt idx="27">
                  <c:v>Casa</c:v>
                </c:pt>
                <c:pt idx="28">
                  <c:v>Casa</c:v>
                </c:pt>
                <c:pt idx="29">
                  <c:v>Local</c:v>
                </c:pt>
              </c:strCache>
            </c:strRef>
          </c:cat>
          <c:val>
            <c:numRef>
              <c:f>Clasificación!$E$7:$E$36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B-44D7-B414-A39E87CC1B72}"/>
            </c:ext>
          </c:extLst>
        </c:ser>
        <c:ser>
          <c:idx val="4"/>
          <c:order val="4"/>
          <c:tx>
            <c:strRef>
              <c:f>Clasificación!$H$6</c:f>
              <c:strCache>
                <c:ptCount val="1"/>
                <c:pt idx="0">
                  <c:v>% Ventas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Clasificación!$C$7:$C$36</c:f>
              <c:strCache>
                <c:ptCount val="30"/>
                <c:pt idx="0">
                  <c:v>Estacionamiento</c:v>
                </c:pt>
                <c:pt idx="1">
                  <c:v>Local</c:v>
                </c:pt>
                <c:pt idx="2">
                  <c:v>Oficina</c:v>
                </c:pt>
                <c:pt idx="3">
                  <c:v>Estacionamiento</c:v>
                </c:pt>
                <c:pt idx="4">
                  <c:v>Suelo</c:v>
                </c:pt>
                <c:pt idx="5">
                  <c:v>Industrial</c:v>
                </c:pt>
                <c:pt idx="6">
                  <c:v>Estacionamiento</c:v>
                </c:pt>
                <c:pt idx="7">
                  <c:v>Oficina</c:v>
                </c:pt>
                <c:pt idx="8">
                  <c:v>Piso</c:v>
                </c:pt>
                <c:pt idx="9">
                  <c:v>Estacionamiento</c:v>
                </c:pt>
                <c:pt idx="10">
                  <c:v>Oficina</c:v>
                </c:pt>
                <c:pt idx="11">
                  <c:v>Industrial</c:v>
                </c:pt>
                <c:pt idx="12">
                  <c:v>Estacionamiento</c:v>
                </c:pt>
                <c:pt idx="13">
                  <c:v>Local</c:v>
                </c:pt>
                <c:pt idx="14">
                  <c:v>Industrial</c:v>
                </c:pt>
                <c:pt idx="15">
                  <c:v>Casa</c:v>
                </c:pt>
                <c:pt idx="16">
                  <c:v>Casa</c:v>
                </c:pt>
                <c:pt idx="17">
                  <c:v>Suelo</c:v>
                </c:pt>
                <c:pt idx="18">
                  <c:v>Piso</c:v>
                </c:pt>
                <c:pt idx="19">
                  <c:v>Oficina</c:v>
                </c:pt>
                <c:pt idx="20">
                  <c:v>Industrial</c:v>
                </c:pt>
                <c:pt idx="21">
                  <c:v>Oficina</c:v>
                </c:pt>
                <c:pt idx="22">
                  <c:v>Casa</c:v>
                </c:pt>
                <c:pt idx="23">
                  <c:v>Oficina</c:v>
                </c:pt>
                <c:pt idx="24">
                  <c:v>Oficina</c:v>
                </c:pt>
                <c:pt idx="25">
                  <c:v>Local</c:v>
                </c:pt>
                <c:pt idx="26">
                  <c:v>Local</c:v>
                </c:pt>
                <c:pt idx="27">
                  <c:v>Casa</c:v>
                </c:pt>
                <c:pt idx="28">
                  <c:v>Casa</c:v>
                </c:pt>
                <c:pt idx="29">
                  <c:v>Local</c:v>
                </c:pt>
              </c:strCache>
            </c:strRef>
          </c:cat>
          <c:val>
            <c:numRef>
              <c:f>Clasificación!$H$7:$H$36</c:f>
              <c:numCache>
                <c:formatCode>0.00%</c:formatCode>
                <c:ptCount val="30"/>
                <c:pt idx="0">
                  <c:v>6.0372186836590125E-2</c:v>
                </c:pt>
                <c:pt idx="1">
                  <c:v>5.5039756354617109E-2</c:v>
                </c:pt>
                <c:pt idx="2">
                  <c:v>2.0155607756011492E-2</c:v>
                </c:pt>
                <c:pt idx="3">
                  <c:v>5.1362543935918152E-2</c:v>
                </c:pt>
                <c:pt idx="4">
                  <c:v>3.2196870032294649E-2</c:v>
                </c:pt>
                <c:pt idx="5">
                  <c:v>2.6966601629229116E-2</c:v>
                </c:pt>
                <c:pt idx="6">
                  <c:v>1.150592279772112E-2</c:v>
                </c:pt>
                <c:pt idx="7">
                  <c:v>6.106737559397446E-2</c:v>
                </c:pt>
                <c:pt idx="8">
                  <c:v>2.8981664467253757E-2</c:v>
                </c:pt>
                <c:pt idx="9">
                  <c:v>5.7793803823232612E-2</c:v>
                </c:pt>
                <c:pt idx="10">
                  <c:v>1.7740950012838867E-2</c:v>
                </c:pt>
                <c:pt idx="11">
                  <c:v>2.8272895594146471E-2</c:v>
                </c:pt>
                <c:pt idx="12">
                  <c:v>8.310182065216469E-2</c:v>
                </c:pt>
                <c:pt idx="13">
                  <c:v>1.880563108551863E-2</c:v>
                </c:pt>
                <c:pt idx="14">
                  <c:v>2.3208870441056129E-2</c:v>
                </c:pt>
                <c:pt idx="15">
                  <c:v>2.653667779896653E-2</c:v>
                </c:pt>
                <c:pt idx="16">
                  <c:v>1.0152437930666492E-2</c:v>
                </c:pt>
                <c:pt idx="17">
                  <c:v>4.7519229726782783E-2</c:v>
                </c:pt>
                <c:pt idx="18">
                  <c:v>1.3371179984176902E-2</c:v>
                </c:pt>
                <c:pt idx="19">
                  <c:v>3.3087272953196474E-2</c:v>
                </c:pt>
                <c:pt idx="20">
                  <c:v>5.7177719239934505E-2</c:v>
                </c:pt>
                <c:pt idx="21">
                  <c:v>2.0583834071808711E-2</c:v>
                </c:pt>
                <c:pt idx="22">
                  <c:v>4.0710046535661557E-2</c:v>
                </c:pt>
                <c:pt idx="23">
                  <c:v>1.2091678455904628E-2</c:v>
                </c:pt>
                <c:pt idx="24">
                  <c:v>3.3120883739610786E-2</c:v>
                </c:pt>
                <c:pt idx="25">
                  <c:v>1.5554325046180881E-2</c:v>
                </c:pt>
                <c:pt idx="26">
                  <c:v>1.8653703540868056E-2</c:v>
                </c:pt>
                <c:pt idx="27">
                  <c:v>4.6980410343566745E-2</c:v>
                </c:pt>
                <c:pt idx="28">
                  <c:v>2.1319961219716202E-2</c:v>
                </c:pt>
                <c:pt idx="29">
                  <c:v>2.6568138400391378E-2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B-44D7-B414-A39E87CC1B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9538303"/>
        <c:axId val="5095403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Clasificación!$D$6</c15:sqref>
                        </c15:formulaRef>
                      </c:ext>
                    </c:extLst>
                    <c:strCache>
                      <c:ptCount val="1"/>
                      <c:pt idx="0">
                        <c:v>Código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Clasificación!$C$7:$C$36</c15:sqref>
                        </c15:formulaRef>
                      </c:ext>
                    </c:extLst>
                    <c:strCache>
                      <c:ptCount val="30"/>
                      <c:pt idx="0">
                        <c:v>Estacionamiento</c:v>
                      </c:pt>
                      <c:pt idx="1">
                        <c:v>Local</c:v>
                      </c:pt>
                      <c:pt idx="2">
                        <c:v>Oficina</c:v>
                      </c:pt>
                      <c:pt idx="3">
                        <c:v>Estacionamiento</c:v>
                      </c:pt>
                      <c:pt idx="4">
                        <c:v>Suelo</c:v>
                      </c:pt>
                      <c:pt idx="5">
                        <c:v>Industrial</c:v>
                      </c:pt>
                      <c:pt idx="6">
                        <c:v>Estacionamiento</c:v>
                      </c:pt>
                      <c:pt idx="7">
                        <c:v>Oficina</c:v>
                      </c:pt>
                      <c:pt idx="8">
                        <c:v>Piso</c:v>
                      </c:pt>
                      <c:pt idx="9">
                        <c:v>Estacionamiento</c:v>
                      </c:pt>
                      <c:pt idx="10">
                        <c:v>Oficina</c:v>
                      </c:pt>
                      <c:pt idx="11">
                        <c:v>Industrial</c:v>
                      </c:pt>
                      <c:pt idx="12">
                        <c:v>Estacionamiento</c:v>
                      </c:pt>
                      <c:pt idx="13">
                        <c:v>Local</c:v>
                      </c:pt>
                      <c:pt idx="14">
                        <c:v>Industrial</c:v>
                      </c:pt>
                      <c:pt idx="15">
                        <c:v>Casa</c:v>
                      </c:pt>
                      <c:pt idx="16">
                        <c:v>Casa</c:v>
                      </c:pt>
                      <c:pt idx="17">
                        <c:v>Suelo</c:v>
                      </c:pt>
                      <c:pt idx="18">
                        <c:v>Piso</c:v>
                      </c:pt>
                      <c:pt idx="19">
                        <c:v>Oficina</c:v>
                      </c:pt>
                      <c:pt idx="20">
                        <c:v>Industrial</c:v>
                      </c:pt>
                      <c:pt idx="21">
                        <c:v>Oficina</c:v>
                      </c:pt>
                      <c:pt idx="22">
                        <c:v>Casa</c:v>
                      </c:pt>
                      <c:pt idx="23">
                        <c:v>Oficina</c:v>
                      </c:pt>
                      <c:pt idx="24">
                        <c:v>Oficina</c:v>
                      </c:pt>
                      <c:pt idx="25">
                        <c:v>Local</c:v>
                      </c:pt>
                      <c:pt idx="26">
                        <c:v>Local</c:v>
                      </c:pt>
                      <c:pt idx="27">
                        <c:v>Casa</c:v>
                      </c:pt>
                      <c:pt idx="28">
                        <c:v>Casa</c:v>
                      </c:pt>
                      <c:pt idx="29">
                        <c:v>Local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Clasificación!$D$7:$D$36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5B-44D7-B414-A39E87CC1B7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Clasificación!$F$6</c15:sqref>
                        </c15:formulaRef>
                      </c:ext>
                    </c:extLst>
                    <c:strCache>
                      <c:ptCount val="1"/>
                      <c:pt idx="0">
                        <c:v>Estado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Clasificación!$C$7:$C$36</c15:sqref>
                        </c15:formulaRef>
                      </c:ext>
                    </c:extLst>
                    <c:strCache>
                      <c:ptCount val="30"/>
                      <c:pt idx="0">
                        <c:v>Estacionamiento</c:v>
                      </c:pt>
                      <c:pt idx="1">
                        <c:v>Local</c:v>
                      </c:pt>
                      <c:pt idx="2">
                        <c:v>Oficina</c:v>
                      </c:pt>
                      <c:pt idx="3">
                        <c:v>Estacionamiento</c:v>
                      </c:pt>
                      <c:pt idx="4">
                        <c:v>Suelo</c:v>
                      </c:pt>
                      <c:pt idx="5">
                        <c:v>Industrial</c:v>
                      </c:pt>
                      <c:pt idx="6">
                        <c:v>Estacionamiento</c:v>
                      </c:pt>
                      <c:pt idx="7">
                        <c:v>Oficina</c:v>
                      </c:pt>
                      <c:pt idx="8">
                        <c:v>Piso</c:v>
                      </c:pt>
                      <c:pt idx="9">
                        <c:v>Estacionamiento</c:v>
                      </c:pt>
                      <c:pt idx="10">
                        <c:v>Oficina</c:v>
                      </c:pt>
                      <c:pt idx="11">
                        <c:v>Industrial</c:v>
                      </c:pt>
                      <c:pt idx="12">
                        <c:v>Estacionamiento</c:v>
                      </c:pt>
                      <c:pt idx="13">
                        <c:v>Local</c:v>
                      </c:pt>
                      <c:pt idx="14">
                        <c:v>Industrial</c:v>
                      </c:pt>
                      <c:pt idx="15">
                        <c:v>Casa</c:v>
                      </c:pt>
                      <c:pt idx="16">
                        <c:v>Casa</c:v>
                      </c:pt>
                      <c:pt idx="17">
                        <c:v>Suelo</c:v>
                      </c:pt>
                      <c:pt idx="18">
                        <c:v>Piso</c:v>
                      </c:pt>
                      <c:pt idx="19">
                        <c:v>Oficina</c:v>
                      </c:pt>
                      <c:pt idx="20">
                        <c:v>Industrial</c:v>
                      </c:pt>
                      <c:pt idx="21">
                        <c:v>Oficina</c:v>
                      </c:pt>
                      <c:pt idx="22">
                        <c:v>Casa</c:v>
                      </c:pt>
                      <c:pt idx="23">
                        <c:v>Oficina</c:v>
                      </c:pt>
                      <c:pt idx="24">
                        <c:v>Oficina</c:v>
                      </c:pt>
                      <c:pt idx="25">
                        <c:v>Local</c:v>
                      </c:pt>
                      <c:pt idx="26">
                        <c:v>Local</c:v>
                      </c:pt>
                      <c:pt idx="27">
                        <c:v>Casa</c:v>
                      </c:pt>
                      <c:pt idx="28">
                        <c:v>Casa</c:v>
                      </c:pt>
                      <c:pt idx="29">
                        <c:v>Local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Clasificación!$F$7:$F$36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5B-44D7-B414-A39E87CC1B7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Clasificación!$G$6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Clasificación!$C$7:$C$36</c15:sqref>
                        </c15:formulaRef>
                      </c:ext>
                    </c:extLst>
                    <c:strCache>
                      <c:ptCount val="30"/>
                      <c:pt idx="0">
                        <c:v>Estacionamiento</c:v>
                      </c:pt>
                      <c:pt idx="1">
                        <c:v>Local</c:v>
                      </c:pt>
                      <c:pt idx="2">
                        <c:v>Oficina</c:v>
                      </c:pt>
                      <c:pt idx="3">
                        <c:v>Estacionamiento</c:v>
                      </c:pt>
                      <c:pt idx="4">
                        <c:v>Suelo</c:v>
                      </c:pt>
                      <c:pt idx="5">
                        <c:v>Industrial</c:v>
                      </c:pt>
                      <c:pt idx="6">
                        <c:v>Estacionamiento</c:v>
                      </c:pt>
                      <c:pt idx="7">
                        <c:v>Oficina</c:v>
                      </c:pt>
                      <c:pt idx="8">
                        <c:v>Piso</c:v>
                      </c:pt>
                      <c:pt idx="9">
                        <c:v>Estacionamiento</c:v>
                      </c:pt>
                      <c:pt idx="10">
                        <c:v>Oficina</c:v>
                      </c:pt>
                      <c:pt idx="11">
                        <c:v>Industrial</c:v>
                      </c:pt>
                      <c:pt idx="12">
                        <c:v>Estacionamiento</c:v>
                      </c:pt>
                      <c:pt idx="13">
                        <c:v>Local</c:v>
                      </c:pt>
                      <c:pt idx="14">
                        <c:v>Industrial</c:v>
                      </c:pt>
                      <c:pt idx="15">
                        <c:v>Casa</c:v>
                      </c:pt>
                      <c:pt idx="16">
                        <c:v>Casa</c:v>
                      </c:pt>
                      <c:pt idx="17">
                        <c:v>Suelo</c:v>
                      </c:pt>
                      <c:pt idx="18">
                        <c:v>Piso</c:v>
                      </c:pt>
                      <c:pt idx="19">
                        <c:v>Oficina</c:v>
                      </c:pt>
                      <c:pt idx="20">
                        <c:v>Industrial</c:v>
                      </c:pt>
                      <c:pt idx="21">
                        <c:v>Oficina</c:v>
                      </c:pt>
                      <c:pt idx="22">
                        <c:v>Casa</c:v>
                      </c:pt>
                      <c:pt idx="23">
                        <c:v>Oficina</c:v>
                      </c:pt>
                      <c:pt idx="24">
                        <c:v>Oficina</c:v>
                      </c:pt>
                      <c:pt idx="25">
                        <c:v>Local</c:v>
                      </c:pt>
                      <c:pt idx="26">
                        <c:v>Local</c:v>
                      </c:pt>
                      <c:pt idx="27">
                        <c:v>Casa</c:v>
                      </c:pt>
                      <c:pt idx="28">
                        <c:v>Casa</c:v>
                      </c:pt>
                      <c:pt idx="29">
                        <c:v>Local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Clasificación!$G$7:$G$36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0"/>
                      <c:pt idx="0">
                        <c:v>2133903</c:v>
                      </c:pt>
                      <c:pt idx="1">
                        <c:v>1945424</c:v>
                      </c:pt>
                      <c:pt idx="2">
                        <c:v>712416</c:v>
                      </c:pt>
                      <c:pt idx="3">
                        <c:v>1815450</c:v>
                      </c:pt>
                      <c:pt idx="4">
                        <c:v>1138024</c:v>
                      </c:pt>
                      <c:pt idx="5">
                        <c:v>953156</c:v>
                      </c:pt>
                      <c:pt idx="6">
                        <c:v>406686</c:v>
                      </c:pt>
                      <c:pt idx="7">
                        <c:v>2158475</c:v>
                      </c:pt>
                      <c:pt idx="8">
                        <c:v>1024380</c:v>
                      </c:pt>
                      <c:pt idx="9">
                        <c:v>2042768</c:v>
                      </c:pt>
                      <c:pt idx="10">
                        <c:v>627068</c:v>
                      </c:pt>
                      <c:pt idx="11">
                        <c:v>999328</c:v>
                      </c:pt>
                      <c:pt idx="12">
                        <c:v>2937300</c:v>
                      </c:pt>
                      <c:pt idx="13">
                        <c:v>664700</c:v>
                      </c:pt>
                      <c:pt idx="14">
                        <c:v>820336</c:v>
                      </c:pt>
                      <c:pt idx="15">
                        <c:v>937960</c:v>
                      </c:pt>
                      <c:pt idx="16">
                        <c:v>358846</c:v>
                      </c:pt>
                      <c:pt idx="17">
                        <c:v>1679605</c:v>
                      </c:pt>
                      <c:pt idx="18">
                        <c:v>472615</c:v>
                      </c:pt>
                      <c:pt idx="19">
                        <c:v>1169496</c:v>
                      </c:pt>
                      <c:pt idx="20">
                        <c:v>2020992</c:v>
                      </c:pt>
                      <c:pt idx="21">
                        <c:v>727552</c:v>
                      </c:pt>
                      <c:pt idx="22">
                        <c:v>1438929</c:v>
                      </c:pt>
                      <c:pt idx="23">
                        <c:v>427390</c:v>
                      </c:pt>
                      <c:pt idx="24">
                        <c:v>1170684</c:v>
                      </c:pt>
                      <c:pt idx="25">
                        <c:v>549780</c:v>
                      </c:pt>
                      <c:pt idx="26">
                        <c:v>659330</c:v>
                      </c:pt>
                      <c:pt idx="27">
                        <c:v>1660560</c:v>
                      </c:pt>
                      <c:pt idx="28">
                        <c:v>753571</c:v>
                      </c:pt>
                      <c:pt idx="29">
                        <c:v>939072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5B-44D7-B414-A39E87CC1B72}"/>
                  </c:ext>
                </c:extLst>
              </c15:ser>
            </c15:filteredBarSeries>
          </c:ext>
        </c:extLst>
      </c:barChart>
      <c:catAx>
        <c:axId val="5095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540383"/>
        <c:crosses val="autoZero"/>
        <c:auto val="1"/>
        <c:lblAlgn val="ctr"/>
        <c:lblOffset val="100"/>
        <c:noMultiLvlLbl val="0"/>
      </c:catAx>
      <c:valAx>
        <c:axId val="5095403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5095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 por Tipo e operación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Clasificación!$J$4:$J$5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Clasificación!$K$4:$K$5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9-4155-B52C-5A33DABC7CAF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Clasificación!$J$4:$J$5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Clasificación!$L$4:$L$5</c:f>
              <c:numCache>
                <c:formatCode>0.00%</c:formatCode>
                <c:ptCount val="2"/>
                <c:pt idx="0">
                  <c:v>0.55902489789733412</c:v>
                </c:pt>
                <c:pt idx="1">
                  <c:v>0.44097510210266588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9-4155-B52C-5A33DABC7C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35888879"/>
        <c:axId val="535890127"/>
      </c:barChart>
      <c:catAx>
        <c:axId val="53588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 d eoperación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890127"/>
        <c:crosses val="autoZero"/>
        <c:auto val="1"/>
        <c:lblAlgn val="ctr"/>
        <c:lblOffset val="100"/>
        <c:noMultiLvlLbl val="0"/>
      </c:catAx>
      <c:valAx>
        <c:axId val="535890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Importe Venta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88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% ALQUILERES VS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Clasificación!$J$4:$J$5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Clasificación!$L$4:$L$5</c:f>
              <c:numCache>
                <c:formatCode>0.00%</c:formatCode>
                <c:ptCount val="2"/>
                <c:pt idx="0">
                  <c:v>0.55902489789733412</c:v>
                </c:pt>
                <c:pt idx="1">
                  <c:v>0.44097510210266588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9-4B08-9894-FB64F7AB6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6284735"/>
        <c:axId val="536285151"/>
      </c:barChart>
      <c:catAx>
        <c:axId val="53628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 DE OPERACIÓN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285151"/>
        <c:crosses val="autoZero"/>
        <c:auto val="1"/>
        <c:lblAlgn val="ctr"/>
        <c:lblOffset val="100"/>
        <c:noMultiLvlLbl val="0"/>
      </c:catAx>
      <c:valAx>
        <c:axId val="5362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28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Ingresos 2015 - 2016 y Ganancia/Pérdida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Empresas Mundial'!$F$11</c:f>
              <c:strCache>
                <c:ptCount val="1"/>
                <c:pt idx="0">
                  <c:v>Valor de mercado 2015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'Top Empresas Mundial'!$F$12:$F$26</c:f>
              <c:numCache>
                <c:formatCode>[$$-540A]#,##0.00</c:formatCode>
                <c:ptCount val="15"/>
                <c:pt idx="0">
                  <c:v>310000000</c:v>
                </c:pt>
                <c:pt idx="1">
                  <c:v>280000000</c:v>
                </c:pt>
                <c:pt idx="2">
                  <c:v>280000000</c:v>
                </c:pt>
                <c:pt idx="3">
                  <c:v>56100000</c:v>
                </c:pt>
                <c:pt idx="4">
                  <c:v>24000000</c:v>
                </c:pt>
                <c:pt idx="5">
                  <c:v>23000000</c:v>
                </c:pt>
                <c:pt idx="6">
                  <c:v>22000000</c:v>
                </c:pt>
                <c:pt idx="7">
                  <c:v>22000000</c:v>
                </c:pt>
                <c:pt idx="8">
                  <c:v>21000000</c:v>
                </c:pt>
                <c:pt idx="9">
                  <c:v>21000000</c:v>
                </c:pt>
                <c:pt idx="10">
                  <c:v>21000000</c:v>
                </c:pt>
                <c:pt idx="11">
                  <c:v>20000000</c:v>
                </c:pt>
                <c:pt idx="12">
                  <c:v>18000000</c:v>
                </c:pt>
                <c:pt idx="13">
                  <c:v>18000000</c:v>
                </c:pt>
                <c:pt idx="14">
                  <c:v>17000000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A-4B0D-99DE-5F060A9AF58D}"/>
            </c:ext>
          </c:extLst>
        </c:ser>
        <c:ser>
          <c:idx val="1"/>
          <c:order val="1"/>
          <c:tx>
            <c:strRef>
              <c:f>'Top Empresas Mundial'!$G$12</c:f>
              <c:strCache>
                <c:ptCount val="1"/>
                <c:pt idx="0">
                  <c:v>$358,752,007.00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'Top Empresas Mundial'!$G$13:$G$26</c:f>
              <c:numCache>
                <c:formatCode>[$$-540A]#,##0.00</c:formatCode>
                <c:ptCount val="14"/>
                <c:pt idx="0">
                  <c:v>267972981</c:v>
                </c:pt>
                <c:pt idx="1">
                  <c:v>324244137</c:v>
                </c:pt>
                <c:pt idx="2">
                  <c:v>85060949</c:v>
                </c:pt>
                <c:pt idx="3">
                  <c:v>-67885594</c:v>
                </c:pt>
                <c:pt idx="4">
                  <c:v>31816071</c:v>
                </c:pt>
                <c:pt idx="5">
                  <c:v>15320259</c:v>
                </c:pt>
                <c:pt idx="6">
                  <c:v>43952449</c:v>
                </c:pt>
                <c:pt idx="7">
                  <c:v>61894042</c:v>
                </c:pt>
                <c:pt idx="8">
                  <c:v>51254207</c:v>
                </c:pt>
                <c:pt idx="9">
                  <c:v>-51402883</c:v>
                </c:pt>
                <c:pt idx="10">
                  <c:v>6998855</c:v>
                </c:pt>
                <c:pt idx="11">
                  <c:v>-67569210</c:v>
                </c:pt>
                <c:pt idx="12">
                  <c:v>15087630</c:v>
                </c:pt>
                <c:pt idx="13">
                  <c:v>40238117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A-4B0D-99DE-5F060A9AF58D}"/>
            </c:ext>
          </c:extLst>
        </c:ser>
        <c:ser>
          <c:idx val="2"/>
          <c:order val="2"/>
          <c:tx>
            <c:strRef>
              <c:f>'Top Empresas Mundial'!$H$12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'Top Empresas Mundial'!$H$13:$H$26</c:f>
              <c:numCache>
                <c:formatCode>[$$-540A]#,##0.00</c:formatCode>
                <c:ptCount val="14"/>
                <c:pt idx="0">
                  <c:v>12027019</c:v>
                </c:pt>
                <c:pt idx="1">
                  <c:v>-44244137</c:v>
                </c:pt>
                <c:pt idx="2">
                  <c:v>-28960949</c:v>
                </c:pt>
                <c:pt idx="3">
                  <c:v>91885594</c:v>
                </c:pt>
                <c:pt idx="4">
                  <c:v>-8816071</c:v>
                </c:pt>
                <c:pt idx="5">
                  <c:v>6679741</c:v>
                </c:pt>
                <c:pt idx="6">
                  <c:v>-21952449</c:v>
                </c:pt>
                <c:pt idx="7">
                  <c:v>-40894042</c:v>
                </c:pt>
                <c:pt idx="8">
                  <c:v>-30254207</c:v>
                </c:pt>
                <c:pt idx="9">
                  <c:v>72402883</c:v>
                </c:pt>
                <c:pt idx="10">
                  <c:v>13001145</c:v>
                </c:pt>
                <c:pt idx="11">
                  <c:v>85569210</c:v>
                </c:pt>
                <c:pt idx="12">
                  <c:v>2912370</c:v>
                </c:pt>
                <c:pt idx="13">
                  <c:v>-23238117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A-4B0D-99DE-5F060A9A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21175567"/>
        <c:axId val="2021188463"/>
      </c:barChart>
      <c:catAx>
        <c:axId val="202117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Lugar en lista global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188463"/>
        <c:crosses val="autoZero"/>
        <c:auto val="1"/>
        <c:lblAlgn val="ctr"/>
        <c:lblOffset val="100"/>
        <c:noMultiLvlLbl val="0"/>
      </c:catAx>
      <c:valAx>
        <c:axId val="20211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Ingresos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17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2193395"/>
          <a:ext cx="1104901" cy="675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</xdr:colOff>
      <xdr:row>2</xdr:row>
      <xdr:rowOff>54279</xdr:rowOff>
    </xdr:from>
    <xdr:to>
      <xdr:col>8</xdr:col>
      <xdr:colOff>584157</xdr:colOff>
      <xdr:row>23</xdr:row>
      <xdr:rowOff>48930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21</xdr:row>
      <xdr:rowOff>200031</xdr:rowOff>
    </xdr:from>
    <xdr:to>
      <xdr:col>14</xdr:col>
      <xdr:colOff>19050</xdr:colOff>
      <xdr:row>35</xdr:row>
      <xdr:rowOff>9531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9531</xdr:rowOff>
    </xdr:from>
    <xdr:to>
      <xdr:col>13</xdr:col>
      <xdr:colOff>638175</xdr:colOff>
      <xdr:row>49</xdr:row>
      <xdr:rowOff>28581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7</xdr:row>
      <xdr:rowOff>114306</xdr:rowOff>
    </xdr:from>
    <xdr:to>
      <xdr:col>13</xdr:col>
      <xdr:colOff>523875</xdr:colOff>
      <xdr:row>20</xdr:row>
      <xdr:rowOff>133356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1143000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1133475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1114425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1114425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1114425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1104900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1095375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1104900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1104900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1104900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1085850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1095375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1076325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1095375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1085850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428625</xdr:colOff>
      <xdr:row>28</xdr:row>
      <xdr:rowOff>228599</xdr:rowOff>
    </xdr:from>
    <xdr:to>
      <xdr:col>6</xdr:col>
      <xdr:colOff>1704975</xdr:colOff>
      <xdr:row>43</xdr:row>
      <xdr:rowOff>142874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11</xdr:row>
      <xdr:rowOff>85724</xdr:rowOff>
    </xdr:from>
    <xdr:to>
      <xdr:col>19</xdr:col>
      <xdr:colOff>419102</xdr:colOff>
      <xdr:row>11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16</xdr:row>
      <xdr:rowOff>19050</xdr:rowOff>
    </xdr:from>
    <xdr:to>
      <xdr:col>7</xdr:col>
      <xdr:colOff>1333500</xdr:colOff>
      <xdr:row>18</xdr:row>
      <xdr:rowOff>247650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30</xdr:row>
      <xdr:rowOff>38100</xdr:rowOff>
    </xdr:from>
    <xdr:to>
      <xdr:col>7</xdr:col>
      <xdr:colOff>1323975</xdr:colOff>
      <xdr:row>32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29</xdr:row>
      <xdr:rowOff>47625</xdr:rowOff>
    </xdr:from>
    <xdr:to>
      <xdr:col>7</xdr:col>
      <xdr:colOff>1295400</xdr:colOff>
      <xdr:row>32</xdr:row>
      <xdr:rowOff>19050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28</xdr:row>
      <xdr:rowOff>28575</xdr:rowOff>
    </xdr:from>
    <xdr:to>
      <xdr:col>7</xdr:col>
      <xdr:colOff>1314450</xdr:colOff>
      <xdr:row>32</xdr:row>
      <xdr:rowOff>19050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27</xdr:row>
      <xdr:rowOff>19050</xdr:rowOff>
    </xdr:from>
    <xdr:to>
      <xdr:col>7</xdr:col>
      <xdr:colOff>1343025</xdr:colOff>
      <xdr:row>32</xdr:row>
      <xdr:rowOff>19050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26</xdr:row>
      <xdr:rowOff>38100</xdr:rowOff>
    </xdr:from>
    <xdr:to>
      <xdr:col>7</xdr:col>
      <xdr:colOff>1295400</xdr:colOff>
      <xdr:row>32</xdr:row>
      <xdr:rowOff>19050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25</xdr:row>
      <xdr:rowOff>38100</xdr:rowOff>
    </xdr:from>
    <xdr:to>
      <xdr:col>7</xdr:col>
      <xdr:colOff>1352550</xdr:colOff>
      <xdr:row>32</xdr:row>
      <xdr:rowOff>19050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24</xdr:row>
      <xdr:rowOff>28575</xdr:rowOff>
    </xdr:from>
    <xdr:to>
      <xdr:col>7</xdr:col>
      <xdr:colOff>1362075</xdr:colOff>
      <xdr:row>32</xdr:row>
      <xdr:rowOff>19050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23</xdr:row>
      <xdr:rowOff>28575</xdr:rowOff>
    </xdr:from>
    <xdr:to>
      <xdr:col>7</xdr:col>
      <xdr:colOff>1343025</xdr:colOff>
      <xdr:row>32</xdr:row>
      <xdr:rowOff>19050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22</xdr:row>
      <xdr:rowOff>38100</xdr:rowOff>
    </xdr:from>
    <xdr:to>
      <xdr:col>7</xdr:col>
      <xdr:colOff>1343025</xdr:colOff>
      <xdr:row>22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21</xdr:row>
      <xdr:rowOff>19050</xdr:rowOff>
    </xdr:from>
    <xdr:to>
      <xdr:col>7</xdr:col>
      <xdr:colOff>1333500</xdr:colOff>
      <xdr:row>22</xdr:row>
      <xdr:rowOff>247650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20</xdr:row>
      <xdr:rowOff>28575</xdr:rowOff>
    </xdr:from>
    <xdr:to>
      <xdr:col>7</xdr:col>
      <xdr:colOff>1333500</xdr:colOff>
      <xdr:row>22</xdr:row>
      <xdr:rowOff>247650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19</xdr:row>
      <xdr:rowOff>19050</xdr:rowOff>
    </xdr:from>
    <xdr:to>
      <xdr:col>7</xdr:col>
      <xdr:colOff>1314450</xdr:colOff>
      <xdr:row>22</xdr:row>
      <xdr:rowOff>247650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18</xdr:row>
      <xdr:rowOff>28575</xdr:rowOff>
    </xdr:from>
    <xdr:to>
      <xdr:col>7</xdr:col>
      <xdr:colOff>1343025</xdr:colOff>
      <xdr:row>18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17</xdr:row>
      <xdr:rowOff>38100</xdr:rowOff>
    </xdr:from>
    <xdr:to>
      <xdr:col>7</xdr:col>
      <xdr:colOff>1323975</xdr:colOff>
      <xdr:row>18</xdr:row>
      <xdr:rowOff>247650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1485900</xdr:colOff>
      <xdr:row>11</xdr:row>
      <xdr:rowOff>228600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142875</xdr:colOff>
      <xdr:row>0</xdr:row>
      <xdr:rowOff>85726</xdr:rowOff>
    </xdr:from>
    <xdr:to>
      <xdr:col>2</xdr:col>
      <xdr:colOff>323850</xdr:colOff>
      <xdr:row>7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9" name="Industria">
              <a:extLst>
                <a:ext uri="{FF2B5EF4-FFF2-40B4-BE49-F238E27FC236}">
                  <a16:creationId xmlns:a16="http://schemas.microsoft.com/office/drawing/2014/main" id="{00000000-0008-0000-0A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85726"/>
              <a:ext cx="18288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438149</xdr:colOff>
      <xdr:row>0</xdr:row>
      <xdr:rowOff>104775</xdr:rowOff>
    </xdr:from>
    <xdr:to>
      <xdr:col>4</xdr:col>
      <xdr:colOff>152399</xdr:colOff>
      <xdr:row>7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0" name="Valor de mercado 2014 (mdd)">
              <a:extLst>
                <a:ext uri="{FF2B5EF4-FFF2-40B4-BE49-F238E27FC236}">
                  <a16:creationId xmlns:a16="http://schemas.microsoft.com/office/drawing/2014/main" id="{00000000-0008-0000-0A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0274" y="104775"/>
              <a:ext cx="3019425" cy="153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266699</xdr:colOff>
      <xdr:row>0</xdr:row>
      <xdr:rowOff>76201</xdr:rowOff>
    </xdr:from>
    <xdr:to>
      <xdr:col>5</xdr:col>
      <xdr:colOff>1285874</xdr:colOff>
      <xdr:row>7</xdr:row>
      <xdr:rowOff>19051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Valor de mercado 2015 (mdd)2">
              <a:extLst>
                <a:ext uri="{FF2B5EF4-FFF2-40B4-BE49-F238E27FC236}">
                  <a16:creationId xmlns:a16="http://schemas.microsoft.com/office/drawing/2014/main" id="{00000000-0008-0000-0A00-00001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3999" y="76201"/>
              <a:ext cx="2752725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1428749</xdr:colOff>
      <xdr:row>0</xdr:row>
      <xdr:rowOff>66675</xdr:rowOff>
    </xdr:from>
    <xdr:to>
      <xdr:col>7</xdr:col>
      <xdr:colOff>371474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Valor de mercado 2016 (mdd)">
              <a:extLst>
                <a:ext uri="{FF2B5EF4-FFF2-40B4-BE49-F238E27FC236}">
                  <a16:creationId xmlns:a16="http://schemas.microsoft.com/office/drawing/2014/main" id="{00000000-0008-0000-0A00-00001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599" y="66675"/>
              <a:ext cx="2390775" cy="153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ticia.alvaradoc\AppData\Local\Microsoft\Windows\INetCache\Content.Outlook\YKLQ0JZC\Examen%20ms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edidos"/>
      <sheetName val="Clientes"/>
      <sheetName val="Proveedores"/>
      <sheetName val="Inventario"/>
      <sheetName val="Clasificación"/>
      <sheetName val="Auditoría"/>
      <sheetName val="RécordClientes"/>
      <sheetName val="RécordFacturas"/>
      <sheetName val="Top Empresas Mundial"/>
      <sheetName val="Top Empresas Méxi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I4" t="str">
            <v>Monto de venta</v>
          </cell>
        </row>
        <row r="5">
          <cell r="G5" t="str">
            <v>Tlaxcala</v>
          </cell>
          <cell r="I5">
            <v>249418</v>
          </cell>
        </row>
        <row r="6">
          <cell r="G6" t="str">
            <v>Puebla</v>
          </cell>
          <cell r="I6">
            <v>239220</v>
          </cell>
        </row>
        <row r="7">
          <cell r="G7" t="str">
            <v>Veracruz</v>
          </cell>
          <cell r="I7">
            <v>187862</v>
          </cell>
        </row>
        <row r="8">
          <cell r="G8" t="str">
            <v>Tlaxcala</v>
          </cell>
          <cell r="I8">
            <v>219716</v>
          </cell>
        </row>
        <row r="9">
          <cell r="G9" t="str">
            <v>Puebla</v>
          </cell>
          <cell r="I9">
            <v>229455</v>
          </cell>
        </row>
        <row r="10">
          <cell r="G10" t="str">
            <v>Hidalgo</v>
          </cell>
          <cell r="I10">
            <v>250852</v>
          </cell>
        </row>
        <row r="11">
          <cell r="G11" t="str">
            <v>Hidalgo</v>
          </cell>
          <cell r="I11">
            <v>298272</v>
          </cell>
        </row>
        <row r="12">
          <cell r="G12" t="str">
            <v>Tlaxcala</v>
          </cell>
          <cell r="I12">
            <v>258444</v>
          </cell>
        </row>
        <row r="13">
          <cell r="G13" t="str">
            <v>Tlaxcala</v>
          </cell>
          <cell r="I13">
            <v>255906</v>
          </cell>
        </row>
        <row r="14">
          <cell r="G14" t="str">
            <v>Hidalgo</v>
          </cell>
          <cell r="I14">
            <v>189156</v>
          </cell>
        </row>
        <row r="15">
          <cell r="G15" t="str">
            <v>Veracruz</v>
          </cell>
          <cell r="I15">
            <v>242704</v>
          </cell>
        </row>
        <row r="16">
          <cell r="G16" t="str">
            <v>Veracruz</v>
          </cell>
          <cell r="I16">
            <v>253920</v>
          </cell>
        </row>
        <row r="17">
          <cell r="G17" t="str">
            <v>Puebla</v>
          </cell>
          <cell r="I17">
            <v>258560</v>
          </cell>
        </row>
        <row r="18">
          <cell r="G18" t="str">
            <v>Tlaxcala</v>
          </cell>
          <cell r="I18">
            <v>262777</v>
          </cell>
        </row>
        <row r="19">
          <cell r="G19" t="str">
            <v>Puebla</v>
          </cell>
          <cell r="I19">
            <v>279342</v>
          </cell>
        </row>
        <row r="20">
          <cell r="G20" t="str">
            <v>Hidalgo</v>
          </cell>
          <cell r="I20">
            <v>251596</v>
          </cell>
        </row>
        <row r="21">
          <cell r="G21" t="str">
            <v>Puebla</v>
          </cell>
          <cell r="I21">
            <v>280741</v>
          </cell>
        </row>
        <row r="22">
          <cell r="G22" t="str">
            <v>Puebla</v>
          </cell>
          <cell r="I22">
            <v>251430</v>
          </cell>
        </row>
        <row r="23">
          <cell r="G23" t="str">
            <v>Veracruz</v>
          </cell>
          <cell r="I23">
            <v>227178</v>
          </cell>
        </row>
        <row r="24">
          <cell r="G24" t="str">
            <v>Hidalgo</v>
          </cell>
          <cell r="I24">
            <v>223564</v>
          </cell>
        </row>
        <row r="25">
          <cell r="G25" t="str">
            <v>Hidalgo</v>
          </cell>
          <cell r="I25">
            <v>299996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00000000-0013-0000-FFFF-FFFF01000000}" sourceName="Industria">
  <extLst>
    <x:ext xmlns:x15="http://schemas.microsoft.com/office/spreadsheetml/2010/11/main" uri="{2F2917AC-EB37-4324-AD4E-5DD8C200BD13}">
      <x15:tableSlicerCache tableId="5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4__mdd" xr10:uid="{00000000-0013-0000-FFFF-FFFF02000000}" sourceName="Valor de mercado 2014 (mdd)">
  <extLst>
    <x:ext xmlns:x15="http://schemas.microsoft.com/office/spreadsheetml/2010/11/main" uri="{2F2917AC-EB37-4324-AD4E-5DD8C200BD13}">
      <x15:tableSlicerCache tableId="5" column="2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5__mdd_2" xr10:uid="{00000000-0013-0000-FFFF-FFFF03000000}" sourceName="Valor de mercado 2015 (mdd)2">
  <extLst>
    <x:ext xmlns:x15="http://schemas.microsoft.com/office/spreadsheetml/2010/11/main" uri="{2F2917AC-EB37-4324-AD4E-5DD8C200BD13}">
      <x15:tableSlicerCache tableId="5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6__mdd" xr10:uid="{00000000-0013-0000-FFFF-FFFF04000000}" sourceName="Valor de mercado 2016 (mdd)">
  <extLst>
    <x:ext xmlns:x15="http://schemas.microsoft.com/office/spreadsheetml/2010/11/main" uri="{2F2917AC-EB37-4324-AD4E-5DD8C200BD13}">
      <x15:tableSlicerCache tableId="5" column="2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00000000-0014-0000-FFFF-FFFF01000000}" cache="SegmentaciónDeDatos_Industria" caption="Industria" rowHeight="241300"/>
  <slicer name="Valor de mercado 2014 (mdd)" xr10:uid="{00000000-0014-0000-FFFF-FFFF02000000}" cache="SegmentaciónDeDatos_Valor_de_mercado_2014__mdd" caption="Valor de mercado 2014 (mdd)" rowHeight="241300"/>
  <slicer name="Valor de mercado 2015 (mdd)2" xr10:uid="{00000000-0014-0000-FFFF-FFFF03000000}" cache="SegmentaciónDeDatos_Valor_de_mercado_2015__mdd_2" caption="Valor de mercado 2015 (mdd)2" rowHeight="241300"/>
  <slicer name="Valor de mercado 2016 (mdd)" xr10:uid="{00000000-0014-0000-FFFF-FFFF04000000}" cache="SegmentaciónDeDatos_Valor_de_mercado_2016__mdd" caption="Valor de mercado 2016 (mdd)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4" totalsRowShown="0" headerRowDxfId="151" tableBorderDxfId="150">
  <autoFilter ref="A6:J54" xr:uid="{00000000-0009-0000-0100-000006000000}"/>
  <tableColumns count="10">
    <tableColumn id="1" xr3:uid="{00000000-0010-0000-0000-000001000000}" name="ID" dataDxfId="149"/>
    <tableColumn id="2" xr3:uid="{00000000-0010-0000-0000-000002000000}" name="FechaDeOrden" dataDxfId="148"/>
    <tableColumn id="3" xr3:uid="{00000000-0010-0000-0000-000003000000}" name="Empleado" dataDxfId="147"/>
    <tableColumn id="4" xr3:uid="{00000000-0010-0000-0000-000004000000}" name="Status" dataDxfId="146"/>
    <tableColumn id="5" xr3:uid="{00000000-0010-0000-0000-000005000000}" name="Compañía" dataDxfId="145"/>
    <tableColumn id="6" xr3:uid="{00000000-0010-0000-0000-000006000000}" name="Fecha de envío" dataDxfId="144"/>
    <tableColumn id="7" xr3:uid="{00000000-0010-0000-0000-000007000000}" name="Cantidad" dataDxfId="143"/>
    <tableColumn id="8" xr3:uid="{00000000-0010-0000-0000-000008000000}" name="Precio" dataDxfId="142" dataCellStyle="Moneda"/>
    <tableColumn id="9" xr3:uid="{00000000-0010-0000-0000-000009000000}" name="Costo de envío" dataDxfId="141" dataCellStyle="Moneda"/>
    <tableColumn id="10" xr3:uid="{00000000-0010-0000-0000-00000A000000}" name="Total" dataDxfId="140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totalsRowFunction="average" dataDxfId="139" totalsRowDxfId="138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A4:E15" totalsRowCount="1">
  <autoFilter ref="A4:E14" xr:uid="{00000000-0009-0000-0100-000007000000}"/>
  <tableColumns count="5">
    <tableColumn id="1" xr3:uid="{00000000-0010-0000-0200-000001000000}" name="Compañía" totalsRowLabel="Total"/>
    <tableColumn id="2" xr3:uid="{00000000-0010-0000-0200-000002000000}" name="Pedidos" totalsRowFunction="average"/>
    <tableColumn id="3" xr3:uid="{00000000-0010-0000-0200-000003000000}" name="Primer nombre"/>
    <tableColumn id="4" xr3:uid="{00000000-0010-0000-0200-000004000000}" name="Apellido"/>
    <tableColumn id="5" xr3:uid="{00000000-0010-0000-0200-000005000000}" name="Puesto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a8" displayName="Tabla8" ref="C8:K39" totalsRowCount="1" headerRowDxfId="137" tableBorderDxfId="136" headerRowCellStyle="Normal 3">
  <autoFilter ref="C8:K38" xr:uid="{00000000-0009-0000-0100-000008000000}"/>
  <tableColumns count="9">
    <tableColumn id="1" xr3:uid="{00000000-0010-0000-0300-000001000000}" name="Referencia" totalsRowLabel="Total" dataDxfId="135">
      <calculatedColumnFormula>C8+1</calculatedColumnFormula>
    </tableColumn>
    <tableColumn id="2" xr3:uid="{00000000-0010-0000-0300-000002000000}" name="Fecha Alta" dataDxfId="134" dataCellStyle="Normal 3"/>
    <tableColumn id="3" xr3:uid="{00000000-0010-0000-0300-000003000000}" name="Tipo"/>
    <tableColumn id="4" xr3:uid="{00000000-0010-0000-0300-000004000000}" name="Operación"/>
    <tableColumn id="5" xr3:uid="{00000000-0010-0000-0300-000005000000}" name="Estado"/>
    <tableColumn id="6" xr3:uid="{00000000-0010-0000-0300-000006000000}" name="Superficie"/>
    <tableColumn id="7" xr3:uid="{00000000-0010-0000-0300-000007000000}" name="Monto" totalsRowFunction="sum" dataDxfId="133" totalsRowDxfId="132" dataCellStyle="Normal 3"/>
    <tableColumn id="8" xr3:uid="{00000000-0010-0000-0300-000008000000}" name="Fecha Venta" dataDxfId="131" dataCellStyle="Normal 3"/>
    <tableColumn id="9" xr3:uid="{00000000-0010-0000-0300-000009000000}" name="Vendedor" totalsRowFunction="count"/>
  </tableColumns>
  <tableStyleInfo name="TableStyleDark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5" displayName="Tabla5" ref="C6:H37" totalsRowCount="1">
  <tableColumns count="6">
    <tableColumn id="1" xr3:uid="{00000000-0010-0000-0400-000001000000}" name="Giro Comercial" totalsRowLabel="Total"/>
    <tableColumn id="5" xr3:uid="{00000000-0010-0000-0400-000005000000}" name="Código" totalsRowFunction="count" dataDxfId="130">
      <calculatedColumnFormula>LEFT(Tabla5[[#This Row],[Giro Comercial]],3)</calculatedColumnFormula>
    </tableColumn>
    <tableColumn id="2" xr3:uid="{00000000-0010-0000-0400-000002000000}" name="Operación"/>
    <tableColumn id="3" xr3:uid="{00000000-0010-0000-0400-000003000000}" name="Estado"/>
    <tableColumn id="4" xr3:uid="{00000000-0010-0000-0400-000004000000}" name="Monto" totalsRowFunction="sum" dataDxfId="129" totalsRowDxfId="128" dataCellStyle="Moneda"/>
    <tableColumn id="6" xr3:uid="{00000000-0010-0000-0400-000006000000}" name="% Ventas" totalsRowFunction="sum" dataDxfId="127" totalsRowDxfId="126" dataCellStyle="Normal 3">
      <calculatedColumnFormula>Tabla5[[#This Row],[Monto]]/Tabla5[[#Totals],[Monto]]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Auditoría" displayName="Auditoría" ref="C4:I25">
  <tableColumns count="7">
    <tableColumn id="1" xr3:uid="{00000000-0010-0000-0500-000001000000}" name="Referencia" totalsRowLabel="Total"/>
    <tableColumn id="2" xr3:uid="{00000000-0010-0000-0500-000002000000}" name="Fecha Alta" dataDxfId="125"/>
    <tableColumn id="3" xr3:uid="{00000000-0010-0000-0500-000003000000}" name="Tipo"/>
    <tableColumn id="4" xr3:uid="{00000000-0010-0000-0500-000004000000}" name="Operación"/>
    <tableColumn id="5" xr3:uid="{00000000-0010-0000-0500-000005000000}" name="Estado"/>
    <tableColumn id="6" xr3:uid="{00000000-0010-0000-0500-000006000000}" name="Superficie"/>
    <tableColumn id="7" xr3:uid="{00000000-0010-0000-0500-000007000000}" name="Monto de venta" totalsRowFunction="sum" dataDxfId="124" totalsRowDxfId="123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B12:H39" totalsRowShown="0" headerRowBorderDxfId="121" tableBorderDxfId="120" totalsRowBorderDxfId="119">
  <autoFilter ref="B12:H39" xr:uid="{00000000-0009-0000-0100-000009000000}"/>
  <tableColumns count="7">
    <tableColumn id="1" xr3:uid="{00000000-0010-0000-0600-000001000000}" name="Cuenta No." dataDxfId="118" dataCellStyle="Normal 4"/>
    <tableColumn id="2" xr3:uid="{00000000-0010-0000-0600-000002000000}" name="Factura No." dataDxfId="117" dataCellStyle="Normal 4"/>
    <tableColumn id="3" xr3:uid="{00000000-0010-0000-0600-000003000000}" name="Fecha Factura" dataDxfId="116" dataCellStyle="Normal 4"/>
    <tableColumn id="4" xr3:uid="{00000000-0010-0000-0600-000004000000}" name="Fecha Vencim." dataDxfId="115" dataCellStyle="Normal 4"/>
    <tableColumn id="5" xr3:uid="{00000000-0010-0000-0600-000005000000}" name="Monto" dataDxfId="114" dataCellStyle="Moneda 2"/>
    <tableColumn id="6" xr3:uid="{00000000-0010-0000-0600-000006000000}" name="Vendedor" dataDxfId="113" dataCellStyle="Moneda 2"/>
    <tableColumn id="7" xr3:uid="{00000000-0010-0000-0600-000007000000}" name="Días Vencidos" dataDxfId="112" dataCellStyle="Normal 4">
      <calculatedColumnFormula>IF($C$8&gt;Tabla9[[#This Row],[Fecha Vencim.]],($C$8-Tabla9[[#This Row],[Fecha Vencim.]]),"No vencida")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Rendimiento7" displayName="tbl_Rendimiento7" ref="B11:U27" totalsRowCount="1">
  <autoFilter ref="B11:U26" xr:uid="{00000000-0009-0000-0100-000004000000}"/>
  <tableColumns count="20">
    <tableColumn id="1" xr3:uid="{00000000-0010-0000-0700-000001000000}" name="Nombre" totalsRowLabel="Total" dataDxfId="111" totalsRowDxfId="18"/>
    <tableColumn id="3" xr3:uid="{00000000-0010-0000-0700-000003000000}" name="Lugar en lista global" dataDxfId="110" totalsRowDxfId="17"/>
    <tableColumn id="20" xr3:uid="{00000000-0010-0000-0700-000014000000}" name="País" dataDxfId="109" totalsRowDxfId="16"/>
    <tableColumn id="4" xr3:uid="{00000000-0010-0000-0700-000004000000}" name="Industria" dataDxfId="108" totalsRowDxfId="15"/>
    <tableColumn id="5" xr3:uid="{00000000-0010-0000-0700-000005000000}" name="Valor de mercado 2015 (mdd)" totalsRowFunction="sum" dataDxfId="107" totalsRowDxfId="14"/>
    <tableColumn id="6" xr3:uid="{00000000-0010-0000-0700-000006000000}" name="Valor de mercado 2016(mdd)" totalsRowFunction="sum" dataDxfId="106" totalsRowDxfId="13"/>
    <tableColumn id="21" xr3:uid="{00000000-0010-0000-0700-000015000000}" name="Ganancia/Perdida" totalsRowFunction="sum" dataDxfId="105" totalsRowDxfId="12">
      <calculatedColumnFormula>tbl_Rendimiento7[[#This Row],[Valor de mercado 2015 (mdd)]]-tbl_Rendimiento7[[#This Row],[Valor de mercado 2016(mdd)]]</calculatedColumnFormula>
    </tableColumn>
    <tableColumn id="19" xr3:uid="{00000000-0010-0000-0700-000013000000}" name="Logo"/>
    <tableColumn id="7" xr3:uid="{00000000-0010-0000-0700-000007000000}" name="Columna1" dataDxfId="104" totalsRowDxfId="11"/>
    <tableColumn id="8" xr3:uid="{00000000-0010-0000-0700-000008000000}" name="Columna2" dataDxfId="103" totalsRowDxfId="10"/>
    <tableColumn id="9" xr3:uid="{00000000-0010-0000-0700-000009000000}" name="Columna3" dataDxfId="102" totalsRowDxfId="9"/>
    <tableColumn id="10" xr3:uid="{00000000-0010-0000-0700-00000A000000}" name="Columna4" dataDxfId="101" totalsRowDxfId="8"/>
    <tableColumn id="11" xr3:uid="{00000000-0010-0000-0700-00000B000000}" name="Columna5" dataDxfId="100" totalsRowDxfId="7"/>
    <tableColumn id="12" xr3:uid="{00000000-0010-0000-0700-00000C000000}" name="Columna6" dataDxfId="99" totalsRowDxfId="6"/>
    <tableColumn id="13" xr3:uid="{00000000-0010-0000-0700-00000D000000}" name="Columna7" dataDxfId="98" totalsRowDxfId="5"/>
    <tableColumn id="14" xr3:uid="{00000000-0010-0000-0700-00000E000000}" name="Columna8" dataDxfId="97" totalsRowDxfId="4"/>
    <tableColumn id="15" xr3:uid="{00000000-0010-0000-0700-00000F000000}" name="Columna9" dataDxfId="96" totalsRowDxfId="3"/>
    <tableColumn id="16" xr3:uid="{00000000-0010-0000-0700-000010000000}" name="Columna10" dataDxfId="95" totalsRowDxfId="2"/>
    <tableColumn id="17" xr3:uid="{00000000-0010-0000-0700-000011000000}" name="Columna11" dataDxfId="94" totalsRowDxfId="1"/>
    <tableColumn id="18" xr3:uid="{00000000-0010-0000-0700-000012000000}" name="Columna12" totalsRowFunction="count" dataDxfId="93" totalsRowDxfId="0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Rendimiento5" displayName="tbl_Rendimiento5" ref="B16:T32" totalsRowCount="1" headerRowDxfId="83">
  <autoFilter ref="B16:T31" xr:uid="{00000000-0009-0000-0100-000005000000}">
    <filterColumn colId="0" hiddenButton="1"/>
    <filterColumn colId="1" hiddenButton="1"/>
    <filterColumn colId="2" hiddenButton="1">
      <filters>
        <filter val="Banca"/>
      </filters>
    </filterColumn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800-000001000000}" name="Nombre" totalsRowLabel="Total" dataDxfId="82" totalsRowDxfId="81"/>
    <tableColumn id="2" xr3:uid="{00000000-0010-0000-0800-000002000000}" name="Lugar de la lista de México" dataDxfId="80" totalsRowDxfId="79"/>
    <tableColumn id="4" xr3:uid="{00000000-0010-0000-0800-000004000000}" name="Industria" dataDxfId="78" totalsRowDxfId="77"/>
    <tableColumn id="22" xr3:uid="{00000000-0010-0000-0800-000016000000}" name="Valor de mercado 2014 (mdd)" totalsRowFunction="sum" dataDxfId="76" totalsRowDxfId="75"/>
    <tableColumn id="5" xr3:uid="{00000000-0010-0000-0800-000005000000}" name="Valor de mercado 2015 (mdd)2" totalsRowFunction="sum" dataDxfId="74" totalsRowDxfId="73"/>
    <tableColumn id="20" xr3:uid="{00000000-0010-0000-0800-000014000000}" name="Valor de mercado 2016 (mdd)" totalsRowFunction="sum" dataDxfId="72" totalsRowDxfId="71"/>
    <tableColumn id="19" xr3:uid="{00000000-0010-0000-0800-000013000000}" name="Logo"/>
    <tableColumn id="7" xr3:uid="{00000000-0010-0000-0800-000007000000}" name="Columna1" dataDxfId="70" totalsRowDxfId="69"/>
    <tableColumn id="8" xr3:uid="{00000000-0010-0000-0800-000008000000}" name="Columna2" dataDxfId="68" totalsRowDxfId="67"/>
    <tableColumn id="9" xr3:uid="{00000000-0010-0000-0800-000009000000}" name="Columna3" dataDxfId="66" totalsRowDxfId="65"/>
    <tableColumn id="10" xr3:uid="{00000000-0010-0000-0800-00000A000000}" name="Columna4" dataDxfId="64" totalsRowDxfId="63"/>
    <tableColumn id="11" xr3:uid="{00000000-0010-0000-0800-00000B000000}" name="Columna5" dataDxfId="62" totalsRowDxfId="61"/>
    <tableColumn id="12" xr3:uid="{00000000-0010-0000-0800-00000C000000}" name="Columna6" dataDxfId="60" totalsRowDxfId="59"/>
    <tableColumn id="13" xr3:uid="{00000000-0010-0000-0800-00000D000000}" name="Columna7" dataDxfId="58" totalsRowDxfId="57"/>
    <tableColumn id="14" xr3:uid="{00000000-0010-0000-0800-00000E000000}" name="Columna8" dataDxfId="56" totalsRowDxfId="55"/>
    <tableColumn id="15" xr3:uid="{00000000-0010-0000-0800-00000F000000}" name="Columna9" dataDxfId="54" totalsRowDxfId="53"/>
    <tableColumn id="16" xr3:uid="{00000000-0010-0000-0800-000010000000}" name="Columna10" dataDxfId="52" totalsRowDxfId="51"/>
    <tableColumn id="17" xr3:uid="{00000000-0010-0000-0800-000011000000}" name="Columna11" dataDxfId="50" totalsRowDxfId="49"/>
    <tableColumn id="18" xr3:uid="{00000000-0010-0000-0800-000012000000}" name="Columna12" totalsRowFunction="count" dataDxfId="48" totalsRowDxfId="4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9.xm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10.xml"/><Relationship Id="rId5" Type="http://schemas.microsoft.com/office/2007/relationships/slicer" Target="../slicers/slicer1.xml"/><Relationship Id="rId4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Normal="100" workbookViewId="0">
      <pane xSplit="5" ySplit="6" topLeftCell="F19" activePane="bottomRight" state="frozen"/>
      <selection pane="topRight" activeCell="F1" sqref="F1"/>
      <selection pane="bottomLeft" activeCell="A7" sqref="A7"/>
      <selection pane="bottomRight" activeCell="F2" sqref="F2"/>
    </sheetView>
  </sheetViews>
  <sheetFormatPr baseColWidth="10" defaultColWidth="9" defaultRowHeight="15" x14ac:dyDescent="0.25"/>
  <cols>
    <col min="1" max="1" width="6.5703125" customWidth="1"/>
    <col min="2" max="2" width="16.28515625" customWidth="1"/>
    <col min="3" max="3" width="18.28515625" bestFit="1" customWidth="1"/>
    <col min="4" max="4" width="14.5703125" customWidth="1"/>
    <col min="5" max="5" width="12.7109375" bestFit="1" customWidth="1"/>
    <col min="6" max="6" width="16.42578125" customWidth="1"/>
    <col min="7" max="7" width="11" customWidth="1"/>
    <col min="8" max="8" width="10.5703125" bestFit="1" customWidth="1"/>
    <col min="9" max="9" width="16.28515625" customWidth="1"/>
    <col min="10" max="10" width="7.5703125" customWidth="1"/>
  </cols>
  <sheetData>
    <row r="1" spans="1:14" ht="31.5" x14ac:dyDescent="0.5">
      <c r="A1" s="157" t="s">
        <v>212</v>
      </c>
      <c r="B1" s="157"/>
      <c r="C1" s="157"/>
      <c r="D1" s="157"/>
      <c r="E1" s="157"/>
      <c r="F1" s="157"/>
    </row>
    <row r="2" spans="1:14" ht="31.5" x14ac:dyDescent="0.5">
      <c r="A2" s="6" t="s">
        <v>213</v>
      </c>
      <c r="B2" s="5"/>
      <c r="C2" s="5"/>
      <c r="D2" s="5"/>
      <c r="E2" s="5"/>
      <c r="F2" s="5">
        <v>1</v>
      </c>
    </row>
    <row r="3" spans="1:14" ht="31.5" x14ac:dyDescent="0.5">
      <c r="A3" s="6" t="s">
        <v>214</v>
      </c>
      <c r="M3" s="144">
        <v>1</v>
      </c>
    </row>
    <row r="4" spans="1:14" ht="31.5" x14ac:dyDescent="0.5">
      <c r="A4" s="6" t="s">
        <v>215</v>
      </c>
      <c r="I4" s="144">
        <v>1</v>
      </c>
    </row>
    <row r="5" spans="1:14" ht="18.75" x14ac:dyDescent="0.3">
      <c r="A5" s="6"/>
    </row>
    <row r="6" spans="1:14" x14ac:dyDescent="0.25">
      <c r="A6" s="100" t="s">
        <v>0</v>
      </c>
      <c r="B6" s="100" t="s">
        <v>1</v>
      </c>
      <c r="C6" s="100" t="s">
        <v>2</v>
      </c>
      <c r="D6" s="100" t="s">
        <v>3</v>
      </c>
      <c r="E6" s="100" t="s">
        <v>4</v>
      </c>
      <c r="F6" s="100" t="s">
        <v>5</v>
      </c>
      <c r="G6" s="100" t="s">
        <v>6</v>
      </c>
      <c r="H6" s="100" t="s">
        <v>7</v>
      </c>
      <c r="I6" s="100" t="s">
        <v>8</v>
      </c>
      <c r="J6" s="100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55" t="s">
        <v>27</v>
      </c>
      <c r="N16" s="155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56">
        <f>MAX(Tabla6[Precio])</f>
        <v>4799</v>
      </c>
      <c r="N17" s="156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11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14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14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46" priority="4" operator="containsText" text="Cerrado">
      <formula>NOT(ISERROR(SEARCH("Cerrado",D7)))</formula>
    </cfRule>
    <cfRule type="containsText" dxfId="45" priority="5" operator="containsText" text="Nuevo">
      <formula>NOT(ISERROR(SEARCH("Nuevo",D7)))</formula>
    </cfRule>
  </conditionalFormatting>
  <conditionalFormatting sqref="F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autoPageBreaks="0" fitToPage="1"/>
  </sheetPr>
  <dimension ref="A1:XFC27"/>
  <sheetViews>
    <sheetView showGridLines="0" zoomScaleNormal="145" workbookViewId="0">
      <selection activeCell="I7" sqref="I7"/>
    </sheetView>
  </sheetViews>
  <sheetFormatPr baseColWidth="10" defaultColWidth="0" defaultRowHeight="18" customHeight="1" x14ac:dyDescent="0.25"/>
  <cols>
    <col min="1" max="1" width="1.7109375" style="62" customWidth="1"/>
    <col min="2" max="2" width="32.7109375" style="62" bestFit="1" customWidth="1"/>
    <col min="3" max="3" width="16.42578125" style="62" bestFit="1" customWidth="1"/>
    <col min="4" max="4" width="10.42578125" style="62" bestFit="1" customWidth="1"/>
    <col min="5" max="5" width="18.42578125" style="62" bestFit="1" customWidth="1"/>
    <col min="6" max="6" width="24.7109375" style="62" bestFit="1" customWidth="1"/>
    <col min="7" max="7" width="28.85546875" style="62" bestFit="1" customWidth="1"/>
    <col min="8" max="8" width="19.28515625" style="62" bestFit="1" customWidth="1"/>
    <col min="9" max="9" width="18.28515625" style="62" customWidth="1"/>
    <col min="10" max="13" width="9.28515625" style="63" hidden="1" customWidth="1"/>
    <col min="14" max="14" width="10.7109375" style="64" hidden="1" customWidth="1"/>
    <col min="15" max="15" width="9.28515625" style="64" hidden="1" customWidth="1"/>
    <col min="16" max="19" width="9.28515625" style="63" hidden="1" customWidth="1"/>
    <col min="20" max="20" width="13.28515625" style="64" hidden="1" customWidth="1"/>
    <col min="21" max="21" width="6.42578125" style="62" hidden="1" customWidth="1"/>
    <col min="22" max="24" width="1.28515625" style="62" hidden="1" customWidth="1"/>
    <col min="25" max="16383" width="0" style="62" hidden="1"/>
    <col min="16384" max="16384" width="19.42578125" style="62" hidden="1" customWidth="1"/>
  </cols>
  <sheetData>
    <row r="1" spans="1:21" ht="34.5" customHeight="1" x14ac:dyDescent="0.5">
      <c r="A1" s="57" t="s">
        <v>212</v>
      </c>
    </row>
    <row r="2" spans="1:21" ht="18" customHeight="1" x14ac:dyDescent="0.3">
      <c r="A2" s="6" t="s">
        <v>441</v>
      </c>
    </row>
    <row r="3" spans="1:21" ht="31.5" x14ac:dyDescent="0.5">
      <c r="B3" s="170">
        <v>1</v>
      </c>
    </row>
    <row r="5" spans="1:21" ht="12.75" x14ac:dyDescent="0.25"/>
    <row r="6" spans="1:21" ht="34.5" x14ac:dyDescent="0.35">
      <c r="B6" s="166" t="s">
        <v>364</v>
      </c>
      <c r="C6" s="166"/>
      <c r="D6" s="166"/>
      <c r="E6" s="166"/>
      <c r="F6" s="166"/>
      <c r="G6" s="166"/>
      <c r="H6" s="166"/>
      <c r="I6" s="166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34.5" x14ac:dyDescent="0.25">
      <c r="B7" s="66" t="s">
        <v>365</v>
      </c>
      <c r="C7" s="67"/>
      <c r="D7" s="67"/>
      <c r="E7" s="68"/>
      <c r="F7" s="67"/>
      <c r="G7" s="67"/>
      <c r="H7" s="67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</row>
    <row r="8" spans="1:21" ht="12.75" x14ac:dyDescent="0.25"/>
    <row r="9" spans="1:21" ht="12.75" x14ac:dyDescent="0.25">
      <c r="B9" s="69"/>
      <c r="C9" s="70" t="s">
        <v>366</v>
      </c>
      <c r="D9" s="70"/>
      <c r="E9" s="70"/>
      <c r="F9" s="71" t="s">
        <v>367</v>
      </c>
      <c r="G9" s="71"/>
      <c r="H9" s="71"/>
      <c r="I9" s="71"/>
      <c r="J9" s="70"/>
      <c r="K9" s="70"/>
      <c r="L9" s="70"/>
      <c r="M9" s="70"/>
      <c r="N9" s="70"/>
      <c r="O9" s="70"/>
      <c r="P9" s="70"/>
      <c r="Q9" s="70"/>
      <c r="R9" s="70"/>
      <c r="S9" s="70"/>
      <c r="T9" s="72"/>
      <c r="U9" s="73"/>
    </row>
    <row r="10" spans="1:21" ht="6" customHeight="1" x14ac:dyDescent="0.25">
      <c r="B10" s="69"/>
      <c r="C10" s="74"/>
      <c r="D10" s="75"/>
      <c r="E10" s="76"/>
      <c r="F10" s="77"/>
      <c r="G10" s="71"/>
      <c r="H10" s="71"/>
      <c r="I10" s="71"/>
      <c r="J10" s="74"/>
      <c r="K10" s="76"/>
      <c r="L10" s="74"/>
      <c r="M10" s="76"/>
      <c r="N10" s="74"/>
      <c r="O10" s="76"/>
      <c r="P10" s="74"/>
      <c r="Q10" s="75"/>
      <c r="R10" s="75"/>
      <c r="S10" s="76"/>
      <c r="T10" s="78"/>
      <c r="U10" s="78"/>
    </row>
    <row r="11" spans="1:21" s="81" customFormat="1" ht="30" customHeight="1" x14ac:dyDescent="0.25">
      <c r="B11" s="79" t="s">
        <v>368</v>
      </c>
      <c r="C11" s="80" t="s">
        <v>369</v>
      </c>
      <c r="D11" s="80" t="s">
        <v>370</v>
      </c>
      <c r="E11" s="79" t="s">
        <v>371</v>
      </c>
      <c r="F11" s="79" t="s">
        <v>372</v>
      </c>
      <c r="G11" s="79" t="s">
        <v>373</v>
      </c>
      <c r="H11" s="79" t="s">
        <v>374</v>
      </c>
      <c r="I11" s="79" t="s">
        <v>375</v>
      </c>
      <c r="J11" s="79" t="s">
        <v>260</v>
      </c>
      <c r="K11" s="79" t="s">
        <v>261</v>
      </c>
      <c r="L11" s="79" t="s">
        <v>262</v>
      </c>
      <c r="M11" s="79" t="s">
        <v>263</v>
      </c>
      <c r="N11" s="79" t="s">
        <v>376</v>
      </c>
      <c r="O11" s="79" t="s">
        <v>377</v>
      </c>
      <c r="P11" s="79" t="s">
        <v>378</v>
      </c>
      <c r="Q11" s="79" t="s">
        <v>379</v>
      </c>
      <c r="R11" s="79" t="s">
        <v>380</v>
      </c>
      <c r="S11" s="79" t="s">
        <v>381</v>
      </c>
      <c r="T11" s="79" t="s">
        <v>382</v>
      </c>
      <c r="U11" s="79" t="s">
        <v>383</v>
      </c>
    </row>
    <row r="12" spans="1:21" s="90" customFormat="1" ht="24" customHeight="1" x14ac:dyDescent="0.25">
      <c r="B12" s="82" t="s">
        <v>384</v>
      </c>
      <c r="C12" s="83">
        <v>1</v>
      </c>
      <c r="D12" s="83" t="s">
        <v>385</v>
      </c>
      <c r="E12" s="82" t="s">
        <v>386</v>
      </c>
      <c r="F12" s="84">
        <v>310000000</v>
      </c>
      <c r="G12" s="84">
        <v>358752007</v>
      </c>
      <c r="H12" s="84"/>
      <c r="I12" s="82"/>
      <c r="J12" s="85"/>
      <c r="K12" s="86"/>
      <c r="L12" s="85"/>
      <c r="M12" s="86"/>
      <c r="N12" s="87"/>
      <c r="O12" s="87"/>
      <c r="P12" s="88"/>
      <c r="Q12" s="88"/>
      <c r="R12" s="86"/>
      <c r="S12" s="85"/>
      <c r="T12" s="87"/>
      <c r="U12" s="89"/>
    </row>
    <row r="13" spans="1:21" s="90" customFormat="1" ht="24" customHeight="1" x14ac:dyDescent="0.25">
      <c r="B13" s="82" t="s">
        <v>387</v>
      </c>
      <c r="C13" s="83">
        <v>2</v>
      </c>
      <c r="D13" s="83" t="s">
        <v>385</v>
      </c>
      <c r="E13" s="82" t="s">
        <v>386</v>
      </c>
      <c r="F13" s="84">
        <v>280000000</v>
      </c>
      <c r="G13" s="84">
        <v>267972981</v>
      </c>
      <c r="H13" s="84">
        <f>tbl_Rendimiento7[[#This Row],[Valor de mercado 2015 (mdd)]]-tbl_Rendimiento7[[#This Row],[Valor de mercado 2016(mdd)]]</f>
        <v>12027019</v>
      </c>
      <c r="I13" s="62"/>
      <c r="J13" s="91"/>
      <c r="K13" s="92"/>
      <c r="L13" s="91"/>
      <c r="M13" s="92"/>
      <c r="N13" s="93"/>
      <c r="O13" s="93"/>
      <c r="P13" s="94"/>
      <c r="Q13" s="94"/>
      <c r="R13" s="92"/>
      <c r="S13" s="91"/>
      <c r="T13" s="93"/>
      <c r="U13" s="95"/>
    </row>
    <row r="14" spans="1:21" ht="24" customHeight="1" x14ac:dyDescent="0.25">
      <c r="B14" s="82" t="s">
        <v>388</v>
      </c>
      <c r="C14" s="83">
        <v>3</v>
      </c>
      <c r="D14" s="83" t="s">
        <v>385</v>
      </c>
      <c r="E14" s="82" t="s">
        <v>386</v>
      </c>
      <c r="F14" s="84">
        <v>280000000</v>
      </c>
      <c r="G14" s="84">
        <v>324244137</v>
      </c>
      <c r="H14" s="84">
        <f>tbl_Rendimiento7[[#This Row],[Valor de mercado 2015 (mdd)]]-tbl_Rendimiento7[[#This Row],[Valor de mercado 2016(mdd)]]</f>
        <v>-44244137</v>
      </c>
      <c r="J14" s="91"/>
      <c r="K14" s="92"/>
      <c r="L14" s="91"/>
      <c r="M14" s="92"/>
      <c r="N14" s="93"/>
      <c r="O14" s="93"/>
      <c r="P14" s="94"/>
      <c r="Q14" s="94"/>
      <c r="R14" s="92"/>
      <c r="S14" s="91"/>
      <c r="T14" s="93"/>
      <c r="U14" s="95"/>
    </row>
    <row r="15" spans="1:21" ht="24" customHeight="1" x14ac:dyDescent="0.25">
      <c r="B15" s="82" t="s">
        <v>389</v>
      </c>
      <c r="C15" s="83">
        <v>4</v>
      </c>
      <c r="D15" s="83" t="s">
        <v>390</v>
      </c>
      <c r="E15" s="82" t="s">
        <v>391</v>
      </c>
      <c r="F15" s="84">
        <v>56100000</v>
      </c>
      <c r="G15" s="84">
        <v>85060949</v>
      </c>
      <c r="H15" s="84">
        <f>tbl_Rendimiento7[[#This Row],[Valor de mercado 2015 (mdd)]]-tbl_Rendimiento7[[#This Row],[Valor de mercado 2016(mdd)]]</f>
        <v>-28960949</v>
      </c>
      <c r="J15" s="91"/>
      <c r="K15" s="92"/>
      <c r="L15" s="91"/>
      <c r="M15" s="92"/>
      <c r="N15" s="93"/>
      <c r="O15" s="93"/>
      <c r="P15" s="94"/>
      <c r="Q15" s="94"/>
      <c r="R15" s="92"/>
      <c r="S15" s="91"/>
      <c r="T15" s="93"/>
      <c r="U15" s="95"/>
    </row>
    <row r="16" spans="1:21" ht="24" customHeight="1" x14ac:dyDescent="0.25">
      <c r="B16" s="82" t="s">
        <v>392</v>
      </c>
      <c r="C16" s="83">
        <v>5</v>
      </c>
      <c r="D16" s="83" t="s">
        <v>390</v>
      </c>
      <c r="E16" s="82" t="s">
        <v>393</v>
      </c>
      <c r="F16" s="84">
        <v>24000000</v>
      </c>
      <c r="G16" s="84">
        <v>-67885594</v>
      </c>
      <c r="H16" s="84">
        <f>tbl_Rendimiento7[[#This Row],[Valor de mercado 2015 (mdd)]]-tbl_Rendimiento7[[#This Row],[Valor de mercado 2016(mdd)]]</f>
        <v>91885594</v>
      </c>
      <c r="J16" s="91"/>
      <c r="K16" s="92"/>
      <c r="L16" s="91"/>
      <c r="M16" s="92"/>
      <c r="N16" s="93"/>
      <c r="O16" s="93"/>
      <c r="P16" s="94"/>
      <c r="Q16" s="94"/>
      <c r="R16" s="92"/>
      <c r="S16" s="91"/>
      <c r="T16" s="93"/>
      <c r="U16" s="95"/>
    </row>
    <row r="17" spans="2:21" s="90" customFormat="1" ht="24" customHeight="1" x14ac:dyDescent="0.25">
      <c r="B17" s="82" t="s">
        <v>394</v>
      </c>
      <c r="C17" s="83">
        <v>6</v>
      </c>
      <c r="D17" s="83" t="s">
        <v>385</v>
      </c>
      <c r="E17" s="82" t="s">
        <v>386</v>
      </c>
      <c r="F17" s="84">
        <v>23000000</v>
      </c>
      <c r="G17" s="84">
        <v>31816071</v>
      </c>
      <c r="H17" s="84">
        <f>tbl_Rendimiento7[[#This Row],[Valor de mercado 2015 (mdd)]]-tbl_Rendimiento7[[#This Row],[Valor de mercado 2016(mdd)]]</f>
        <v>-8816071</v>
      </c>
      <c r="I17" s="62"/>
      <c r="J17" s="91"/>
      <c r="K17" s="92"/>
      <c r="L17" s="91"/>
      <c r="M17" s="92"/>
      <c r="N17" s="93"/>
      <c r="O17" s="93"/>
      <c r="P17" s="94"/>
      <c r="Q17" s="94"/>
      <c r="R17" s="92"/>
      <c r="S17" s="91"/>
      <c r="T17" s="93"/>
      <c r="U17" s="95"/>
    </row>
    <row r="18" spans="2:21" ht="24" customHeight="1" x14ac:dyDescent="0.25">
      <c r="B18" s="82" t="s">
        <v>395</v>
      </c>
      <c r="C18" s="83">
        <v>7</v>
      </c>
      <c r="D18" s="83" t="s">
        <v>390</v>
      </c>
      <c r="E18" s="82" t="s">
        <v>386</v>
      </c>
      <c r="F18" s="84">
        <v>22000000</v>
      </c>
      <c r="G18" s="84">
        <v>15320259</v>
      </c>
      <c r="H18" s="84">
        <f>tbl_Rendimiento7[[#This Row],[Valor de mercado 2015 (mdd)]]-tbl_Rendimiento7[[#This Row],[Valor de mercado 2016(mdd)]]</f>
        <v>6679741</v>
      </c>
      <c r="J18" s="91"/>
      <c r="K18" s="92"/>
      <c r="L18" s="91"/>
      <c r="M18" s="92"/>
      <c r="N18" s="93"/>
      <c r="O18" s="93"/>
      <c r="P18" s="94"/>
      <c r="Q18" s="94"/>
      <c r="R18" s="92"/>
      <c r="S18" s="91"/>
      <c r="T18" s="93"/>
      <c r="U18" s="95"/>
    </row>
    <row r="19" spans="2:21" ht="24" customHeight="1" x14ac:dyDescent="0.25">
      <c r="B19" s="82" t="s">
        <v>396</v>
      </c>
      <c r="C19" s="83">
        <v>8</v>
      </c>
      <c r="D19" s="83" t="s">
        <v>390</v>
      </c>
      <c r="E19" s="82" t="s">
        <v>397</v>
      </c>
      <c r="F19" s="84">
        <v>22000000</v>
      </c>
      <c r="G19" s="84">
        <v>43952449</v>
      </c>
      <c r="H19" s="84">
        <f>tbl_Rendimiento7[[#This Row],[Valor de mercado 2015 (mdd)]]-tbl_Rendimiento7[[#This Row],[Valor de mercado 2016(mdd)]]</f>
        <v>-21952449</v>
      </c>
      <c r="J19" s="91"/>
      <c r="K19" s="92"/>
      <c r="L19" s="91"/>
      <c r="M19" s="92"/>
      <c r="N19" s="93"/>
      <c r="O19" s="93"/>
      <c r="P19" s="94"/>
      <c r="Q19" s="94"/>
      <c r="R19" s="92"/>
      <c r="S19" s="91"/>
      <c r="T19" s="93"/>
      <c r="U19" s="95"/>
    </row>
    <row r="20" spans="2:21" ht="24" customHeight="1" x14ac:dyDescent="0.25">
      <c r="B20" s="82" t="s">
        <v>398</v>
      </c>
      <c r="C20" s="83">
        <v>9</v>
      </c>
      <c r="D20" s="83" t="s">
        <v>390</v>
      </c>
      <c r="E20" s="82" t="s">
        <v>399</v>
      </c>
      <c r="F20" s="84">
        <v>21000000</v>
      </c>
      <c r="G20" s="84">
        <v>61894042</v>
      </c>
      <c r="H20" s="84">
        <f>tbl_Rendimiento7[[#This Row],[Valor de mercado 2015 (mdd)]]-tbl_Rendimiento7[[#This Row],[Valor de mercado 2016(mdd)]]</f>
        <v>-40894042</v>
      </c>
      <c r="J20" s="91"/>
      <c r="K20" s="92"/>
      <c r="L20" s="91"/>
      <c r="M20" s="92"/>
      <c r="N20" s="93"/>
      <c r="O20" s="93"/>
      <c r="P20" s="94"/>
      <c r="Q20" s="94"/>
      <c r="R20" s="92"/>
      <c r="S20" s="91"/>
      <c r="T20" s="93"/>
      <c r="U20" s="95"/>
    </row>
    <row r="21" spans="2:21" s="90" customFormat="1" ht="24" customHeight="1" x14ac:dyDescent="0.25">
      <c r="B21" s="82" t="s">
        <v>400</v>
      </c>
      <c r="C21" s="83">
        <v>10</v>
      </c>
      <c r="D21" s="83" t="s">
        <v>401</v>
      </c>
      <c r="E21" s="82" t="s">
        <v>402</v>
      </c>
      <c r="F21" s="84">
        <v>21000000</v>
      </c>
      <c r="G21" s="84">
        <v>51254207</v>
      </c>
      <c r="H21" s="84">
        <f>tbl_Rendimiento7[[#This Row],[Valor de mercado 2015 (mdd)]]-tbl_Rendimiento7[[#This Row],[Valor de mercado 2016(mdd)]]</f>
        <v>-30254207</v>
      </c>
      <c r="I21" s="62"/>
      <c r="J21" s="85"/>
      <c r="K21" s="86"/>
      <c r="L21" s="85"/>
      <c r="M21" s="86"/>
      <c r="N21" s="87"/>
      <c r="O21" s="87"/>
      <c r="P21" s="88"/>
      <c r="Q21" s="88"/>
      <c r="R21" s="86"/>
      <c r="S21" s="85"/>
      <c r="T21" s="87"/>
      <c r="U21" s="89"/>
    </row>
    <row r="22" spans="2:21" s="90" customFormat="1" ht="24" customHeight="1" x14ac:dyDescent="0.25">
      <c r="B22" s="82" t="s">
        <v>403</v>
      </c>
      <c r="C22" s="83">
        <v>11</v>
      </c>
      <c r="D22" s="83" t="s">
        <v>390</v>
      </c>
      <c r="E22" s="82" t="s">
        <v>386</v>
      </c>
      <c r="F22" s="84">
        <v>21000000</v>
      </c>
      <c r="G22" s="84">
        <v>-51402883</v>
      </c>
      <c r="H22" s="84">
        <f>tbl_Rendimiento7[[#This Row],[Valor de mercado 2015 (mdd)]]-tbl_Rendimiento7[[#This Row],[Valor de mercado 2016(mdd)]]</f>
        <v>72402883</v>
      </c>
      <c r="I22" s="62"/>
      <c r="J22" s="91"/>
      <c r="K22" s="92"/>
      <c r="L22" s="91"/>
      <c r="M22" s="92"/>
      <c r="N22" s="93"/>
      <c r="O22" s="93"/>
      <c r="P22" s="94"/>
      <c r="Q22" s="94"/>
      <c r="R22" s="92"/>
      <c r="S22" s="91"/>
      <c r="T22" s="93"/>
      <c r="U22" s="95"/>
    </row>
    <row r="23" spans="2:21" ht="24" customHeight="1" x14ac:dyDescent="0.25">
      <c r="B23" s="82" t="s">
        <v>404</v>
      </c>
      <c r="C23" s="83">
        <v>12</v>
      </c>
      <c r="D23" s="83" t="s">
        <v>390</v>
      </c>
      <c r="E23" s="82" t="s">
        <v>405</v>
      </c>
      <c r="F23" s="84">
        <v>20000000</v>
      </c>
      <c r="G23" s="84">
        <v>6998855</v>
      </c>
      <c r="H23" s="84">
        <f>tbl_Rendimiento7[[#This Row],[Valor de mercado 2015 (mdd)]]-tbl_Rendimiento7[[#This Row],[Valor de mercado 2016(mdd)]]</f>
        <v>13001145</v>
      </c>
      <c r="J23" s="91"/>
      <c r="K23" s="92"/>
      <c r="L23" s="91"/>
      <c r="M23" s="92"/>
      <c r="N23" s="93"/>
      <c r="O23" s="93"/>
      <c r="P23" s="94"/>
      <c r="Q23" s="94"/>
      <c r="R23" s="92"/>
      <c r="S23" s="91"/>
      <c r="T23" s="93"/>
      <c r="U23" s="95"/>
    </row>
    <row r="24" spans="2:21" ht="24" customHeight="1" x14ac:dyDescent="0.25">
      <c r="B24" s="82" t="s">
        <v>406</v>
      </c>
      <c r="C24" s="83">
        <v>13</v>
      </c>
      <c r="D24" s="83" t="s">
        <v>390</v>
      </c>
      <c r="E24" s="82" t="s">
        <v>407</v>
      </c>
      <c r="F24" s="84">
        <v>18000000</v>
      </c>
      <c r="G24" s="84">
        <v>-67569210</v>
      </c>
      <c r="H24" s="84">
        <f>tbl_Rendimiento7[[#This Row],[Valor de mercado 2015 (mdd)]]-tbl_Rendimiento7[[#This Row],[Valor de mercado 2016(mdd)]]</f>
        <v>85569210</v>
      </c>
      <c r="J24" s="91"/>
      <c r="K24" s="92"/>
      <c r="L24" s="91"/>
      <c r="M24" s="92"/>
      <c r="N24" s="93"/>
      <c r="O24" s="93"/>
      <c r="P24" s="94"/>
      <c r="Q24" s="94"/>
      <c r="R24" s="92"/>
      <c r="S24" s="91"/>
      <c r="T24" s="93"/>
      <c r="U24" s="95"/>
    </row>
    <row r="25" spans="2:21" ht="24" customHeight="1" x14ac:dyDescent="0.25">
      <c r="B25" s="82" t="s">
        <v>408</v>
      </c>
      <c r="C25" s="83">
        <v>14</v>
      </c>
      <c r="D25" s="83" t="s">
        <v>409</v>
      </c>
      <c r="E25" s="82" t="s">
        <v>386</v>
      </c>
      <c r="F25" s="84">
        <v>18000000</v>
      </c>
      <c r="G25" s="84">
        <v>15087630</v>
      </c>
      <c r="H25" s="84">
        <f>tbl_Rendimiento7[[#This Row],[Valor de mercado 2015 (mdd)]]-tbl_Rendimiento7[[#This Row],[Valor de mercado 2016(mdd)]]</f>
        <v>2912370</v>
      </c>
      <c r="J25" s="91"/>
      <c r="K25" s="92"/>
      <c r="L25" s="91"/>
      <c r="M25" s="92"/>
      <c r="N25" s="93"/>
      <c r="O25" s="93"/>
      <c r="P25" s="94"/>
      <c r="Q25" s="94"/>
      <c r="R25" s="92"/>
      <c r="S25" s="91"/>
      <c r="T25" s="93"/>
      <c r="U25" s="95"/>
    </row>
    <row r="26" spans="2:21" s="90" customFormat="1" ht="24" customHeight="1" x14ac:dyDescent="0.25">
      <c r="B26" s="82" t="s">
        <v>410</v>
      </c>
      <c r="C26" s="83">
        <v>15</v>
      </c>
      <c r="D26" s="83" t="s">
        <v>390</v>
      </c>
      <c r="E26" s="82" t="s">
        <v>411</v>
      </c>
      <c r="F26" s="84">
        <v>17000000</v>
      </c>
      <c r="G26" s="84">
        <v>40238117</v>
      </c>
      <c r="H26" s="84">
        <f>tbl_Rendimiento7[[#This Row],[Valor de mercado 2015 (mdd)]]-tbl_Rendimiento7[[#This Row],[Valor de mercado 2016(mdd)]]</f>
        <v>-23238117</v>
      </c>
      <c r="I26" s="62"/>
      <c r="J26" s="91"/>
      <c r="K26" s="92"/>
      <c r="L26" s="91"/>
      <c r="M26" s="92"/>
      <c r="N26" s="93"/>
      <c r="O26" s="93"/>
      <c r="P26" s="94"/>
      <c r="Q26" s="94"/>
      <c r="R26" s="92"/>
      <c r="S26" s="91"/>
      <c r="T26" s="93"/>
      <c r="U26" s="95"/>
    </row>
    <row r="27" spans="2:21" ht="18" customHeight="1" x14ac:dyDescent="0.25">
      <c r="B27" s="137" t="s">
        <v>9</v>
      </c>
      <c r="C27" s="137"/>
      <c r="D27" s="151"/>
      <c r="E27" s="137"/>
      <c r="F27" s="154">
        <f>SUBTOTAL(109,tbl_Rendimiento7[Valor de mercado 2015 (mdd)])</f>
        <v>1153100000</v>
      </c>
      <c r="G27" s="153">
        <f>SUBTOTAL(109,tbl_Rendimiento7[Valor de mercado 2016(mdd)])</f>
        <v>1115734017</v>
      </c>
      <c r="H27" s="141">
        <f>SUBTOTAL(109,tbl_Rendimiento7[Ganancia/Perdida])</f>
        <v>86117990</v>
      </c>
      <c r="I2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52">
        <f>SUBTOTAL(103,tbl_Rendimiento7[Columna12])</f>
        <v>0</v>
      </c>
    </row>
  </sheetData>
  <mergeCells count="1">
    <mergeCell ref="B6:I6"/>
  </mergeCells>
  <conditionalFormatting sqref="T9:U10 U28:U65483">
    <cfRule type="cellIs" dxfId="36" priority="8" stopIfTrue="1" operator="equal">
      <formula>"VERDE"</formula>
    </cfRule>
    <cfRule type="cellIs" dxfId="35" priority="9" stopIfTrue="1" operator="equal">
      <formula>"AMARILLO"</formula>
    </cfRule>
    <cfRule type="cellIs" dxfId="34" priority="10" stopIfTrue="1" operator="equal">
      <formula>"ROJO"</formula>
    </cfRule>
  </conditionalFormatting>
  <conditionalFormatting sqref="U12:U26">
    <cfRule type="expression" dxfId="33" priority="3">
      <formula>$U12="NEGRO"</formula>
    </cfRule>
    <cfRule type="expression" dxfId="32" priority="4">
      <formula>$U12="VERDE"</formula>
    </cfRule>
    <cfRule type="expression" dxfId="31" priority="5">
      <formula>$U12="ROJO"</formula>
    </cfRule>
    <cfRule type="expression" dxfId="30" priority="6">
      <formula>$U12="NARANJA"</formula>
    </cfRule>
    <cfRule type="expression" dxfId="29" priority="7">
      <formula>$U12=""</formula>
    </cfRule>
  </conditionalFormatting>
  <conditionalFormatting sqref="J12:M26 R12:S26">
    <cfRule type="expression" dxfId="28" priority="2">
      <formula>J12&lt;0</formula>
    </cfRule>
  </conditionalFormatting>
  <conditionalFormatting sqref="B3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3F7C023-93D1-42F2-A706-B1254D5CC3B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8:W32"/>
  <sheetViews>
    <sheetView showGridLines="0" tabSelected="1" zoomScaleNormal="100" workbookViewId="0">
      <selection activeCell="F11" sqref="F11"/>
    </sheetView>
  </sheetViews>
  <sheetFormatPr baseColWidth="10" defaultColWidth="0" defaultRowHeight="18" customHeight="1" x14ac:dyDescent="0.25"/>
  <cols>
    <col min="1" max="1" width="1.7109375" style="62" customWidth="1"/>
    <col min="2" max="2" width="24.7109375" style="62" customWidth="1"/>
    <col min="3" max="3" width="23.5703125" style="62" customWidth="1"/>
    <col min="4" max="5" width="26" style="62" customWidth="1"/>
    <col min="6" max="7" width="25.85546875" style="62" customWidth="1"/>
    <col min="8" max="8" width="22.42578125" style="62" customWidth="1"/>
    <col min="9" max="12" width="9.28515625" style="63" hidden="1" customWidth="1"/>
    <col min="13" max="13" width="10.7109375" style="64" hidden="1" customWidth="1"/>
    <col min="14" max="14" width="9.28515625" style="64" hidden="1" customWidth="1"/>
    <col min="15" max="18" width="9.28515625" style="63" hidden="1" customWidth="1"/>
    <col min="19" max="19" width="13.28515625" style="64" hidden="1" customWidth="1"/>
    <col min="20" max="20" width="6.42578125" style="62" hidden="1" customWidth="1"/>
    <col min="21" max="23" width="1.28515625" style="62" hidden="1" customWidth="1"/>
    <col min="24" max="16384" width="0" style="62" hidden="1"/>
  </cols>
  <sheetData>
    <row r="8" spans="1:20" ht="34.5" customHeight="1" x14ac:dyDescent="0.5">
      <c r="A8" s="57" t="s">
        <v>212</v>
      </c>
      <c r="I8" s="62"/>
      <c r="M8" s="63"/>
      <c r="O8" s="64"/>
      <c r="S8" s="63"/>
      <c r="T8" s="64"/>
    </row>
    <row r="9" spans="1:20" ht="18" customHeight="1" x14ac:dyDescent="0.3">
      <c r="A9" s="6" t="s">
        <v>442</v>
      </c>
      <c r="I9" s="62"/>
      <c r="M9" s="63"/>
      <c r="O9" s="64"/>
      <c r="S9" s="63"/>
      <c r="T9" s="64"/>
    </row>
    <row r="10" spans="1:20" ht="31.5" x14ac:dyDescent="0.5">
      <c r="A10" s="6" t="s">
        <v>443</v>
      </c>
      <c r="D10" s="171">
        <v>1</v>
      </c>
    </row>
    <row r="11" spans="1:20" ht="34.5" x14ac:dyDescent="0.35">
      <c r="B11" s="96" t="s">
        <v>412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</row>
    <row r="12" spans="1:20" ht="34.5" x14ac:dyDescent="0.25">
      <c r="B12" s="66" t="s">
        <v>365</v>
      </c>
      <c r="C12" s="68"/>
      <c r="D12" s="68"/>
      <c r="E12" s="68"/>
      <c r="F12" s="67"/>
      <c r="G12" s="67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</row>
    <row r="13" spans="1:20" ht="12.75" x14ac:dyDescent="0.25"/>
    <row r="14" spans="1:20" ht="12.75" x14ac:dyDescent="0.25">
      <c r="B14" s="69"/>
      <c r="C14" s="69"/>
      <c r="D14" s="70"/>
      <c r="E14" s="97"/>
      <c r="F14" s="71" t="s">
        <v>367</v>
      </c>
      <c r="G14" s="71"/>
      <c r="H14" s="71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2"/>
      <c r="T14" s="73"/>
    </row>
    <row r="15" spans="1:20" ht="6" customHeight="1" x14ac:dyDescent="0.25">
      <c r="B15" s="69"/>
      <c r="C15" s="98"/>
      <c r="D15" s="76"/>
      <c r="E15" s="76"/>
      <c r="F15" s="77"/>
      <c r="G15" s="77"/>
      <c r="H15" s="71"/>
      <c r="I15" s="74"/>
      <c r="J15" s="76"/>
      <c r="K15" s="74"/>
      <c r="L15" s="76"/>
      <c r="M15" s="74"/>
      <c r="N15" s="76"/>
      <c r="O15" s="74"/>
      <c r="P15" s="75"/>
      <c r="Q15" s="75"/>
      <c r="R15" s="76"/>
      <c r="S15" s="78"/>
      <c r="T15" s="78"/>
    </row>
    <row r="16" spans="1:20" s="81" customFormat="1" ht="30" customHeight="1" x14ac:dyDescent="0.25">
      <c r="B16" s="79" t="s">
        <v>368</v>
      </c>
      <c r="C16" s="99" t="s">
        <v>413</v>
      </c>
      <c r="D16" s="79" t="s">
        <v>371</v>
      </c>
      <c r="E16" s="79" t="s">
        <v>414</v>
      </c>
      <c r="F16" s="79" t="s">
        <v>415</v>
      </c>
      <c r="G16" s="79" t="s">
        <v>416</v>
      </c>
      <c r="H16" s="79" t="s">
        <v>375</v>
      </c>
      <c r="I16" s="79" t="s">
        <v>260</v>
      </c>
      <c r="J16" s="79" t="s">
        <v>261</v>
      </c>
      <c r="K16" s="79" t="s">
        <v>262</v>
      </c>
      <c r="L16" s="79" t="s">
        <v>263</v>
      </c>
      <c r="M16" s="79" t="s">
        <v>376</v>
      </c>
      <c r="N16" s="79" t="s">
        <v>377</v>
      </c>
      <c r="O16" s="79" t="s">
        <v>378</v>
      </c>
      <c r="P16" s="79" t="s">
        <v>379</v>
      </c>
      <c r="Q16" s="79" t="s">
        <v>380</v>
      </c>
      <c r="R16" s="79" t="s">
        <v>381</v>
      </c>
      <c r="S16" s="79" t="s">
        <v>382</v>
      </c>
      <c r="T16" s="79" t="s">
        <v>383</v>
      </c>
    </row>
    <row r="17" spans="2:20" s="90" customFormat="1" ht="24" hidden="1" customHeight="1" x14ac:dyDescent="0.25">
      <c r="B17" s="82" t="s">
        <v>417</v>
      </c>
      <c r="C17" s="82">
        <v>1</v>
      </c>
      <c r="D17" s="82" t="s">
        <v>405</v>
      </c>
      <c r="E17" s="84">
        <v>61126</v>
      </c>
      <c r="F17" s="84">
        <v>51900</v>
      </c>
      <c r="G17" s="84">
        <v>55060</v>
      </c>
      <c r="H17" s="82"/>
      <c r="I17" s="85"/>
      <c r="J17" s="86"/>
      <c r="K17" s="85"/>
      <c r="L17" s="86"/>
      <c r="M17" s="87"/>
      <c r="N17" s="87"/>
      <c r="O17" s="88"/>
      <c r="P17" s="88"/>
      <c r="Q17" s="86"/>
      <c r="R17" s="85"/>
      <c r="S17" s="87"/>
      <c r="T17" s="89"/>
    </row>
    <row r="18" spans="2:20" s="90" customFormat="1" ht="24" hidden="1" customHeight="1" x14ac:dyDescent="0.25">
      <c r="B18" s="82" t="s">
        <v>418</v>
      </c>
      <c r="C18" s="82">
        <v>2</v>
      </c>
      <c r="D18" s="82" t="s">
        <v>419</v>
      </c>
      <c r="E18" s="84">
        <v>32126</v>
      </c>
      <c r="F18" s="84">
        <v>33600</v>
      </c>
      <c r="G18" s="84">
        <v>16502</v>
      </c>
      <c r="H18" s="62"/>
      <c r="I18" s="91"/>
      <c r="J18" s="92"/>
      <c r="K18" s="91"/>
      <c r="L18" s="92"/>
      <c r="M18" s="93"/>
      <c r="N18" s="93"/>
      <c r="O18" s="94"/>
      <c r="P18" s="94"/>
      <c r="Q18" s="92"/>
      <c r="R18" s="91"/>
      <c r="S18" s="93"/>
      <c r="T18" s="95"/>
    </row>
    <row r="19" spans="2:20" ht="24" customHeight="1" x14ac:dyDescent="0.25">
      <c r="B19" s="82" t="s">
        <v>420</v>
      </c>
      <c r="C19" s="82">
        <v>3</v>
      </c>
      <c r="D19" s="82" t="s">
        <v>386</v>
      </c>
      <c r="E19" s="84">
        <v>4326</v>
      </c>
      <c r="F19" s="84">
        <v>15200</v>
      </c>
      <c r="G19" s="84">
        <v>1380</v>
      </c>
      <c r="I19" s="91"/>
      <c r="J19" s="92"/>
      <c r="K19" s="91"/>
      <c r="L19" s="92"/>
      <c r="M19" s="93"/>
      <c r="N19" s="93"/>
      <c r="O19" s="94"/>
      <c r="P19" s="94"/>
      <c r="Q19" s="92"/>
      <c r="R19" s="91"/>
      <c r="S19" s="93"/>
      <c r="T19" s="95"/>
    </row>
    <row r="20" spans="2:20" ht="24" hidden="1" customHeight="1" x14ac:dyDescent="0.25">
      <c r="B20" s="82" t="s">
        <v>421</v>
      </c>
      <c r="C20" s="82">
        <v>4</v>
      </c>
      <c r="D20" s="82" t="s">
        <v>422</v>
      </c>
      <c r="E20" s="84">
        <v>11500</v>
      </c>
      <c r="F20" s="84">
        <v>18500</v>
      </c>
      <c r="G20" s="84">
        <v>27815</v>
      </c>
      <c r="I20" s="91"/>
      <c r="J20" s="92"/>
      <c r="K20" s="91"/>
      <c r="L20" s="92"/>
      <c r="M20" s="93"/>
      <c r="N20" s="93"/>
      <c r="O20" s="94"/>
      <c r="P20" s="94"/>
      <c r="Q20" s="92"/>
      <c r="R20" s="91"/>
      <c r="S20" s="93"/>
      <c r="T20" s="95"/>
    </row>
    <row r="21" spans="2:20" ht="24" hidden="1" customHeight="1" x14ac:dyDescent="0.25">
      <c r="B21" s="82" t="s">
        <v>423</v>
      </c>
      <c r="C21" s="82">
        <v>5</v>
      </c>
      <c r="D21" s="82" t="s">
        <v>424</v>
      </c>
      <c r="E21" s="84">
        <v>16920</v>
      </c>
      <c r="F21" s="84">
        <v>15600</v>
      </c>
      <c r="G21" s="84">
        <v>-1446</v>
      </c>
      <c r="I21" s="91"/>
      <c r="J21" s="92"/>
      <c r="K21" s="91"/>
      <c r="L21" s="92"/>
      <c r="M21" s="93"/>
      <c r="N21" s="93"/>
      <c r="O21" s="94"/>
      <c r="P21" s="94"/>
      <c r="Q21" s="92"/>
      <c r="R21" s="91"/>
      <c r="S21" s="93"/>
      <c r="T21" s="95"/>
    </row>
    <row r="22" spans="2:20" s="90" customFormat="1" ht="24" hidden="1" customHeight="1" x14ac:dyDescent="0.25">
      <c r="B22" s="82" t="s">
        <v>425</v>
      </c>
      <c r="C22" s="82">
        <v>6</v>
      </c>
      <c r="D22" s="82" t="s">
        <v>426</v>
      </c>
      <c r="E22" s="84">
        <v>21323</v>
      </c>
      <c r="F22" s="84">
        <v>10200</v>
      </c>
      <c r="G22" s="84">
        <v>26906</v>
      </c>
      <c r="H22" s="62"/>
      <c r="I22" s="91"/>
      <c r="J22" s="92"/>
      <c r="K22" s="91"/>
      <c r="L22" s="92"/>
      <c r="M22" s="93"/>
      <c r="N22" s="93"/>
      <c r="O22" s="94"/>
      <c r="P22" s="94"/>
      <c r="Q22" s="92"/>
      <c r="R22" s="91"/>
      <c r="S22" s="93"/>
      <c r="T22" s="95"/>
    </row>
    <row r="23" spans="2:20" ht="24" customHeight="1" x14ac:dyDescent="0.25">
      <c r="B23" s="82" t="s">
        <v>427</v>
      </c>
      <c r="C23" s="82">
        <v>7</v>
      </c>
      <c r="D23" s="82" t="s">
        <v>386</v>
      </c>
      <c r="E23" s="84">
        <v>-3316</v>
      </c>
      <c r="F23" s="84">
        <v>13300</v>
      </c>
      <c r="G23" s="84">
        <v>19794</v>
      </c>
      <c r="I23" s="91"/>
      <c r="J23" s="92"/>
      <c r="K23" s="91"/>
      <c r="L23" s="92"/>
      <c r="M23" s="93"/>
      <c r="N23" s="93"/>
      <c r="O23" s="94"/>
      <c r="P23" s="94"/>
      <c r="Q23" s="92"/>
      <c r="R23" s="91"/>
      <c r="S23" s="93"/>
      <c r="T23" s="95"/>
    </row>
    <row r="24" spans="2:20" ht="24" hidden="1" customHeight="1" x14ac:dyDescent="0.25">
      <c r="B24" s="82" t="s">
        <v>428</v>
      </c>
      <c r="C24" s="82">
        <v>8</v>
      </c>
      <c r="D24" s="82" t="s">
        <v>429</v>
      </c>
      <c r="E24" s="84">
        <v>-5349</v>
      </c>
      <c r="F24" s="84">
        <v>13500</v>
      </c>
      <c r="G24" s="84">
        <v>9561</v>
      </c>
      <c r="I24" s="91"/>
      <c r="J24" s="92"/>
      <c r="K24" s="91"/>
      <c r="L24" s="92"/>
      <c r="M24" s="93"/>
      <c r="N24" s="93"/>
      <c r="O24" s="94"/>
      <c r="P24" s="94"/>
      <c r="Q24" s="92"/>
      <c r="R24" s="91"/>
      <c r="S24" s="93"/>
      <c r="T24" s="95"/>
    </row>
    <row r="25" spans="2:20" ht="24" hidden="1" customHeight="1" x14ac:dyDescent="0.25">
      <c r="B25" s="82" t="s">
        <v>430</v>
      </c>
      <c r="C25" s="82">
        <v>9</v>
      </c>
      <c r="D25" s="82" t="s">
        <v>431</v>
      </c>
      <c r="E25" s="84">
        <v>20766</v>
      </c>
      <c r="F25" s="84">
        <v>9400</v>
      </c>
      <c r="G25" s="84">
        <v>22628</v>
      </c>
      <c r="I25" s="91"/>
      <c r="J25" s="92"/>
      <c r="K25" s="91"/>
      <c r="L25" s="92"/>
      <c r="M25" s="93"/>
      <c r="N25" s="93"/>
      <c r="O25" s="94"/>
      <c r="P25" s="94"/>
      <c r="Q25" s="92"/>
      <c r="R25" s="91"/>
      <c r="S25" s="93"/>
      <c r="T25" s="95"/>
    </row>
    <row r="26" spans="2:20" s="90" customFormat="1" ht="24" hidden="1" customHeight="1" x14ac:dyDescent="0.25">
      <c r="B26" s="82" t="s">
        <v>432</v>
      </c>
      <c r="C26" s="82">
        <v>10</v>
      </c>
      <c r="D26" s="82" t="s">
        <v>433</v>
      </c>
      <c r="E26" s="84">
        <v>33045</v>
      </c>
      <c r="F26" s="84">
        <v>15900</v>
      </c>
      <c r="G26" s="84">
        <v>9882</v>
      </c>
      <c r="H26" s="62"/>
      <c r="I26" s="85"/>
      <c r="J26" s="86"/>
      <c r="K26" s="85"/>
      <c r="L26" s="86"/>
      <c r="M26" s="87"/>
      <c r="N26" s="87"/>
      <c r="O26" s="88"/>
      <c r="P26" s="88"/>
      <c r="Q26" s="86"/>
      <c r="R26" s="85"/>
      <c r="S26" s="87"/>
      <c r="T26" s="89"/>
    </row>
    <row r="27" spans="2:20" s="90" customFormat="1" ht="24" hidden="1" customHeight="1" x14ac:dyDescent="0.25">
      <c r="B27" s="82" t="s">
        <v>434</v>
      </c>
      <c r="C27" s="82">
        <v>11</v>
      </c>
      <c r="D27" s="82" t="s">
        <v>419</v>
      </c>
      <c r="E27" s="84">
        <v>12059</v>
      </c>
      <c r="F27" s="84">
        <v>11300</v>
      </c>
      <c r="G27" s="84">
        <v>15480</v>
      </c>
      <c r="H27" s="62"/>
      <c r="I27" s="91"/>
      <c r="J27" s="92"/>
      <c r="K27" s="91"/>
      <c r="L27" s="92"/>
      <c r="M27" s="93"/>
      <c r="N27" s="93"/>
      <c r="O27" s="94"/>
      <c r="P27" s="94"/>
      <c r="Q27" s="92"/>
      <c r="R27" s="91"/>
      <c r="S27" s="93"/>
      <c r="T27" s="95"/>
    </row>
    <row r="28" spans="2:20" ht="24" hidden="1" customHeight="1" x14ac:dyDescent="0.25">
      <c r="B28" s="82" t="s">
        <v>435</v>
      </c>
      <c r="C28" s="82">
        <v>12</v>
      </c>
      <c r="D28" s="82" t="s">
        <v>431</v>
      </c>
      <c r="E28" s="84">
        <v>-5507</v>
      </c>
      <c r="F28" s="84">
        <v>10500</v>
      </c>
      <c r="G28" s="84">
        <v>19732</v>
      </c>
      <c r="I28" s="91"/>
      <c r="J28" s="92"/>
      <c r="K28" s="91"/>
      <c r="L28" s="92"/>
      <c r="M28" s="93"/>
      <c r="N28" s="93"/>
      <c r="O28" s="94"/>
      <c r="P28" s="94"/>
      <c r="Q28" s="92"/>
      <c r="R28" s="91"/>
      <c r="S28" s="93"/>
      <c r="T28" s="95"/>
    </row>
    <row r="29" spans="2:20" ht="24" hidden="1" customHeight="1" x14ac:dyDescent="0.25">
      <c r="B29" s="82" t="s">
        <v>436</v>
      </c>
      <c r="C29" s="82">
        <v>13</v>
      </c>
      <c r="D29" s="82" t="s">
        <v>407</v>
      </c>
      <c r="E29" s="84">
        <v>-1537</v>
      </c>
      <c r="F29" s="84">
        <v>237</v>
      </c>
      <c r="G29" s="84">
        <v>99</v>
      </c>
      <c r="I29" s="91"/>
      <c r="J29" s="92"/>
      <c r="K29" s="91"/>
      <c r="L29" s="92"/>
      <c r="M29" s="93"/>
      <c r="N29" s="93"/>
      <c r="O29" s="94"/>
      <c r="P29" s="94"/>
      <c r="Q29" s="92"/>
      <c r="R29" s="91"/>
      <c r="S29" s="93"/>
      <c r="T29" s="95"/>
    </row>
    <row r="30" spans="2:20" ht="24" hidden="1" customHeight="1" x14ac:dyDescent="0.25">
      <c r="B30" s="82" t="s">
        <v>437</v>
      </c>
      <c r="C30" s="82">
        <v>14</v>
      </c>
      <c r="D30" s="82" t="s">
        <v>438</v>
      </c>
      <c r="E30" s="84">
        <v>-2107</v>
      </c>
      <c r="F30" s="84">
        <v>177</v>
      </c>
      <c r="G30" s="84">
        <v>-2263</v>
      </c>
      <c r="I30" s="91"/>
      <c r="J30" s="92"/>
      <c r="K30" s="91"/>
      <c r="L30" s="92"/>
      <c r="M30" s="93"/>
      <c r="N30" s="93"/>
      <c r="O30" s="94"/>
      <c r="P30" s="94"/>
      <c r="Q30" s="92"/>
      <c r="R30" s="91"/>
      <c r="S30" s="93"/>
      <c r="T30" s="95"/>
    </row>
    <row r="31" spans="2:20" s="90" customFormat="1" ht="24" hidden="1" customHeight="1" x14ac:dyDescent="0.25">
      <c r="B31" s="82" t="s">
        <v>439</v>
      </c>
      <c r="C31" s="82">
        <v>15</v>
      </c>
      <c r="D31" s="82" t="s">
        <v>440</v>
      </c>
      <c r="E31" s="84">
        <v>-4705</v>
      </c>
      <c r="F31" s="84">
        <v>7400</v>
      </c>
      <c r="G31" s="84">
        <v>-3257</v>
      </c>
      <c r="H31" s="62"/>
      <c r="I31" s="91"/>
      <c r="J31" s="92"/>
      <c r="K31" s="91"/>
      <c r="L31" s="92"/>
      <c r="M31" s="93"/>
      <c r="N31" s="93"/>
      <c r="O31" s="94"/>
      <c r="P31" s="94"/>
      <c r="Q31" s="92"/>
      <c r="R31" s="91"/>
      <c r="S31" s="93"/>
      <c r="T31" s="95"/>
    </row>
    <row r="32" spans="2:20" ht="18" customHeight="1" x14ac:dyDescent="0.25">
      <c r="B32" s="136" t="s">
        <v>9</v>
      </c>
      <c r="C32" s="136"/>
      <c r="D32" s="136"/>
      <c r="E32" s="141">
        <f>SUBTOTAL(109,tbl_Rendimiento5[Valor de mercado 2014 (mdd)])</f>
        <v>1010</v>
      </c>
      <c r="F32" s="140">
        <f>SUBTOTAL(109,tbl_Rendimiento5[Valor de mercado 2015 (mdd)2])</f>
        <v>28500</v>
      </c>
      <c r="G32" s="141">
        <f>SUBTOTAL(109,tbl_Rendimiento5[Valor de mercado 2016 (mdd)])</f>
        <v>21174</v>
      </c>
      <c r="H32"/>
      <c r="I32" s="137"/>
      <c r="J32" s="137"/>
      <c r="K32" s="137"/>
      <c r="L32" s="137"/>
      <c r="M32" s="138"/>
      <c r="N32" s="138"/>
      <c r="O32" s="138"/>
      <c r="P32" s="138"/>
      <c r="Q32" s="137"/>
      <c r="R32" s="137"/>
      <c r="S32" s="138"/>
      <c r="T32" s="139">
        <f>SUBTOTAL(103,tbl_Rendimiento5[Columna12])</f>
        <v>0</v>
      </c>
    </row>
  </sheetData>
  <conditionalFormatting sqref="S14:T15 T33:T65488">
    <cfRule type="cellIs" dxfId="92" priority="8" stopIfTrue="1" operator="equal">
      <formula>"VERDE"</formula>
    </cfRule>
    <cfRule type="cellIs" dxfId="91" priority="9" stopIfTrue="1" operator="equal">
      <formula>"AMARILLO"</formula>
    </cfRule>
    <cfRule type="cellIs" dxfId="90" priority="10" stopIfTrue="1" operator="equal">
      <formula>"ROJO"</formula>
    </cfRule>
  </conditionalFormatting>
  <conditionalFormatting sqref="T17:T31">
    <cfRule type="expression" dxfId="89" priority="3">
      <formula>$T17="NEGRO"</formula>
    </cfRule>
    <cfRule type="expression" dxfId="88" priority="4">
      <formula>$T17="VERDE"</formula>
    </cfRule>
    <cfRule type="expression" dxfId="87" priority="5">
      <formula>$T17="ROJO"</formula>
    </cfRule>
    <cfRule type="expression" dxfId="86" priority="6">
      <formula>$T17="NARANJA"</formula>
    </cfRule>
    <cfRule type="expression" dxfId="85" priority="7">
      <formula>$T17=""</formula>
    </cfRule>
  </conditionalFormatting>
  <conditionalFormatting sqref="I17:L31 Q17:R31">
    <cfRule type="expression" dxfId="84" priority="2">
      <formula>I17&lt;0</formula>
    </cfRule>
  </conditionalFormatting>
  <conditionalFormatting sqref="D10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pane xSplit="6" ySplit="6" topLeftCell="G32" activePane="bottomRight" state="frozen"/>
      <selection pane="topRight" activeCell="G1" sqref="G1"/>
      <selection pane="bottomLeft" activeCell="A7" sqref="A7"/>
      <selection pane="bottomRight" activeCell="I2" sqref="I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57" t="s">
        <v>212</v>
      </c>
      <c r="B1" s="157"/>
      <c r="C1" s="157"/>
      <c r="D1" s="157"/>
      <c r="E1" s="157"/>
      <c r="F1" s="157"/>
    </row>
    <row r="2" spans="1:10" ht="31.5" x14ac:dyDescent="0.5">
      <c r="A2" s="6" t="s">
        <v>217</v>
      </c>
      <c r="B2" s="5"/>
      <c r="C2" s="5"/>
      <c r="D2" s="5"/>
      <c r="E2" s="5"/>
      <c r="F2" s="5"/>
      <c r="I2" s="144">
        <v>1</v>
      </c>
    </row>
    <row r="3" spans="1:10" ht="31.5" x14ac:dyDescent="0.5">
      <c r="A3" s="6" t="s">
        <v>216</v>
      </c>
      <c r="I3" s="144">
        <v>1</v>
      </c>
    </row>
    <row r="4" spans="1:10" ht="31.5" x14ac:dyDescent="0.5">
      <c r="A4" s="6" t="s">
        <v>218</v>
      </c>
      <c r="I4" s="144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1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1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1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1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1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1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1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1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1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1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1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1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1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1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1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1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1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1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1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1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1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1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1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1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1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1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1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1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1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 s="102">
        <f>SUBTOTAL(101,Tabla1[Compras realizadas])</f>
        <v>8.931034482758621</v>
      </c>
      <c r="H36"/>
      <c r="I36"/>
      <c r="J36">
        <f>SUBTOTAL(103,Tabla1[Ciudad])</f>
        <v>29</v>
      </c>
    </row>
    <row r="40" spans="1:10" x14ac:dyDescent="0.25">
      <c r="D40" s="1">
        <f>AVERAGE(Tabla1[Compras realizadas])</f>
        <v>8.931034482758621</v>
      </c>
    </row>
    <row r="41" spans="1:10" ht="15.75" thickBot="1" x14ac:dyDescent="0.3">
      <c r="C41" s="158" t="s">
        <v>176</v>
      </c>
      <c r="D41" s="158"/>
    </row>
    <row r="42" spans="1:10" x14ac:dyDescent="0.25">
      <c r="C42" s="159" t="s">
        <v>177</v>
      </c>
      <c r="D42" s="160">
        <f>AVERAGE(Tabla1[Compras realizadas])</f>
        <v>8.931034482758621</v>
      </c>
    </row>
    <row r="43" spans="1:10" ht="15.75" thickBot="1" x14ac:dyDescent="0.3">
      <c r="C43" s="159"/>
      <c r="D43" s="161"/>
    </row>
  </sheetData>
  <mergeCells count="4">
    <mergeCell ref="C41:D41"/>
    <mergeCell ref="C42:C43"/>
    <mergeCell ref="D42:D43"/>
    <mergeCell ref="A1:F1"/>
  </mergeCells>
  <phoneticPr fontId="2" type="noConversion"/>
  <conditionalFormatting sqref="I2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L7" sqref="L7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20.42578125" style="1" bestFit="1" customWidth="1"/>
    <col min="5" max="5" width="23.42578125" style="1" bestFit="1" customWidth="1"/>
    <col min="6" max="16384" width="9" style="1"/>
  </cols>
  <sheetData>
    <row r="1" spans="1:12" ht="31.5" x14ac:dyDescent="0.5">
      <c r="A1" s="157" t="s">
        <v>212</v>
      </c>
      <c r="B1" s="157"/>
      <c r="C1" s="157"/>
      <c r="D1" s="157"/>
      <c r="E1" s="157"/>
      <c r="F1" s="157"/>
    </row>
    <row r="2" spans="1:12" ht="31.5" x14ac:dyDescent="0.5">
      <c r="A2" s="6" t="s">
        <v>219</v>
      </c>
      <c r="B2" s="5"/>
      <c r="C2" s="5"/>
      <c r="D2" s="5"/>
      <c r="E2" s="5"/>
      <c r="F2" s="5"/>
      <c r="K2" s="169">
        <v>1</v>
      </c>
      <c r="L2" s="169"/>
    </row>
    <row r="3" spans="1:12" ht="31.5" x14ac:dyDescent="0.5">
      <c r="A3" s="6"/>
      <c r="B3" s="5"/>
      <c r="C3" s="5"/>
      <c r="D3" s="5"/>
      <c r="E3" s="5"/>
      <c r="F3" s="5"/>
    </row>
    <row r="4" spans="1:12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2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  <c r="G5" s="167">
        <v>4</v>
      </c>
    </row>
    <row r="6" spans="1:12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  <c r="G6" s="168">
        <v>10</v>
      </c>
    </row>
    <row r="7" spans="1:12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  <c r="G7" s="167">
        <v>2</v>
      </c>
    </row>
    <row r="8" spans="1:12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  <c r="G8" s="168">
        <v>1</v>
      </c>
    </row>
    <row r="9" spans="1:12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  <c r="G9" s="167">
        <v>6</v>
      </c>
    </row>
    <row r="10" spans="1:12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  <c r="G10" s="168">
        <v>3</v>
      </c>
    </row>
    <row r="11" spans="1:12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  <c r="G11" s="167">
        <v>5</v>
      </c>
    </row>
    <row r="12" spans="1:12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  <c r="G12" s="168">
        <v>7</v>
      </c>
    </row>
    <row r="13" spans="1:12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  <c r="G13" s="167">
        <v>8</v>
      </c>
    </row>
    <row r="14" spans="1:12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  <c r="G14" s="168">
        <v>9</v>
      </c>
    </row>
    <row r="15" spans="1:12" x14ac:dyDescent="0.25">
      <c r="A15" t="s">
        <v>9</v>
      </c>
      <c r="B15">
        <f>SUBTOTAL(101,Tabla7[Pedidos])</f>
        <v>5.5</v>
      </c>
      <c r="C15"/>
      <c r="D15"/>
      <c r="E15">
        <f>SUBTOTAL(103,Tabla7[Puesto])</f>
        <v>10</v>
      </c>
    </row>
  </sheetData>
  <mergeCells count="1">
    <mergeCell ref="A1:F1"/>
  </mergeCells>
  <phoneticPr fontId="2" type="noConversion"/>
  <conditionalFormatting sqref="B5:B14">
    <cfRule type="top10" dxfId="40" priority="3" rank="5"/>
  </conditionalFormatting>
  <conditionalFormatting sqref="G5:G14">
    <cfRule type="aboveAverage" dxfId="39" priority="2"/>
  </conditionalFormatting>
  <conditionalFormatting sqref="K2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N39"/>
  <sheetViews>
    <sheetView zoomScale="73" zoomScaleNormal="73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M2" sqref="M2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5703125" style="7" bestFit="1" customWidth="1"/>
    <col min="15" max="16384" width="12.5703125" style="7"/>
  </cols>
  <sheetData>
    <row r="1" spans="2:14" ht="31.5" x14ac:dyDescent="0.5">
      <c r="B1" s="157" t="s">
        <v>212</v>
      </c>
      <c r="C1" s="157"/>
      <c r="D1" s="157"/>
      <c r="E1" s="157"/>
      <c r="F1" s="157"/>
      <c r="G1" s="157"/>
    </row>
    <row r="2" spans="2:14" ht="31.5" x14ac:dyDescent="0.5">
      <c r="B2" s="6" t="s">
        <v>254</v>
      </c>
      <c r="C2" s="5"/>
      <c r="D2" s="5"/>
      <c r="E2" s="5"/>
      <c r="F2" s="5"/>
      <c r="G2" s="5"/>
      <c r="M2" s="169">
        <v>1</v>
      </c>
    </row>
    <row r="3" spans="2:14" ht="43.5" customHeight="1" x14ac:dyDescent="0.5">
      <c r="B3" s="6" t="s">
        <v>255</v>
      </c>
      <c r="C3" s="5"/>
      <c r="D3" s="5"/>
      <c r="E3" s="5"/>
      <c r="F3" s="5"/>
      <c r="G3" s="5"/>
      <c r="M3" s="169">
        <v>1</v>
      </c>
    </row>
    <row r="4" spans="2:14" ht="43.5" customHeight="1" x14ac:dyDescent="0.5">
      <c r="B4" s="6" t="s">
        <v>256</v>
      </c>
      <c r="C4" s="5"/>
      <c r="D4" s="5"/>
      <c r="E4" s="5"/>
      <c r="F4" s="5"/>
      <c r="G4" s="5"/>
      <c r="M4" s="169">
        <v>1</v>
      </c>
    </row>
    <row r="5" spans="2:14" ht="17.25" thickBot="1" x14ac:dyDescent="0.35"/>
    <row r="6" spans="2:14" ht="31.5" customHeight="1" thickTop="1" thickBot="1" x14ac:dyDescent="0.35">
      <c r="C6" s="162"/>
      <c r="D6" s="162"/>
      <c r="E6" s="162"/>
      <c r="F6" s="162"/>
      <c r="G6" s="162"/>
      <c r="H6" s="162"/>
      <c r="I6" s="162"/>
      <c r="J6" s="162"/>
      <c r="K6" s="162"/>
    </row>
    <row r="7" spans="2:14" ht="31.5" customHeight="1" thickTop="1" x14ac:dyDescent="0.3">
      <c r="C7" s="163"/>
      <c r="D7" s="163"/>
      <c r="E7" s="163"/>
      <c r="F7" s="163"/>
      <c r="G7" s="163"/>
      <c r="H7" s="163"/>
      <c r="I7" s="163"/>
      <c r="J7" s="163"/>
      <c r="K7" s="163"/>
    </row>
    <row r="8" spans="2:14" ht="17.25" thickBot="1" x14ac:dyDescent="0.35">
      <c r="C8" s="103" t="s">
        <v>220</v>
      </c>
      <c r="D8" s="103" t="s">
        <v>221</v>
      </c>
      <c r="E8" s="103" t="s">
        <v>222</v>
      </c>
      <c r="F8" s="103" t="s">
        <v>223</v>
      </c>
      <c r="G8" s="103" t="s">
        <v>224</v>
      </c>
      <c r="H8" s="103" t="s">
        <v>225</v>
      </c>
      <c r="I8" s="103" t="s">
        <v>226</v>
      </c>
      <c r="J8" s="103" t="s">
        <v>227</v>
      </c>
      <c r="K8" s="103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f t="shared" ref="C10:C38" si="0">C9+1</f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>
        <f t="shared" si="0"/>
        <v>3</v>
      </c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45">
        <f>SUMIF(Tabla8[Operación],M11,Tabla8[Monto])</f>
        <v>19759180</v>
      </c>
    </row>
    <row r="12" spans="2:14" x14ac:dyDescent="0.3">
      <c r="C12" s="7">
        <f t="shared" si="0"/>
        <v>4</v>
      </c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45">
        <f>SUMIF(Tabla8[Operación],M12,Tabla8[Monto])</f>
        <v>15586616</v>
      </c>
    </row>
    <row r="13" spans="2:14" x14ac:dyDescent="0.3">
      <c r="C13" s="15">
        <f t="shared" si="0"/>
        <v>5</v>
      </c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  <c r="M13" s="146" t="s">
        <v>9</v>
      </c>
      <c r="N13" s="147">
        <f>SUM(N11:N12)</f>
        <v>35345796</v>
      </c>
    </row>
    <row r="14" spans="2:14" x14ac:dyDescent="0.3">
      <c r="C14" s="7">
        <f t="shared" si="0"/>
        <v>6</v>
      </c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>
        <f t="shared" si="0"/>
        <v>7</v>
      </c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C16" s="7">
        <f t="shared" si="0"/>
        <v>8</v>
      </c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>
        <f t="shared" si="0"/>
        <v>9</v>
      </c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C18" s="7">
        <f t="shared" si="0"/>
        <v>10</v>
      </c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>
        <f t="shared" si="0"/>
        <v>11</v>
      </c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C20" s="7">
        <f t="shared" si="0"/>
        <v>12</v>
      </c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>
        <f t="shared" si="0"/>
        <v>13</v>
      </c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C22" s="7">
        <f t="shared" si="0"/>
        <v>14</v>
      </c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>
        <f t="shared" si="0"/>
        <v>15</v>
      </c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C24" s="7">
        <f t="shared" si="0"/>
        <v>16</v>
      </c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>
        <f t="shared" si="0"/>
        <v>17</v>
      </c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C26" s="7">
        <f t="shared" si="0"/>
        <v>18</v>
      </c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>
        <f t="shared" si="0"/>
        <v>19</v>
      </c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C28" s="7">
        <f t="shared" si="0"/>
        <v>20</v>
      </c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>
        <f t="shared" si="0"/>
        <v>21</v>
      </c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C30" s="7">
        <f t="shared" si="0"/>
        <v>22</v>
      </c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>
        <f t="shared" si="0"/>
        <v>23</v>
      </c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C32" s="7">
        <f t="shared" si="0"/>
        <v>24</v>
      </c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>
        <f t="shared" si="0"/>
        <v>25</v>
      </c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C34" s="7">
        <f t="shared" si="0"/>
        <v>26</v>
      </c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>
        <f t="shared" si="0"/>
        <v>27</v>
      </c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C36" s="7">
        <f t="shared" si="0"/>
        <v>28</v>
      </c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>
        <f t="shared" si="0"/>
        <v>29</v>
      </c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4">
        <f t="shared" si="0"/>
        <v>30</v>
      </c>
      <c r="D38" s="105">
        <v>37998</v>
      </c>
      <c r="E38" s="104" t="s">
        <v>233</v>
      </c>
      <c r="F38" s="104" t="s">
        <v>230</v>
      </c>
      <c r="G38" s="104" t="s">
        <v>240</v>
      </c>
      <c r="H38" s="104">
        <v>201</v>
      </c>
      <c r="I38" s="106">
        <v>939072</v>
      </c>
      <c r="J38" s="105">
        <v>38203</v>
      </c>
      <c r="K38" s="104" t="s">
        <v>232</v>
      </c>
    </row>
    <row r="39" spans="3:11" x14ac:dyDescent="0.3">
      <c r="C39" t="s">
        <v>9</v>
      </c>
      <c r="D39" s="107"/>
      <c r="E39"/>
      <c r="F39"/>
      <c r="G39"/>
      <c r="H39"/>
      <c r="I39" s="108">
        <f>SUBTOTAL(109,Tabla8[Monto])</f>
        <v>35345796</v>
      </c>
      <c r="J39" s="107"/>
      <c r="K39">
        <f>SUBTOTAL(103,Tabla8[Vendedor])</f>
        <v>30</v>
      </c>
    </row>
  </sheetData>
  <mergeCells count="2">
    <mergeCell ref="B1:G1"/>
    <mergeCell ref="C6:K7"/>
  </mergeCells>
  <conditionalFormatting sqref="H9:H3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{61AAFC34-B2B9-4B06-9B20-7C95966D4909}</x14:id>
        </ext>
      </extLst>
    </cfRule>
  </conditionalFormatting>
  <conditionalFormatting sqref="M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AAFC34-B2B9-4B06-9B20-7C95966D4909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N37"/>
  <sheetViews>
    <sheetView topLeftCell="D1" workbookViewId="0">
      <selection activeCell="N2" sqref="N2"/>
    </sheetView>
  </sheetViews>
  <sheetFormatPr baseColWidth="10" defaultColWidth="12.5703125" defaultRowHeight="16.5" x14ac:dyDescent="0.3"/>
  <cols>
    <col min="1" max="2" width="2.1406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10" width="12.5703125" style="7"/>
    <col min="11" max="11" width="17.140625" style="7" bestFit="1" customWidth="1"/>
    <col min="12" max="16384" width="12.5703125" style="7"/>
  </cols>
  <sheetData>
    <row r="1" spans="1:14" ht="31.5" x14ac:dyDescent="0.5">
      <c r="A1" s="157" t="s">
        <v>212</v>
      </c>
      <c r="B1" s="157"/>
      <c r="C1" s="157"/>
      <c r="D1" s="157"/>
      <c r="E1" s="157"/>
      <c r="F1" s="157"/>
    </row>
    <row r="2" spans="1:14" ht="31.5" x14ac:dyDescent="0.5">
      <c r="A2" s="6" t="s">
        <v>257</v>
      </c>
      <c r="B2" s="5"/>
      <c r="C2" s="5"/>
      <c r="D2" s="5"/>
      <c r="E2" s="5"/>
      <c r="F2" s="5"/>
      <c r="N2" s="169">
        <v>1</v>
      </c>
    </row>
    <row r="3" spans="1:14" ht="31.5" x14ac:dyDescent="0.5">
      <c r="A3" s="6" t="s">
        <v>258</v>
      </c>
      <c r="B3" s="5"/>
      <c r="C3" s="5"/>
      <c r="D3" s="5"/>
      <c r="E3" s="5"/>
      <c r="F3" s="5"/>
      <c r="N3" s="169">
        <v>1</v>
      </c>
    </row>
    <row r="4" spans="1:14" ht="31.5" x14ac:dyDescent="0.5">
      <c r="A4" s="6" t="s">
        <v>259</v>
      </c>
      <c r="B4" s="5"/>
      <c r="C4" s="5"/>
      <c r="D4" s="5"/>
      <c r="E4" s="5"/>
      <c r="F4" s="5"/>
      <c r="J4" s="112" t="s">
        <v>445</v>
      </c>
      <c r="K4" s="114">
        <f>SUMIF(Tabla5[Operación],$J$4,Tabla5[Monto])</f>
        <v>19759180</v>
      </c>
      <c r="L4" s="116">
        <f>K4/Tabla5[[#Totals],[Monto]]</f>
        <v>0.55902489789733412</v>
      </c>
      <c r="N4" s="169">
        <v>1</v>
      </c>
    </row>
    <row r="5" spans="1:14" ht="31.5" x14ac:dyDescent="0.5">
      <c r="A5" s="6"/>
      <c r="B5" s="5"/>
      <c r="C5" s="5"/>
      <c r="D5" s="5"/>
      <c r="E5" s="5"/>
      <c r="F5" s="5"/>
      <c r="J5" s="113" t="s">
        <v>446</v>
      </c>
      <c r="K5" s="115">
        <f>SUMIF(Tabla5[Operación],$J$5,Tabla5[Monto])</f>
        <v>15586616</v>
      </c>
      <c r="L5" s="117">
        <f>K5/Tabla5[[#Totals],[Monto]]</f>
        <v>0.44097510210266588</v>
      </c>
    </row>
    <row r="6" spans="1:14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H6" s="7" t="s">
        <v>444</v>
      </c>
      <c r="K6" s="142">
        <f>SUM(K4:K5)</f>
        <v>35345796</v>
      </c>
      <c r="L6" s="143">
        <f>SUM(L4:L5)</f>
        <v>1</v>
      </c>
    </row>
    <row r="7" spans="1:14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48">
        <v>2133903</v>
      </c>
      <c r="H7" s="109">
        <f>Tabla5[[#This Row],[Monto]]/Tabla5[[#Totals],[Monto]]</f>
        <v>6.0372186836590125E-2</v>
      </c>
    </row>
    <row r="8" spans="1:14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48">
        <v>1945424</v>
      </c>
      <c r="H8" s="109">
        <f>Tabla5[[#This Row],[Monto]]/Tabla5[[#Totals],[Monto]]</f>
        <v>5.5039756354617109E-2</v>
      </c>
    </row>
    <row r="9" spans="1:14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48">
        <v>712416</v>
      </c>
      <c r="H9" s="110">
        <f>Tabla5[[#This Row],[Monto]]/Tabla5[[#Totals],[Monto]]</f>
        <v>2.0155607756011492E-2</v>
      </c>
    </row>
    <row r="10" spans="1:14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48">
        <v>1815450</v>
      </c>
      <c r="H10" s="110">
        <f>Tabla5[[#This Row],[Monto]]/Tabla5[[#Totals],[Monto]]</f>
        <v>5.1362543935918152E-2</v>
      </c>
    </row>
    <row r="11" spans="1:14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48">
        <v>1138024</v>
      </c>
      <c r="H11" s="110">
        <f>Tabla5[[#This Row],[Monto]]/Tabla5[[#Totals],[Monto]]</f>
        <v>3.2196870032294649E-2</v>
      </c>
    </row>
    <row r="12" spans="1:14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48">
        <v>953156</v>
      </c>
      <c r="H12" s="110">
        <f>Tabla5[[#This Row],[Monto]]/Tabla5[[#Totals],[Monto]]</f>
        <v>2.6966601629229116E-2</v>
      </c>
    </row>
    <row r="13" spans="1:14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48">
        <v>406686</v>
      </c>
      <c r="H13" s="110">
        <f>Tabla5[[#This Row],[Monto]]/Tabla5[[#Totals],[Monto]]</f>
        <v>1.150592279772112E-2</v>
      </c>
    </row>
    <row r="14" spans="1:14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48">
        <v>2158475</v>
      </c>
      <c r="H14" s="110">
        <f>Tabla5[[#This Row],[Monto]]/Tabla5[[#Totals],[Monto]]</f>
        <v>6.106737559397446E-2</v>
      </c>
    </row>
    <row r="15" spans="1:14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48">
        <v>1024380</v>
      </c>
      <c r="H15" s="110">
        <f>Tabla5[[#This Row],[Monto]]/Tabla5[[#Totals],[Monto]]</f>
        <v>2.8981664467253757E-2</v>
      </c>
    </row>
    <row r="16" spans="1:14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48">
        <v>2042768</v>
      </c>
      <c r="H16" s="110">
        <f>Tabla5[[#This Row],[Monto]]/Tabla5[[#Totals],[Monto]]</f>
        <v>5.7793803823232612E-2</v>
      </c>
    </row>
    <row r="17" spans="3:8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48">
        <v>627068</v>
      </c>
      <c r="H17" s="110">
        <f>Tabla5[[#This Row],[Monto]]/Tabla5[[#Totals],[Monto]]</f>
        <v>1.7740950012838867E-2</v>
      </c>
    </row>
    <row r="18" spans="3:8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48">
        <v>999328</v>
      </c>
      <c r="H18" s="110">
        <f>Tabla5[[#This Row],[Monto]]/Tabla5[[#Totals],[Monto]]</f>
        <v>2.8272895594146471E-2</v>
      </c>
    </row>
    <row r="19" spans="3:8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48">
        <v>2937300</v>
      </c>
      <c r="H19" s="110">
        <f>Tabla5[[#This Row],[Monto]]/Tabla5[[#Totals],[Monto]]</f>
        <v>8.310182065216469E-2</v>
      </c>
    </row>
    <row r="20" spans="3:8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48">
        <v>664700</v>
      </c>
      <c r="H20" s="110">
        <f>Tabla5[[#This Row],[Monto]]/Tabla5[[#Totals],[Monto]]</f>
        <v>1.880563108551863E-2</v>
      </c>
    </row>
    <row r="21" spans="3:8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48">
        <v>820336</v>
      </c>
      <c r="H21" s="110">
        <f>Tabla5[[#This Row],[Monto]]/Tabla5[[#Totals],[Monto]]</f>
        <v>2.3208870441056129E-2</v>
      </c>
    </row>
    <row r="22" spans="3:8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48">
        <v>937960</v>
      </c>
      <c r="H22" s="110">
        <f>Tabla5[[#This Row],[Monto]]/Tabla5[[#Totals],[Monto]]</f>
        <v>2.653667779896653E-2</v>
      </c>
    </row>
    <row r="23" spans="3:8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48">
        <v>358846</v>
      </c>
      <c r="H23" s="110">
        <f>Tabla5[[#This Row],[Monto]]/Tabla5[[#Totals],[Monto]]</f>
        <v>1.0152437930666492E-2</v>
      </c>
    </row>
    <row r="24" spans="3:8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48">
        <v>1679605</v>
      </c>
      <c r="H24" s="110">
        <f>Tabla5[[#This Row],[Monto]]/Tabla5[[#Totals],[Monto]]</f>
        <v>4.7519229726782783E-2</v>
      </c>
    </row>
    <row r="25" spans="3:8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48">
        <v>472615</v>
      </c>
      <c r="H25" s="110">
        <f>Tabla5[[#This Row],[Monto]]/Tabla5[[#Totals],[Monto]]</f>
        <v>1.3371179984176902E-2</v>
      </c>
    </row>
    <row r="26" spans="3:8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48">
        <v>1169496</v>
      </c>
      <c r="H26" s="110">
        <f>Tabla5[[#This Row],[Monto]]/Tabla5[[#Totals],[Monto]]</f>
        <v>3.3087272953196474E-2</v>
      </c>
    </row>
    <row r="27" spans="3:8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48">
        <v>2020992</v>
      </c>
      <c r="H27" s="110">
        <f>Tabla5[[#This Row],[Monto]]/Tabla5[[#Totals],[Monto]]</f>
        <v>5.7177719239934505E-2</v>
      </c>
    </row>
    <row r="28" spans="3:8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48">
        <v>727552</v>
      </c>
      <c r="H28" s="110">
        <f>Tabla5[[#This Row],[Monto]]/Tabla5[[#Totals],[Monto]]</f>
        <v>2.0583834071808711E-2</v>
      </c>
    </row>
    <row r="29" spans="3:8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48">
        <v>1438929</v>
      </c>
      <c r="H29" s="110">
        <f>Tabla5[[#This Row],[Monto]]/Tabla5[[#Totals],[Monto]]</f>
        <v>4.0710046535661557E-2</v>
      </c>
    </row>
    <row r="30" spans="3:8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48">
        <v>427390</v>
      </c>
      <c r="H30" s="110">
        <f>Tabla5[[#This Row],[Monto]]/Tabla5[[#Totals],[Monto]]</f>
        <v>1.2091678455904628E-2</v>
      </c>
    </row>
    <row r="31" spans="3:8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48">
        <v>1170684</v>
      </c>
      <c r="H31" s="110">
        <f>Tabla5[[#This Row],[Monto]]/Tabla5[[#Totals],[Monto]]</f>
        <v>3.3120883739610786E-2</v>
      </c>
    </row>
    <row r="32" spans="3:8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48">
        <v>549780</v>
      </c>
      <c r="H32" s="110">
        <f>Tabla5[[#This Row],[Monto]]/Tabla5[[#Totals],[Monto]]</f>
        <v>1.5554325046180881E-2</v>
      </c>
    </row>
    <row r="33" spans="3:8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48">
        <v>659330</v>
      </c>
      <c r="H33" s="110">
        <f>Tabla5[[#This Row],[Monto]]/Tabla5[[#Totals],[Monto]]</f>
        <v>1.8653703540868056E-2</v>
      </c>
    </row>
    <row r="34" spans="3:8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48">
        <v>1660560</v>
      </c>
      <c r="H34" s="110">
        <f>Tabla5[[#This Row],[Monto]]/Tabla5[[#Totals],[Monto]]</f>
        <v>4.6980410343566745E-2</v>
      </c>
    </row>
    <row r="35" spans="3:8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48">
        <v>753571</v>
      </c>
      <c r="H35" s="110">
        <f>Tabla5[[#This Row],[Monto]]/Tabla5[[#Totals],[Monto]]</f>
        <v>2.1319961219716202E-2</v>
      </c>
    </row>
    <row r="36" spans="3:8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48">
        <v>939072</v>
      </c>
      <c r="H36" s="110">
        <f>Tabla5[[#This Row],[Monto]]/Tabla5[[#Totals],[Monto]]</f>
        <v>2.6568138400391378E-2</v>
      </c>
    </row>
    <row r="37" spans="3:8" x14ac:dyDescent="0.3">
      <c r="C37" t="s">
        <v>9</v>
      </c>
      <c r="D37">
        <f>SUBTOTAL(103,Tabla5[Código])</f>
        <v>30</v>
      </c>
      <c r="E37"/>
      <c r="F37"/>
      <c r="G37" s="149">
        <f>SUBTOTAL(109,Tabla5[Monto])</f>
        <v>35345796</v>
      </c>
      <c r="H37" s="111">
        <f>SUBTOTAL(109,Tabla5[% Ventas])</f>
        <v>1</v>
      </c>
    </row>
  </sheetData>
  <mergeCells count="1">
    <mergeCell ref="A1:F1"/>
  </mergeCells>
  <conditionalFormatting sqref="N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N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J29"/>
  <sheetViews>
    <sheetView workbookViewId="0">
      <pane xSplit="6" ySplit="4" topLeftCell="G12" activePane="bottomRight" state="frozen"/>
      <selection pane="topRight" activeCell="G1" sqref="G1"/>
      <selection pane="bottomLeft" activeCell="A5" sqref="A5"/>
      <selection pane="bottomRight" activeCell="J2" sqref="J2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0" ht="31.5" x14ac:dyDescent="0.5">
      <c r="D1" s="157" t="s">
        <v>212</v>
      </c>
      <c r="E1" s="157"/>
      <c r="F1" s="157"/>
      <c r="G1" s="157"/>
      <c r="H1" s="157"/>
      <c r="I1" s="157"/>
    </row>
    <row r="2" spans="3:10" ht="31.5" x14ac:dyDescent="0.5">
      <c r="D2" s="6" t="s">
        <v>264</v>
      </c>
      <c r="E2" s="5"/>
      <c r="F2" s="5"/>
      <c r="G2" s="5"/>
      <c r="H2" s="5"/>
      <c r="I2" s="5"/>
      <c r="J2" s="169">
        <v>1</v>
      </c>
    </row>
    <row r="4" spans="3:10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10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10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10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10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10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10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10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10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10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10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10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10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C1:L60"/>
  <sheetViews>
    <sheetView showGridLines="0" zoomScaleNormal="100" workbookViewId="0">
      <pane xSplit="7" ySplit="6" topLeftCell="H25" activePane="bottomRight" state="frozen"/>
      <selection pane="topRight" activeCell="H1" sqref="H1"/>
      <selection pane="bottomLeft" activeCell="A7" sqref="A7"/>
      <selection pane="bottomRight" activeCell="K3" sqref="K3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7" style="22" bestFit="1" customWidth="1"/>
    <col min="6" max="6" width="21" style="23" bestFit="1" customWidth="1"/>
    <col min="7" max="7" width="11.7109375" style="24" bestFit="1" customWidth="1"/>
    <col min="8" max="8" width="24.5703125" style="24" bestFit="1" customWidth="1"/>
    <col min="9" max="9" width="24.85546875" style="24" bestFit="1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57" t="s">
        <v>212</v>
      </c>
      <c r="E1" s="157"/>
      <c r="F1" s="157"/>
      <c r="G1" s="157"/>
      <c r="H1" s="157"/>
      <c r="I1" s="157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  <c r="J2" s="170">
        <v>1</v>
      </c>
    </row>
    <row r="3" spans="3:12" ht="31.5" x14ac:dyDescent="0.5">
      <c r="D3" s="6" t="s">
        <v>360</v>
      </c>
      <c r="K3" s="170">
        <v>1</v>
      </c>
    </row>
    <row r="4" spans="3:12" ht="15.75" customHeight="1" x14ac:dyDescent="0.25"/>
    <row r="5" spans="3:12" ht="28.5" customHeight="1" x14ac:dyDescent="0.25">
      <c r="J5" s="164" t="s">
        <v>265</v>
      </c>
      <c r="K5" s="165"/>
      <c r="L5" s="165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5" t="s">
        <v>272</v>
      </c>
      <c r="K6" s="55" t="s">
        <v>273</v>
      </c>
      <c r="L6" s="56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150">
        <f>E7+60</f>
        <v>42525</v>
      </c>
      <c r="K7" s="150">
        <f>E7+90</f>
        <v>42555</v>
      </c>
      <c r="L7" s="150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150">
        <f t="shared" ref="J8:J33" si="0">E8+60</f>
        <v>42525</v>
      </c>
      <c r="K8" s="150">
        <f t="shared" ref="K8:K33" si="1">E8+90</f>
        <v>42555</v>
      </c>
      <c r="L8" s="150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150">
        <f t="shared" si="0"/>
        <v>42525</v>
      </c>
      <c r="K9" s="150">
        <f t="shared" si="1"/>
        <v>42555</v>
      </c>
      <c r="L9" s="150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150">
        <f t="shared" si="0"/>
        <v>42525</v>
      </c>
      <c r="K10" s="150">
        <f t="shared" si="1"/>
        <v>42555</v>
      </c>
      <c r="L10" s="150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150">
        <f t="shared" si="0"/>
        <v>42586</v>
      </c>
      <c r="K11" s="150">
        <f t="shared" si="1"/>
        <v>42616</v>
      </c>
      <c r="L11" s="150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150">
        <f t="shared" si="0"/>
        <v>42586</v>
      </c>
      <c r="K12" s="150">
        <f t="shared" si="1"/>
        <v>42616</v>
      </c>
      <c r="L12" s="150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150">
        <f t="shared" si="0"/>
        <v>42586</v>
      </c>
      <c r="K13" s="150">
        <f t="shared" si="1"/>
        <v>42616</v>
      </c>
      <c r="L13" s="150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150">
        <f t="shared" si="0"/>
        <v>42588</v>
      </c>
      <c r="K14" s="150">
        <f t="shared" si="1"/>
        <v>42618</v>
      </c>
      <c r="L14" s="150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150">
        <f t="shared" si="0"/>
        <v>42588</v>
      </c>
      <c r="K15" s="150">
        <f t="shared" si="1"/>
        <v>42618</v>
      </c>
      <c r="L15" s="150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150">
        <f t="shared" si="0"/>
        <v>42588</v>
      </c>
      <c r="K16" s="150">
        <f t="shared" si="1"/>
        <v>42618</v>
      </c>
      <c r="L16" s="150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150">
        <f t="shared" si="0"/>
        <v>42589</v>
      </c>
      <c r="K17" s="150">
        <f t="shared" si="1"/>
        <v>42619</v>
      </c>
      <c r="L17" s="150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150">
        <f t="shared" si="0"/>
        <v>42589</v>
      </c>
      <c r="K18" s="150">
        <f t="shared" si="1"/>
        <v>42619</v>
      </c>
      <c r="L18" s="150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150">
        <f t="shared" si="0"/>
        <v>42589</v>
      </c>
      <c r="K19" s="150">
        <f t="shared" si="1"/>
        <v>42619</v>
      </c>
      <c r="L19" s="150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150">
        <f t="shared" si="0"/>
        <v>42589</v>
      </c>
      <c r="K20" s="150">
        <f t="shared" si="1"/>
        <v>42619</v>
      </c>
      <c r="L20" s="150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150">
        <f t="shared" si="0"/>
        <v>42589</v>
      </c>
      <c r="K21" s="150">
        <f t="shared" si="1"/>
        <v>42619</v>
      </c>
      <c r="L21" s="150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150">
        <f t="shared" si="0"/>
        <v>42589</v>
      </c>
      <c r="K22" s="150">
        <f t="shared" si="1"/>
        <v>42619</v>
      </c>
      <c r="L22" s="150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150">
        <f t="shared" si="0"/>
        <v>42590</v>
      </c>
      <c r="K23" s="150">
        <f t="shared" si="1"/>
        <v>42620</v>
      </c>
      <c r="L23" s="150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150">
        <f t="shared" si="0"/>
        <v>42590</v>
      </c>
      <c r="K24" s="150">
        <f t="shared" si="1"/>
        <v>42620</v>
      </c>
      <c r="L24" s="150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150">
        <f t="shared" si="0"/>
        <v>42590</v>
      </c>
      <c r="K25" s="150">
        <f t="shared" si="1"/>
        <v>42620</v>
      </c>
      <c r="L25" s="150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150">
        <f t="shared" si="0"/>
        <v>42590</v>
      </c>
      <c r="K26" s="150">
        <f t="shared" si="1"/>
        <v>42620</v>
      </c>
      <c r="L26" s="150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150">
        <f t="shared" si="0"/>
        <v>42591</v>
      </c>
      <c r="K27" s="150">
        <f t="shared" si="1"/>
        <v>42621</v>
      </c>
      <c r="L27" s="150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150">
        <f t="shared" si="0"/>
        <v>42591</v>
      </c>
      <c r="K28" s="150">
        <f t="shared" si="1"/>
        <v>42621</v>
      </c>
      <c r="L28" s="150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150">
        <f t="shared" si="0"/>
        <v>42591</v>
      </c>
      <c r="K29" s="150">
        <f t="shared" si="1"/>
        <v>42621</v>
      </c>
      <c r="L29" s="150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150">
        <f t="shared" si="0"/>
        <v>42591</v>
      </c>
      <c r="K30" s="150">
        <f t="shared" si="1"/>
        <v>42621</v>
      </c>
      <c r="L30" s="150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150">
        <f t="shared" si="0"/>
        <v>42592</v>
      </c>
      <c r="K31" s="150">
        <f t="shared" si="1"/>
        <v>42622</v>
      </c>
      <c r="L31" s="150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150">
        <f t="shared" si="0"/>
        <v>42592</v>
      </c>
      <c r="K32" s="150">
        <f t="shared" si="1"/>
        <v>42622</v>
      </c>
      <c r="L32" s="150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150">
        <f t="shared" si="0"/>
        <v>42611</v>
      </c>
      <c r="K33" s="150">
        <f t="shared" si="1"/>
        <v>42641</v>
      </c>
      <c r="L33" s="150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autoFilter ref="C6:L33" xr:uid="{00000000-0009-0000-0000-000007000000}"/>
  <mergeCells count="2">
    <mergeCell ref="J5:L5"/>
    <mergeCell ref="D1:I1"/>
  </mergeCells>
  <conditionalFormatting sqref="G7:G33">
    <cfRule type="top10" dxfId="122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6"/>
  <sheetViews>
    <sheetView showGridLines="0"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N3" sqref="N3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5" customWidth="1"/>
    <col min="5" max="5" width="14.28515625" style="46" customWidth="1"/>
    <col min="6" max="6" width="14.42578125" style="20" customWidth="1"/>
    <col min="7" max="7" width="16.85546875" style="20" bestFit="1" customWidth="1"/>
    <col min="8" max="8" width="13.7109375" style="25" customWidth="1"/>
    <col min="9" max="11" width="7.28515625" style="20"/>
    <col min="12" max="12" width="10.140625" style="20" bestFit="1" customWidth="1"/>
    <col min="13" max="16384" width="7.28515625" style="20"/>
  </cols>
  <sheetData>
    <row r="1" spans="1:14" ht="31.5" x14ac:dyDescent="0.5">
      <c r="A1" s="57" t="s">
        <v>212</v>
      </c>
      <c r="B1" s="57"/>
      <c r="C1" s="57"/>
      <c r="D1" s="57"/>
      <c r="E1" s="57"/>
      <c r="F1" s="57"/>
    </row>
    <row r="2" spans="1:14" ht="31.5" x14ac:dyDescent="0.5">
      <c r="A2" s="6" t="s">
        <v>361</v>
      </c>
      <c r="B2" s="5"/>
      <c r="C2" s="5"/>
      <c r="D2" s="5"/>
      <c r="E2" s="5"/>
      <c r="F2" s="5"/>
      <c r="N2" s="170">
        <v>1</v>
      </c>
    </row>
    <row r="3" spans="1:14" ht="31.5" x14ac:dyDescent="0.5">
      <c r="A3" s="6" t="s">
        <v>363</v>
      </c>
      <c r="B3" s="22"/>
      <c r="C3" s="23"/>
      <c r="D3" s="24"/>
      <c r="E3" s="24"/>
      <c r="F3" s="24"/>
      <c r="N3" s="170">
        <v>1</v>
      </c>
    </row>
    <row r="4" spans="1:14" ht="18.75" x14ac:dyDescent="0.3">
      <c r="A4" s="6" t="s">
        <v>362</v>
      </c>
    </row>
    <row r="8" spans="1:14" ht="25.5" x14ac:dyDescent="0.2">
      <c r="B8" s="118" t="s">
        <v>350</v>
      </c>
      <c r="C8" s="119">
        <v>42661</v>
      </c>
    </row>
    <row r="9" spans="1:14" s="47" customFormat="1" ht="32.25" customHeight="1" x14ac:dyDescent="0.2">
      <c r="A9" s="20"/>
      <c r="B9" s="21"/>
      <c r="C9" s="21"/>
      <c r="D9" s="45"/>
      <c r="E9" s="46"/>
      <c r="F9" s="20"/>
    </row>
    <row r="10" spans="1:14" x14ac:dyDescent="0.2">
      <c r="L10" s="52"/>
    </row>
    <row r="11" spans="1:14" x14ac:dyDescent="0.2">
      <c r="L11" s="52"/>
    </row>
    <row r="12" spans="1:14" x14ac:dyDescent="0.2">
      <c r="A12" s="47"/>
      <c r="B12" s="122" t="s">
        <v>266</v>
      </c>
      <c r="C12" s="123" t="s">
        <v>267</v>
      </c>
      <c r="D12" s="124" t="s">
        <v>268</v>
      </c>
      <c r="E12" s="125" t="s">
        <v>351</v>
      </c>
      <c r="F12" s="126" t="s">
        <v>226</v>
      </c>
      <c r="G12" s="127" t="s">
        <v>228</v>
      </c>
      <c r="H12" s="128" t="s">
        <v>352</v>
      </c>
      <c r="L12" s="52"/>
    </row>
    <row r="13" spans="1:14" x14ac:dyDescent="0.2">
      <c r="B13" s="120">
        <v>10024</v>
      </c>
      <c r="C13" s="54">
        <v>42465</v>
      </c>
      <c r="D13" s="58">
        <v>42465</v>
      </c>
      <c r="E13" s="59">
        <v>42495</v>
      </c>
      <c r="F13" s="60">
        <v>150</v>
      </c>
      <c r="G13" s="61" t="s">
        <v>353</v>
      </c>
      <c r="H13" s="121">
        <f>IF($C$8&gt;Tabla9[[#This Row],[Fecha Vencim.]],($C$8-Tabla9[[#This Row],[Fecha Vencim.]]),"No vencida")</f>
        <v>166</v>
      </c>
      <c r="L13" s="52"/>
    </row>
    <row r="14" spans="1:14" x14ac:dyDescent="0.2">
      <c r="B14" s="120">
        <v>10014</v>
      </c>
      <c r="C14" s="54">
        <v>42465</v>
      </c>
      <c r="D14" s="58">
        <v>42465</v>
      </c>
      <c r="E14" s="59">
        <v>42495</v>
      </c>
      <c r="F14" s="60">
        <v>550</v>
      </c>
      <c r="G14" s="61" t="s">
        <v>354</v>
      </c>
      <c r="H14" s="121">
        <f>IF($C$8&gt;Tabla9[[#This Row],[Fecha Vencim.]],($C$8-Tabla9[[#This Row],[Fecha Vencim.]]),"No vencida")</f>
        <v>166</v>
      </c>
      <c r="L14" s="52"/>
    </row>
    <row r="15" spans="1:14" x14ac:dyDescent="0.2">
      <c r="B15" s="120">
        <v>10034</v>
      </c>
      <c r="C15" s="54">
        <v>42465</v>
      </c>
      <c r="D15" s="58">
        <v>42830</v>
      </c>
      <c r="E15" s="59">
        <v>42860</v>
      </c>
      <c r="F15" s="60">
        <v>750</v>
      </c>
      <c r="G15" s="61" t="s">
        <v>355</v>
      </c>
      <c r="H15" s="121" t="str">
        <f>IF($C$8&gt;Tabla9[[#This Row],[Fecha Vencim.]],($C$8-Tabla9[[#This Row],[Fecha Vencim.]]),"No vencida")</f>
        <v>No vencida</v>
      </c>
    </row>
    <row r="16" spans="1:14" x14ac:dyDescent="0.2">
      <c r="B16" s="120">
        <v>10029</v>
      </c>
      <c r="C16" s="54">
        <v>42465</v>
      </c>
      <c r="D16" s="58">
        <v>42830</v>
      </c>
      <c r="E16" s="59">
        <v>42860</v>
      </c>
      <c r="F16" s="60">
        <v>240</v>
      </c>
      <c r="G16" s="61" t="s">
        <v>357</v>
      </c>
      <c r="H16" s="121" t="str">
        <f>IF($C$8&gt;Tabla9[[#This Row],[Fecha Vencim.]],($C$8-Tabla9[[#This Row],[Fecha Vencim.]]),"No vencida")</f>
        <v>No vencida</v>
      </c>
    </row>
    <row r="17" spans="2:8" x14ac:dyDescent="0.2">
      <c r="B17" s="120">
        <v>10030</v>
      </c>
      <c r="C17" s="54">
        <v>42526</v>
      </c>
      <c r="D17" s="58">
        <v>42526</v>
      </c>
      <c r="E17" s="59">
        <v>42556</v>
      </c>
      <c r="F17" s="60">
        <v>61.5</v>
      </c>
      <c r="G17" s="61" t="s">
        <v>356</v>
      </c>
      <c r="H17" s="121">
        <f>IF($C$8&gt;Tabla9[[#This Row],[Fecha Vencim.]],($C$8-Tabla9[[#This Row],[Fecha Vencim.]]),"No vencida")</f>
        <v>105</v>
      </c>
    </row>
    <row r="18" spans="2:8" x14ac:dyDescent="0.2">
      <c r="B18" s="120">
        <v>10018</v>
      </c>
      <c r="C18" s="54">
        <v>42526</v>
      </c>
      <c r="D18" s="58">
        <v>42526</v>
      </c>
      <c r="E18" s="59">
        <v>42556</v>
      </c>
      <c r="F18" s="60">
        <v>211.25</v>
      </c>
      <c r="G18" s="61" t="s">
        <v>356</v>
      </c>
      <c r="H18" s="121">
        <f>IF($C$8&gt;Tabla9[[#This Row],[Fecha Vencim.]],($C$8-Tabla9[[#This Row],[Fecha Vencim.]]),"No vencida")</f>
        <v>105</v>
      </c>
    </row>
    <row r="19" spans="2:8" x14ac:dyDescent="0.2">
      <c r="B19" s="120">
        <v>10035</v>
      </c>
      <c r="C19" s="54">
        <v>42526</v>
      </c>
      <c r="D19" s="58">
        <v>42891</v>
      </c>
      <c r="E19" s="59">
        <v>42921</v>
      </c>
      <c r="F19" s="60">
        <v>220.13</v>
      </c>
      <c r="G19" s="61" t="s">
        <v>353</v>
      </c>
      <c r="H19" s="121" t="str">
        <f>IF($C$8&gt;Tabla9[[#This Row],[Fecha Vencim.]],($C$8-Tabla9[[#This Row],[Fecha Vencim.]]),"No vencida")</f>
        <v>No vencida</v>
      </c>
    </row>
    <row r="20" spans="2:8" x14ac:dyDescent="0.2">
      <c r="B20" s="120">
        <v>10010</v>
      </c>
      <c r="C20" s="54">
        <v>42528</v>
      </c>
      <c r="D20" s="58">
        <v>42893</v>
      </c>
      <c r="E20" s="59">
        <v>42923</v>
      </c>
      <c r="F20" s="60">
        <v>151.44</v>
      </c>
      <c r="G20" s="61" t="s">
        <v>354</v>
      </c>
      <c r="H20" s="121" t="str">
        <f>IF($C$8&gt;Tabla9[[#This Row],[Fecha Vencim.]],($C$8-Tabla9[[#This Row],[Fecha Vencim.]]),"No vencida")</f>
        <v>No vencida</v>
      </c>
    </row>
    <row r="21" spans="2:8" x14ac:dyDescent="0.2">
      <c r="B21" s="120">
        <v>10030</v>
      </c>
      <c r="C21" s="54">
        <v>42528</v>
      </c>
      <c r="D21" s="58">
        <v>42528</v>
      </c>
      <c r="E21" s="59">
        <v>42558</v>
      </c>
      <c r="F21" s="60">
        <v>198.77</v>
      </c>
      <c r="G21" s="61" t="s">
        <v>355</v>
      </c>
      <c r="H21" s="121">
        <f>IF($C$8&gt;Tabla9[[#This Row],[Fecha Vencim.]],($C$8-Tabla9[[#This Row],[Fecha Vencim.]]),"No vencida")</f>
        <v>103</v>
      </c>
    </row>
    <row r="22" spans="2:8" x14ac:dyDescent="0.2">
      <c r="B22" s="120">
        <v>10012</v>
      </c>
      <c r="C22" s="54">
        <v>42528</v>
      </c>
      <c r="D22" s="58">
        <v>42528</v>
      </c>
      <c r="E22" s="59">
        <v>42558</v>
      </c>
      <c r="F22" s="60">
        <v>98.66</v>
      </c>
      <c r="G22" s="61" t="s">
        <v>355</v>
      </c>
      <c r="H22" s="121">
        <f>IF($C$8&gt;Tabla9[[#This Row],[Fecha Vencim.]],($C$8-Tabla9[[#This Row],[Fecha Vencim.]]),"No vencida")</f>
        <v>103</v>
      </c>
    </row>
    <row r="23" spans="2:8" x14ac:dyDescent="0.2">
      <c r="B23" s="120">
        <v>10024</v>
      </c>
      <c r="C23" s="54">
        <v>42529</v>
      </c>
      <c r="D23" s="58">
        <v>42528</v>
      </c>
      <c r="E23" s="59">
        <v>42558</v>
      </c>
      <c r="F23" s="60">
        <v>135.63999999999999</v>
      </c>
      <c r="G23" s="61" t="s">
        <v>355</v>
      </c>
      <c r="H23" s="121">
        <f>IF($C$8&gt;Tabla9[[#This Row],[Fecha Vencim.]],($C$8-Tabla9[[#This Row],[Fecha Vencim.]]),"No vencida")</f>
        <v>103</v>
      </c>
    </row>
    <row r="24" spans="2:8" x14ac:dyDescent="0.2">
      <c r="B24" s="120">
        <v>10014</v>
      </c>
      <c r="C24" s="54">
        <v>42529</v>
      </c>
      <c r="D24" s="58">
        <v>42528</v>
      </c>
      <c r="E24" s="59">
        <v>42558</v>
      </c>
      <c r="F24" s="60">
        <v>56.5</v>
      </c>
      <c r="G24" s="61" t="s">
        <v>356</v>
      </c>
      <c r="H24" s="121">
        <f>IF($C$8&gt;Tabla9[[#This Row],[Fecha Vencim.]],($C$8-Tabla9[[#This Row],[Fecha Vencim.]]),"No vencida")</f>
        <v>103</v>
      </c>
    </row>
    <row r="25" spans="2:8" x14ac:dyDescent="0.2">
      <c r="B25" s="120">
        <v>10021</v>
      </c>
      <c r="C25" s="54">
        <v>42529</v>
      </c>
      <c r="D25" s="58">
        <v>42528</v>
      </c>
      <c r="E25" s="59">
        <v>42558</v>
      </c>
      <c r="F25" s="60">
        <v>414.35</v>
      </c>
      <c r="G25" s="61" t="s">
        <v>356</v>
      </c>
      <c r="H25" s="121">
        <f>IF($C$8&gt;Tabla9[[#This Row],[Fecha Vencim.]],($C$8-Tabla9[[#This Row],[Fecha Vencim.]]),"No vencida")</f>
        <v>103</v>
      </c>
    </row>
    <row r="26" spans="2:8" x14ac:dyDescent="0.2">
      <c r="B26" s="120">
        <v>10022</v>
      </c>
      <c r="C26" s="54">
        <v>42529</v>
      </c>
      <c r="D26" s="58">
        <v>42651</v>
      </c>
      <c r="E26" s="59">
        <v>42682</v>
      </c>
      <c r="F26" s="60">
        <v>75.989999999999995</v>
      </c>
      <c r="G26" s="61" t="s">
        <v>358</v>
      </c>
      <c r="H26" s="121" t="str">
        <f>IF($C$8&gt;Tabla9[[#This Row],[Fecha Vencim.]],($C$8-Tabla9[[#This Row],[Fecha Vencim.]]),"No vencida")</f>
        <v>No vencida</v>
      </c>
    </row>
    <row r="27" spans="2:8" x14ac:dyDescent="0.2">
      <c r="B27" s="120">
        <v>10026</v>
      </c>
      <c r="C27" s="54">
        <v>42529</v>
      </c>
      <c r="D27" s="58">
        <v>42529</v>
      </c>
      <c r="E27" s="59">
        <v>42559</v>
      </c>
      <c r="F27" s="60">
        <v>159.88</v>
      </c>
      <c r="G27" s="61" t="s">
        <v>358</v>
      </c>
      <c r="H27" s="121">
        <f>IF($C$8&gt;Tabla9[[#This Row],[Fecha Vencim.]],($C$8-Tabla9[[#This Row],[Fecha Vencim.]]),"No vencida")</f>
        <v>102</v>
      </c>
    </row>
    <row r="28" spans="2:8" x14ac:dyDescent="0.2">
      <c r="B28" s="120">
        <v>10033</v>
      </c>
      <c r="C28" s="54">
        <v>42529</v>
      </c>
      <c r="D28" s="58">
        <v>42712</v>
      </c>
      <c r="E28" s="59">
        <v>42743</v>
      </c>
      <c r="F28" s="60">
        <v>190</v>
      </c>
      <c r="G28" s="61" t="s">
        <v>357</v>
      </c>
      <c r="H28" s="121" t="str">
        <f>IF($C$8&gt;Tabla9[[#This Row],[Fecha Vencim.]],($C$8-Tabla9[[#This Row],[Fecha Vencim.]]),"No vencida")</f>
        <v>No vencida</v>
      </c>
    </row>
    <row r="29" spans="2:8" x14ac:dyDescent="0.2">
      <c r="B29" s="120">
        <v>10029</v>
      </c>
      <c r="C29" s="54">
        <v>42530</v>
      </c>
      <c r="D29" s="58">
        <v>42529</v>
      </c>
      <c r="E29" s="59">
        <v>42559</v>
      </c>
      <c r="F29" s="60">
        <v>267.99</v>
      </c>
      <c r="G29" s="61" t="s">
        <v>356</v>
      </c>
      <c r="H29" s="121">
        <f>IF($C$8&gt;Tabla9[[#This Row],[Fecha Vencim.]],($C$8-Tabla9[[#This Row],[Fecha Vencim.]]),"No vencida")</f>
        <v>102</v>
      </c>
    </row>
    <row r="30" spans="2:8" x14ac:dyDescent="0.2">
      <c r="B30" s="120">
        <v>10015</v>
      </c>
      <c r="C30" s="54">
        <v>42530</v>
      </c>
      <c r="D30" s="58">
        <v>42712</v>
      </c>
      <c r="E30" s="59">
        <v>42743</v>
      </c>
      <c r="F30" s="60">
        <v>561.11</v>
      </c>
      <c r="G30" s="61" t="s">
        <v>355</v>
      </c>
      <c r="H30" s="121" t="str">
        <f>IF($C$8&gt;Tabla9[[#This Row],[Fecha Vencim.]],($C$8-Tabla9[[#This Row],[Fecha Vencim.]]),"No vencida")</f>
        <v>No vencida</v>
      </c>
    </row>
    <row r="31" spans="2:8" x14ac:dyDescent="0.2">
      <c r="B31" s="120">
        <v>10036</v>
      </c>
      <c r="C31" s="54">
        <v>42530</v>
      </c>
      <c r="D31" s="58">
        <v>42529</v>
      </c>
      <c r="E31" s="59">
        <v>42559</v>
      </c>
      <c r="F31" s="60">
        <v>180.25</v>
      </c>
      <c r="G31" s="61" t="s">
        <v>353</v>
      </c>
      <c r="H31" s="121">
        <f>IF($C$8&gt;Tabla9[[#This Row],[Fecha Vencim.]],($C$8-Tabla9[[#This Row],[Fecha Vencim.]]),"No vencida")</f>
        <v>102</v>
      </c>
    </row>
    <row r="32" spans="2:8" x14ac:dyDescent="0.2">
      <c r="B32" s="120">
        <v>10032</v>
      </c>
      <c r="C32" s="54">
        <v>42530</v>
      </c>
      <c r="D32" s="58">
        <v>42529</v>
      </c>
      <c r="E32" s="59">
        <v>42559</v>
      </c>
      <c r="F32" s="60">
        <v>424.6</v>
      </c>
      <c r="G32" s="61" t="s">
        <v>354</v>
      </c>
      <c r="H32" s="121">
        <f>IF($C$8&gt;Tabla9[[#This Row],[Fecha Vencim.]],($C$8-Tabla9[[#This Row],[Fecha Vencim.]]),"No vencida")</f>
        <v>102</v>
      </c>
    </row>
    <row r="33" spans="2:8" x14ac:dyDescent="0.2">
      <c r="B33" s="120">
        <v>10017</v>
      </c>
      <c r="C33" s="54">
        <v>42531</v>
      </c>
      <c r="D33" s="58">
        <v>42530</v>
      </c>
      <c r="E33" s="59">
        <v>42560</v>
      </c>
      <c r="F33" s="60">
        <v>119.85</v>
      </c>
      <c r="G33" s="61" t="s">
        <v>357</v>
      </c>
      <c r="H33" s="121">
        <f>IF($C$8&gt;Tabla9[[#This Row],[Fecha Vencim.]],($C$8-Tabla9[[#This Row],[Fecha Vencim.]]),"No vencida")</f>
        <v>101</v>
      </c>
    </row>
    <row r="34" spans="2:8" x14ac:dyDescent="0.2">
      <c r="B34" s="120">
        <v>10026</v>
      </c>
      <c r="C34" s="54">
        <v>42531</v>
      </c>
      <c r="D34" s="58">
        <v>42713</v>
      </c>
      <c r="E34" s="59">
        <v>42744</v>
      </c>
      <c r="F34" s="60">
        <v>114.5</v>
      </c>
      <c r="G34" s="61" t="s">
        <v>354</v>
      </c>
      <c r="H34" s="121" t="str">
        <f>IF($C$8&gt;Tabla9[[#This Row],[Fecha Vencim.]],($C$8-Tabla9[[#This Row],[Fecha Vencim.]]),"No vencida")</f>
        <v>No vencida</v>
      </c>
    </row>
    <row r="35" spans="2:8" x14ac:dyDescent="0.2">
      <c r="B35" s="120">
        <v>10033</v>
      </c>
      <c r="C35" s="54">
        <v>42531</v>
      </c>
      <c r="D35" s="58">
        <v>42530</v>
      </c>
      <c r="E35" s="59">
        <v>42560</v>
      </c>
      <c r="F35" s="60">
        <v>323.68</v>
      </c>
      <c r="G35" s="61" t="s">
        <v>355</v>
      </c>
      <c r="H35" s="121">
        <f>IF($C$8&gt;Tabla9[[#This Row],[Fecha Vencim.]],($C$8-Tabla9[[#This Row],[Fecha Vencim.]]),"No vencida")</f>
        <v>101</v>
      </c>
    </row>
    <row r="36" spans="2:8" x14ac:dyDescent="0.2">
      <c r="B36" s="120">
        <v>10029</v>
      </c>
      <c r="C36" s="54">
        <v>42531</v>
      </c>
      <c r="D36" s="58">
        <v>42530</v>
      </c>
      <c r="E36" s="59">
        <v>42560</v>
      </c>
      <c r="F36" s="60">
        <v>244.97</v>
      </c>
      <c r="G36" s="61" t="s">
        <v>357</v>
      </c>
      <c r="H36" s="121">
        <f>IF($C$8&gt;Tabla9[[#This Row],[Fecha Vencim.]],($C$8-Tabla9[[#This Row],[Fecha Vencim.]]),"No vencida")</f>
        <v>101</v>
      </c>
    </row>
    <row r="37" spans="2:8" x14ac:dyDescent="0.2">
      <c r="B37" s="120">
        <v>10023</v>
      </c>
      <c r="C37" s="54">
        <v>42532</v>
      </c>
      <c r="D37" s="58">
        <v>42530</v>
      </c>
      <c r="E37" s="59">
        <v>42560</v>
      </c>
      <c r="F37" s="60">
        <v>1751.25</v>
      </c>
      <c r="G37" s="61" t="s">
        <v>353</v>
      </c>
      <c r="H37" s="121">
        <f>IF($C$8&gt;Tabla9[[#This Row],[Fecha Vencim.]],($C$8-Tabla9[[#This Row],[Fecha Vencim.]]),"No vencida")</f>
        <v>101</v>
      </c>
    </row>
    <row r="38" spans="2:8" x14ac:dyDescent="0.2">
      <c r="B38" s="120">
        <v>10016</v>
      </c>
      <c r="C38" s="54">
        <v>42532</v>
      </c>
      <c r="D38" s="58">
        <v>42713</v>
      </c>
      <c r="E38" s="59">
        <v>42560</v>
      </c>
      <c r="F38" s="60">
        <v>531.66999999999996</v>
      </c>
      <c r="G38" s="61" t="s">
        <v>354</v>
      </c>
      <c r="H38" s="121">
        <f>IF($C$8&gt;Tabla9[[#This Row],[Fecha Vencim.]],($C$8-Tabla9[[#This Row],[Fecha Vencim.]]),"No vencida")</f>
        <v>101</v>
      </c>
    </row>
    <row r="39" spans="2:8" x14ac:dyDescent="0.2">
      <c r="B39" s="129">
        <v>10028</v>
      </c>
      <c r="C39" s="130">
        <v>42551</v>
      </c>
      <c r="D39" s="131">
        <v>42530</v>
      </c>
      <c r="E39" s="132">
        <v>42560</v>
      </c>
      <c r="F39" s="133">
        <v>1150.95</v>
      </c>
      <c r="G39" s="134" t="s">
        <v>357</v>
      </c>
      <c r="H39" s="135">
        <f>IF($C$8&gt;Tabla9[[#This Row],[Fecha Vencim.]],($C$8-Tabla9[[#This Row],[Fecha Vencim.]]),"No vencida")</f>
        <v>101</v>
      </c>
    </row>
    <row r="40" spans="2:8" x14ac:dyDescent="0.2">
      <c r="D40" s="48"/>
      <c r="E40" s="49"/>
      <c r="F40" s="50"/>
      <c r="G40" s="53"/>
      <c r="H40" s="51"/>
    </row>
    <row r="41" spans="2:8" x14ac:dyDescent="0.2">
      <c r="D41" s="48"/>
      <c r="E41" s="49"/>
      <c r="F41" s="50"/>
      <c r="G41" s="53"/>
      <c r="H41" s="51"/>
    </row>
    <row r="42" spans="2:8" x14ac:dyDescent="0.2">
      <c r="D42" s="48"/>
      <c r="E42" s="49"/>
      <c r="F42" s="50"/>
      <c r="G42" s="53"/>
      <c r="H42" s="51"/>
    </row>
    <row r="43" spans="2:8" x14ac:dyDescent="0.2">
      <c r="D43" s="48"/>
      <c r="E43" s="49"/>
      <c r="F43" s="50"/>
      <c r="G43" s="53"/>
      <c r="H43" s="51"/>
    </row>
    <row r="44" spans="2:8" x14ac:dyDescent="0.2">
      <c r="D44" s="48"/>
      <c r="E44" s="49"/>
      <c r="F44" s="50"/>
      <c r="G44" s="53"/>
      <c r="H44" s="51"/>
    </row>
    <row r="45" spans="2:8" x14ac:dyDescent="0.2">
      <c r="D45" s="48"/>
      <c r="E45" s="49"/>
      <c r="F45" s="50"/>
      <c r="G45" s="53"/>
      <c r="H45" s="51"/>
    </row>
    <row r="46" spans="2:8" x14ac:dyDescent="0.2">
      <c r="D46" s="48"/>
      <c r="E46" s="49"/>
      <c r="F46" s="50"/>
      <c r="G46" s="53"/>
      <c r="H46" s="51"/>
    </row>
    <row r="47" spans="2:8" x14ac:dyDescent="0.2">
      <c r="D47" s="48"/>
      <c r="E47" s="49"/>
      <c r="F47" s="50"/>
      <c r="G47" s="53"/>
      <c r="H47" s="51"/>
    </row>
    <row r="48" spans="2:8" x14ac:dyDescent="0.2">
      <c r="D48" s="48"/>
      <c r="E48" s="49"/>
      <c r="F48" s="50"/>
      <c r="G48" s="53"/>
      <c r="H48" s="51"/>
    </row>
    <row r="49" spans="4:8" x14ac:dyDescent="0.2">
      <c r="D49" s="48"/>
      <c r="E49" s="49"/>
      <c r="F49" s="50"/>
      <c r="G49" s="53"/>
      <c r="H49" s="51"/>
    </row>
    <row r="50" spans="4:8" x14ac:dyDescent="0.2">
      <c r="D50" s="48"/>
      <c r="E50" s="49"/>
      <c r="F50" s="50"/>
      <c r="G50" s="53"/>
      <c r="H50" s="51"/>
    </row>
    <row r="51" spans="4:8" x14ac:dyDescent="0.2">
      <c r="D51" s="48"/>
      <c r="E51" s="49"/>
      <c r="F51" s="50"/>
      <c r="G51" s="53"/>
      <c r="H51" s="51"/>
    </row>
    <row r="52" spans="4:8" x14ac:dyDescent="0.2">
      <c r="D52" s="48"/>
      <c r="E52" s="49"/>
      <c r="F52" s="50"/>
      <c r="G52" s="53"/>
      <c r="H52" s="51"/>
    </row>
    <row r="53" spans="4:8" x14ac:dyDescent="0.2">
      <c r="D53" s="48"/>
      <c r="E53" s="49"/>
      <c r="F53" s="50"/>
      <c r="G53" s="53"/>
      <c r="H53" s="51"/>
    </row>
    <row r="54" spans="4:8" x14ac:dyDescent="0.2">
      <c r="D54" s="48"/>
      <c r="E54" s="49"/>
      <c r="F54" s="50"/>
      <c r="G54" s="53"/>
      <c r="H54" s="51"/>
    </row>
    <row r="55" spans="4:8" x14ac:dyDescent="0.2">
      <c r="D55" s="48"/>
      <c r="E55" s="49"/>
      <c r="F55" s="50"/>
      <c r="G55" s="53"/>
      <c r="H55" s="51"/>
    </row>
    <row r="56" spans="4:8" x14ac:dyDescent="0.2">
      <c r="D56" s="48"/>
      <c r="E56" s="49"/>
      <c r="F56" s="50"/>
      <c r="G56" s="53"/>
      <c r="H56" s="51"/>
    </row>
    <row r="57" spans="4:8" x14ac:dyDescent="0.2">
      <c r="D57" s="48"/>
      <c r="E57" s="49"/>
      <c r="F57" s="50"/>
      <c r="G57" s="53"/>
      <c r="H57" s="51"/>
    </row>
    <row r="58" spans="4:8" x14ac:dyDescent="0.2">
      <c r="D58" s="48"/>
      <c r="E58" s="49"/>
      <c r="F58" s="50"/>
      <c r="G58" s="53"/>
      <c r="H58" s="51"/>
    </row>
    <row r="59" spans="4:8" x14ac:dyDescent="0.2">
      <c r="D59" s="48"/>
      <c r="E59" s="49"/>
      <c r="F59" s="50"/>
      <c r="G59" s="53"/>
      <c r="H59" s="51"/>
    </row>
    <row r="60" spans="4:8" x14ac:dyDescent="0.2">
      <c r="D60" s="48"/>
      <c r="E60" s="49"/>
      <c r="F60" s="50"/>
      <c r="G60" s="53"/>
      <c r="H60" s="51"/>
    </row>
    <row r="61" spans="4:8" x14ac:dyDescent="0.2">
      <c r="D61" s="48"/>
      <c r="E61" s="49"/>
      <c r="F61" s="50"/>
      <c r="G61" s="53"/>
      <c r="H61" s="51"/>
    </row>
    <row r="62" spans="4:8" x14ac:dyDescent="0.2">
      <c r="D62" s="48"/>
      <c r="E62" s="49"/>
      <c r="F62" s="50"/>
      <c r="G62" s="53"/>
      <c r="H62" s="51"/>
    </row>
    <row r="63" spans="4:8" x14ac:dyDescent="0.2">
      <c r="D63" s="48"/>
      <c r="E63" s="49"/>
      <c r="F63" s="50"/>
      <c r="G63" s="53"/>
      <c r="H63" s="51"/>
    </row>
    <row r="64" spans="4:8" x14ac:dyDescent="0.2">
      <c r="D64" s="48"/>
      <c r="E64" s="49"/>
      <c r="F64" s="50"/>
    </row>
    <row r="65" spans="4:6" x14ac:dyDescent="0.2">
      <c r="D65" s="48"/>
      <c r="E65" s="49"/>
      <c r="F65" s="50"/>
    </row>
    <row r="66" spans="4:6" x14ac:dyDescent="0.2">
      <c r="D66" s="48"/>
      <c r="E66" s="49"/>
      <c r="F66" s="50"/>
    </row>
  </sheetData>
  <sheetProtection selectLockedCells="1"/>
  <conditionalFormatting sqref="N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N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B92725-F065-462A-B8EE-221B09C7F73E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</vt:i4>
      </vt:variant>
    </vt:vector>
  </HeadingPairs>
  <TitlesOfParts>
    <vt:vector size="15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2021-06-28T17:38:39Z</dcterms:modified>
</cp:coreProperties>
</file>