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5890D633-651C-4E19-98BA-3A34B679267A}" xr6:coauthVersionLast="47" xr6:coauthVersionMax="47" xr10:uidLastSave="{00000000-0000-0000-0000-000000000000}"/>
  <bookViews>
    <workbookView xWindow="-120" yWindow="-120" windowWidth="20730" windowHeight="11160" firstSheet="8" activeTab="10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ficaInventario" sheetId="13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tos" sheetId="14" r:id="rId12"/>
    <sheet name="Dasboard" sheetId="15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2">Dasboard!$A$1:$J$90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31" r:id="rId15"/>
    <pivotCache cacheId="32" r:id="rId16"/>
    <pivotCache cacheId="33" r:id="rId17"/>
  </pivotCaches>
</workbook>
</file>

<file path=xl/calcChain.xml><?xml version="1.0" encoding="utf-8"?>
<calcChain xmlns="http://schemas.openxmlformats.org/spreadsheetml/2006/main">
  <c r="H14" i="9" l="1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G36" i="2" l="1"/>
  <c r="H13" i="10" l="1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L9" i="8" l="1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8" i="8"/>
  <c r="L7" i="8"/>
  <c r="K7" i="8"/>
  <c r="J7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8" i="8"/>
  <c r="I26" i="7"/>
  <c r="G37" i="6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N13" i="5"/>
  <c r="I39" i="5"/>
  <c r="H9" i="6" l="1"/>
  <c r="H10" i="6"/>
  <c r="H18" i="6"/>
  <c r="H26" i="6"/>
  <c r="H34" i="6"/>
  <c r="H8" i="6"/>
  <c r="H32" i="6"/>
  <c r="H11" i="6"/>
  <c r="H19" i="6"/>
  <c r="H27" i="6"/>
  <c r="H35" i="6"/>
  <c r="H14" i="6"/>
  <c r="H30" i="6"/>
  <c r="H15" i="6"/>
  <c r="H31" i="6"/>
  <c r="H24" i="6"/>
  <c r="H25" i="6"/>
  <c r="H12" i="6"/>
  <c r="H20" i="6"/>
  <c r="H28" i="6"/>
  <c r="H36" i="6"/>
  <c r="H22" i="6"/>
  <c r="H7" i="6"/>
  <c r="H37" i="6" s="1"/>
  <c r="H23" i="6"/>
  <c r="H16" i="6"/>
  <c r="H17" i="6"/>
  <c r="H33" i="6"/>
  <c r="H13" i="6"/>
  <c r="H21" i="6"/>
  <c r="H29" i="6"/>
  <c r="B17" i="4"/>
  <c r="B15" i="4"/>
  <c r="E15" i="4"/>
  <c r="J36" i="2"/>
  <c r="D40" i="2"/>
  <c r="D42" i="2"/>
  <c r="L17" i="1" l="1"/>
  <c r="E28" i="7" l="1"/>
  <c r="E30" i="7" s="1"/>
  <c r="H28" i="7"/>
  <c r="E29" i="7"/>
  <c r="H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051C369D-35B6-432B-AD8B-077852CEACE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64637B08-B1BD-4FA7-B863-90FC0670F8D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4" authorId="0" shapeId="0" xr:uid="{C126EB49-A732-4FBB-8C22-B62E9BF0753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DB6E39F9-7F56-45E8-83CB-C75AF04AFF5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070C3DE0-9AAE-4F49-8F9F-4E8263271FB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3" authorId="0" shapeId="0" xr:uid="{ACCF122C-04D6-459D-A7B8-D241DB823B6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4" authorId="0" shapeId="0" xr:uid="{CDA57471-ED97-4A74-A86B-729DAC764FA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5A2B2636-A04B-4809-8537-D4390603CB7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dejo el ejemplo de como era y te recuerdo que hay un formato para superiores e inferiores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6186CABF-8530-46B2-8260-C532DBC2D62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D538E92D-70DF-4EA5-9C89-0A265BC2258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AED11A25-F22A-4D6B-91B9-7765F4C4F06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999AC8F3-A037-4A9D-82D0-4B0BD6CEBC0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L3" authorId="0" shapeId="0" xr:uid="{23CBBB0F-C831-494C-98BD-CE167E63191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L4" authorId="0" shapeId="0" xr:uid="{D5108FEB-86B2-4845-BEE3-8972D65E213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solo recuerda que los graficos circulares son idoneos para 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E9B42DDD-A517-4B2A-81DC-60E50887CE4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22EBC7FD-3FA0-4B0F-B6B3-A8EA8955ADA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4321DA40-25CF-46EB-B610-D82F9D20EE9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N2" authorId="0" shapeId="0" xr:uid="{0E396EFC-F179-41C3-BD3E-0DD343FFBD0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3" authorId="0" shapeId="0" xr:uid="{73771FB4-7CE9-4842-AABA-0A91CF4EF4C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E4D67729-4275-4215-8D63-5EEDBBAA6A3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dejo el ejemplo de un minigrafico estos se agregan dentro  de una celda</t>
        </r>
      </text>
    </comment>
  </commentList>
</comments>
</file>

<file path=xl/sharedStrings.xml><?xml version="1.0" encoding="utf-8"?>
<sst xmlns="http://schemas.openxmlformats.org/spreadsheetml/2006/main" count="1090" uniqueCount="456">
  <si>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</si>
  <si>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</si>
  <si>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</si>
  <si>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</si>
  <si>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</si>
  <si>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</si>
  <si>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</si>
  <si>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</si>
  <si>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</si>
  <si>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</si>
  <si>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</si>
  <si>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</si>
  <si>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</si>
  <si>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</si>
  <si>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</si>
  <si>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</si>
  <si>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</si>
  <si>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</si>
  <si>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</si>
  <si>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</si>
  <si>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</si>
  <si>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</si>
  <si>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</si>
  <si>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</si>
  <si>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</si>
  <si>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</si>
  <si>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</si>
  <si>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</si>
  <si>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</si>
  <si>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</si>
  <si>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</si>
  <si>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</si>
  <si>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</si>
  <si>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</si>
  <si>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</si>
  <si>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</si>
  <si>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</si>
  <si>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</si>
  <si>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</si>
  <si>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</si>
  <si>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</si>
  <si>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</si>
  <si>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</si>
  <si>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</si>
  <si>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</si>
  <si>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</si>
  <si>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</si>
  <si>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</si>
  <si>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</si>
  <si>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</si>
  <si>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</si>
  <si>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</si>
  <si>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</si>
  <si>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</si>
  <si>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</si>
  <si>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</si>
  <si>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</si>
  <si>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</si>
  <si>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</si>
  <si>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</si>
  <si>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</si>
  <si>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</si>
  <si>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</si>
  <si>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</si>
  <si>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</si>
  <si>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</si>
  <si>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</si>
  <si>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</si>
  <si>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</si>
  <si>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</si>
  <si>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</si>
  <si>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</si>
  <si>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</si>
  <si>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</si>
  <si>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</si>
  <si>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</si>
  <si>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</si>
  <si>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</si>
  <si>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</si>
  <si>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</si>
  <si>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</si>
  <si>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</si>
  <si>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</si>
  <si>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</si>
  <si>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</si>
  <si>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</si>
  <si>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</si>
  <si>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</si>
  <si>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</si>
  <si>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</si>
  <si>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</si>
  <si>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</si>
  <si>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</si>
  <si>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</si>
  <si>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</si>
  <si>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</si>
  <si>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</si>
  <si>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</si>
  <si>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</si>
  <si>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</si>
  <si>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</si>
  <si>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</si>
  <si>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</si>
  <si>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</si>
  <si>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</si>
  <si>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</si>
  <si>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</si>
  <si>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</si>
  <si>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</si>
  <si>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</si>
  <si>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</si>
  <si>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</si>
  <si>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</si>
  <si>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</si>
  <si>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</si>
  <si>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</si>
  <si>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</si>
  <si>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</si>
  <si>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</si>
  <si>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</si>
  <si>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</si>
  <si>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</si>
  <si>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</si>
  <si>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</si>
  <si>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</si>
  <si>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</si>
  <si>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</si>
  <si>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</si>
  <si>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</si>
  <si>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</si>
  <si>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</si>
  <si>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</si>
  <si>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</si>
  <si>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</si>
  <si>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</si>
  <si>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</si>
  <si>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</si>
  <si>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</si>
  <si>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</si>
  <si>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</si>
  <si>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</si>
  <si>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</si>
  <si>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</si>
  <si>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</si>
  <si>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</si>
  <si>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</si>
  <si>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</si>
  <si>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</si>
  <si>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</si>
  <si>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</si>
  <si>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</si>
  <si>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</si>
  <si>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</si>
  <si>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</si>
  <si>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</si>
  <si>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</si>
  <si>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</si>
  <si>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</si>
  <si>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</si>
  <si>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</si>
  <si>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</si>
  <si>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</si>
  <si>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</si>
  <si>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</si>
  <si>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</si>
  <si>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</si>
  <si>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</si>
  <si>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</si>
  <si>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</si>
  <si>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</si>
  <si>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</si>
  <si>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</si>
  <si>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</si>
  <si>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</si>
  <si>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</si>
  <si>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</si>
  <si>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</si>
  <si>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</si>
  <si>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</si>
  <si>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</si>
  <si>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</si>
  <si>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</si>
  <si>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</si>
  <si>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</si>
  <si>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</si>
  <si>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</si>
  <si>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</si>
  <si>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</si>
  <si>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</si>
  <si>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</si>
  <si>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</si>
  <si>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</si>
  <si>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</si>
  <si>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</si>
  <si>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</si>
  <si>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</si>
  <si>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</si>
  <si>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</si>
  <si>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</si>
  <si>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</si>
  <si>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</si>
  <si>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</si>
  <si>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</si>
  <si>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</si>
  <si>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</si>
  <si>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</si>
  <si>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</si>
  <si>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</si>
  <si>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</si>
  <si>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</si>
  <si>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</si>
  <si>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</si>
  <si>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</si>
  <si>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</si>
  <si>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</si>
  <si>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</si>
  <si>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</si>
  <si>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</si>
  <si>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</si>
  <si>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</si>
  <si>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</si>
  <si>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</si>
  <si>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</si>
  <si>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</si>
  <si>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</si>
  <si>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</si>
  <si>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</si>
  <si>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</si>
  <si>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</si>
  <si>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</si>
  <si>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</si>
  <si>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</si>
  <si>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</si>
  <si>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</si>
  <si>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</si>
  <si>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</si>
  <si>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</si>
  <si>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</si>
  <si>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</si>
  <si>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</si>
  <si>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</si>
  <si>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</si>
  <si>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</si>
  <si>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</si>
  <si>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</si>
  <si>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</si>
  <si>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</si>
  <si>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</si>
  <si>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</si>
  <si>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</si>
  <si>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</si>
  <si>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</si>
  <si>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</si>
  <si>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</si>
  <si>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</si>
  <si>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</si>
  <si>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</si>
  <si>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</si>
  <si>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</si>
  <si>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</si>
  <si>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</si>
  <si>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</si>
  <si>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</si>
  <si>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</si>
  <si>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</si>
  <si>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Cuenta No.</t>
  </si>
  <si>
    <t>Factura No.</t>
  </si>
  <si>
    <t>Fecha Factura</t>
  </si>
  <si>
    <t>NOMBRE</t>
  </si>
  <si>
    <t>DIRECCIÓN</t>
  </si>
  <si>
    <t>CIUDAD, ESTADO, CP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</si>
  <si>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</si>
  <si>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</si>
  <si>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</si>
  <si>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</si>
  <si>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</si>
  <si>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</si>
  <si>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</si>
  <si>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</si>
  <si>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</si>
  <si>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</si>
  <si>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</si>
  <si>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</si>
  <si>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</si>
  <si>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</si>
  <si>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</si>
  <si>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</si>
  <si>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</si>
  <si>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</si>
  <si>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</si>
  <si>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</si>
  <si>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</si>
  <si>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</si>
  <si>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</si>
  <si>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</si>
  <si>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</si>
  <si>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</si>
  <si>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</si>
  <si>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</si>
  <si>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</si>
  <si>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</si>
  <si>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</si>
  <si>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</si>
  <si>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</si>
  <si>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</si>
  <si>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</si>
  <si>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</si>
  <si>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</si>
  <si>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</si>
  <si>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</si>
  <si>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</si>
  <si>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</si>
  <si>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</si>
  <si>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</si>
  <si>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</si>
  <si>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</si>
  <si>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</si>
  <si>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</si>
  <si>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</si>
  <si>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</si>
  <si>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</si>
  <si>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</si>
  <si>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</si>
  <si>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</si>
  <si>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</si>
  <si>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</si>
  <si>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</si>
  <si>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</si>
  <si>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</si>
  <si>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</si>
  <si>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</si>
  <si>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</si>
  <si>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</si>
  <si>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</si>
  <si>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</si>
  <si>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</si>
  <si>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</si>
  <si>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</si>
  <si>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</si>
  <si>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</si>
  <si>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</si>
  <si>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</si>
  <si>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</si>
  <si>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</si>
  <si>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</si>
  <si>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</si>
  <si>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</si>
  <si>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</si>
  <si>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</si>
  <si>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</si>
  <si>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</si>
  <si>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</si>
  <si>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</si>
  <si>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</si>
  <si>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</si>
  <si>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</si>
  <si>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</si>
  <si>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</si>
  <si>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</si>
  <si>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</si>
  <si>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</si>
  <si>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</si>
  <si>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</si>
  <si>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</si>
  <si>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</si>
  <si>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</si>
  <si>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</si>
  <si>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</si>
  <si>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</si>
  <si>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</si>
  <si>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</si>
  <si>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</si>
  <si>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</si>
  <si>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</si>
  <si>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</si>
  <si>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</si>
  <si>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</si>
  <si>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</si>
  <si>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</si>
  <si>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</si>
  <si>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</si>
  <si>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</si>
  <si>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</si>
  <si>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</si>
  <si>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</si>
  <si>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</si>
  <si>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</si>
  <si>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</si>
  <si>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</si>
  <si>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</si>
  <si>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</si>
  <si>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</si>
  <si>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</si>
  <si>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</si>
  <si>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</si>
  <si>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</si>
  <si>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</si>
  <si>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</si>
  <si>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</si>
  <si>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</si>
  <si>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</si>
  <si>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</si>
  <si>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</si>
  <si>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</si>
  <si>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</si>
  <si>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</si>
  <si>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</si>
  <si>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</si>
  <si>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</si>
  <si>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</si>
  <si>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</si>
  <si>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</si>
  <si>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</si>
  <si>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</si>
  <si>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</si>
  <si>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</si>
  <si>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</si>
  <si>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</si>
  <si>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</si>
  <si>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</si>
  <si>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</si>
  <si>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</si>
  <si>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</si>
  <si>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</si>
  <si>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</si>
  <si>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</si>
  <si>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</si>
  <si>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</si>
  <si>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</si>
  <si>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</si>
  <si>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</si>
  <si>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</si>
  <si>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</si>
  <si>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</si>
  <si>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</si>
  <si>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</si>
  <si>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</si>
  <si>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</si>
  <si>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</si>
  <si>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</si>
  <si>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Promedio</t>
  </si>
  <si>
    <t>Etiquetas de fila</t>
  </si>
  <si>
    <t>Total general</t>
  </si>
  <si>
    <t>(Todas)</t>
  </si>
  <si>
    <t>Suma de Monto</t>
  </si>
  <si>
    <t>Porcentaje</t>
  </si>
  <si>
    <t>Suma de Porcentaje</t>
  </si>
  <si>
    <t xml:space="preserve">60 </t>
  </si>
  <si>
    <t>Fecha de Vencimiento Dias</t>
  </si>
  <si>
    <t>Suma de Valor de mercado 2015 (mdd)</t>
  </si>
  <si>
    <t>Suma de Valor de mercado 2016(mdd)</t>
  </si>
  <si>
    <t>Suma de Lugar de la lista de México</t>
  </si>
  <si>
    <t>Suma de Valor de mercado 2014 (mdd)</t>
  </si>
  <si>
    <t>Suma de Valor de mercado 2015 (mdd)2</t>
  </si>
  <si>
    <t>Suma de Valor de mercado 2016 (mdd)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</si>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</sst>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m/d/yyyy"/>
    <numFmt numFmtId="172" formatCode="_-&quot;$&quot;* #,##0.00_-;\-&quot;$&quot;* #,##0.00_-;_-&quot;$&quot;* &quot;-&quot;??_-;_-@_-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4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6" xfId="9" applyFill="1" applyBorder="1"/>
    <xf numFmtId="14" fontId="11" fillId="10" borderId="6" xfId="9" applyNumberFormat="1" applyFill="1" applyBorder="1"/>
    <xf numFmtId="165" fontId="11" fillId="10" borderId="6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7" xfId="9" applyFont="1" applyFill="1" applyBorder="1"/>
    <xf numFmtId="0" fontId="12" fillId="11" borderId="8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7" xfId="9" applyFill="1" applyBorder="1"/>
    <xf numFmtId="0" fontId="11" fillId="0" borderId="9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8" xfId="10" applyBorder="1" applyAlignment="1">
      <alignment horizontal="center"/>
    </xf>
    <xf numFmtId="0" fontId="17" fillId="14" borderId="18" xfId="10" applyFont="1" applyFill="1" applyBorder="1" applyAlignment="1">
      <alignment horizontal="center" vertical="center"/>
    </xf>
    <xf numFmtId="0" fontId="17" fillId="14" borderId="11" xfId="10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10" applyNumberFormat="1" applyFont="1" applyBorder="1" applyAlignment="1">
      <alignment horizontal="right"/>
    </xf>
    <xf numFmtId="14" fontId="20" fillId="0" borderId="18" xfId="10" applyNumberFormat="1" applyFont="1" applyBorder="1" applyAlignment="1">
      <alignment horizontal="right" wrapText="1"/>
    </xf>
    <xf numFmtId="164" fontId="19" fillId="0" borderId="18" xfId="11" applyFont="1" applyFill="1" applyBorder="1" applyProtection="1"/>
    <xf numFmtId="164" fontId="19" fillId="0" borderId="18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5" applyNumberFormat="1" applyFont="1" applyBorder="1"/>
    <xf numFmtId="44" fontId="3" fillId="0" borderId="0" xfId="6" applyNumberFormat="1"/>
    <xf numFmtId="1" fontId="0" fillId="0" borderId="0" xfId="0" applyNumberFormat="1"/>
    <xf numFmtId="0" fontId="0" fillId="0" borderId="0" xfId="6" applyFon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14" fontId="11" fillId="0" borderId="0" xfId="9" applyNumberFormat="1" applyFill="1"/>
    <xf numFmtId="165" fontId="11" fillId="0" borderId="0" xfId="9" applyNumberFormat="1" applyFill="1"/>
    <xf numFmtId="44" fontId="11" fillId="12" borderId="8" xfId="9" applyNumberFormat="1" applyFill="1" applyBorder="1"/>
    <xf numFmtId="44" fontId="11" fillId="0" borderId="10" xfId="9" applyNumberFormat="1" applyBorder="1"/>
    <xf numFmtId="44" fontId="11" fillId="0" borderId="0" xfId="9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1" fillId="0" borderId="0" xfId="9" applyNumberFormat="1"/>
    <xf numFmtId="10" fontId="11" fillId="0" borderId="0" xfId="9" applyNumberFormat="1"/>
    <xf numFmtId="10" fontId="11" fillId="0" borderId="0" xfId="9" applyNumberFormat="1" applyFill="1"/>
    <xf numFmtId="9" fontId="0" fillId="0" borderId="0" xfId="0" applyNumberFormat="1"/>
    <xf numFmtId="169" fontId="11" fillId="0" borderId="0" xfId="9" applyNumberFormat="1"/>
    <xf numFmtId="14" fontId="19" fillId="15" borderId="19" xfId="10" applyNumberFormat="1" applyFont="1" applyFill="1" applyBorder="1" applyAlignment="1">
      <alignment horizontal="left"/>
    </xf>
    <xf numFmtId="49" fontId="17" fillId="14" borderId="18" xfId="10" applyNumberFormat="1" applyFont="1" applyFill="1" applyBorder="1" applyAlignment="1">
      <alignment horizontal="center" vertical="center"/>
    </xf>
    <xf numFmtId="0" fontId="14" fillId="0" borderId="26" xfId="10" applyBorder="1" applyAlignment="1">
      <alignment horizontal="center"/>
    </xf>
    <xf numFmtId="0" fontId="21" fillId="17" borderId="27" xfId="7" applyFont="1" applyFill="1" applyBorder="1" applyAlignment="1" applyProtection="1">
      <alignment horizontal="center" vertical="center" wrapText="1"/>
    </xf>
    <xf numFmtId="0" fontId="21" fillId="17" borderId="28" xfId="7" applyFont="1" applyFill="1" applyBorder="1" applyAlignment="1" applyProtection="1">
      <alignment horizontal="center" vertical="center" wrapText="1"/>
    </xf>
    <xf numFmtId="1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8" xfId="7" applyNumberFormat="1" applyFont="1" applyFill="1" applyBorder="1" applyAlignment="1" applyProtection="1">
      <alignment horizontal="center" vertical="center" wrapText="1"/>
    </xf>
    <xf numFmtId="164" fontId="21" fillId="17" borderId="28" xfId="7" applyNumberFormat="1" applyFont="1" applyFill="1" applyBorder="1" applyAlignment="1" applyProtection="1">
      <alignment horizontal="center" vertical="center"/>
    </xf>
    <xf numFmtId="16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9" xfId="7" applyNumberFormat="1" applyFont="1" applyFill="1" applyBorder="1" applyAlignment="1" applyProtection="1">
      <alignment horizontal="center" vertical="center" wrapText="1"/>
    </xf>
    <xf numFmtId="0" fontId="14" fillId="0" borderId="30" xfId="10" applyBorder="1" applyAlignment="1">
      <alignment horizontal="center"/>
    </xf>
    <xf numFmtId="0" fontId="14" fillId="0" borderId="31" xfId="10" applyBorder="1" applyAlignment="1">
      <alignment horizontal="center"/>
    </xf>
    <xf numFmtId="14" fontId="19" fillId="0" borderId="31" xfId="10" applyNumberFormat="1" applyFont="1" applyBorder="1" applyAlignment="1">
      <alignment horizontal="right"/>
    </xf>
    <xf numFmtId="14" fontId="20" fillId="0" borderId="31" xfId="10" applyNumberFormat="1" applyFont="1" applyBorder="1" applyAlignment="1">
      <alignment horizontal="right" wrapText="1"/>
    </xf>
    <xf numFmtId="164" fontId="19" fillId="0" borderId="31" xfId="11" applyFont="1" applyFill="1" applyBorder="1" applyProtection="1"/>
    <xf numFmtId="164" fontId="19" fillId="0" borderId="31" xfId="11" applyFont="1" applyFill="1" applyBorder="1" applyAlignment="1" applyProtection="1">
      <alignment horizontal="left"/>
    </xf>
    <xf numFmtId="0" fontId="0" fillId="0" borderId="0" xfId="0" applyNumberFormat="1"/>
    <xf numFmtId="0" fontId="16" fillId="13" borderId="11" xfId="10" applyFont="1" applyFill="1" applyBorder="1" applyAlignment="1">
      <alignment horizontal="center" vertical="center" wrapText="1"/>
    </xf>
    <xf numFmtId="0" fontId="16" fillId="13" borderId="12" xfId="1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1" fontId="20" fillId="0" borderId="11" xfId="10" applyNumberFormat="1" applyFont="1" applyBorder="1" applyAlignment="1">
      <alignment horizontal="center" wrapText="1"/>
    </xf>
    <xf numFmtId="164" fontId="19" fillId="0" borderId="15" xfId="11" applyFont="1" applyFill="1" applyBorder="1"/>
    <xf numFmtId="164" fontId="19" fillId="0" borderId="17" xfId="11" applyFont="1" applyFill="1" applyBorder="1"/>
    <xf numFmtId="0" fontId="14" fillId="0" borderId="0" xfId="10" applyFill="1" applyAlignment="1">
      <alignment horizontal="left"/>
    </xf>
    <xf numFmtId="0" fontId="4" fillId="4" borderId="0" xfId="3" applyAlignment="1">
      <alignment horizontal="center"/>
    </xf>
    <xf numFmtId="164" fontId="3" fillId="2" borderId="0" xfId="1" applyNumberFormat="1" applyAlignment="1">
      <alignment horizontal="center"/>
    </xf>
    <xf numFmtId="0" fontId="3" fillId="2" borderId="0" xfId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44" fontId="3" fillId="0" borderId="1" xfId="6" applyNumberFormat="1" applyBorder="1" applyAlignment="1">
      <alignment horizontal="center"/>
    </xf>
    <xf numFmtId="0" fontId="3" fillId="0" borderId="2" xfId="6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5" xfId="8" applyFont="1" applyFill="1" applyBorder="1" applyAlignment="1">
      <alignment horizontal="center" vertical="center"/>
    </xf>
    <xf numFmtId="0" fontId="24" fillId="0" borderId="0" xfId="13" applyFont="1" applyFill="1" applyAlignment="1">
      <alignment horizontal="center" vertical="center"/>
    </xf>
    <xf numFmtId="0" fontId="0" fillId="18" borderId="32" xfId="0" applyFont="1" applyFill="1" applyBorder="1"/>
    <xf numFmtId="0" fontId="0" fillId="19" borderId="32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20">
    <cellStyle name="40% - Énfasis2" xfId="1" builtinId="35"/>
    <cellStyle name="Celda de comprobación 2" xfId="8" xr:uid="{00000000-0005-0000-0000-000001000000}"/>
    <cellStyle name="Encabezado 1 2" xfId="13" xr:uid="{00000000-0005-0000-0000-000002000000}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 xr:uid="{00000000-0005-0000-0000-000009000000}"/>
    <cellStyle name="Moneda 2 2" xfId="17" xr:uid="{99339589-AA84-4E15-9C02-262DF8E22D85}"/>
    <cellStyle name="Moneda 2 2 2" xfId="19" xr:uid="{AC0857A2-6F26-464B-9C76-50E6A56EFEB7}"/>
    <cellStyle name="Moneda 3" xfId="16" xr:uid="{C3367740-C6FA-4DE6-81C5-CDD95639069E}"/>
    <cellStyle name="Moneda 3 2" xfId="18" xr:uid="{E1EACD42-A5BD-423A-B4AB-897A03A4B5C6}"/>
    <cellStyle name="Normal" xfId="0" builtinId="0"/>
    <cellStyle name="Normal 2" xfId="6" xr:uid="{00000000-0005-0000-0000-00000B000000}"/>
    <cellStyle name="Normal 3" xfId="9" xr:uid="{00000000-0005-0000-0000-00000C000000}"/>
    <cellStyle name="Normal 4" xfId="10" xr:uid="{00000000-0005-0000-0000-00000D000000}"/>
    <cellStyle name="Normal 5" xfId="12" xr:uid="{00000000-0005-0000-0000-00000E000000}"/>
    <cellStyle name="Título 2 2" xfId="14" xr:uid="{00000000-0005-0000-0000-00000F000000}"/>
  </cellStyles>
  <dxfs count="131"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169" formatCode="m/d/yyyy"/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13" formatCode="0%"/>
    </dxf>
    <dxf>
      <numFmt numFmtId="34" formatCode="_-&quot;$&quot;* #,##0.00_-;\-&quot;$&quot;* #,##0.00_-;_-&quot;$&quot;* &quot;-&quot;??_-;_-@_-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165" formatCode="[$$-80A]#,##0.00"/>
      <fill>
        <patternFill patternType="none">
          <fgColor indexed="64"/>
          <bgColor indexed="65"/>
        </patternFill>
      </fill>
    </dxf>
    <dxf>
      <numFmt numFmtId="165" formatCode="[$$-80A]#,##0.0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3.xml"/><Relationship Id="rId5" Type="http://schemas.openxmlformats.org/officeDocument/2006/relationships/chartsheet" Target="chartsheets/sheet1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F-4D9E-BB21-5E561FEAB1CF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F-4D9E-BB21-5E561FEAB1CF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F-4D9E-BB21-5E561FEAB1CF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F-4D9E-BB21-5E561FEAB1CF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F-4D9E-BB21-5E561FEAB1CF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F-4D9E-BB21-5E561FEAB1CF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F-4D9E-BB21-5E561FEAB1CF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4F-4D9E-BB21-5E561FEAB1CF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4F-4D9E-BB21-5E561FEAB1CF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4F-4D9E-BB21-5E561FEAB1CF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4F-4D9E-BB21-5E561FEAB1CF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4F-4D9E-BB21-5E561FEAB1CF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4F-4D9E-BB21-5E561FEAB1CF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4F-4D9E-BB21-5E561FEAB1CF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4F-4D9E-BB21-5E561FEAB1CF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4F-4D9E-BB21-5E561FEAB1CF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4F-4D9E-BB21-5E561FEAB1CF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4F-4D9E-BB21-5E561FEAB1CF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4F-4D9E-BB21-5E561FEAB1CF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4F-4D9E-BB21-5E561FEAB1CF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4F-4D9E-BB21-5E561FEA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sandra reyes.xlsx]Clasificación!TablaDinámica3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</a:t>
            </a:r>
            <a:r>
              <a:rPr lang="es-MX" baseline="0"/>
              <a:t> de Alquilere vs Ventas 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Clasificación!$K$7</c:f>
              <c:strCache>
                <c:ptCount val="1"/>
                <c:pt idx="0">
                  <c:v>Suma de Monto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Clasificación!$J$8:$J$10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Clasificación!$K$8:$K$10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9-4995-A5A5-CA0F7FA680F5}"/>
            </c:ext>
          </c:extLst>
        </c:ser>
        <c:ser>
          <c:idx val="1"/>
          <c:order val="1"/>
          <c:tx>
            <c:strRef>
              <c:f>Clasificación!$L$7</c:f>
              <c:strCache>
                <c:ptCount val="1"/>
                <c:pt idx="0">
                  <c:v>Suma de 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Clasificación!$J$8:$J$10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Clasificación!$L$8:$L$10</c:f>
              <c:numCache>
                <c:formatCode>0%</c:formatCode>
                <c:ptCount val="2"/>
                <c:pt idx="0">
                  <c:v>0.55902489789733423</c:v>
                </c:pt>
                <c:pt idx="1">
                  <c:v>0.44097510210266599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D9-4995-A5A5-CA0F7FA6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196767"/>
        <c:axId val="1184195103"/>
      </c:barChart>
      <c:catAx>
        <c:axId val="11841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95103"/>
        <c:crosses val="autoZero"/>
        <c:auto val="1"/>
        <c:lblAlgn val="ctr"/>
        <c:lblOffset val="100"/>
        <c:noMultiLvlLbl val="0"/>
      </c:catAx>
      <c:valAx>
        <c:axId val="11841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96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sandra reyes.xlsx]Top Empresas Mundial!TablaDinámica1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 i="1"/>
              <a:t>comparar los ingresos del mercado 2015 vs mercado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Empresas Mundial'!$B$29</c:f>
              <c:strCache>
                <c:ptCount val="1"/>
                <c:pt idx="0">
                  <c:v>Suma de Valor de mercado 2015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Empresas Mundial'!$B$30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Empresas Mundial'!$B$30</c:f>
              <c:numCache>
                <c:formatCode>General</c:formatCode>
                <c:ptCount val="1"/>
                <c:pt idx="0">
                  <c:v>1153100000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A1E-BE27-9B28BF975139}"/>
            </c:ext>
          </c:extLst>
        </c:ser>
        <c:ser>
          <c:idx val="1"/>
          <c:order val="1"/>
          <c:tx>
            <c:strRef>
              <c:f>'Top Empresas Mundial'!$C$29</c:f>
              <c:strCache>
                <c:ptCount val="1"/>
                <c:pt idx="0">
                  <c:v>Suma de Valor de mercado 2016(mdd)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Empresas Mundial'!$B$30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Empresas Mundial'!$C$30</c:f>
              <c:numCache>
                <c:formatCode>General</c:formatCode>
                <c:ptCount val="1"/>
                <c:pt idx="0">
                  <c:v>1115734017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A1E-BE27-9B28BF97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94991"/>
        <c:axId val="137697071"/>
      </c:barChart>
      <c:catAx>
        <c:axId val="13769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697071"/>
        <c:crosses val="autoZero"/>
        <c:auto val="1"/>
        <c:lblAlgn val="ctr"/>
        <c:lblOffset val="100"/>
        <c:noMultiLvlLbl val="0"/>
      </c:catAx>
      <c:valAx>
        <c:axId val="1376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69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 América Móvil</c:v>
              </c:pt>
              <c:pt idx="1">
                <c:v>2 Femsa</c:v>
              </c:pt>
              <c:pt idx="2">
                <c:v>3 Grupo Financiero Banorte</c:v>
              </c:pt>
              <c:pt idx="3">
                <c:v>4 Grupo Financiero México</c:v>
              </c:pt>
              <c:pt idx="4">
                <c:v>5 Grupo Televisa</c:v>
              </c:pt>
              <c:pt idx="5">
                <c:v>6 Cemex</c:v>
              </c:pt>
              <c:pt idx="6">
                <c:v>7 Grupo Inbursa</c:v>
              </c:pt>
              <c:pt idx="7">
                <c:v>8 Grupo Bimbo</c:v>
              </c:pt>
              <c:pt idx="8">
                <c:v>9 Grupo Alfa</c:v>
              </c:pt>
              <c:pt idx="9">
                <c:v>10 El puerto de Liverpool</c:v>
              </c:pt>
              <c:pt idx="10">
                <c:v>11 Arca Continental</c:v>
              </c:pt>
              <c:pt idx="11">
                <c:v>12 Grupo Carso</c:v>
              </c:pt>
              <c:pt idx="12">
                <c:v>13 Grupo Geo</c:v>
              </c:pt>
              <c:pt idx="13">
                <c:v>14 Grupo Homex</c:v>
              </c:pt>
              <c:pt idx="14">
                <c:v>15 Fibra Uno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6FA2-4BD7-BBA8-43B979BB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505279"/>
        <c:axId val="138498207"/>
      </c:barChart>
      <c:catAx>
        <c:axId val="1385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498207"/>
        <c:crosses val="autoZero"/>
        <c:auto val="1"/>
        <c:lblAlgn val="ctr"/>
        <c:lblOffset val="100"/>
        <c:noMultiLvlLbl val="0"/>
      </c:catAx>
      <c:valAx>
        <c:axId val="1384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5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sandra reyes.xlsx]Datos!TablaDinámica1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Lugar</a:t>
            </a:r>
            <a:r>
              <a:rPr lang="en-US" b="1" i="1" baseline="0"/>
              <a:t> da las empresas mas grandes del Mundo En el Mercado </a:t>
            </a:r>
            <a:endParaRPr lang="en-US" b="1" i="1"/>
          </a:p>
        </c:rich>
      </c:tx>
      <c:layout>
        <c:manualLayout>
          <c:xMode val="edge"/>
          <c:yMode val="edge"/>
          <c:x val="5.8806203279431465E-2"/>
          <c:y val="6.043652438182069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5D-4699-8967-17D5B9A91E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5D-4699-8967-17D5B9A91E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5D-4699-8967-17D5B9A91E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5D-4699-8967-17D5B9A91E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5D-4699-8967-17D5B9A91E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5D-4699-8967-17D5B9A91E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5D-4699-8967-17D5B9A91E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5D-4699-8967-17D5B9A91E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5D-4699-8967-17D5B9A91E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45D-4699-8967-17D5B9A91E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45D-4699-8967-17D5B9A91E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45D-4699-8967-17D5B9A91E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45D-4699-8967-17D5B9A91E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45D-4699-8967-17D5B9A91E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45D-4699-8967-17D5B9A91E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Datos!$A$7:$A$22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Datos!$B$7:$B$22</c:f>
              <c:numCache>
                <c:formatCode>General</c:formatCode>
                <c:ptCount val="15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10</c:v>
                </c:pt>
                <c:pt idx="4">
                  <c:v>2</c:v>
                </c:pt>
                <c:pt idx="5">
                  <c:v>15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3</c:v>
                </c:pt>
                <c:pt idx="10">
                  <c:v>4</c:v>
                </c:pt>
                <c:pt idx="11">
                  <c:v>13</c:v>
                </c:pt>
                <c:pt idx="12">
                  <c:v>14</c:v>
                </c:pt>
                <c:pt idx="13">
                  <c:v>7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45D-4699-8967-17D5B9A91E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sandra reyes.xlsx]Datos!TablaDinámica2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</a:t>
            </a:r>
            <a:r>
              <a:rPr lang="es-MX" baseline="0"/>
              <a:t> comparación Por Año de la Industria</a:t>
            </a:r>
          </a:p>
        </c:rich>
      </c:tx>
      <c:layout>
        <c:manualLayout>
          <c:xMode val="edge"/>
          <c:yMode val="edge"/>
          <c:x val="0.27987788362387878"/>
          <c:y val="0.14712744240303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Datos!$B$26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Datos!$A$27:$A$39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Datos!$B$27:$B$39</c:f>
              <c:numCache>
                <c:formatCode>General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B-4043-814C-5B99999877A1}"/>
            </c:ext>
          </c:extLst>
        </c:ser>
        <c:ser>
          <c:idx val="1"/>
          <c:order val="1"/>
          <c:tx>
            <c:strRef>
              <c:f>Datos!$C$26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Datos!$A$27:$A$39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Datos!$C$27:$C$39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B-4043-814C-5B99999877A1}"/>
            </c:ext>
          </c:extLst>
        </c:ser>
        <c:ser>
          <c:idx val="2"/>
          <c:order val="2"/>
          <c:tx>
            <c:strRef>
              <c:f>Datos!$D$26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Datos!$A$27:$A$39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Datos!$D$27:$D$39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B-4043-814C-5B999998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3596720"/>
        <c:axId val="1043590064"/>
      </c:barChart>
      <c:catAx>
        <c:axId val="10435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3590064"/>
        <c:crosses val="autoZero"/>
        <c:auto val="1"/>
        <c:lblAlgn val="ctr"/>
        <c:lblOffset val="100"/>
        <c:noMultiLvlLbl val="0"/>
      </c:catAx>
      <c:valAx>
        <c:axId val="10435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35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sandra reyes.xlsx]Datos!TablaDinámica3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Comparativo</a:t>
            </a:r>
            <a:r>
              <a:rPr lang="es-MX" baseline="0"/>
              <a:t> por año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Datos!$D$43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Datos!$C$44:$C$45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Datos!$D$44:$D$45</c:f>
              <c:numCache>
                <c:formatCode>General</c:formatCode>
                <c:ptCount val="1"/>
                <c:pt idx="0">
                  <c:v>190670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6-4976-8293-4C65C47B4399}"/>
            </c:ext>
          </c:extLst>
        </c:ser>
        <c:ser>
          <c:idx val="1"/>
          <c:order val="1"/>
          <c:tx>
            <c:strRef>
              <c:f>Datos!$E$43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Datos!$C$44:$C$45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Datos!$E$44:$E$45</c:f>
              <c:numCache>
                <c:formatCode>General</c:formatCode>
                <c:ptCount val="1"/>
                <c:pt idx="0">
                  <c:v>226714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6-4976-8293-4C65C47B4399}"/>
            </c:ext>
          </c:extLst>
        </c:ser>
        <c:ser>
          <c:idx val="2"/>
          <c:order val="2"/>
          <c:tx>
            <c:strRef>
              <c:f>Datos!$F$43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Datos!$C$44:$C$45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Datos!$F$44:$F$45</c:f>
              <c:numCache>
                <c:formatCode>General</c:formatCode>
                <c:ptCount val="1"/>
                <c:pt idx="0">
                  <c:v>217873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6-4976-8293-4C65C47B43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092781216"/>
        <c:axId val="1092783296"/>
        <c:axId val="0"/>
      </c:bar3DChart>
      <c:catAx>
        <c:axId val="10927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2783296"/>
        <c:crosses val="autoZero"/>
        <c:auto val="1"/>
        <c:lblAlgn val="ctr"/>
        <c:lblOffset val="100"/>
        <c:noMultiLvlLbl val="0"/>
      </c:catAx>
      <c:valAx>
        <c:axId val="1092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27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11</xdr:row>
      <xdr:rowOff>9525</xdr:rowOff>
    </xdr:from>
    <xdr:to>
      <xdr:col>13</xdr:col>
      <xdr:colOff>485775</xdr:colOff>
      <xdr:row>24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76200</xdr:colOff>
      <xdr:row>30</xdr:row>
      <xdr:rowOff>123825</xdr:rowOff>
    </xdr:from>
    <xdr:to>
      <xdr:col>3</xdr:col>
      <xdr:colOff>685800</xdr:colOff>
      <xdr:row>45</xdr:row>
      <xdr:rowOff>9525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8100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228600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5</xdr:row>
      <xdr:rowOff>161925</xdr:rowOff>
    </xdr:from>
    <xdr:to>
      <xdr:col>23</xdr:col>
      <xdr:colOff>152400</xdr:colOff>
      <xdr:row>26</xdr:row>
      <xdr:rowOff>47625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1</xdr:row>
      <xdr:rowOff>9524</xdr:rowOff>
    </xdr:from>
    <xdr:to>
      <xdr:col>9</xdr:col>
      <xdr:colOff>95249</xdr:colOff>
      <xdr:row>6</xdr:row>
      <xdr:rowOff>171449</xdr:rowOff>
    </xdr:to>
    <xdr:sp macro="" textlink="">
      <xdr:nvSpPr>
        <xdr:cNvPr id="3" name="Recortar rectángulo de esquina sencilla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80974" y="200024"/>
          <a:ext cx="6772275" cy="1114425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590550</xdr:colOff>
      <xdr:row>3</xdr:row>
      <xdr:rowOff>9525</xdr:rowOff>
    </xdr:from>
    <xdr:to>
      <xdr:col>8</xdr:col>
      <xdr:colOff>419100</xdr:colOff>
      <xdr:row>5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590550" y="581025"/>
          <a:ext cx="592455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aseline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Examen Final Curso MS Excel Intermedio Dasboard</a:t>
          </a:r>
        </a:p>
        <a:p>
          <a:pPr algn="ctr"/>
          <a:endParaRPr lang="es-MX" sz="1600" baseline="0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endParaRPr lang="es-MX" sz="1100"/>
        </a:p>
      </xdr:txBody>
    </xdr:sp>
    <xdr:clientData/>
  </xdr:twoCellAnchor>
  <xdr:twoCellAnchor>
    <xdr:from>
      <xdr:col>0</xdr:col>
      <xdr:colOff>514350</xdr:colOff>
      <xdr:row>7</xdr:row>
      <xdr:rowOff>161924</xdr:rowOff>
    </xdr:from>
    <xdr:to>
      <xdr:col>8</xdr:col>
      <xdr:colOff>685800</xdr:colOff>
      <xdr:row>12</xdr:row>
      <xdr:rowOff>76199</xdr:rowOff>
    </xdr:to>
    <xdr:sp macro="" textlink="">
      <xdr:nvSpPr>
        <xdr:cNvPr id="5" name="Recortar rectángulo de esquina del mismo lad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514350" y="1495424"/>
          <a:ext cx="6267450" cy="866775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685800</xdr:colOff>
      <xdr:row>9</xdr:row>
      <xdr:rowOff>28575</xdr:rowOff>
    </xdr:from>
    <xdr:to>
      <xdr:col>7</xdr:col>
      <xdr:colOff>695325</xdr:colOff>
      <xdr:row>10</xdr:row>
      <xdr:rowOff>161925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685800" y="1743075"/>
          <a:ext cx="534352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/>
            <a:t>Informe Las empresas más grandes de Mexico en 2016</a:t>
          </a:r>
        </a:p>
        <a:p>
          <a:endParaRPr lang="es-MX" sz="1100"/>
        </a:p>
      </xdr:txBody>
    </xdr:sp>
    <xdr:clientData/>
  </xdr:twoCellAnchor>
  <xdr:twoCellAnchor>
    <xdr:from>
      <xdr:col>0</xdr:col>
      <xdr:colOff>728661</xdr:colOff>
      <xdr:row>20</xdr:row>
      <xdr:rowOff>0</xdr:rowOff>
    </xdr:from>
    <xdr:to>
      <xdr:col>9</xdr:col>
      <xdr:colOff>66674</xdr:colOff>
      <xdr:row>35</xdr:row>
      <xdr:rowOff>38100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223836</xdr:colOff>
      <xdr:row>35</xdr:row>
      <xdr:rowOff>161925</xdr:rowOff>
    </xdr:from>
    <xdr:to>
      <xdr:col>10</xdr:col>
      <xdr:colOff>142874</xdr:colOff>
      <xdr:row>50</xdr:row>
      <xdr:rowOff>47625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290512</xdr:colOff>
      <xdr:row>51</xdr:row>
      <xdr:rowOff>95250</xdr:rowOff>
    </xdr:from>
    <xdr:to>
      <xdr:col>9</xdr:col>
      <xdr:colOff>395287</xdr:colOff>
      <xdr:row>65</xdr:row>
      <xdr:rowOff>171450</xdr:rowOff>
    </xdr:to>
    <xdr:graphicFrame macro="">
      <xdr:nvGraphicFramePr>
        <xdr:cNvPr id="9" name="Gráfico 3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504825</xdr:colOff>
      <xdr:row>13</xdr:row>
      <xdr:rowOff>9525</xdr:rowOff>
    </xdr:from>
    <xdr:to>
      <xdr:col>6</xdr:col>
      <xdr:colOff>666750</xdr:colOff>
      <xdr:row>18</xdr:row>
      <xdr:rowOff>123825</xdr:rowOff>
    </xdr:to>
    <xdr:pic>
      <xdr:nvPicPr>
        <xdr:cNvPr id="10" name="Imagen 1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486025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Reyes Castillo" refreshedDate="44373.609298611111" createdVersion="6" refreshedVersion="6" minRefreshableVersion="3" recordCount="30" xr:uid="{00000000-000A-0000-FFFF-FFFF01000000}">
  <cacheSource type="worksheet">
    <worksheetSource name="basedatos"/>
  </cacheSource>
  <cacheFields count="6">
    <cacheField name="Giro Comercial" numFmtId="0">
      <sharedItems/>
    </cacheField>
    <cacheField name="Código" numFmtId="0">
      <sharedItems count="2">
        <s v="Alq"/>
        <s v="Ven"/>
      </sharedItems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  <cacheField name="Porcentaje" numFmtId="10">
      <sharedItems containsSemiMixedTypes="0" containsString="0" containsNumber="1" minValue="1.0152437930666492E-2" maxValue="8.31018206521646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Reyes Castillo" refreshedDate="44373.698003819445" createdVersion="6" refreshedVersion="6" minRefreshableVersion="3" recordCount="15" xr:uid="{00000000-000A-0000-FFFF-FFFF02000000}">
  <cacheSource type="worksheet">
    <worksheetSource name="tbl_Rendimiento7"/>
  </cacheSource>
  <cacheFields count="20">
    <cacheField name="Nombre" numFmtId="0">
      <sharedItems/>
    </cacheField>
    <cacheField name="Lugar en lista global" numFmtId="1">
      <sharedItems containsSemiMixedTypes="0" containsString="0" containsNumber="1" containsInteger="1" minValue="1" maxValue="15"/>
    </cacheField>
    <cacheField name="País" numFmtId="1">
      <sharedItems/>
    </cacheField>
    <cacheField name="Industria" numFmtId="0">
      <sharedItems/>
    </cacheField>
    <cacheField name="Valor de mercado 2015 (mdd)" numFmtId="167">
      <sharedItems containsSemiMixedTypes="0" containsString="0" containsNumber="1" containsInteger="1" minValue="17000000" maxValue="310000000"/>
    </cacheField>
    <cacheField name="Valor de mercado 2016(mdd)" numFmtId="167">
      <sharedItems containsSemiMixedTypes="0" containsString="0" containsNumber="1" containsInteger="1" minValue="-67885594" maxValue="358752007"/>
    </cacheField>
    <cacheField name="Ganancia/Perdida" numFmtId="167">
      <sharedItems containsSemiMixedTypes="0" containsString="0" containsNumber="1" containsInteger="1" minValue="-91885594" maxValue="48752007"/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Reyes Castillo" refreshedDate="44374.478508101849" createdVersion="6" refreshedVersion="6" minRefreshableVersion="3" recordCount="15" xr:uid="{00000000-000A-0000-FFFF-FFFF0B000000}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/>
    </cacheField>
    <cacheField name="Valor de mercado 2015 (mdd)2" numFmtId="167">
      <sharedItems containsSemiMixedTypes="0" containsString="0" containsNumber="1" containsInteger="1" minValue="177" maxValue="51900"/>
    </cacheField>
    <cacheField name="Valor de mercado 2016 (mdd)" numFmtId="167">
      <sharedItems containsSemiMixedTypes="0" containsString="0" containsNumber="1" containsInteger="1" minValue="-3257" maxValue="55060"/>
    </cacheField>
    <cacheField name="Logo" numFmtId="0">
      <sharedItems containsNonDate="0" containsString="0" containsBlank="1" count="1">
        <m/>
      </sharedItems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x v="0"/>
    <x v="0"/>
    <s v="Puebla"/>
    <n v="2133903"/>
    <n v="6.0372186836590125E-2"/>
  </r>
  <r>
    <s v="Local"/>
    <x v="1"/>
    <x v="1"/>
    <s v="Hidalgo"/>
    <n v="1945424"/>
    <n v="5.5039756354617109E-2"/>
  </r>
  <r>
    <s v="Oficina"/>
    <x v="0"/>
    <x v="0"/>
    <s v="Hidalgo"/>
    <n v="712416"/>
    <n v="2.0155607756011492E-2"/>
  </r>
  <r>
    <s v="Estacionamiento"/>
    <x v="0"/>
    <x v="0"/>
    <s v="Hidalgo"/>
    <n v="1815450"/>
    <n v="5.1362543935918152E-2"/>
  </r>
  <r>
    <s v="Suelo"/>
    <x v="1"/>
    <x v="1"/>
    <s v="Veracruz"/>
    <n v="1138024"/>
    <n v="3.2196870032294649E-2"/>
  </r>
  <r>
    <s v="Industrial"/>
    <x v="0"/>
    <x v="0"/>
    <s v="Hidalgo"/>
    <n v="953156"/>
    <n v="2.6966601629229116E-2"/>
  </r>
  <r>
    <s v="Estacionamiento"/>
    <x v="0"/>
    <x v="0"/>
    <s v="Veracruz"/>
    <n v="406686"/>
    <n v="1.150592279772112E-2"/>
  </r>
  <r>
    <s v="Oficina"/>
    <x v="1"/>
    <x v="1"/>
    <s v="Hidalgo"/>
    <n v="2158475"/>
    <n v="6.106737559397446E-2"/>
  </r>
  <r>
    <s v="Piso"/>
    <x v="0"/>
    <x v="0"/>
    <s v="Puebla"/>
    <n v="1024380"/>
    <n v="2.8981664467253757E-2"/>
  </r>
  <r>
    <s v="Estacionamiento"/>
    <x v="1"/>
    <x v="1"/>
    <s v="Puebla"/>
    <n v="2042768"/>
    <n v="5.7793803823232612E-2"/>
  </r>
  <r>
    <s v="Oficina"/>
    <x v="0"/>
    <x v="0"/>
    <s v="Hidalgo"/>
    <n v="627068"/>
    <n v="1.7740950012838867E-2"/>
  </r>
  <r>
    <s v="Industrial"/>
    <x v="1"/>
    <x v="1"/>
    <s v="Hidalgo"/>
    <n v="999328"/>
    <n v="2.8272895594146471E-2"/>
  </r>
  <r>
    <s v="Estacionamiento"/>
    <x v="1"/>
    <x v="1"/>
    <s v="Tlaxcala"/>
    <n v="2937300"/>
    <n v="8.310182065216469E-2"/>
  </r>
  <r>
    <s v="Local"/>
    <x v="1"/>
    <x v="1"/>
    <s v="Veracruz"/>
    <n v="664700"/>
    <n v="1.880563108551863E-2"/>
  </r>
  <r>
    <s v="Industrial"/>
    <x v="0"/>
    <x v="0"/>
    <s v="Hidalgo"/>
    <n v="820336"/>
    <n v="2.3208870441056129E-2"/>
  </r>
  <r>
    <s v="Casa"/>
    <x v="0"/>
    <x v="0"/>
    <s v="Hidalgo"/>
    <n v="937960"/>
    <n v="2.653667779896653E-2"/>
  </r>
  <r>
    <s v="Casa"/>
    <x v="0"/>
    <x v="0"/>
    <s v="Veracruz"/>
    <n v="358846"/>
    <n v="1.0152437930666492E-2"/>
  </r>
  <r>
    <s v="Suelo"/>
    <x v="1"/>
    <x v="1"/>
    <s v="Tlaxcala"/>
    <n v="1679605"/>
    <n v="4.7519229726782783E-2"/>
  </r>
  <r>
    <s v="Piso"/>
    <x v="0"/>
    <x v="0"/>
    <s v="Hidalgo"/>
    <n v="472615"/>
    <n v="1.3371179984176902E-2"/>
  </r>
  <r>
    <s v="Oficina"/>
    <x v="0"/>
    <x v="0"/>
    <s v="Tlaxcala"/>
    <n v="1169496"/>
    <n v="3.3087272953196474E-2"/>
  </r>
  <r>
    <s v="Industrial"/>
    <x v="1"/>
    <x v="1"/>
    <s v="Tlaxcala"/>
    <n v="2020992"/>
    <n v="5.7177719239934505E-2"/>
  </r>
  <r>
    <s v="Oficina"/>
    <x v="0"/>
    <x v="0"/>
    <s v="Puebla"/>
    <n v="727552"/>
    <n v="2.0583834071808711E-2"/>
  </r>
  <r>
    <s v="Casa"/>
    <x v="0"/>
    <x v="0"/>
    <s v="Hidalgo"/>
    <n v="1438929"/>
    <n v="4.0710046535661557E-2"/>
  </r>
  <r>
    <s v="Oficina"/>
    <x v="0"/>
    <x v="0"/>
    <s v="Veracruz"/>
    <n v="427390"/>
    <n v="1.2091678455904628E-2"/>
  </r>
  <r>
    <s v="Oficina"/>
    <x v="0"/>
    <x v="0"/>
    <s v="Tlaxcala"/>
    <n v="1170684"/>
    <n v="3.3120883739610786E-2"/>
  </r>
  <r>
    <s v="Local"/>
    <x v="0"/>
    <x v="0"/>
    <s v="Veracruz"/>
    <n v="549780"/>
    <n v="1.5554325046180881E-2"/>
  </r>
  <r>
    <s v="Local"/>
    <x v="0"/>
    <x v="0"/>
    <s v="Veracruz"/>
    <n v="659330"/>
    <n v="1.8653703540868056E-2"/>
  </r>
  <r>
    <s v="Casa"/>
    <x v="0"/>
    <x v="0"/>
    <s v="Tlaxcala"/>
    <n v="1660560"/>
    <n v="4.6980410343566745E-2"/>
  </r>
  <r>
    <s v="Casa"/>
    <x v="0"/>
    <x v="0"/>
    <s v="Veracruz"/>
    <n v="753571"/>
    <n v="2.1319961219716202E-2"/>
  </r>
  <r>
    <s v="Local"/>
    <x v="0"/>
    <x v="0"/>
    <s v="Veracruz"/>
    <n v="939072"/>
    <n v="2.65681384003913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Industrial and Commercial Bank of China"/>
    <n v="1"/>
    <s v="China"/>
    <s v="Banca"/>
    <n v="310000000"/>
    <n v="358752007"/>
    <n v="48752007"/>
    <m/>
    <m/>
    <m/>
    <m/>
    <m/>
    <m/>
    <m/>
    <m/>
    <m/>
    <m/>
    <m/>
    <m/>
    <m/>
  </r>
  <r>
    <s v="China Construction Bank"/>
    <n v="2"/>
    <s v="China"/>
    <s v="Banca"/>
    <n v="280000000"/>
    <n v="267972981"/>
    <n v="-12027019"/>
    <m/>
    <m/>
    <m/>
    <m/>
    <m/>
    <m/>
    <m/>
    <m/>
    <m/>
    <m/>
    <m/>
    <m/>
    <m/>
  </r>
  <r>
    <s v="The Agricultural Bank of China"/>
    <n v="3"/>
    <s v="China"/>
    <s v="Banca"/>
    <n v="280000000"/>
    <n v="324244137"/>
    <n v="44244137"/>
    <m/>
    <m/>
    <m/>
    <m/>
    <m/>
    <m/>
    <m/>
    <m/>
    <m/>
    <m/>
    <m/>
    <m/>
    <m/>
  </r>
  <r>
    <s v="Berkshire Hathaway"/>
    <n v="4"/>
    <s v="EE.UU"/>
    <s v="Servicios de Inversión"/>
    <n v="56100000"/>
    <n v="85060949"/>
    <n v="28960949"/>
    <m/>
    <m/>
    <m/>
    <m/>
    <m/>
    <m/>
    <m/>
    <m/>
    <m/>
    <m/>
    <m/>
    <m/>
    <m/>
  </r>
  <r>
    <s v="JPMorgan Chase"/>
    <n v="5"/>
    <s v="EE.UU"/>
    <s v="Finanzas Diversificadas"/>
    <n v="24000000"/>
    <n v="-67885594"/>
    <n v="-91885594"/>
    <m/>
    <m/>
    <m/>
    <m/>
    <m/>
    <m/>
    <m/>
    <m/>
    <m/>
    <m/>
    <m/>
    <m/>
    <m/>
  </r>
  <r>
    <s v="Bank of China"/>
    <n v="6"/>
    <s v="China"/>
    <s v="Banca"/>
    <n v="23000000"/>
    <n v="31816071"/>
    <n v="8816071"/>
    <m/>
    <m/>
    <m/>
    <m/>
    <m/>
    <m/>
    <m/>
    <m/>
    <m/>
    <m/>
    <m/>
    <m/>
    <m/>
  </r>
  <r>
    <s v="Wells Fargo"/>
    <n v="7"/>
    <s v="EE.UU"/>
    <s v="Banca"/>
    <n v="22000000"/>
    <n v="15320259"/>
    <n v="-6679741"/>
    <m/>
    <m/>
    <m/>
    <m/>
    <m/>
    <m/>
    <m/>
    <m/>
    <m/>
    <m/>
    <m/>
    <m/>
    <m/>
  </r>
  <r>
    <s v="Apple"/>
    <n v="8"/>
    <s v="EE.UU"/>
    <s v="Cómputo"/>
    <n v="22000000"/>
    <n v="43952449"/>
    <n v="21952449"/>
    <m/>
    <m/>
    <m/>
    <m/>
    <m/>
    <m/>
    <m/>
    <m/>
    <m/>
    <m/>
    <m/>
    <m/>
    <m/>
  </r>
  <r>
    <s v="ExxonMobil"/>
    <n v="9"/>
    <s v="EE.UU"/>
    <s v="Petróleo y gas"/>
    <n v="21000000"/>
    <n v="61894042"/>
    <n v="40894042"/>
    <m/>
    <m/>
    <m/>
    <m/>
    <m/>
    <m/>
    <m/>
    <m/>
    <m/>
    <m/>
    <m/>
    <m/>
    <m/>
  </r>
  <r>
    <s v="Toyota Motor"/>
    <n v="10"/>
    <s v="Japón"/>
    <s v="Automotriz"/>
    <n v="21000000"/>
    <n v="51254207"/>
    <n v="30254207"/>
    <m/>
    <m/>
    <m/>
    <m/>
    <m/>
    <m/>
    <m/>
    <m/>
    <m/>
    <m/>
    <m/>
    <m/>
    <m/>
  </r>
  <r>
    <s v="Bank of America"/>
    <n v="11"/>
    <s v="EE.UU"/>
    <s v="Banca"/>
    <n v="21000000"/>
    <n v="-51402883"/>
    <n v="-72402883"/>
    <m/>
    <m/>
    <m/>
    <m/>
    <m/>
    <m/>
    <m/>
    <m/>
    <m/>
    <m/>
    <m/>
    <m/>
    <m/>
  </r>
  <r>
    <s v="AT&amp;T"/>
    <n v="12"/>
    <s v="EE.UU"/>
    <s v="Telecomunicaciones"/>
    <n v="20000000"/>
    <n v="6998855"/>
    <n v="-13001145"/>
    <m/>
    <m/>
    <m/>
    <m/>
    <m/>
    <m/>
    <m/>
    <m/>
    <m/>
    <m/>
    <m/>
    <m/>
    <m/>
  </r>
  <r>
    <s v="Citigroup"/>
    <n v="13"/>
    <s v="EE.UU"/>
    <s v="Bienes raices"/>
    <n v="18000000"/>
    <n v="-67569210"/>
    <n v="-85569210"/>
    <m/>
    <m/>
    <m/>
    <m/>
    <m/>
    <m/>
    <m/>
    <m/>
    <m/>
    <m/>
    <m/>
    <m/>
    <m/>
  </r>
  <r>
    <s v="HSBC Holdings"/>
    <n v="14"/>
    <s v="Reino Unido"/>
    <s v="Banca"/>
    <n v="18000000"/>
    <n v="15087630"/>
    <n v="-2912370"/>
    <m/>
    <m/>
    <m/>
    <m/>
    <m/>
    <m/>
    <m/>
    <m/>
    <m/>
    <m/>
    <m/>
    <m/>
    <m/>
  </r>
  <r>
    <s v="Wal-Mart"/>
    <n v="15"/>
    <s v="EE.UU"/>
    <s v="Retail"/>
    <n v="17000000"/>
    <n v="40238117"/>
    <n v="23238117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61126"/>
    <n v="51900"/>
    <n v="55060"/>
    <x v="0"/>
    <m/>
    <m/>
    <m/>
    <m/>
    <m/>
    <m/>
    <m/>
    <m/>
    <m/>
    <m/>
    <m/>
    <m/>
  </r>
  <r>
    <x v="1"/>
    <x v="1"/>
    <x v="1"/>
    <n v="32126"/>
    <n v="33600"/>
    <n v="16502"/>
    <x v="0"/>
    <m/>
    <m/>
    <m/>
    <m/>
    <m/>
    <m/>
    <m/>
    <m/>
    <m/>
    <m/>
    <m/>
    <m/>
  </r>
  <r>
    <x v="2"/>
    <x v="2"/>
    <x v="2"/>
    <n v="4326"/>
    <n v="15200"/>
    <n v="1380"/>
    <x v="0"/>
    <m/>
    <m/>
    <m/>
    <m/>
    <m/>
    <m/>
    <m/>
    <m/>
    <m/>
    <m/>
    <m/>
    <m/>
  </r>
  <r>
    <x v="3"/>
    <x v="3"/>
    <x v="3"/>
    <n v="11500"/>
    <n v="18500"/>
    <n v="27815"/>
    <x v="0"/>
    <m/>
    <m/>
    <m/>
    <m/>
    <m/>
    <m/>
    <m/>
    <m/>
    <m/>
    <m/>
    <m/>
    <m/>
  </r>
  <r>
    <x v="4"/>
    <x v="4"/>
    <x v="4"/>
    <n v="16920"/>
    <n v="15600"/>
    <n v="-1446"/>
    <x v="0"/>
    <m/>
    <m/>
    <m/>
    <m/>
    <m/>
    <m/>
    <m/>
    <m/>
    <m/>
    <m/>
    <m/>
    <m/>
  </r>
  <r>
    <x v="5"/>
    <x v="5"/>
    <x v="5"/>
    <n v="21323"/>
    <n v="10200"/>
    <n v="26906"/>
    <x v="0"/>
    <m/>
    <m/>
    <m/>
    <m/>
    <m/>
    <m/>
    <m/>
    <m/>
    <m/>
    <m/>
    <m/>
    <m/>
  </r>
  <r>
    <x v="6"/>
    <x v="6"/>
    <x v="2"/>
    <n v="-3316"/>
    <n v="13300"/>
    <n v="19794"/>
    <x v="0"/>
    <m/>
    <m/>
    <m/>
    <m/>
    <m/>
    <m/>
    <m/>
    <m/>
    <m/>
    <m/>
    <m/>
    <m/>
  </r>
  <r>
    <x v="7"/>
    <x v="7"/>
    <x v="6"/>
    <n v="-5349"/>
    <n v="13500"/>
    <n v="9561"/>
    <x v="0"/>
    <m/>
    <m/>
    <m/>
    <m/>
    <m/>
    <m/>
    <m/>
    <m/>
    <m/>
    <m/>
    <m/>
    <m/>
  </r>
  <r>
    <x v="8"/>
    <x v="8"/>
    <x v="7"/>
    <n v="20766"/>
    <n v="9400"/>
    <n v="22628"/>
    <x v="0"/>
    <m/>
    <m/>
    <m/>
    <m/>
    <m/>
    <m/>
    <m/>
    <m/>
    <m/>
    <m/>
    <m/>
    <m/>
  </r>
  <r>
    <x v="9"/>
    <x v="9"/>
    <x v="8"/>
    <n v="33045"/>
    <n v="15900"/>
    <n v="9882"/>
    <x v="0"/>
    <m/>
    <m/>
    <m/>
    <m/>
    <m/>
    <m/>
    <m/>
    <m/>
    <m/>
    <m/>
    <m/>
    <m/>
  </r>
  <r>
    <x v="10"/>
    <x v="10"/>
    <x v="1"/>
    <n v="12059"/>
    <n v="11300"/>
    <n v="15480"/>
    <x v="0"/>
    <m/>
    <m/>
    <m/>
    <m/>
    <m/>
    <m/>
    <m/>
    <m/>
    <m/>
    <m/>
    <m/>
    <m/>
  </r>
  <r>
    <x v="11"/>
    <x v="11"/>
    <x v="7"/>
    <n v="-5507"/>
    <n v="10500"/>
    <n v="19732"/>
    <x v="0"/>
    <m/>
    <m/>
    <m/>
    <m/>
    <m/>
    <m/>
    <m/>
    <m/>
    <m/>
    <m/>
    <m/>
    <m/>
  </r>
  <r>
    <x v="12"/>
    <x v="12"/>
    <x v="9"/>
    <n v="-1537"/>
    <n v="237"/>
    <n v="99"/>
    <x v="0"/>
    <m/>
    <m/>
    <m/>
    <m/>
    <m/>
    <m/>
    <m/>
    <m/>
    <m/>
    <m/>
    <m/>
    <m/>
  </r>
  <r>
    <x v="13"/>
    <x v="13"/>
    <x v="10"/>
    <n v="-2107"/>
    <n v="177"/>
    <n v="-2263"/>
    <x v="0"/>
    <m/>
    <m/>
    <m/>
    <m/>
    <m/>
    <m/>
    <m/>
    <m/>
    <m/>
    <m/>
    <m/>
    <m/>
  </r>
  <r>
    <x v="14"/>
    <x v="14"/>
    <x v="11"/>
    <n v="-4705"/>
    <n v="7400"/>
    <n v="-3257"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3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7:L10" firstHeaderRow="0" firstDataRow="1" firstDataCol="1" rowPageCount="1" colPageCount="1"/>
  <pivotFields count="6">
    <pivotField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44" showAll="0"/>
    <pivotField dataField="1" numFmtId="1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Monto" fld="4" baseField="0" baseItem="0" numFmtId="44"/>
    <dataField name="Suma de Porcentaje" fld="5" baseField="0" baseItem="0" numFmtId="9"/>
  </dataFields>
  <formats count="2">
    <format dxfId="108">
      <pivotArea outline="0" collapsedLevelsAreSubtotals="1" fieldPosition="0"/>
    </format>
    <format dxfId="10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laDinámica1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9:C30" firstHeaderRow="0" firstDataRow="1" firstDataCol="0"/>
  <pivotFields count="20">
    <pivotField showAll="0"/>
    <pivotField numFmtId="1" showAll="0"/>
    <pivotField showAll="0"/>
    <pivotField showAll="0"/>
    <pivotField dataField="1" numFmtId="167" showAll="0"/>
    <pivotField dataField="1"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Valor de mercado 2015 (mdd)" fld="4" baseField="0" baseItem="0"/>
    <dataField name="Suma de Valor de mercado 2016(mdd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ablaDinámica1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6:B22" firstHeaderRow="1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/>
    <pivotField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Lugar de la lista de México" fld="1" baseField="0" baseItem="0"/>
  </dataFields>
  <chartFormats count="16">
    <chartFormat chart="1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2000000}" name="TablaDinámica3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C43:F45" firstHeaderRow="0" firstDataRow="1" firstDataCol="1"/>
  <pivotFields count="19"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ataField="1" numFmtId="167" showAll="0"/>
    <pivotField dataField="1" numFmtId="167" showAll="0"/>
    <pivotField dataField="1" numFmtId="167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chartFormats count="3">
    <chartFormat chart="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1000000}" name="TablaDinámica2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26:D39" firstHeaderRow="0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/>
    <pivotField dataField="1" numFmtId="167" showAll="0"/>
    <pivotField dataField="1" numFmtId="167"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chartFormats count="3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60" totalsRowShown="0" headerRowDxfId="130" tableBorderDxfId="129">
  <autoFilter ref="A6:J60" xr:uid="{00000000-0009-0000-0100-000006000000}"/>
  <tableColumns count="10">
    <tableColumn id="1" xr3:uid="{00000000-0010-0000-0000-000001000000}" name="ID" dataDxfId="128"/>
    <tableColumn id="2" xr3:uid="{00000000-0010-0000-0000-000002000000}" name="FechaDeOrden" dataDxfId="127"/>
    <tableColumn id="3" xr3:uid="{00000000-0010-0000-0000-000003000000}" name="Empleado" dataDxfId="126"/>
    <tableColumn id="4" xr3:uid="{00000000-0010-0000-0000-000004000000}" name="Status" dataDxfId="125"/>
    <tableColumn id="5" xr3:uid="{00000000-0010-0000-0000-000005000000}" name="Compañía" dataDxfId="124"/>
    <tableColumn id="6" xr3:uid="{00000000-0010-0000-0000-000006000000}" name="Fecha de envío" dataDxfId="123"/>
    <tableColumn id="7" xr3:uid="{00000000-0010-0000-0000-000007000000}" name="Cantidad" dataDxfId="122"/>
    <tableColumn id="8" xr3:uid="{00000000-0010-0000-0000-000008000000}" name="Precio" dataDxfId="121" dataCellStyle="Moneda"/>
    <tableColumn id="9" xr3:uid="{00000000-0010-0000-0000-000009000000}" name="Costo de envío" dataDxfId="120" dataCellStyle="Moneda"/>
    <tableColumn id="10" xr3:uid="{00000000-0010-0000-0000-00000A000000}" name="Total" dataDxfId="11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bl_Rendimiento5" displayName="tbl_Rendimiento5" ref="B9:T24" totalsRowShown="0" headerRowDxfId="45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900-000001000000}" name="Nombre" dataDxfId="44"/>
    <tableColumn id="2" xr3:uid="{00000000-0010-0000-0900-000002000000}" name="Lugar de la lista de México" dataDxfId="43"/>
    <tableColumn id="4" xr3:uid="{00000000-0010-0000-0900-000004000000}" name="Industria" dataDxfId="42"/>
    <tableColumn id="22" xr3:uid="{00000000-0010-0000-0900-000016000000}" name="Valor de mercado 2014 (mdd)" dataDxfId="41"/>
    <tableColumn id="5" xr3:uid="{00000000-0010-0000-0900-000005000000}" name="Valor de mercado 2015 (mdd)2" dataDxfId="40"/>
    <tableColumn id="20" xr3:uid="{00000000-0010-0000-0900-000014000000}" name="Valor de mercado 2016 (mdd)" dataDxfId="39"/>
    <tableColumn id="19" xr3:uid="{00000000-0010-0000-0900-000013000000}" name="Logo"/>
    <tableColumn id="7" xr3:uid="{00000000-0010-0000-0900-000007000000}" name="Columna1" dataDxfId="38"/>
    <tableColumn id="8" xr3:uid="{00000000-0010-0000-0900-000008000000}" name="Columna2" dataDxfId="37"/>
    <tableColumn id="9" xr3:uid="{00000000-0010-0000-0900-000009000000}" name="Columna3" dataDxfId="36"/>
    <tableColumn id="10" xr3:uid="{00000000-0010-0000-0900-00000A000000}" name="Columna4" dataDxfId="35"/>
    <tableColumn id="11" xr3:uid="{00000000-0010-0000-0900-00000B000000}" name="Columna5" dataDxfId="34"/>
    <tableColumn id="12" xr3:uid="{00000000-0010-0000-0900-00000C000000}" name="Columna6" dataDxfId="33"/>
    <tableColumn id="13" xr3:uid="{00000000-0010-0000-0900-00000D000000}" name="Columna7" dataDxfId="32"/>
    <tableColumn id="14" xr3:uid="{00000000-0010-0000-0900-00000E000000}" name="Columna8" dataDxfId="31"/>
    <tableColumn id="15" xr3:uid="{00000000-0010-0000-0900-00000F000000}" name="Columna9" dataDxfId="30"/>
    <tableColumn id="16" xr3:uid="{00000000-0010-0000-0900-000010000000}" name="Columna10" dataDxfId="29"/>
    <tableColumn id="17" xr3:uid="{00000000-0010-0000-0900-000011000000}" name="Columna11" dataDxfId="28"/>
    <tableColumn id="18" xr3:uid="{00000000-0010-0000-0900-000012000000}" name="Columna12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totalsRowFunction="sum" dataDxfId="118" totalsRowDxfId="117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A4:E15" totalsRowCount="1">
  <autoFilter ref="A4:E14" xr:uid="{00000000-0009-0000-0100-000007000000}"/>
  <tableColumns count="5">
    <tableColumn id="1" xr3:uid="{00000000-0010-0000-0200-000001000000}" name="Compañía" totalsRowLabel="Total"/>
    <tableColumn id="2" xr3:uid="{00000000-0010-0000-0200-000002000000}" name="Pedidos" totalsRowFunction="average"/>
    <tableColumn id="3" xr3:uid="{00000000-0010-0000-0200-000003000000}" name="Primer nombre"/>
    <tableColumn id="4" xr3:uid="{00000000-0010-0000-0200-000004000000}" name="Apellido"/>
    <tableColumn id="5" xr3:uid="{00000000-0010-0000-0200-000005000000}" name="Puesto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8" displayName="Tabla8" ref="C8:K39" totalsRowCount="1" headerRowDxfId="116" tableBorderDxfId="115" headerRowCellStyle="Normal 3">
  <autoFilter ref="C8:K38" xr:uid="{00000000-0009-0000-0100-000008000000}"/>
  <tableColumns count="9">
    <tableColumn id="1" xr3:uid="{00000000-0010-0000-0300-000001000000}" name="Referencia" dataCellStyle="Normal 3"/>
    <tableColumn id="2" xr3:uid="{00000000-0010-0000-0300-000002000000}" name="Fecha Alta" dataDxfId="114" totalsRowDxfId="113" dataCellStyle="Normal 3"/>
    <tableColumn id="3" xr3:uid="{00000000-0010-0000-0300-000003000000}" name="Tipo" dataCellStyle="Normal 3"/>
    <tableColumn id="4" xr3:uid="{00000000-0010-0000-0300-000004000000}" name="Operación" dataCellStyle="Normal 3"/>
    <tableColumn id="5" xr3:uid="{00000000-0010-0000-0300-000005000000}" name="Estado" totalsRowLabel="Total" dataCellStyle="Normal 3"/>
    <tableColumn id="6" xr3:uid="{00000000-0010-0000-0300-000006000000}" name="Superficie" dataCellStyle="Normal 3"/>
    <tableColumn id="7" xr3:uid="{00000000-0010-0000-0300-000007000000}" name="Monto" totalsRowFunction="sum" dataDxfId="112" totalsRowDxfId="111" dataCellStyle="Normal 3"/>
    <tableColumn id="8" xr3:uid="{00000000-0010-0000-0300-000008000000}" name="Fecha Venta" dataDxfId="110" totalsRowDxfId="109" dataCellStyle="Normal 3"/>
    <tableColumn id="9" xr3:uid="{00000000-0010-0000-0300-000009000000}" name="Vendedor" dataCellStyle="Normal 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BaseDatos" displayName="BaseDatos" ref="C6:H37" totalsRowCount="1">
  <autoFilter ref="C6:H36" xr:uid="{00000000-0009-0000-0100-000002000000}"/>
  <tableColumns count="6">
    <tableColumn id="1" xr3:uid="{00000000-0010-0000-0400-000001000000}" name="Giro Comercial" dataCellStyle="Normal 3"/>
    <tableColumn id="5" xr3:uid="{00000000-0010-0000-0400-000005000000}" name="Código" dataDxfId="106" totalsRowDxfId="105" dataCellStyle="Normal 3">
      <calculatedColumnFormula>MID(BaseDatos[[#This Row],[Operación]],1,3)</calculatedColumnFormula>
    </tableColumn>
    <tableColumn id="2" xr3:uid="{00000000-0010-0000-0400-000002000000}" name="Operación" dataCellStyle="Normal 3"/>
    <tableColumn id="3" xr3:uid="{00000000-0010-0000-0400-000003000000}" name="Estado" dataCellStyle="Normal 3"/>
    <tableColumn id="4" xr3:uid="{00000000-0010-0000-0400-000004000000}" name="Monto" totalsRowFunction="sum" dataDxfId="104" totalsRowDxfId="103" dataCellStyle="Normal 3"/>
    <tableColumn id="6" xr3:uid="{00000000-0010-0000-0400-000006000000}" name="Porcentaje" totalsRowFunction="sum" dataDxfId="102" totalsRowDxfId="101" dataCellStyle="Normal 3">
      <calculatedColumnFormula>+BaseDatos[[#This Row],[Monto]]/BaseDatos[[#Totals],[Monto]]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Auditoría" displayName="Auditoría" ref="C4:I26" totalsRowCount="1">
  <autoFilter ref="C4:I25" xr:uid="{00000000-0009-0000-0100-000003000000}"/>
  <tableColumns count="7">
    <tableColumn id="1" xr3:uid="{00000000-0010-0000-0500-000001000000}" name="Referencia" totalsRowLabel="Total" dataCellStyle="Normal 3"/>
    <tableColumn id="2" xr3:uid="{00000000-0010-0000-0500-000002000000}" name="Fecha Alta" dataDxfId="100" totalsRowDxfId="99" dataCellStyle="Normal 3"/>
    <tableColumn id="3" xr3:uid="{00000000-0010-0000-0500-000003000000}" name="Tipo" dataCellStyle="Normal 3"/>
    <tableColumn id="4" xr3:uid="{00000000-0010-0000-0500-000004000000}" name="Operación" dataCellStyle="Normal 3"/>
    <tableColumn id="5" xr3:uid="{00000000-0010-0000-0500-000005000000}" name="Estado" dataCellStyle="Normal 3"/>
    <tableColumn id="6" xr3:uid="{00000000-0010-0000-0500-000006000000}" name="Superficie" dataCellStyle="Normal 3"/>
    <tableColumn id="7" xr3:uid="{00000000-0010-0000-0500-000007000000}" name="Monto de venta" totalsRowFunction="custom" dataDxfId="98" totalsRowDxfId="97" dataCellStyle="Normal 3">
      <totalsRowFormula>SUBTOTAL(109,Venta)</totalsRowFormula>
    </tableColumn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C5:L33" totalsRowShown="0" dataDxfId="94" dataCellStyle="Normal 4">
  <autoFilter ref="C5:L33" xr:uid="{00000000-0009-0000-0100-000009000000}"/>
  <tableColumns count="10">
    <tableColumn id="1" xr3:uid="{00000000-0010-0000-0600-000001000000}" name="Columna1" dataDxfId="93" dataCellStyle="Normal 4"/>
    <tableColumn id="2" xr3:uid="{00000000-0010-0000-0600-000002000000}" name="Columna2" dataDxfId="92" dataCellStyle="Normal 4"/>
    <tableColumn id="3" xr3:uid="{00000000-0010-0000-0600-000003000000}" name="Columna3" dataDxfId="91" dataCellStyle="Normal 4"/>
    <tableColumn id="4" xr3:uid="{00000000-0010-0000-0600-000004000000}" name="Columna4" dataDxfId="90" dataCellStyle="Normal 4"/>
    <tableColumn id="5" xr3:uid="{00000000-0010-0000-0600-000005000000}" name="Columna5" dataDxfId="89" dataCellStyle="Moneda 2"/>
    <tableColumn id="6" xr3:uid="{00000000-0010-0000-0600-000006000000}" name="Columna6" dataDxfId="88" dataCellStyle="Normal 4"/>
    <tableColumn id="7" xr3:uid="{00000000-0010-0000-0600-000007000000}" name="Columna7" dataDxfId="87" dataCellStyle="Normal 4"/>
    <tableColumn id="8" xr3:uid="{00000000-0010-0000-0600-000008000000}" name="Fecha de Vencimiento Dias" dataDxfId="86" dataCellStyle="Normal 4">
      <calculatedColumnFormula>+E6+$J$6</calculatedColumnFormula>
    </tableColumn>
    <tableColumn id="9" xr3:uid="{00000000-0010-0000-0600-000009000000}" name="Columna8" dataDxfId="85" dataCellStyle="Normal 4">
      <calculatedColumnFormula>+E6+$K$6</calculatedColumnFormula>
    </tableColumn>
    <tableColumn id="10" xr3:uid="{00000000-0010-0000-0600-00000A000000}" name="Columna9" dataDxfId="84" dataCellStyle="Normal 4">
      <calculatedColumnFormula>+E6+$L$6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a11" displayName="Tabla11" ref="B12:H39" totalsRowShown="0" headerRowBorderDxfId="83" tableBorderDxfId="82" totalsRowBorderDxfId="81">
  <autoFilter ref="B12:H39" xr:uid="{00000000-0009-0000-0100-00000B000000}"/>
  <tableColumns count="7">
    <tableColumn id="1" xr3:uid="{00000000-0010-0000-0700-000001000000}" name="Cuenta No." dataDxfId="80" dataCellStyle="Normal 4"/>
    <tableColumn id="2" xr3:uid="{00000000-0010-0000-0700-000002000000}" name="Factura No." dataDxfId="79" dataCellStyle="Normal 4"/>
    <tableColumn id="3" xr3:uid="{00000000-0010-0000-0700-000003000000}" name="Fecha Factura" dataDxfId="78" dataCellStyle="Normal 4"/>
    <tableColumn id="4" xr3:uid="{00000000-0010-0000-0700-000004000000}" name="Fecha Vencim." dataDxfId="77" dataCellStyle="Normal 4"/>
    <tableColumn id="5" xr3:uid="{00000000-0010-0000-0700-000005000000}" name="Monto" dataDxfId="76" dataCellStyle="Moneda 2"/>
    <tableColumn id="6" xr3:uid="{00000000-0010-0000-0700-000006000000}" name="Vendedor" dataDxfId="75" dataCellStyle="Moneda 2"/>
    <tableColumn id="7" xr3:uid="{00000000-0010-0000-0700-000007000000}" name="Días Vencidos" dataDxfId="74" dataCellStyle="Normal 4">
      <calculatedColumnFormula>IF(C$8&gt;E13,C$8-E13, "No Vencida")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800-000001000000}" name="Nombre" dataDxfId="73"/>
    <tableColumn id="3" xr3:uid="{00000000-0010-0000-0800-000003000000}" name="Lugar en lista global" dataDxfId="72"/>
    <tableColumn id="20" xr3:uid="{00000000-0010-0000-0800-000014000000}" name="País" dataDxfId="71"/>
    <tableColumn id="4" xr3:uid="{00000000-0010-0000-0800-000004000000}" name="Industria" dataDxfId="70"/>
    <tableColumn id="5" xr3:uid="{00000000-0010-0000-0800-000005000000}" name="Valor de mercado 2015 (mdd)" dataDxfId="69"/>
    <tableColumn id="6" xr3:uid="{00000000-0010-0000-0800-000006000000}" name="Valor de mercado 2016(mdd)" dataDxfId="68"/>
    <tableColumn id="21" xr3:uid="{00000000-0010-0000-0800-000015000000}" name="Ganancia/Perdida" dataDxfId="67">
      <calculatedColumnFormula>+tbl_Rendimiento7[[#This Row],[Valor de mercado 2016(mdd)]]-tbl_Rendimiento7[[#This Row],[Valor de mercado 2015 (mdd)]]</calculatedColumnFormula>
    </tableColumn>
    <tableColumn id="19" xr3:uid="{00000000-0010-0000-0800-000013000000}" name="Logo"/>
    <tableColumn id="7" xr3:uid="{00000000-0010-0000-0800-000007000000}" name="Columna1" dataDxfId="66"/>
    <tableColumn id="8" xr3:uid="{00000000-0010-0000-0800-000008000000}" name="Columna2" dataDxfId="65"/>
    <tableColumn id="9" xr3:uid="{00000000-0010-0000-0800-000009000000}" name="Columna3" dataDxfId="64"/>
    <tableColumn id="10" xr3:uid="{00000000-0010-0000-0800-00000A000000}" name="Columna4" dataDxfId="63"/>
    <tableColumn id="11" xr3:uid="{00000000-0010-0000-0800-00000B000000}" name="Columna5" dataDxfId="62"/>
    <tableColumn id="12" xr3:uid="{00000000-0010-0000-0800-00000C000000}" name="Columna6" dataDxfId="61"/>
    <tableColumn id="13" xr3:uid="{00000000-0010-0000-0800-00000D000000}" name="Columna7" dataDxfId="60"/>
    <tableColumn id="14" xr3:uid="{00000000-0010-0000-0800-00000E000000}" name="Columna8" dataDxfId="59"/>
    <tableColumn id="15" xr3:uid="{00000000-0010-0000-0800-00000F000000}" name="Columna9" dataDxfId="58"/>
    <tableColumn id="16" xr3:uid="{00000000-0010-0000-0800-000010000000}" name="Columna10" dataDxfId="57"/>
    <tableColumn id="17" xr3:uid="{00000000-0010-0000-0800-000011000000}" name="Columna11" dataDxfId="56"/>
    <tableColumn id="18" xr3:uid="{00000000-0010-0000-0800-000012000000}" name="Columna12" dataDxfId="5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10.xm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8.xm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Relationship Id="rId6" Type="http://schemas.openxmlformats.org/officeDocument/2006/relationships/comments" Target="../comments9.xml"/><Relationship Id="rId5" Type="http://schemas.openxmlformats.org/officeDocument/2006/relationships/table" Target="../tables/table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zoomScaleNormal="100" workbookViewId="0">
      <selection activeCell="K4" sqref="K4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3" ht="31.5" x14ac:dyDescent="0.5">
      <c r="A1" s="152" t="s">
        <v>212</v>
      </c>
      <c r="B1" s="152"/>
      <c r="C1" s="152"/>
      <c r="D1" s="152"/>
      <c r="E1" s="152"/>
      <c r="F1" s="152"/>
    </row>
    <row r="2" spans="1:13" ht="31.5" x14ac:dyDescent="0.5">
      <c r="A2" s="6" t="s">
        <v>213</v>
      </c>
      <c r="B2" s="5"/>
      <c r="C2" s="5"/>
      <c r="D2" s="5"/>
      <c r="E2" s="5"/>
      <c r="F2" s="5">
        <v>1</v>
      </c>
    </row>
    <row r="3" spans="1:13" ht="31.5" x14ac:dyDescent="0.5">
      <c r="A3" s="6" t="s">
        <v>214</v>
      </c>
      <c r="K3" s="144">
        <v>1</v>
      </c>
    </row>
    <row r="4" spans="1:13" ht="31.5" x14ac:dyDescent="0.5">
      <c r="A4" s="6" t="s">
        <v>215</v>
      </c>
      <c r="K4" s="144">
        <v>1</v>
      </c>
    </row>
    <row r="5" spans="1:13" ht="18.75" x14ac:dyDescent="0.3">
      <c r="A5" s="6"/>
    </row>
    <row r="6" spans="1:13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3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3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3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3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3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3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3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3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3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3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L16" s="149" t="s">
        <v>27</v>
      </c>
      <c r="M16" s="149"/>
    </row>
    <row r="17" spans="1:13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L17" s="150">
        <f>MAX(H7:H54)</f>
        <v>4799</v>
      </c>
      <c r="M17" s="151"/>
    </row>
    <row r="18" spans="1:13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3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3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3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3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3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3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3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3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3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3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3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3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3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3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  <row r="55" spans="1:10" x14ac:dyDescent="0.25">
      <c r="A55" s="3"/>
      <c r="B55" s="2"/>
      <c r="C55" s="3"/>
      <c r="D55" s="3"/>
      <c r="E55" s="3"/>
      <c r="F55" s="2"/>
      <c r="G55" s="3"/>
      <c r="H55" s="4"/>
      <c r="I55" s="4"/>
      <c r="J55" s="3"/>
    </row>
    <row r="56" spans="1:10" x14ac:dyDescent="0.25">
      <c r="A56" s="102"/>
      <c r="B56" s="103"/>
      <c r="C56" s="102"/>
      <c r="D56" s="3"/>
      <c r="E56" s="102"/>
      <c r="F56" s="103"/>
      <c r="G56" s="102"/>
      <c r="H56" s="104"/>
      <c r="I56" s="104"/>
      <c r="J56" s="102"/>
    </row>
    <row r="57" spans="1:10" x14ac:dyDescent="0.25">
      <c r="A57" s="102"/>
      <c r="B57" s="103"/>
      <c r="C57" s="102"/>
      <c r="D57" s="3"/>
      <c r="E57" s="102"/>
      <c r="F57" s="103"/>
      <c r="G57" s="102"/>
      <c r="H57" s="104"/>
      <c r="I57" s="104"/>
      <c r="J57" s="102"/>
    </row>
    <row r="58" spans="1:10" x14ac:dyDescent="0.25">
      <c r="A58" s="102"/>
      <c r="B58" s="103"/>
      <c r="C58" s="102"/>
      <c r="D58" s="3"/>
      <c r="E58" s="102"/>
      <c r="F58" s="103"/>
      <c r="G58" s="102"/>
      <c r="H58" s="104"/>
      <c r="I58" s="104"/>
      <c r="J58" s="102"/>
    </row>
    <row r="59" spans="1:10" x14ac:dyDescent="0.25">
      <c r="A59" s="102"/>
      <c r="B59" s="103"/>
      <c r="C59" s="102"/>
      <c r="D59" s="3"/>
      <c r="E59" s="102"/>
      <c r="F59" s="103"/>
      <c r="G59" s="102"/>
      <c r="H59" s="104"/>
      <c r="I59" s="104"/>
      <c r="J59" s="102"/>
    </row>
    <row r="60" spans="1:10" x14ac:dyDescent="0.25">
      <c r="A60" s="102"/>
      <c r="B60" s="103"/>
      <c r="C60" s="102"/>
      <c r="D60" s="3"/>
      <c r="E60" s="102"/>
      <c r="F60" s="103"/>
      <c r="G60" s="102"/>
      <c r="H60" s="104"/>
      <c r="I60" s="104"/>
      <c r="J60" s="102"/>
    </row>
  </sheetData>
  <mergeCells count="3">
    <mergeCell ref="L16:M16"/>
    <mergeCell ref="L17:M17"/>
    <mergeCell ref="A1:F1"/>
  </mergeCells>
  <phoneticPr fontId="2" type="noConversion"/>
  <conditionalFormatting sqref="D7:D60">
    <cfRule type="containsText" dxfId="26" priority="4" operator="containsText" text="Nuevo">
      <formula>NOT(ISERROR(SEARCH("Nuevo",D7)))</formula>
    </cfRule>
    <cfRule type="containsText" dxfId="25" priority="5" stopIfTrue="1" operator="containsText" text="Cerrado">
      <formula>NOT(ISERROR(SEARCH("Cerrado",D7)))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W24"/>
  <sheetViews>
    <sheetView showGridLines="0" tabSelected="1" zoomScaleNormal="100" workbookViewId="0">
      <selection activeCell="D3" sqref="D3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438</v>
      </c>
      <c r="I2" s="63"/>
      <c r="M2" s="64"/>
      <c r="O2" s="65"/>
      <c r="S2" s="64"/>
      <c r="T2" s="65"/>
    </row>
    <row r="3" spans="1:20" ht="31.5" x14ac:dyDescent="0.5">
      <c r="A3" s="6" t="s">
        <v>439</v>
      </c>
      <c r="D3" s="163">
        <v>1</v>
      </c>
    </row>
    <row r="4" spans="1:20" ht="34.5" x14ac:dyDescent="0.35">
      <c r="B4" s="97" t="s">
        <v>408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361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363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364</v>
      </c>
      <c r="C9" s="100" t="s">
        <v>409</v>
      </c>
      <c r="D9" s="80" t="s">
        <v>367</v>
      </c>
      <c r="E9" s="80" t="s">
        <v>410</v>
      </c>
      <c r="F9" s="80" t="s">
        <v>411</v>
      </c>
      <c r="G9" s="80" t="s">
        <v>412</v>
      </c>
      <c r="H9" s="80" t="s">
        <v>371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372</v>
      </c>
      <c r="N9" s="80" t="s">
        <v>373</v>
      </c>
      <c r="O9" s="80" t="s">
        <v>374</v>
      </c>
      <c r="P9" s="80" t="s">
        <v>375</v>
      </c>
      <c r="Q9" s="80" t="s">
        <v>376</v>
      </c>
      <c r="R9" s="80" t="s">
        <v>377</v>
      </c>
      <c r="S9" s="80" t="s">
        <v>378</v>
      </c>
      <c r="T9" s="80" t="s">
        <v>379</v>
      </c>
    </row>
    <row r="10" spans="1:20" s="91" customFormat="1" ht="24" customHeight="1" x14ac:dyDescent="0.25">
      <c r="B10" s="83" t="s">
        <v>413</v>
      </c>
      <c r="C10" s="83">
        <v>1</v>
      </c>
      <c r="D10" s="83" t="s">
        <v>401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414</v>
      </c>
      <c r="C11" s="83">
        <v>2</v>
      </c>
      <c r="D11" s="83" t="s">
        <v>415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416</v>
      </c>
      <c r="C12" s="83">
        <v>3</v>
      </c>
      <c r="D12" s="83" t="s">
        <v>382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417</v>
      </c>
      <c r="C13" s="83">
        <v>4</v>
      </c>
      <c r="D13" s="83" t="s">
        <v>418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419</v>
      </c>
      <c r="C14" s="83">
        <v>5</v>
      </c>
      <c r="D14" s="83" t="s">
        <v>420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421</v>
      </c>
      <c r="C15" s="83">
        <v>6</v>
      </c>
      <c r="D15" s="83" t="s">
        <v>422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423</v>
      </c>
      <c r="C16" s="83">
        <v>7</v>
      </c>
      <c r="D16" s="83" t="s">
        <v>382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424</v>
      </c>
      <c r="C17" s="83">
        <v>8</v>
      </c>
      <c r="D17" s="83" t="s">
        <v>425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426</v>
      </c>
      <c r="C18" s="83">
        <v>9</v>
      </c>
      <c r="D18" s="83" t="s">
        <v>427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428</v>
      </c>
      <c r="C19" s="83">
        <v>10</v>
      </c>
      <c r="D19" s="83" t="s">
        <v>429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430</v>
      </c>
      <c r="C20" s="83">
        <v>11</v>
      </c>
      <c r="D20" s="83" t="s">
        <v>415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431</v>
      </c>
      <c r="C21" s="83">
        <v>12</v>
      </c>
      <c r="D21" s="83" t="s">
        <v>427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432</v>
      </c>
      <c r="C22" s="83">
        <v>13</v>
      </c>
      <c r="D22" s="83" t="s">
        <v>403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433</v>
      </c>
      <c r="C23" s="83">
        <v>14</v>
      </c>
      <c r="D23" s="83" t="s">
        <v>434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435</v>
      </c>
      <c r="C24" s="83">
        <v>15</v>
      </c>
      <c r="D24" s="83" t="s">
        <v>436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54" priority="8" stopIfTrue="1" operator="equal">
      <formula>"VERDE"</formula>
    </cfRule>
    <cfRule type="cellIs" dxfId="53" priority="9" stopIfTrue="1" operator="equal">
      <formula>"AMARILLO"</formula>
    </cfRule>
    <cfRule type="cellIs" dxfId="52" priority="10" stopIfTrue="1" operator="equal">
      <formula>"ROJO"</formula>
    </cfRule>
  </conditionalFormatting>
  <conditionalFormatting sqref="T10:T24">
    <cfRule type="expression" dxfId="51" priority="3">
      <formula>$T10="NEGRO"</formula>
    </cfRule>
    <cfRule type="expression" dxfId="50" priority="4">
      <formula>$T10="VERDE"</formula>
    </cfRule>
    <cfRule type="expression" dxfId="49" priority="5">
      <formula>$T10="ROJO"</formula>
    </cfRule>
    <cfRule type="expression" dxfId="48" priority="6">
      <formula>$T10="NARANJA"</formula>
    </cfRule>
    <cfRule type="expression" dxfId="47" priority="7">
      <formula>$T10=""</formula>
    </cfRule>
  </conditionalFormatting>
  <conditionalFormatting sqref="I10:L24 Q10:R24">
    <cfRule type="expression" dxfId="46" priority="2">
      <formula>I10&lt;0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6:F45"/>
  <sheetViews>
    <sheetView topLeftCell="D1" workbookViewId="0">
      <selection activeCell="O44" sqref="O44"/>
    </sheetView>
  </sheetViews>
  <sheetFormatPr baseColWidth="10" defaultRowHeight="15" x14ac:dyDescent="0.25"/>
  <cols>
    <col min="1" max="1" width="26.7109375" customWidth="1"/>
    <col min="2" max="2" width="35.42578125" customWidth="1"/>
    <col min="3" max="3" width="17.5703125" customWidth="1"/>
    <col min="4" max="4" width="35.42578125" customWidth="1"/>
    <col min="5" max="5" width="36.42578125" customWidth="1"/>
    <col min="6" max="6" width="35.42578125" customWidth="1"/>
    <col min="7" max="12" width="2" customWidth="1"/>
    <col min="13" max="18" width="3" customWidth="1"/>
    <col min="19" max="19" width="12.5703125" bestFit="1" customWidth="1"/>
  </cols>
  <sheetData>
    <row r="6" spans="1:2" x14ac:dyDescent="0.25">
      <c r="A6" s="117" t="s">
        <v>441</v>
      </c>
      <c r="B6" t="s">
        <v>451</v>
      </c>
    </row>
    <row r="7" spans="1:2" x14ac:dyDescent="0.25">
      <c r="A7" s="118" t="s">
        <v>413</v>
      </c>
      <c r="B7" s="141">
        <v>1</v>
      </c>
    </row>
    <row r="8" spans="1:2" x14ac:dyDescent="0.25">
      <c r="A8" s="118" t="s">
        <v>430</v>
      </c>
      <c r="B8" s="141">
        <v>11</v>
      </c>
    </row>
    <row r="9" spans="1:2" x14ac:dyDescent="0.25">
      <c r="A9" s="118" t="s">
        <v>421</v>
      </c>
      <c r="B9" s="141">
        <v>6</v>
      </c>
    </row>
    <row r="10" spans="1:2" x14ac:dyDescent="0.25">
      <c r="A10" s="118" t="s">
        <v>428</v>
      </c>
      <c r="B10" s="141">
        <v>10</v>
      </c>
    </row>
    <row r="11" spans="1:2" x14ac:dyDescent="0.25">
      <c r="A11" s="118" t="s">
        <v>414</v>
      </c>
      <c r="B11" s="141">
        <v>2</v>
      </c>
    </row>
    <row r="12" spans="1:2" x14ac:dyDescent="0.25">
      <c r="A12" s="118" t="s">
        <v>435</v>
      </c>
      <c r="B12" s="141">
        <v>15</v>
      </c>
    </row>
    <row r="13" spans="1:2" x14ac:dyDescent="0.25">
      <c r="A13" s="118" t="s">
        <v>426</v>
      </c>
      <c r="B13" s="141">
        <v>9</v>
      </c>
    </row>
    <row r="14" spans="1:2" x14ac:dyDescent="0.25">
      <c r="A14" s="118" t="s">
        <v>424</v>
      </c>
      <c r="B14" s="141">
        <v>8</v>
      </c>
    </row>
    <row r="15" spans="1:2" x14ac:dyDescent="0.25">
      <c r="A15" s="118" t="s">
        <v>431</v>
      </c>
      <c r="B15" s="141">
        <v>12</v>
      </c>
    </row>
    <row r="16" spans="1:2" x14ac:dyDescent="0.25">
      <c r="A16" s="118" t="s">
        <v>416</v>
      </c>
      <c r="B16" s="141">
        <v>3</v>
      </c>
    </row>
    <row r="17" spans="1:4" x14ac:dyDescent="0.25">
      <c r="A17" s="118" t="s">
        <v>417</v>
      </c>
      <c r="B17" s="141">
        <v>4</v>
      </c>
    </row>
    <row r="18" spans="1:4" x14ac:dyDescent="0.25">
      <c r="A18" s="118" t="s">
        <v>432</v>
      </c>
      <c r="B18" s="141">
        <v>13</v>
      </c>
    </row>
    <row r="19" spans="1:4" x14ac:dyDescent="0.25">
      <c r="A19" s="118" t="s">
        <v>433</v>
      </c>
      <c r="B19" s="141">
        <v>14</v>
      </c>
    </row>
    <row r="20" spans="1:4" x14ac:dyDescent="0.25">
      <c r="A20" s="118" t="s">
        <v>423</v>
      </c>
      <c r="B20" s="141">
        <v>7</v>
      </c>
    </row>
    <row r="21" spans="1:4" x14ac:dyDescent="0.25">
      <c r="A21" s="118" t="s">
        <v>419</v>
      </c>
      <c r="B21" s="141">
        <v>5</v>
      </c>
    </row>
    <row r="22" spans="1:4" x14ac:dyDescent="0.25">
      <c r="A22" s="118" t="s">
        <v>442</v>
      </c>
      <c r="B22" s="141">
        <v>120</v>
      </c>
    </row>
    <row r="26" spans="1:4" x14ac:dyDescent="0.25">
      <c r="A26" s="117" t="s">
        <v>441</v>
      </c>
      <c r="B26" t="s">
        <v>452</v>
      </c>
      <c r="C26" t="s">
        <v>453</v>
      </c>
      <c r="D26" t="s">
        <v>454</v>
      </c>
    </row>
    <row r="27" spans="1:4" x14ac:dyDescent="0.25">
      <c r="A27" s="118" t="s">
        <v>425</v>
      </c>
      <c r="B27" s="141">
        <v>-5349</v>
      </c>
      <c r="C27" s="141">
        <v>13500</v>
      </c>
      <c r="D27" s="141">
        <v>9561</v>
      </c>
    </row>
    <row r="28" spans="1:4" x14ac:dyDescent="0.25">
      <c r="A28" s="118" t="s">
        <v>382</v>
      </c>
      <c r="B28" s="141">
        <v>1010</v>
      </c>
      <c r="C28" s="141">
        <v>28500</v>
      </c>
      <c r="D28" s="141">
        <v>21174</v>
      </c>
    </row>
    <row r="29" spans="1:4" x14ac:dyDescent="0.25">
      <c r="A29" s="118" t="s">
        <v>415</v>
      </c>
      <c r="B29" s="141">
        <v>44185</v>
      </c>
      <c r="C29" s="141">
        <v>44900</v>
      </c>
      <c r="D29" s="141">
        <v>31982</v>
      </c>
    </row>
    <row r="30" spans="1:4" x14ac:dyDescent="0.25">
      <c r="A30" s="118" t="s">
        <v>403</v>
      </c>
      <c r="B30" s="141">
        <v>-1537</v>
      </c>
      <c r="C30" s="141">
        <v>237</v>
      </c>
      <c r="D30" s="141">
        <v>99</v>
      </c>
    </row>
    <row r="31" spans="1:4" x14ac:dyDescent="0.25">
      <c r="A31" s="118" t="s">
        <v>427</v>
      </c>
      <c r="B31" s="141">
        <v>15259</v>
      </c>
      <c r="C31" s="141">
        <v>19900</v>
      </c>
      <c r="D31" s="141">
        <v>42360</v>
      </c>
    </row>
    <row r="32" spans="1:4" x14ac:dyDescent="0.25">
      <c r="A32" s="118" t="s">
        <v>434</v>
      </c>
      <c r="B32" s="141">
        <v>-2107</v>
      </c>
      <c r="C32" s="141">
        <v>177</v>
      </c>
      <c r="D32" s="141">
        <v>-2263</v>
      </c>
    </row>
    <row r="33" spans="1:6" x14ac:dyDescent="0.25">
      <c r="A33" s="118" t="s">
        <v>436</v>
      </c>
      <c r="B33" s="141">
        <v>-4705</v>
      </c>
      <c r="C33" s="141">
        <v>7400</v>
      </c>
      <c r="D33" s="141">
        <v>-3257</v>
      </c>
    </row>
    <row r="34" spans="1:6" x14ac:dyDescent="0.25">
      <c r="A34" s="118" t="s">
        <v>422</v>
      </c>
      <c r="B34" s="141">
        <v>21323</v>
      </c>
      <c r="C34" s="141">
        <v>10200</v>
      </c>
      <c r="D34" s="141">
        <v>26906</v>
      </c>
    </row>
    <row r="35" spans="1:6" x14ac:dyDescent="0.25">
      <c r="A35" s="118" t="s">
        <v>420</v>
      </c>
      <c r="B35" s="141">
        <v>16920</v>
      </c>
      <c r="C35" s="141">
        <v>15600</v>
      </c>
      <c r="D35" s="141">
        <v>-1446</v>
      </c>
    </row>
    <row r="36" spans="1:6" x14ac:dyDescent="0.25">
      <c r="A36" s="118" t="s">
        <v>418</v>
      </c>
      <c r="B36" s="141">
        <v>11500</v>
      </c>
      <c r="C36" s="141">
        <v>18500</v>
      </c>
      <c r="D36" s="141">
        <v>27815</v>
      </c>
    </row>
    <row r="37" spans="1:6" x14ac:dyDescent="0.25">
      <c r="A37" s="118" t="s">
        <v>401</v>
      </c>
      <c r="B37" s="141">
        <v>61126</v>
      </c>
      <c r="C37" s="141">
        <v>51900</v>
      </c>
      <c r="D37" s="141">
        <v>55060</v>
      </c>
    </row>
    <row r="38" spans="1:6" x14ac:dyDescent="0.25">
      <c r="A38" s="118" t="s">
        <v>429</v>
      </c>
      <c r="B38" s="141">
        <v>33045</v>
      </c>
      <c r="C38" s="141">
        <v>15900</v>
      </c>
      <c r="D38" s="141">
        <v>9882</v>
      </c>
    </row>
    <row r="39" spans="1:6" x14ac:dyDescent="0.25">
      <c r="A39" s="118" t="s">
        <v>442</v>
      </c>
      <c r="B39" s="141">
        <v>190670</v>
      </c>
      <c r="C39" s="141">
        <v>226714</v>
      </c>
      <c r="D39" s="141">
        <v>217873</v>
      </c>
    </row>
    <row r="43" spans="1:6" x14ac:dyDescent="0.25">
      <c r="C43" s="117" t="s">
        <v>441</v>
      </c>
      <c r="D43" t="s">
        <v>452</v>
      </c>
      <c r="E43" t="s">
        <v>453</v>
      </c>
      <c r="F43" t="s">
        <v>454</v>
      </c>
    </row>
    <row r="44" spans="1:6" x14ac:dyDescent="0.25">
      <c r="C44" s="118" t="s">
        <v>455</v>
      </c>
      <c r="D44" s="141">
        <v>190670</v>
      </c>
      <c r="E44" s="141">
        <v>226714</v>
      </c>
      <c r="F44" s="141">
        <v>217873</v>
      </c>
    </row>
    <row r="45" spans="1:6" x14ac:dyDescent="0.25">
      <c r="C45" s="118" t="s">
        <v>442</v>
      </c>
      <c r="D45" s="141">
        <v>190670</v>
      </c>
      <c r="E45" s="141">
        <v>226714</v>
      </c>
      <c r="F45" s="141">
        <v>217873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43" workbookViewId="0">
      <selection activeCell="C75" sqref="C75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2" t="s">
        <v>212</v>
      </c>
      <c r="B1" s="152"/>
      <c r="C1" s="152"/>
      <c r="D1" s="152"/>
      <c r="E1" s="152"/>
      <c r="F1" s="152"/>
    </row>
    <row r="2" spans="1:10" ht="31.5" x14ac:dyDescent="0.5">
      <c r="A2" s="6" t="s">
        <v>217</v>
      </c>
      <c r="B2" s="5"/>
      <c r="C2" s="5"/>
      <c r="D2" s="5"/>
      <c r="E2" s="5"/>
      <c r="F2" s="5"/>
      <c r="I2" s="144">
        <v>1</v>
      </c>
    </row>
    <row r="3" spans="1:10" ht="31.5" x14ac:dyDescent="0.5">
      <c r="A3" s="6" t="s">
        <v>216</v>
      </c>
      <c r="I3" s="144">
        <v>1</v>
      </c>
    </row>
    <row r="4" spans="1:10" ht="31.5" x14ac:dyDescent="0.5">
      <c r="A4" s="6" t="s">
        <v>218</v>
      </c>
      <c r="I4" s="144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6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6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6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6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6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6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6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6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6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6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6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6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6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6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6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6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6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6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6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6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6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6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6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6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6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6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6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6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6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 s="106">
        <f>SUBTOTAL(109,Tabla1[Compras realizadas])</f>
        <v>259</v>
      </c>
      <c r="H36"/>
      <c r="I36"/>
      <c r="J36">
        <f>SUBTOTAL(103,Tabla1[Ciudad])</f>
        <v>29</v>
      </c>
    </row>
    <row r="40" spans="1:10" x14ac:dyDescent="0.25">
      <c r="D40" s="105">
        <f>AVERAGE(G7:G35)</f>
        <v>8.931034482758621</v>
      </c>
    </row>
    <row r="41" spans="1:10" ht="15.75" thickBot="1" x14ac:dyDescent="0.3">
      <c r="C41" s="153" t="s">
        <v>176</v>
      </c>
      <c r="D41" s="153"/>
    </row>
    <row r="42" spans="1:10" x14ac:dyDescent="0.25">
      <c r="C42" s="154" t="s">
        <v>177</v>
      </c>
      <c r="D42" s="155">
        <f>AVERAGE(G7:G35)</f>
        <v>8.931034482758621</v>
      </c>
    </row>
    <row r="43" spans="1:10" ht="15.75" thickBot="1" x14ac:dyDescent="0.3">
      <c r="C43" s="154"/>
      <c r="D43" s="156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workbookViewId="0">
      <selection activeCell="J12" sqref="J12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12" ht="31.5" x14ac:dyDescent="0.5">
      <c r="A1" s="152" t="s">
        <v>212</v>
      </c>
      <c r="B1" s="152"/>
      <c r="C1" s="152"/>
      <c r="D1" s="152"/>
      <c r="E1" s="152"/>
      <c r="F1" s="152"/>
    </row>
    <row r="2" spans="1:12" ht="31.5" x14ac:dyDescent="0.5">
      <c r="A2" s="6" t="s">
        <v>219</v>
      </c>
      <c r="B2" s="5"/>
      <c r="C2" s="5"/>
      <c r="D2" s="5"/>
      <c r="E2" s="5"/>
      <c r="F2" s="5"/>
      <c r="L2" s="162">
        <v>1</v>
      </c>
    </row>
    <row r="3" spans="1:12" ht="31.5" x14ac:dyDescent="0.5">
      <c r="A3" s="6"/>
      <c r="B3" s="5"/>
      <c r="C3" s="5"/>
      <c r="D3" s="5"/>
      <c r="E3" s="5"/>
      <c r="F3" s="5"/>
    </row>
    <row r="4" spans="1:12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2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  <c r="H5" s="160">
        <v>4</v>
      </c>
    </row>
    <row r="6" spans="1:12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  <c r="H6" s="161">
        <v>10</v>
      </c>
    </row>
    <row r="7" spans="1:12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  <c r="H7" s="160">
        <v>2</v>
      </c>
    </row>
    <row r="8" spans="1:12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  <c r="H8" s="161">
        <v>1</v>
      </c>
    </row>
    <row r="9" spans="1:12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  <c r="H9" s="160">
        <v>6</v>
      </c>
    </row>
    <row r="10" spans="1:12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  <c r="H10" s="161">
        <v>3</v>
      </c>
    </row>
    <row r="11" spans="1:12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  <c r="H11" s="160">
        <v>5</v>
      </c>
    </row>
    <row r="12" spans="1:12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  <c r="H12" s="161">
        <v>7</v>
      </c>
    </row>
    <row r="13" spans="1:12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  <c r="H13" s="160">
        <v>8</v>
      </c>
    </row>
    <row r="14" spans="1:12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  <c r="H14" s="161">
        <v>9</v>
      </c>
    </row>
    <row r="15" spans="1:12" x14ac:dyDescent="0.25">
      <c r="A15" t="s">
        <v>9</v>
      </c>
      <c r="B15">
        <f>SUBTOTAL(101,Tabla7[Pedidos])</f>
        <v>5.5</v>
      </c>
      <c r="C15"/>
      <c r="D15"/>
      <c r="E15">
        <f>SUBTOTAL(103,Tabla7[Puesto])</f>
        <v>10</v>
      </c>
    </row>
    <row r="17" spans="1:2" x14ac:dyDescent="0.25">
      <c r="A17" s="107" t="s">
        <v>440</v>
      </c>
      <c r="B17" s="1">
        <f>AVERAGE(B5:B14)</f>
        <v>5.5</v>
      </c>
    </row>
  </sheetData>
  <mergeCells count="1">
    <mergeCell ref="A1:F1"/>
  </mergeCells>
  <phoneticPr fontId="2" type="noConversion"/>
  <conditionalFormatting sqref="B5:B14">
    <cfRule type="cellIs" dxfId="21" priority="3" operator="greaterThan">
      <formula>6</formula>
    </cfRule>
  </conditionalFormatting>
  <conditionalFormatting sqref="L2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H5:H14">
    <cfRule type="aboveAverage" dxfId="20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zoomScale="73" zoomScaleNormal="73" workbookViewId="0">
      <selection activeCell="M2" sqref="M2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5703125" style="7" bestFit="1" customWidth="1"/>
    <col min="15" max="16384" width="12.5703125" style="7"/>
  </cols>
  <sheetData>
    <row r="1" spans="2:14" ht="31.5" x14ac:dyDescent="0.5">
      <c r="B1" s="152" t="s">
        <v>212</v>
      </c>
      <c r="C1" s="152"/>
      <c r="D1" s="152"/>
      <c r="E1" s="152"/>
      <c r="F1" s="152"/>
      <c r="G1" s="152"/>
    </row>
    <row r="2" spans="2:14" ht="31.5" x14ac:dyDescent="0.5">
      <c r="B2" s="6" t="s">
        <v>254</v>
      </c>
      <c r="C2" s="5"/>
      <c r="D2" s="5"/>
      <c r="E2" s="5"/>
      <c r="F2" s="5"/>
      <c r="G2" s="5"/>
      <c r="M2" s="162">
        <v>1</v>
      </c>
    </row>
    <row r="3" spans="2:14" ht="43.5" customHeight="1" x14ac:dyDescent="0.5">
      <c r="B3" s="6" t="s">
        <v>255</v>
      </c>
      <c r="C3" s="5"/>
      <c r="D3" s="5"/>
      <c r="E3" s="5"/>
      <c r="F3" s="5"/>
      <c r="G3" s="5"/>
      <c r="M3" s="162">
        <v>1</v>
      </c>
    </row>
    <row r="4" spans="2:14" ht="43.5" customHeight="1" x14ac:dyDescent="0.5">
      <c r="B4" s="6" t="s">
        <v>256</v>
      </c>
      <c r="C4" s="5"/>
      <c r="D4" s="5"/>
      <c r="E4" s="5"/>
      <c r="F4" s="5"/>
      <c r="G4" s="5"/>
      <c r="M4" s="162">
        <v>1</v>
      </c>
    </row>
    <row r="5" spans="2:14" ht="17.25" thickBot="1" x14ac:dyDescent="0.35"/>
    <row r="6" spans="2:14" ht="31.5" customHeight="1" thickTop="1" thickBot="1" x14ac:dyDescent="0.35">
      <c r="C6" s="157"/>
      <c r="D6" s="157"/>
      <c r="E6" s="157"/>
      <c r="F6" s="157"/>
      <c r="G6" s="157"/>
      <c r="H6" s="157"/>
      <c r="I6" s="157"/>
      <c r="J6" s="157"/>
      <c r="K6" s="157"/>
    </row>
    <row r="7" spans="2:14" ht="31.5" customHeight="1" thickTop="1" x14ac:dyDescent="0.3">
      <c r="C7" s="158"/>
      <c r="D7" s="158"/>
      <c r="E7" s="158"/>
      <c r="F7" s="158"/>
      <c r="G7" s="158"/>
      <c r="H7" s="158"/>
      <c r="I7" s="158"/>
      <c r="J7" s="158"/>
      <c r="K7" s="158"/>
      <c r="N7" s="7">
        <v>15586616</v>
      </c>
    </row>
    <row r="8" spans="2:14" ht="17.25" thickBot="1" x14ac:dyDescent="0.35">
      <c r="C8" s="108" t="s">
        <v>220</v>
      </c>
      <c r="D8" s="108" t="s">
        <v>221</v>
      </c>
      <c r="E8" s="108" t="s">
        <v>222</v>
      </c>
      <c r="F8" s="108" t="s">
        <v>223</v>
      </c>
      <c r="G8" s="108" t="s">
        <v>224</v>
      </c>
      <c r="H8" s="108" t="s">
        <v>225</v>
      </c>
      <c r="I8" s="108" t="s">
        <v>226</v>
      </c>
      <c r="J8" s="108" t="s">
        <v>227</v>
      </c>
      <c r="K8" s="108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14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15"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  <c r="N13" s="116">
        <f>SUM(N11:N12)</f>
        <v>35345796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9"/>
      <c r="D38" s="110">
        <v>37998</v>
      </c>
      <c r="E38" s="109" t="s">
        <v>233</v>
      </c>
      <c r="F38" s="109" t="s">
        <v>230</v>
      </c>
      <c r="G38" s="109" t="s">
        <v>240</v>
      </c>
      <c r="H38" s="109">
        <v>201</v>
      </c>
      <c r="I38" s="111">
        <v>939072</v>
      </c>
      <c r="J38" s="110">
        <v>38203</v>
      </c>
      <c r="K38" s="109" t="s">
        <v>232</v>
      </c>
    </row>
    <row r="39" spans="3:11" x14ac:dyDescent="0.3">
      <c r="D39" s="112"/>
      <c r="G39" s="7" t="s">
        <v>9</v>
      </c>
      <c r="I39" s="113">
        <f>SUBTOTAL(109,Tabla8[Monto])</f>
        <v>35345796</v>
      </c>
      <c r="J39" s="112"/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7"/>
  <sheetViews>
    <sheetView topLeftCell="D1" workbookViewId="0">
      <selection activeCell="L2" sqref="L2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7.140625" style="7" bestFit="1" customWidth="1"/>
    <col min="8" max="8" width="12.5703125" style="121"/>
    <col min="9" max="9" width="12.5703125" style="7"/>
    <col min="10" max="10" width="17.5703125" style="7" customWidth="1"/>
    <col min="11" max="11" width="15.140625" style="7" customWidth="1"/>
    <col min="12" max="12" width="18.7109375" style="7" bestFit="1" customWidth="1"/>
    <col min="13" max="16384" width="12.5703125" style="7"/>
  </cols>
  <sheetData>
    <row r="1" spans="1:12" ht="31.5" x14ac:dyDescent="0.5">
      <c r="A1" s="152" t="s">
        <v>212</v>
      </c>
      <c r="B1" s="152"/>
      <c r="C1" s="152"/>
      <c r="D1" s="152"/>
      <c r="E1" s="152"/>
      <c r="F1" s="152"/>
    </row>
    <row r="2" spans="1:12" ht="31.5" x14ac:dyDescent="0.5">
      <c r="A2" s="6" t="s">
        <v>257</v>
      </c>
      <c r="B2" s="5"/>
      <c r="C2" s="5"/>
      <c r="D2" s="5"/>
      <c r="E2" s="5"/>
      <c r="F2" s="5"/>
      <c r="L2" s="162">
        <v>1</v>
      </c>
    </row>
    <row r="3" spans="1:12" ht="31.5" x14ac:dyDescent="0.5">
      <c r="A3" s="6" t="s">
        <v>258</v>
      </c>
      <c r="B3" s="5"/>
      <c r="C3" s="5"/>
      <c r="D3" s="5"/>
      <c r="E3" s="5"/>
      <c r="F3" s="5"/>
      <c r="L3" s="162">
        <v>1</v>
      </c>
    </row>
    <row r="4" spans="1:12" ht="31.5" x14ac:dyDescent="0.5">
      <c r="A4" s="6" t="s">
        <v>259</v>
      </c>
      <c r="B4" s="5"/>
      <c r="C4" s="5"/>
      <c r="D4" s="5"/>
      <c r="E4" s="5"/>
      <c r="F4" s="5"/>
      <c r="L4" s="162">
        <v>1</v>
      </c>
    </row>
    <row r="5" spans="1:12" ht="31.5" x14ac:dyDescent="0.5">
      <c r="A5" s="6"/>
      <c r="B5" s="5"/>
      <c r="C5" s="5"/>
      <c r="D5" s="5"/>
      <c r="E5" s="5"/>
      <c r="F5" s="5"/>
      <c r="J5" s="117" t="s">
        <v>248</v>
      </c>
      <c r="K5" t="s">
        <v>443</v>
      </c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H6" s="121" t="s">
        <v>445</v>
      </c>
    </row>
    <row r="7" spans="1:12" x14ac:dyDescent="0.3">
      <c r="C7" s="7" t="s">
        <v>229</v>
      </c>
      <c r="D7" s="7" t="str">
        <f>MID(BaseDatos[[#This Row],[Operación]],1,3)</f>
        <v>Alq</v>
      </c>
      <c r="E7" s="7" t="s">
        <v>230</v>
      </c>
      <c r="F7" s="7" t="s">
        <v>231</v>
      </c>
      <c r="G7" s="116">
        <v>2133903</v>
      </c>
      <c r="H7" s="121">
        <f>+BaseDatos[[#This Row],[Monto]]/BaseDatos[[#Totals],[Monto]]</f>
        <v>6.0372186836590125E-2</v>
      </c>
      <c r="J7" s="117" t="s">
        <v>441</v>
      </c>
      <c r="K7" t="s">
        <v>444</v>
      </c>
      <c r="L7" t="s">
        <v>446</v>
      </c>
    </row>
    <row r="8" spans="1:12" x14ac:dyDescent="0.3">
      <c r="C8" s="7" t="s">
        <v>233</v>
      </c>
      <c r="D8" s="7" t="str">
        <f>MID(BaseDatos[[#This Row],[Operación]],1,3)</f>
        <v>Ven</v>
      </c>
      <c r="E8" s="7" t="s">
        <v>234</v>
      </c>
      <c r="F8" s="7" t="s">
        <v>235</v>
      </c>
      <c r="G8" s="116">
        <v>1945424</v>
      </c>
      <c r="H8" s="121">
        <f>+BaseDatos[[#This Row],[Monto]]/BaseDatos[[#Totals],[Monto]]</f>
        <v>5.5039756354617109E-2</v>
      </c>
      <c r="J8" s="118" t="s">
        <v>230</v>
      </c>
      <c r="K8" s="119">
        <v>19759180</v>
      </c>
      <c r="L8" s="123">
        <v>0.55902489789733423</v>
      </c>
    </row>
    <row r="9" spans="1:12" x14ac:dyDescent="0.3">
      <c r="C9" s="7" t="s">
        <v>236</v>
      </c>
      <c r="D9" s="7" t="str">
        <f>MID(BaseDatos[[#This Row],[Operación]],1,3)</f>
        <v>Alq</v>
      </c>
      <c r="E9" s="7" t="s">
        <v>230</v>
      </c>
      <c r="F9" s="7" t="s">
        <v>235</v>
      </c>
      <c r="G9" s="116">
        <v>712416</v>
      </c>
      <c r="H9" s="121">
        <f>+BaseDatos[[#This Row],[Monto]]/BaseDatos[[#Totals],[Monto]]</f>
        <v>2.0155607756011492E-2</v>
      </c>
      <c r="J9" s="118" t="s">
        <v>234</v>
      </c>
      <c r="K9" s="119">
        <v>15586616</v>
      </c>
      <c r="L9" s="123">
        <v>0.44097510210266599</v>
      </c>
    </row>
    <row r="10" spans="1:12" x14ac:dyDescent="0.3">
      <c r="C10" s="7" t="s">
        <v>229</v>
      </c>
      <c r="D10" s="7" t="str">
        <f>MID(BaseDatos[[#This Row],[Operación]],1,3)</f>
        <v>Alq</v>
      </c>
      <c r="E10" s="7" t="s">
        <v>230</v>
      </c>
      <c r="F10" s="7" t="s">
        <v>235</v>
      </c>
      <c r="G10" s="116">
        <v>1815450</v>
      </c>
      <c r="H10" s="121">
        <f>+BaseDatos[[#This Row],[Monto]]/BaseDatos[[#Totals],[Monto]]</f>
        <v>5.1362543935918152E-2</v>
      </c>
      <c r="J10" s="118" t="s">
        <v>442</v>
      </c>
      <c r="K10" s="119">
        <v>35345796</v>
      </c>
      <c r="L10" s="123">
        <v>1.0000000000000002</v>
      </c>
    </row>
    <row r="11" spans="1:12" x14ac:dyDescent="0.3">
      <c r="C11" s="7" t="s">
        <v>239</v>
      </c>
      <c r="D11" s="7" t="str">
        <f>MID(BaseDatos[[#This Row],[Operación]],1,3)</f>
        <v>Ven</v>
      </c>
      <c r="E11" s="7" t="s">
        <v>234</v>
      </c>
      <c r="F11" s="7" t="s">
        <v>240</v>
      </c>
      <c r="G11" s="116">
        <v>1138024</v>
      </c>
      <c r="H11" s="121">
        <f>+BaseDatos[[#This Row],[Monto]]/BaseDatos[[#Totals],[Monto]]</f>
        <v>3.2196870032294649E-2</v>
      </c>
      <c r="J11"/>
      <c r="K11"/>
      <c r="L11"/>
    </row>
    <row r="12" spans="1:12" x14ac:dyDescent="0.3">
      <c r="C12" s="7" t="s">
        <v>242</v>
      </c>
      <c r="D12" s="7" t="str">
        <f>MID(BaseDatos[[#This Row],[Operación]],1,3)</f>
        <v>Alq</v>
      </c>
      <c r="E12" s="7" t="s">
        <v>230</v>
      </c>
      <c r="F12" s="7" t="s">
        <v>235</v>
      </c>
      <c r="G12" s="116">
        <v>953156</v>
      </c>
      <c r="H12" s="121">
        <f>+BaseDatos[[#This Row],[Monto]]/BaseDatos[[#Totals],[Monto]]</f>
        <v>2.6966601629229116E-2</v>
      </c>
      <c r="J12"/>
      <c r="K12"/>
      <c r="L12"/>
    </row>
    <row r="13" spans="1:12" x14ac:dyDescent="0.3">
      <c r="C13" s="7" t="s">
        <v>229</v>
      </c>
      <c r="D13" s="7" t="str">
        <f>MID(BaseDatos[[#This Row],[Operación]],1,3)</f>
        <v>Alq</v>
      </c>
      <c r="E13" s="7" t="s">
        <v>230</v>
      </c>
      <c r="F13" s="7" t="s">
        <v>240</v>
      </c>
      <c r="G13" s="116">
        <v>406686</v>
      </c>
      <c r="H13" s="121">
        <f>+BaseDatos[[#This Row],[Monto]]/BaseDatos[[#Totals],[Monto]]</f>
        <v>1.150592279772112E-2</v>
      </c>
      <c r="J13"/>
      <c r="K13"/>
      <c r="L13"/>
    </row>
    <row r="14" spans="1:12" x14ac:dyDescent="0.3">
      <c r="C14" s="7" t="s">
        <v>236</v>
      </c>
      <c r="D14" s="7" t="str">
        <f>MID(BaseDatos[[#This Row],[Operación]],1,3)</f>
        <v>Ven</v>
      </c>
      <c r="E14" s="7" t="s">
        <v>234</v>
      </c>
      <c r="F14" s="7" t="s">
        <v>235</v>
      </c>
      <c r="G14" s="116">
        <v>2158475</v>
      </c>
      <c r="H14" s="121">
        <f>+BaseDatos[[#This Row],[Monto]]/BaseDatos[[#Totals],[Monto]]</f>
        <v>6.106737559397446E-2</v>
      </c>
      <c r="J14"/>
      <c r="K14"/>
      <c r="L14"/>
    </row>
    <row r="15" spans="1:12" x14ac:dyDescent="0.3">
      <c r="C15" s="7" t="s">
        <v>243</v>
      </c>
      <c r="D15" s="7" t="str">
        <f>MID(BaseDatos[[#This Row],[Operación]],1,3)</f>
        <v>Alq</v>
      </c>
      <c r="E15" s="7" t="s">
        <v>230</v>
      </c>
      <c r="F15" s="7" t="s">
        <v>231</v>
      </c>
      <c r="G15" s="116">
        <v>1024380</v>
      </c>
      <c r="H15" s="121">
        <f>+BaseDatos[[#This Row],[Monto]]/BaseDatos[[#Totals],[Monto]]</f>
        <v>2.8981664467253757E-2</v>
      </c>
      <c r="J15"/>
      <c r="K15"/>
      <c r="L15"/>
    </row>
    <row r="16" spans="1:12" x14ac:dyDescent="0.3">
      <c r="C16" s="7" t="s">
        <v>229</v>
      </c>
      <c r="D16" s="7" t="str">
        <f>MID(BaseDatos[[#This Row],[Operación]],1,3)</f>
        <v>Ven</v>
      </c>
      <c r="E16" s="7" t="s">
        <v>234</v>
      </c>
      <c r="F16" s="7" t="s">
        <v>231</v>
      </c>
      <c r="G16" s="116">
        <v>2042768</v>
      </c>
      <c r="H16" s="121">
        <f>+BaseDatos[[#This Row],[Monto]]/BaseDatos[[#Totals],[Monto]]</f>
        <v>5.7793803823232612E-2</v>
      </c>
      <c r="J16"/>
      <c r="K16"/>
      <c r="L16"/>
    </row>
    <row r="17" spans="3:12" x14ac:dyDescent="0.3">
      <c r="C17" s="7" t="s">
        <v>236</v>
      </c>
      <c r="D17" s="7" t="str">
        <f>MID(BaseDatos[[#This Row],[Operación]],1,3)</f>
        <v>Alq</v>
      </c>
      <c r="E17" s="7" t="s">
        <v>230</v>
      </c>
      <c r="F17" s="7" t="s">
        <v>235</v>
      </c>
      <c r="G17" s="116">
        <v>627068</v>
      </c>
      <c r="H17" s="121">
        <f>+BaseDatos[[#This Row],[Monto]]/BaseDatos[[#Totals],[Monto]]</f>
        <v>1.7740950012838867E-2</v>
      </c>
      <c r="J17"/>
      <c r="K17"/>
      <c r="L17"/>
    </row>
    <row r="18" spans="3:12" x14ac:dyDescent="0.3">
      <c r="C18" s="7" t="s">
        <v>242</v>
      </c>
      <c r="D18" s="7" t="str">
        <f>MID(BaseDatos[[#This Row],[Operación]],1,3)</f>
        <v>Ven</v>
      </c>
      <c r="E18" s="7" t="s">
        <v>234</v>
      </c>
      <c r="F18" s="7" t="s">
        <v>235</v>
      </c>
      <c r="G18" s="116">
        <v>999328</v>
      </c>
      <c r="H18" s="121">
        <f>+BaseDatos[[#This Row],[Monto]]/BaseDatos[[#Totals],[Monto]]</f>
        <v>2.8272895594146471E-2</v>
      </c>
      <c r="J18"/>
      <c r="K18"/>
      <c r="L18"/>
    </row>
    <row r="19" spans="3:12" x14ac:dyDescent="0.3">
      <c r="C19" s="7" t="s">
        <v>229</v>
      </c>
      <c r="D19" s="7" t="str">
        <f>MID(BaseDatos[[#This Row],[Operación]],1,3)</f>
        <v>Ven</v>
      </c>
      <c r="E19" s="7" t="s">
        <v>234</v>
      </c>
      <c r="F19" s="7" t="s">
        <v>244</v>
      </c>
      <c r="G19" s="116">
        <v>2937300</v>
      </c>
      <c r="H19" s="121">
        <f>+BaseDatos[[#This Row],[Monto]]/BaseDatos[[#Totals],[Monto]]</f>
        <v>8.310182065216469E-2</v>
      </c>
      <c r="J19"/>
      <c r="K19"/>
      <c r="L19"/>
    </row>
    <row r="20" spans="3:12" x14ac:dyDescent="0.3">
      <c r="C20" s="7" t="s">
        <v>233</v>
      </c>
      <c r="D20" s="7" t="str">
        <f>MID(BaseDatos[[#This Row],[Operación]],1,3)</f>
        <v>Ven</v>
      </c>
      <c r="E20" s="7" t="s">
        <v>234</v>
      </c>
      <c r="F20" s="7" t="s">
        <v>240</v>
      </c>
      <c r="G20" s="116">
        <v>664700</v>
      </c>
      <c r="H20" s="121">
        <f>+BaseDatos[[#This Row],[Monto]]/BaseDatos[[#Totals],[Monto]]</f>
        <v>1.880563108551863E-2</v>
      </c>
      <c r="J20"/>
      <c r="K20"/>
      <c r="L20"/>
    </row>
    <row r="21" spans="3:12" x14ac:dyDescent="0.3">
      <c r="C21" s="7" t="s">
        <v>242</v>
      </c>
      <c r="D21" s="7" t="str">
        <f>MID(BaseDatos[[#This Row],[Operación]],1,3)</f>
        <v>Alq</v>
      </c>
      <c r="E21" s="7" t="s">
        <v>230</v>
      </c>
      <c r="F21" s="7" t="s">
        <v>235</v>
      </c>
      <c r="G21" s="116">
        <v>820336</v>
      </c>
      <c r="H21" s="121">
        <f>+BaseDatos[[#This Row],[Monto]]/BaseDatos[[#Totals],[Monto]]</f>
        <v>2.3208870441056129E-2</v>
      </c>
      <c r="J21"/>
      <c r="K21"/>
      <c r="L21"/>
    </row>
    <row r="22" spans="3:12" x14ac:dyDescent="0.3">
      <c r="C22" s="7" t="s">
        <v>245</v>
      </c>
      <c r="D22" s="7" t="str">
        <f>MID(BaseDatos[[#This Row],[Operación]],1,3)</f>
        <v>Alq</v>
      </c>
      <c r="E22" s="7" t="s">
        <v>230</v>
      </c>
      <c r="F22" s="7" t="s">
        <v>235</v>
      </c>
      <c r="G22" s="116">
        <v>937960</v>
      </c>
      <c r="H22" s="121">
        <f>+BaseDatos[[#This Row],[Monto]]/BaseDatos[[#Totals],[Monto]]</f>
        <v>2.653667779896653E-2</v>
      </c>
      <c r="J22"/>
      <c r="K22"/>
      <c r="L22"/>
    </row>
    <row r="23" spans="3:12" x14ac:dyDescent="0.3">
      <c r="C23" s="7" t="s">
        <v>245</v>
      </c>
      <c r="D23" s="7" t="str">
        <f>MID(BaseDatos[[#This Row],[Operación]],1,3)</f>
        <v>Alq</v>
      </c>
      <c r="E23" s="7" t="s">
        <v>230</v>
      </c>
      <c r="F23" s="7" t="s">
        <v>240</v>
      </c>
      <c r="G23" s="116">
        <v>358846</v>
      </c>
      <c r="H23" s="121">
        <f>+BaseDatos[[#This Row],[Monto]]/BaseDatos[[#Totals],[Monto]]</f>
        <v>1.0152437930666492E-2</v>
      </c>
      <c r="J23"/>
      <c r="K23"/>
      <c r="L23"/>
    </row>
    <row r="24" spans="3:12" x14ac:dyDescent="0.3">
      <c r="C24" s="7" t="s">
        <v>239</v>
      </c>
      <c r="D24" s="7" t="str">
        <f>MID(BaseDatos[[#This Row],[Operación]],1,3)</f>
        <v>Ven</v>
      </c>
      <c r="E24" s="7" t="s">
        <v>234</v>
      </c>
      <c r="F24" s="7" t="s">
        <v>244</v>
      </c>
      <c r="G24" s="116">
        <v>1679605</v>
      </c>
      <c r="H24" s="121">
        <f>+BaseDatos[[#This Row],[Monto]]/BaseDatos[[#Totals],[Monto]]</f>
        <v>4.7519229726782783E-2</v>
      </c>
      <c r="J24"/>
      <c r="K24"/>
      <c r="L24"/>
    </row>
    <row r="25" spans="3:12" x14ac:dyDescent="0.3">
      <c r="C25" s="7" t="s">
        <v>243</v>
      </c>
      <c r="D25" s="7" t="str">
        <f>MID(BaseDatos[[#This Row],[Operación]],1,3)</f>
        <v>Alq</v>
      </c>
      <c r="E25" s="7" t="s">
        <v>230</v>
      </c>
      <c r="F25" s="7" t="s">
        <v>235</v>
      </c>
      <c r="G25" s="116">
        <v>472615</v>
      </c>
      <c r="H25" s="121">
        <f>+BaseDatos[[#This Row],[Monto]]/BaseDatos[[#Totals],[Monto]]</f>
        <v>1.3371179984176902E-2</v>
      </c>
    </row>
    <row r="26" spans="3:12" x14ac:dyDescent="0.3">
      <c r="C26" s="7" t="s">
        <v>236</v>
      </c>
      <c r="D26" s="7" t="str">
        <f>MID(BaseDatos[[#This Row],[Operación]],1,3)</f>
        <v>Alq</v>
      </c>
      <c r="E26" s="7" t="s">
        <v>230</v>
      </c>
      <c r="F26" s="7" t="s">
        <v>244</v>
      </c>
      <c r="G26" s="116">
        <v>1169496</v>
      </c>
      <c r="H26" s="121">
        <f>+BaseDatos[[#This Row],[Monto]]/BaseDatos[[#Totals],[Monto]]</f>
        <v>3.3087272953196474E-2</v>
      </c>
    </row>
    <row r="27" spans="3:12" x14ac:dyDescent="0.3">
      <c r="C27" s="7" t="s">
        <v>242</v>
      </c>
      <c r="D27" s="7" t="str">
        <f>MID(BaseDatos[[#This Row],[Operación]],1,3)</f>
        <v>Ven</v>
      </c>
      <c r="E27" s="7" t="s">
        <v>234</v>
      </c>
      <c r="F27" s="7" t="s">
        <v>244</v>
      </c>
      <c r="G27" s="116">
        <v>2020992</v>
      </c>
      <c r="H27" s="121">
        <f>+BaseDatos[[#This Row],[Monto]]/BaseDatos[[#Totals],[Monto]]</f>
        <v>5.7177719239934505E-2</v>
      </c>
    </row>
    <row r="28" spans="3:12" x14ac:dyDescent="0.3">
      <c r="C28" s="7" t="s">
        <v>236</v>
      </c>
      <c r="D28" s="7" t="str">
        <f>MID(BaseDatos[[#This Row],[Operación]],1,3)</f>
        <v>Alq</v>
      </c>
      <c r="E28" s="7" t="s">
        <v>230</v>
      </c>
      <c r="F28" s="7" t="s">
        <v>231</v>
      </c>
      <c r="G28" s="116">
        <v>727552</v>
      </c>
      <c r="H28" s="121">
        <f>+BaseDatos[[#This Row],[Monto]]/BaseDatos[[#Totals],[Monto]]</f>
        <v>2.0583834071808711E-2</v>
      </c>
    </row>
    <row r="29" spans="3:12" x14ac:dyDescent="0.3">
      <c r="C29" s="7" t="s">
        <v>245</v>
      </c>
      <c r="D29" s="7" t="str">
        <f>MID(BaseDatos[[#This Row],[Operación]],1,3)</f>
        <v>Alq</v>
      </c>
      <c r="E29" s="7" t="s">
        <v>230</v>
      </c>
      <c r="F29" s="7" t="s">
        <v>235</v>
      </c>
      <c r="G29" s="116">
        <v>1438929</v>
      </c>
      <c r="H29" s="121">
        <f>+BaseDatos[[#This Row],[Monto]]/BaseDatos[[#Totals],[Monto]]</f>
        <v>4.0710046535661557E-2</v>
      </c>
    </row>
    <row r="30" spans="3:12" x14ac:dyDescent="0.3">
      <c r="C30" s="7" t="s">
        <v>236</v>
      </c>
      <c r="D30" s="7" t="str">
        <f>MID(BaseDatos[[#This Row],[Operación]],1,3)</f>
        <v>Alq</v>
      </c>
      <c r="E30" s="7" t="s">
        <v>230</v>
      </c>
      <c r="F30" s="7" t="s">
        <v>240</v>
      </c>
      <c r="G30" s="116">
        <v>427390</v>
      </c>
      <c r="H30" s="121">
        <f>+BaseDatos[[#This Row],[Monto]]/BaseDatos[[#Totals],[Monto]]</f>
        <v>1.2091678455904628E-2</v>
      </c>
    </row>
    <row r="31" spans="3:12" x14ac:dyDescent="0.3">
      <c r="C31" s="7" t="s">
        <v>236</v>
      </c>
      <c r="D31" s="7" t="str">
        <f>MID(BaseDatos[[#This Row],[Operación]],1,3)</f>
        <v>Alq</v>
      </c>
      <c r="E31" s="7" t="s">
        <v>230</v>
      </c>
      <c r="F31" s="7" t="s">
        <v>244</v>
      </c>
      <c r="G31" s="116">
        <v>1170684</v>
      </c>
      <c r="H31" s="121">
        <f>+BaseDatos[[#This Row],[Monto]]/BaseDatos[[#Totals],[Monto]]</f>
        <v>3.3120883739610786E-2</v>
      </c>
    </row>
    <row r="32" spans="3:12" x14ac:dyDescent="0.3">
      <c r="C32" s="7" t="s">
        <v>233</v>
      </c>
      <c r="D32" s="7" t="str">
        <f>MID(BaseDatos[[#This Row],[Operación]],1,3)</f>
        <v>Alq</v>
      </c>
      <c r="E32" s="7" t="s">
        <v>230</v>
      </c>
      <c r="F32" s="7" t="s">
        <v>240</v>
      </c>
      <c r="G32" s="116">
        <v>549780</v>
      </c>
      <c r="H32" s="121">
        <f>+BaseDatos[[#This Row],[Monto]]/BaseDatos[[#Totals],[Monto]]</f>
        <v>1.5554325046180881E-2</v>
      </c>
    </row>
    <row r="33" spans="3:8" x14ac:dyDescent="0.3">
      <c r="C33" s="7" t="s">
        <v>233</v>
      </c>
      <c r="D33" s="7" t="str">
        <f>MID(BaseDatos[[#This Row],[Operación]],1,3)</f>
        <v>Alq</v>
      </c>
      <c r="E33" s="7" t="s">
        <v>230</v>
      </c>
      <c r="F33" s="7" t="s">
        <v>240</v>
      </c>
      <c r="G33" s="116">
        <v>659330</v>
      </c>
      <c r="H33" s="121">
        <f>+BaseDatos[[#This Row],[Monto]]/BaseDatos[[#Totals],[Monto]]</f>
        <v>1.8653703540868056E-2</v>
      </c>
    </row>
    <row r="34" spans="3:8" x14ac:dyDescent="0.3">
      <c r="C34" s="7" t="s">
        <v>245</v>
      </c>
      <c r="D34" s="7" t="str">
        <f>MID(BaseDatos[[#This Row],[Operación]],1,3)</f>
        <v>Alq</v>
      </c>
      <c r="E34" s="7" t="s">
        <v>230</v>
      </c>
      <c r="F34" s="7" t="s">
        <v>244</v>
      </c>
      <c r="G34" s="116">
        <v>1660560</v>
      </c>
      <c r="H34" s="121">
        <f>+BaseDatos[[#This Row],[Monto]]/BaseDatos[[#Totals],[Monto]]</f>
        <v>4.6980410343566745E-2</v>
      </c>
    </row>
    <row r="35" spans="3:8" x14ac:dyDescent="0.3">
      <c r="C35" s="7" t="s">
        <v>245</v>
      </c>
      <c r="D35" s="7" t="str">
        <f>MID(BaseDatos[[#This Row],[Operación]],1,3)</f>
        <v>Alq</v>
      </c>
      <c r="E35" s="7" t="s">
        <v>230</v>
      </c>
      <c r="F35" s="7" t="s">
        <v>240</v>
      </c>
      <c r="G35" s="116">
        <v>753571</v>
      </c>
      <c r="H35" s="121">
        <f>+BaseDatos[[#This Row],[Monto]]/BaseDatos[[#Totals],[Monto]]</f>
        <v>2.1319961219716202E-2</v>
      </c>
    </row>
    <row r="36" spans="3:8" x14ac:dyDescent="0.3">
      <c r="C36" s="7" t="s">
        <v>233</v>
      </c>
      <c r="D36" s="7" t="str">
        <f>MID(BaseDatos[[#This Row],[Operación]],1,3)</f>
        <v>Alq</v>
      </c>
      <c r="E36" s="7" t="s">
        <v>230</v>
      </c>
      <c r="F36" s="7" t="s">
        <v>240</v>
      </c>
      <c r="G36" s="116">
        <v>939072</v>
      </c>
      <c r="H36" s="121">
        <f>+BaseDatos[[#This Row],[Monto]]/BaseDatos[[#Totals],[Monto]]</f>
        <v>2.6568138400391378E-2</v>
      </c>
    </row>
    <row r="37" spans="3:8" x14ac:dyDescent="0.3">
      <c r="D37" s="120"/>
      <c r="G37" s="116">
        <f>SUBTOTAL(109,BaseDatos[Monto])</f>
        <v>35345796</v>
      </c>
      <c r="H37" s="122">
        <f>SUBTOTAL(109,BaseDatos[Porcentaje])</f>
        <v>1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L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L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J30"/>
  <sheetViews>
    <sheetView topLeftCell="D1" workbookViewId="0">
      <selection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52" t="s">
        <v>212</v>
      </c>
      <c r="E1" s="152"/>
      <c r="F1" s="152"/>
      <c r="G1" s="152"/>
      <c r="H1" s="152"/>
      <c r="I1" s="152"/>
    </row>
    <row r="2" spans="3:10" ht="31.5" x14ac:dyDescent="0.5">
      <c r="D2" s="6" t="s">
        <v>264</v>
      </c>
      <c r="E2" s="5"/>
      <c r="F2" s="5"/>
      <c r="G2" s="5"/>
      <c r="H2" s="5"/>
      <c r="I2" s="5"/>
      <c r="J2" s="162">
        <v>1</v>
      </c>
    </row>
    <row r="4" spans="3:10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0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C26" s="7" t="s">
        <v>9</v>
      </c>
      <c r="D26" s="124"/>
      <c r="I26" s="12">
        <f>SUBTOTAL(109,Venta)</f>
        <v>5210109</v>
      </c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  <row r="30" spans="3:9" x14ac:dyDescent="0.3">
      <c r="E30" s="12">
        <f>SUM(E28:E29)</f>
        <v>5210109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L65"/>
  <sheetViews>
    <sheetView showGridLines="0" topLeftCell="E1" zoomScaleNormal="100" workbookViewId="0">
      <selection activeCell="J3" sqref="J3"/>
    </sheetView>
  </sheetViews>
  <sheetFormatPr baseColWidth="10" defaultRowHeight="15" x14ac:dyDescent="0.25"/>
  <cols>
    <col min="1" max="2" width="2.5703125" style="20" customWidth="1"/>
    <col min="3" max="3" width="12.2851562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32.7109375" style="25" customWidth="1"/>
    <col min="11" max="11" width="14.85546875" style="25" customWidth="1"/>
    <col min="12" max="12" width="14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52" t="s">
        <v>212</v>
      </c>
      <c r="E1" s="152"/>
      <c r="F1" s="152"/>
      <c r="G1" s="152"/>
      <c r="H1" s="152"/>
      <c r="I1" s="152"/>
    </row>
    <row r="2" spans="3:12" s="7" customFormat="1" ht="31.5" x14ac:dyDescent="0.5">
      <c r="D2" s="6" t="s">
        <v>355</v>
      </c>
      <c r="E2" s="5"/>
      <c r="F2" s="5"/>
      <c r="G2" s="5"/>
      <c r="H2" s="5"/>
      <c r="I2" s="5"/>
      <c r="J2" s="163">
        <v>1</v>
      </c>
    </row>
    <row r="3" spans="3:12" ht="31.5" x14ac:dyDescent="0.5">
      <c r="D3" s="6" t="s">
        <v>356</v>
      </c>
      <c r="J3" s="163">
        <v>1</v>
      </c>
    </row>
    <row r="4" spans="3:12" ht="15.75" customHeight="1" x14ac:dyDescent="0.25"/>
    <row r="5" spans="3:12" ht="28.5" customHeight="1" x14ac:dyDescent="0.25">
      <c r="C5" s="20" t="s">
        <v>260</v>
      </c>
      <c r="D5" s="21" t="s">
        <v>261</v>
      </c>
      <c r="E5" s="22" t="s">
        <v>262</v>
      </c>
      <c r="F5" s="23" t="s">
        <v>263</v>
      </c>
      <c r="G5" s="24" t="s">
        <v>372</v>
      </c>
      <c r="H5" s="24" t="s">
        <v>373</v>
      </c>
      <c r="I5" s="24" t="s">
        <v>374</v>
      </c>
      <c r="J5" s="142" t="s">
        <v>448</v>
      </c>
      <c r="K5" s="143" t="s">
        <v>375</v>
      </c>
      <c r="L5" s="143" t="s">
        <v>376</v>
      </c>
    </row>
    <row r="6" spans="3:12" s="29" customFormat="1" ht="32.25" customHeight="1" x14ac:dyDescent="0.2">
      <c r="C6" s="26" t="s">
        <v>265</v>
      </c>
      <c r="D6" s="27" t="s">
        <v>266</v>
      </c>
      <c r="E6" s="26" t="s">
        <v>267</v>
      </c>
      <c r="F6" s="27" t="s">
        <v>268</v>
      </c>
      <c r="G6" s="28" t="s">
        <v>226</v>
      </c>
      <c r="H6" s="27" t="s">
        <v>269</v>
      </c>
      <c r="I6" s="27" t="s">
        <v>270</v>
      </c>
      <c r="J6" s="126" t="s">
        <v>447</v>
      </c>
      <c r="K6" s="56">
        <v>90</v>
      </c>
      <c r="L6" s="57">
        <v>120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271</v>
      </c>
      <c r="G7" s="34">
        <v>150</v>
      </c>
      <c r="H7" s="33" t="s">
        <v>272</v>
      </c>
      <c r="I7" s="33" t="s">
        <v>273</v>
      </c>
      <c r="J7" s="125">
        <f>+E7+J6</f>
        <v>42525</v>
      </c>
      <c r="K7" s="125">
        <f>+E7+K6</f>
        <v>42555</v>
      </c>
      <c r="L7" s="125">
        <f>+E7+L6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274</v>
      </c>
      <c r="G8" s="39">
        <v>550</v>
      </c>
      <c r="H8" s="38" t="s">
        <v>275</v>
      </c>
      <c r="I8" s="38" t="s">
        <v>276</v>
      </c>
      <c r="J8" s="125">
        <f>+E8+$J$6</f>
        <v>42525</v>
      </c>
      <c r="K8" s="125">
        <f>+E8+$K$6</f>
        <v>42555</v>
      </c>
      <c r="L8" s="125">
        <f>+E8+$L$6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277</v>
      </c>
      <c r="G9" s="44">
        <v>750</v>
      </c>
      <c r="H9" s="43" t="s">
        <v>278</v>
      </c>
      <c r="I9" s="43" t="s">
        <v>279</v>
      </c>
      <c r="J9" s="125">
        <f t="shared" ref="J9:J33" si="0">+E9+$J$6</f>
        <v>42525</v>
      </c>
      <c r="K9" s="125">
        <f t="shared" ref="K9:K33" si="1">+E9+$K$6</f>
        <v>42555</v>
      </c>
      <c r="L9" s="125">
        <f t="shared" ref="L9:L33" si="2">+E9+$L$6</f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280</v>
      </c>
      <c r="G10" s="39">
        <v>240</v>
      </c>
      <c r="H10" s="38" t="s">
        <v>281</v>
      </c>
      <c r="I10" s="38" t="s">
        <v>282</v>
      </c>
      <c r="J10" s="125">
        <f t="shared" si="0"/>
        <v>42525</v>
      </c>
      <c r="K10" s="125">
        <f t="shared" si="1"/>
        <v>42555</v>
      </c>
      <c r="L10" s="125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283</v>
      </c>
      <c r="G11" s="44">
        <v>61.5</v>
      </c>
      <c r="H11" s="43" t="s">
        <v>284</v>
      </c>
      <c r="I11" s="43" t="s">
        <v>285</v>
      </c>
      <c r="J11" s="125">
        <f t="shared" si="0"/>
        <v>42586</v>
      </c>
      <c r="K11" s="125">
        <f t="shared" si="1"/>
        <v>42616</v>
      </c>
      <c r="L11" s="125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286</v>
      </c>
      <c r="G12" s="39">
        <v>211.25</v>
      </c>
      <c r="H12" s="38" t="s">
        <v>287</v>
      </c>
      <c r="I12" s="38" t="s">
        <v>285</v>
      </c>
      <c r="J12" s="125">
        <f t="shared" si="0"/>
        <v>42586</v>
      </c>
      <c r="K12" s="125">
        <f t="shared" si="1"/>
        <v>42616</v>
      </c>
      <c r="L12" s="125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288</v>
      </c>
      <c r="G13" s="44">
        <v>220.13</v>
      </c>
      <c r="H13" s="43" t="s">
        <v>289</v>
      </c>
      <c r="I13" s="43" t="s">
        <v>290</v>
      </c>
      <c r="J13" s="125">
        <f t="shared" si="0"/>
        <v>42586</v>
      </c>
      <c r="K13" s="125">
        <f t="shared" si="1"/>
        <v>42616</v>
      </c>
      <c r="L13" s="125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291</v>
      </c>
      <c r="G14" s="39">
        <v>151.44</v>
      </c>
      <c r="H14" s="38" t="s">
        <v>292</v>
      </c>
      <c r="I14" s="38" t="s">
        <v>293</v>
      </c>
      <c r="J14" s="125">
        <f t="shared" si="0"/>
        <v>42588</v>
      </c>
      <c r="K14" s="125">
        <f t="shared" si="1"/>
        <v>42618</v>
      </c>
      <c r="L14" s="125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294</v>
      </c>
      <c r="G15" s="44">
        <v>98.66</v>
      </c>
      <c r="H15" s="43" t="s">
        <v>295</v>
      </c>
      <c r="I15" s="43" t="s">
        <v>296</v>
      </c>
      <c r="J15" s="125">
        <f t="shared" si="0"/>
        <v>42588</v>
      </c>
      <c r="K15" s="125">
        <f t="shared" si="1"/>
        <v>42618</v>
      </c>
      <c r="L15" s="125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297</v>
      </c>
      <c r="G16" s="39">
        <v>414.35</v>
      </c>
      <c r="H16" s="38" t="s">
        <v>298</v>
      </c>
      <c r="I16" s="38" t="s">
        <v>290</v>
      </c>
      <c r="J16" s="125">
        <f t="shared" si="0"/>
        <v>42588</v>
      </c>
      <c r="K16" s="125">
        <f t="shared" si="1"/>
        <v>42618</v>
      </c>
      <c r="L16" s="125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299</v>
      </c>
      <c r="G17" s="44">
        <v>75.989999999999995</v>
      </c>
      <c r="H17" s="43" t="s">
        <v>300</v>
      </c>
      <c r="I17" s="43" t="s">
        <v>301</v>
      </c>
      <c r="J17" s="125">
        <f t="shared" si="0"/>
        <v>42589</v>
      </c>
      <c r="K17" s="125">
        <f t="shared" si="1"/>
        <v>42619</v>
      </c>
      <c r="L17" s="125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302</v>
      </c>
      <c r="G18" s="39">
        <v>159.88</v>
      </c>
      <c r="H18" s="38" t="s">
        <v>303</v>
      </c>
      <c r="I18" s="38" t="s">
        <v>304</v>
      </c>
      <c r="J18" s="125">
        <f t="shared" si="0"/>
        <v>42589</v>
      </c>
      <c r="K18" s="125">
        <f t="shared" si="1"/>
        <v>42619</v>
      </c>
      <c r="L18" s="125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305</v>
      </c>
      <c r="G19" s="44">
        <v>190</v>
      </c>
      <c r="H19" s="43" t="s">
        <v>306</v>
      </c>
      <c r="I19" s="43" t="s">
        <v>307</v>
      </c>
      <c r="J19" s="125">
        <f t="shared" si="0"/>
        <v>42589</v>
      </c>
      <c r="K19" s="125">
        <f t="shared" si="1"/>
        <v>42619</v>
      </c>
      <c r="L19" s="125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308</v>
      </c>
      <c r="G20" s="39">
        <v>561.11</v>
      </c>
      <c r="H20" s="38" t="s">
        <v>309</v>
      </c>
      <c r="I20" s="38" t="s">
        <v>310</v>
      </c>
      <c r="J20" s="125">
        <f t="shared" si="0"/>
        <v>42589</v>
      </c>
      <c r="K20" s="125">
        <f t="shared" si="1"/>
        <v>42619</v>
      </c>
      <c r="L20" s="125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311</v>
      </c>
      <c r="G21" s="44">
        <v>180.25</v>
      </c>
      <c r="H21" s="43" t="s">
        <v>312</v>
      </c>
      <c r="I21" s="43" t="s">
        <v>313</v>
      </c>
      <c r="J21" s="125">
        <f t="shared" si="0"/>
        <v>42589</v>
      </c>
      <c r="K21" s="125">
        <f t="shared" si="1"/>
        <v>42619</v>
      </c>
      <c r="L21" s="125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314</v>
      </c>
      <c r="G22" s="39">
        <v>424.6</v>
      </c>
      <c r="H22" s="38" t="s">
        <v>315</v>
      </c>
      <c r="I22" s="38" t="s">
        <v>316</v>
      </c>
      <c r="J22" s="125">
        <f t="shared" si="0"/>
        <v>42589</v>
      </c>
      <c r="K22" s="125">
        <f t="shared" si="1"/>
        <v>42619</v>
      </c>
      <c r="L22" s="125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317</v>
      </c>
      <c r="G23" s="44">
        <v>119.85</v>
      </c>
      <c r="H23" s="43" t="s">
        <v>318</v>
      </c>
      <c r="I23" s="43" t="s">
        <v>316</v>
      </c>
      <c r="J23" s="125">
        <f t="shared" si="0"/>
        <v>42590</v>
      </c>
      <c r="K23" s="125">
        <f t="shared" si="1"/>
        <v>42620</v>
      </c>
      <c r="L23" s="125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319</v>
      </c>
      <c r="G24" s="39">
        <v>1751.25</v>
      </c>
      <c r="H24" s="38" t="s">
        <v>320</v>
      </c>
      <c r="I24" s="38" t="s">
        <v>304</v>
      </c>
      <c r="J24" s="125">
        <f t="shared" si="0"/>
        <v>42590</v>
      </c>
      <c r="K24" s="125">
        <f t="shared" si="1"/>
        <v>42620</v>
      </c>
      <c r="L24" s="125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321</v>
      </c>
      <c r="G25" s="44">
        <v>531.66999999999996</v>
      </c>
      <c r="H25" s="43" t="s">
        <v>322</v>
      </c>
      <c r="I25" s="43" t="s">
        <v>323</v>
      </c>
      <c r="J25" s="125">
        <f t="shared" si="0"/>
        <v>42590</v>
      </c>
      <c r="K25" s="125">
        <f t="shared" si="1"/>
        <v>42620</v>
      </c>
      <c r="L25" s="125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324</v>
      </c>
      <c r="G26" s="39">
        <v>1150.95</v>
      </c>
      <c r="H26" s="38" t="s">
        <v>325</v>
      </c>
      <c r="I26" s="38" t="s">
        <v>326</v>
      </c>
      <c r="J26" s="125">
        <f t="shared" si="0"/>
        <v>42590</v>
      </c>
      <c r="K26" s="125">
        <f t="shared" si="1"/>
        <v>42620</v>
      </c>
      <c r="L26" s="125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327</v>
      </c>
      <c r="G27" s="44">
        <v>433.94</v>
      </c>
      <c r="H27" s="43" t="s">
        <v>328</v>
      </c>
      <c r="I27" s="43" t="s">
        <v>329</v>
      </c>
      <c r="J27" s="125">
        <f t="shared" si="0"/>
        <v>42591</v>
      </c>
      <c r="K27" s="125">
        <f t="shared" si="1"/>
        <v>42621</v>
      </c>
      <c r="L27" s="125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330</v>
      </c>
      <c r="G28" s="39">
        <v>415.09</v>
      </c>
      <c r="H28" s="38" t="s">
        <v>331</v>
      </c>
      <c r="I28" s="38" t="s">
        <v>332</v>
      </c>
      <c r="J28" s="125">
        <f t="shared" si="0"/>
        <v>42591</v>
      </c>
      <c r="K28" s="125">
        <f t="shared" si="1"/>
        <v>42621</v>
      </c>
      <c r="L28" s="125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333</v>
      </c>
      <c r="G29" s="44">
        <v>410.75</v>
      </c>
      <c r="H29" s="43" t="s">
        <v>334</v>
      </c>
      <c r="I29" s="43" t="s">
        <v>335</v>
      </c>
      <c r="J29" s="125">
        <f t="shared" si="0"/>
        <v>42591</v>
      </c>
      <c r="K29" s="125">
        <f t="shared" si="1"/>
        <v>42621</v>
      </c>
      <c r="L29" s="125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336</v>
      </c>
      <c r="G30" s="39">
        <v>2568.75</v>
      </c>
      <c r="H30" s="38" t="s">
        <v>337</v>
      </c>
      <c r="I30" s="38" t="s">
        <v>338</v>
      </c>
      <c r="J30" s="125">
        <f t="shared" si="0"/>
        <v>42591</v>
      </c>
      <c r="K30" s="125">
        <f t="shared" si="1"/>
        <v>42621</v>
      </c>
      <c r="L30" s="125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339</v>
      </c>
      <c r="G31" s="44">
        <v>1611.34</v>
      </c>
      <c r="H31" s="43" t="s">
        <v>340</v>
      </c>
      <c r="I31" s="43" t="s">
        <v>310</v>
      </c>
      <c r="J31" s="125">
        <f t="shared" si="0"/>
        <v>42592</v>
      </c>
      <c r="K31" s="125">
        <f t="shared" si="1"/>
        <v>42622</v>
      </c>
      <c r="L31" s="125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341</v>
      </c>
      <c r="G32" s="39">
        <v>765.88</v>
      </c>
      <c r="H32" s="38" t="s">
        <v>342</v>
      </c>
      <c r="I32" s="38" t="s">
        <v>343</v>
      </c>
      <c r="J32" s="125">
        <f t="shared" si="0"/>
        <v>42592</v>
      </c>
      <c r="K32" s="125">
        <f t="shared" si="1"/>
        <v>42622</v>
      </c>
      <c r="L32" s="125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344</v>
      </c>
      <c r="G33" s="44">
        <v>4132.5</v>
      </c>
      <c r="H33" s="43" t="s">
        <v>345</v>
      </c>
      <c r="I33" s="43" t="s">
        <v>290</v>
      </c>
      <c r="J33" s="125">
        <f t="shared" si="0"/>
        <v>42611</v>
      </c>
      <c r="K33" s="125">
        <f t="shared" si="1"/>
        <v>42641</v>
      </c>
      <c r="L33" s="125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146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147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147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147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147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147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147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147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147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147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147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147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147"/>
      <c r="H48" s="20"/>
      <c r="I48" s="20"/>
      <c r="J48" s="20"/>
      <c r="K48" s="20"/>
      <c r="L48" s="20"/>
    </row>
    <row r="49" spans="7:7" s="20" customFormat="1" ht="12.75" x14ac:dyDescent="0.2">
      <c r="G49" s="147"/>
    </row>
    <row r="50" spans="7:7" s="20" customFormat="1" ht="12.75" x14ac:dyDescent="0.2">
      <c r="G50" s="147"/>
    </row>
    <row r="51" spans="7:7" s="20" customFormat="1" ht="12.75" x14ac:dyDescent="0.2">
      <c r="G51" s="147"/>
    </row>
    <row r="52" spans="7:7" s="20" customFormat="1" ht="12.75" x14ac:dyDescent="0.2">
      <c r="G52" s="147"/>
    </row>
    <row r="53" spans="7:7" s="20" customFormat="1" ht="12.75" x14ac:dyDescent="0.2">
      <c r="G53" s="147"/>
    </row>
    <row r="54" spans="7:7" s="20" customFormat="1" ht="12.75" x14ac:dyDescent="0.2">
      <c r="G54" s="147"/>
    </row>
    <row r="55" spans="7:7" s="20" customFormat="1" ht="12.75" x14ac:dyDescent="0.2">
      <c r="G55" s="147"/>
    </row>
    <row r="56" spans="7:7" s="20" customFormat="1" ht="12.75" x14ac:dyDescent="0.2">
      <c r="G56" s="147"/>
    </row>
    <row r="57" spans="7:7" s="20" customFormat="1" ht="12.75" x14ac:dyDescent="0.2">
      <c r="G57" s="147"/>
    </row>
    <row r="58" spans="7:7" s="20" customFormat="1" ht="12.75" x14ac:dyDescent="0.2">
      <c r="G58" s="147"/>
    </row>
    <row r="59" spans="7:7" s="20" customFormat="1" ht="12.75" x14ac:dyDescent="0.2">
      <c r="G59" s="147"/>
    </row>
    <row r="60" spans="7:7" s="20" customFormat="1" ht="12.75" x14ac:dyDescent="0.2">
      <c r="G60" s="147"/>
    </row>
    <row r="61" spans="7:7" x14ac:dyDescent="0.25">
      <c r="G61" s="147"/>
    </row>
    <row r="62" spans="7:7" x14ac:dyDescent="0.25">
      <c r="G62" s="147"/>
    </row>
    <row r="63" spans="7:7" x14ac:dyDescent="0.25">
      <c r="G63" s="148"/>
    </row>
    <row r="64" spans="7:7" x14ac:dyDescent="0.25">
      <c r="G64" s="148"/>
    </row>
    <row r="65" spans="7:7" x14ac:dyDescent="0.25">
      <c r="G65" s="148"/>
    </row>
  </sheetData>
  <mergeCells count="1">
    <mergeCell ref="D1:I1"/>
  </mergeCells>
  <conditionalFormatting sqref="G36">
    <cfRule type="aboveAverage" dxfId="96" priority="5"/>
  </conditionalFormatting>
  <conditionalFormatting sqref="G7:G33">
    <cfRule type="top10" dxfId="95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6"/>
  <sheetViews>
    <sheetView showGridLines="0" zoomScaleNormal="100" workbookViewId="0">
      <selection activeCell="N3" sqref="N3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0" width="7.28515625" style="20"/>
    <col min="11" max="11" width="10.140625" style="20" bestFit="1" customWidth="1"/>
    <col min="12" max="16384" width="7.28515625" style="20"/>
  </cols>
  <sheetData>
    <row r="1" spans="1:14" ht="31.5" x14ac:dyDescent="0.5">
      <c r="A1" s="58" t="s">
        <v>212</v>
      </c>
      <c r="B1" s="58"/>
      <c r="C1" s="58"/>
      <c r="D1" s="58"/>
      <c r="E1" s="58"/>
      <c r="F1" s="58"/>
    </row>
    <row r="2" spans="1:14" ht="31.5" x14ac:dyDescent="0.5">
      <c r="A2" s="6" t="s">
        <v>357</v>
      </c>
      <c r="B2" s="5"/>
      <c r="C2" s="5"/>
      <c r="D2" s="5"/>
      <c r="E2" s="5"/>
      <c r="F2" s="5"/>
      <c r="N2" s="163">
        <v>1</v>
      </c>
    </row>
    <row r="3" spans="1:14" ht="31.5" x14ac:dyDescent="0.5">
      <c r="A3" s="6" t="s">
        <v>359</v>
      </c>
      <c r="B3" s="22"/>
      <c r="C3" s="23"/>
      <c r="D3" s="24"/>
      <c r="E3" s="24"/>
      <c r="F3" s="24"/>
      <c r="N3" s="163">
        <v>1</v>
      </c>
    </row>
    <row r="4" spans="1:14" ht="18.75" x14ac:dyDescent="0.3">
      <c r="A4" s="6" t="s">
        <v>358</v>
      </c>
    </row>
    <row r="8" spans="1:14" ht="25.5" x14ac:dyDescent="0.2">
      <c r="B8" s="25" t="s">
        <v>346</v>
      </c>
      <c r="C8" s="45">
        <v>42661</v>
      </c>
    </row>
    <row r="9" spans="1:14" s="48" customFormat="1" ht="32.25" customHeight="1" x14ac:dyDescent="0.2">
      <c r="A9" s="20"/>
      <c r="B9" s="21"/>
      <c r="C9" s="21"/>
      <c r="D9" s="46"/>
      <c r="E9" s="47"/>
      <c r="F9" s="20"/>
    </row>
    <row r="10" spans="1:14" x14ac:dyDescent="0.2">
      <c r="K10" s="53"/>
    </row>
    <row r="11" spans="1:14" x14ac:dyDescent="0.2">
      <c r="K11" s="53"/>
    </row>
    <row r="12" spans="1:14" x14ac:dyDescent="0.2">
      <c r="A12" s="48"/>
      <c r="B12" s="128" t="s">
        <v>265</v>
      </c>
      <c r="C12" s="129" t="s">
        <v>266</v>
      </c>
      <c r="D12" s="130" t="s">
        <v>267</v>
      </c>
      <c r="E12" s="131" t="s">
        <v>347</v>
      </c>
      <c r="F12" s="132" t="s">
        <v>226</v>
      </c>
      <c r="G12" s="133" t="s">
        <v>228</v>
      </c>
      <c r="H12" s="134" t="s">
        <v>348</v>
      </c>
      <c r="K12" s="53"/>
    </row>
    <row r="13" spans="1:14" x14ac:dyDescent="0.2">
      <c r="B13" s="127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349</v>
      </c>
      <c r="H13" s="145">
        <f>IF(C$8&gt;E13,C$8-E13, "No Vencida")</f>
        <v>166</v>
      </c>
      <c r="K13" s="53"/>
    </row>
    <row r="14" spans="1:14" x14ac:dyDescent="0.2">
      <c r="B14" s="127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350</v>
      </c>
      <c r="H14" s="145">
        <f t="shared" ref="H14:H39" si="0">IF(C$8&gt;E14,C$8-E14, "No Vencida")</f>
        <v>166</v>
      </c>
      <c r="K14" s="53"/>
    </row>
    <row r="15" spans="1:14" x14ac:dyDescent="0.2">
      <c r="B15" s="127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351</v>
      </c>
      <c r="H15" s="145" t="str">
        <f t="shared" si="0"/>
        <v>No Vencida</v>
      </c>
    </row>
    <row r="16" spans="1:14" x14ac:dyDescent="0.2">
      <c r="B16" s="127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353</v>
      </c>
      <c r="H16" s="145" t="str">
        <f t="shared" si="0"/>
        <v>No Vencida</v>
      </c>
    </row>
    <row r="17" spans="2:8" x14ac:dyDescent="0.2">
      <c r="B17" s="127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352</v>
      </c>
      <c r="H17" s="145">
        <f t="shared" si="0"/>
        <v>105</v>
      </c>
    </row>
    <row r="18" spans="2:8" x14ac:dyDescent="0.2">
      <c r="B18" s="127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352</v>
      </c>
      <c r="H18" s="145">
        <f t="shared" si="0"/>
        <v>105</v>
      </c>
    </row>
    <row r="19" spans="2:8" x14ac:dyDescent="0.2">
      <c r="B19" s="127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349</v>
      </c>
      <c r="H19" s="145" t="str">
        <f t="shared" si="0"/>
        <v>No Vencida</v>
      </c>
    </row>
    <row r="20" spans="2:8" x14ac:dyDescent="0.2">
      <c r="B20" s="127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350</v>
      </c>
      <c r="H20" s="145" t="str">
        <f t="shared" si="0"/>
        <v>No Vencida</v>
      </c>
    </row>
    <row r="21" spans="2:8" x14ac:dyDescent="0.2">
      <c r="B21" s="127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351</v>
      </c>
      <c r="H21" s="145">
        <f t="shared" si="0"/>
        <v>103</v>
      </c>
    </row>
    <row r="22" spans="2:8" x14ac:dyDescent="0.2">
      <c r="B22" s="127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351</v>
      </c>
      <c r="H22" s="145">
        <f t="shared" si="0"/>
        <v>103</v>
      </c>
    </row>
    <row r="23" spans="2:8" x14ac:dyDescent="0.2">
      <c r="B23" s="127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351</v>
      </c>
      <c r="H23" s="145">
        <f t="shared" si="0"/>
        <v>103</v>
      </c>
    </row>
    <row r="24" spans="2:8" x14ac:dyDescent="0.2">
      <c r="B24" s="127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352</v>
      </c>
      <c r="H24" s="145">
        <f t="shared" si="0"/>
        <v>103</v>
      </c>
    </row>
    <row r="25" spans="2:8" x14ac:dyDescent="0.2">
      <c r="B25" s="127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352</v>
      </c>
      <c r="H25" s="145">
        <f t="shared" si="0"/>
        <v>103</v>
      </c>
    </row>
    <row r="26" spans="2:8" x14ac:dyDescent="0.2">
      <c r="B26" s="127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354</v>
      </c>
      <c r="H26" s="145" t="str">
        <f t="shared" si="0"/>
        <v>No Vencida</v>
      </c>
    </row>
    <row r="27" spans="2:8" x14ac:dyDescent="0.2">
      <c r="B27" s="127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354</v>
      </c>
      <c r="H27" s="145">
        <f t="shared" si="0"/>
        <v>102</v>
      </c>
    </row>
    <row r="28" spans="2:8" x14ac:dyDescent="0.2">
      <c r="B28" s="127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353</v>
      </c>
      <c r="H28" s="145" t="str">
        <f t="shared" si="0"/>
        <v>No Vencida</v>
      </c>
    </row>
    <row r="29" spans="2:8" x14ac:dyDescent="0.2">
      <c r="B29" s="127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352</v>
      </c>
      <c r="H29" s="145">
        <f t="shared" si="0"/>
        <v>102</v>
      </c>
    </row>
    <row r="30" spans="2:8" x14ac:dyDescent="0.2">
      <c r="B30" s="127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351</v>
      </c>
      <c r="H30" s="145" t="str">
        <f t="shared" si="0"/>
        <v>No Vencida</v>
      </c>
    </row>
    <row r="31" spans="2:8" x14ac:dyDescent="0.2">
      <c r="B31" s="127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349</v>
      </c>
      <c r="H31" s="145">
        <f t="shared" si="0"/>
        <v>102</v>
      </c>
    </row>
    <row r="32" spans="2:8" x14ac:dyDescent="0.2">
      <c r="B32" s="127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350</v>
      </c>
      <c r="H32" s="145">
        <f t="shared" si="0"/>
        <v>102</v>
      </c>
    </row>
    <row r="33" spans="2:8" x14ac:dyDescent="0.2">
      <c r="B33" s="127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353</v>
      </c>
      <c r="H33" s="145">
        <f t="shared" si="0"/>
        <v>101</v>
      </c>
    </row>
    <row r="34" spans="2:8" x14ac:dyDescent="0.2">
      <c r="B34" s="127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350</v>
      </c>
      <c r="H34" s="145" t="str">
        <f t="shared" si="0"/>
        <v>No Vencida</v>
      </c>
    </row>
    <row r="35" spans="2:8" x14ac:dyDescent="0.2">
      <c r="B35" s="127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351</v>
      </c>
      <c r="H35" s="145">
        <f t="shared" si="0"/>
        <v>101</v>
      </c>
    </row>
    <row r="36" spans="2:8" x14ac:dyDescent="0.2">
      <c r="B36" s="127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353</v>
      </c>
      <c r="H36" s="145">
        <f t="shared" si="0"/>
        <v>101</v>
      </c>
    </row>
    <row r="37" spans="2:8" x14ac:dyDescent="0.2">
      <c r="B37" s="127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349</v>
      </c>
      <c r="H37" s="145">
        <f t="shared" si="0"/>
        <v>101</v>
      </c>
    </row>
    <row r="38" spans="2:8" x14ac:dyDescent="0.2">
      <c r="B38" s="127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350</v>
      </c>
      <c r="H38" s="145">
        <f t="shared" si="0"/>
        <v>101</v>
      </c>
    </row>
    <row r="39" spans="2:8" x14ac:dyDescent="0.2">
      <c r="B39" s="135">
        <v>10028</v>
      </c>
      <c r="C39" s="136">
        <v>42551</v>
      </c>
      <c r="D39" s="137">
        <v>42530</v>
      </c>
      <c r="E39" s="138">
        <v>42560</v>
      </c>
      <c r="F39" s="139">
        <v>1150.95</v>
      </c>
      <c r="G39" s="140" t="s">
        <v>353</v>
      </c>
      <c r="H39" s="145">
        <f t="shared" si="0"/>
        <v>101</v>
      </c>
    </row>
    <row r="40" spans="2:8" x14ac:dyDescent="0.2">
      <c r="D40" s="49"/>
      <c r="E40" s="50"/>
      <c r="F40" s="51"/>
      <c r="G40" s="54"/>
      <c r="H40" s="5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conditionalFormatting sqref="N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 fitToPage="1"/>
  </sheetPr>
  <dimension ref="A1:X46"/>
  <sheetViews>
    <sheetView showGridLines="0" topLeftCell="E1" zoomScaleNormal="145" workbookViewId="0">
      <selection activeCell="H15" sqref="H15"/>
    </sheetView>
  </sheetViews>
  <sheetFormatPr baseColWidth="10" defaultColWidth="0" defaultRowHeight="18" customHeight="1" x14ac:dyDescent="0.25"/>
  <cols>
    <col min="1" max="1" width="1.7109375" style="63" customWidth="1"/>
    <col min="2" max="2" width="35.42578125" style="63" customWidth="1"/>
    <col min="3" max="3" width="35" style="63" customWidth="1"/>
    <col min="4" max="4" width="24" style="63" customWidth="1"/>
    <col min="5" max="5" width="26" style="63" customWidth="1"/>
    <col min="6" max="8" width="25.8554687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31.5" x14ac:dyDescent="0.5">
      <c r="A2" s="6" t="s">
        <v>437</v>
      </c>
      <c r="H2" s="163">
        <v>1</v>
      </c>
    </row>
    <row r="5" spans="1:21" ht="12.75" x14ac:dyDescent="0.25"/>
    <row r="6" spans="1:21" ht="34.5" x14ac:dyDescent="0.35">
      <c r="B6" s="159" t="s">
        <v>360</v>
      </c>
      <c r="C6" s="159"/>
      <c r="D6" s="159"/>
      <c r="E6" s="159"/>
      <c r="F6" s="159"/>
      <c r="G6" s="159"/>
      <c r="H6" s="159"/>
      <c r="I6" s="159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361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362</v>
      </c>
      <c r="D9" s="71"/>
      <c r="E9" s="71"/>
      <c r="F9" s="72" t="s">
        <v>363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364</v>
      </c>
      <c r="C11" s="81" t="s">
        <v>365</v>
      </c>
      <c r="D11" s="81" t="s">
        <v>366</v>
      </c>
      <c r="E11" s="80" t="s">
        <v>367</v>
      </c>
      <c r="F11" s="80" t="s">
        <v>368</v>
      </c>
      <c r="G11" s="80" t="s">
        <v>369</v>
      </c>
      <c r="H11" s="80" t="s">
        <v>370</v>
      </c>
      <c r="I11" s="80" t="s">
        <v>371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372</v>
      </c>
      <c r="O11" s="80" t="s">
        <v>373</v>
      </c>
      <c r="P11" s="80" t="s">
        <v>374</v>
      </c>
      <c r="Q11" s="80" t="s">
        <v>375</v>
      </c>
      <c r="R11" s="80" t="s">
        <v>376</v>
      </c>
      <c r="S11" s="80" t="s">
        <v>377</v>
      </c>
      <c r="T11" s="80" t="s">
        <v>378</v>
      </c>
      <c r="U11" s="80" t="s">
        <v>379</v>
      </c>
    </row>
    <row r="12" spans="1:21" s="91" customFormat="1" ht="24" customHeight="1" x14ac:dyDescent="0.25">
      <c r="B12" s="83" t="s">
        <v>380</v>
      </c>
      <c r="C12" s="84">
        <v>1</v>
      </c>
      <c r="D12" s="84" t="s">
        <v>381</v>
      </c>
      <c r="E12" s="83" t="s">
        <v>382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383</v>
      </c>
      <c r="C13" s="84">
        <v>2</v>
      </c>
      <c r="D13" s="84" t="s">
        <v>381</v>
      </c>
      <c r="E13" s="83" t="s">
        <v>382</v>
      </c>
      <c r="F13" s="85">
        <v>280000000</v>
      </c>
      <c r="G13" s="85">
        <v>267972981</v>
      </c>
      <c r="H13" s="85">
        <f>+tbl_Rendimiento7[[#This Row],[Valor de mercado 2016(mdd)]]-tbl_Rendimiento7[[#This Row],[Valor de mercado 2015 (mdd)]]</f>
        <v>-12027019</v>
      </c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384</v>
      </c>
      <c r="C14" s="84">
        <v>3</v>
      </c>
      <c r="D14" s="84" t="s">
        <v>381</v>
      </c>
      <c r="E14" s="83" t="s">
        <v>382</v>
      </c>
      <c r="F14" s="85">
        <v>280000000</v>
      </c>
      <c r="G14" s="85">
        <v>324244137</v>
      </c>
      <c r="H14" s="85">
        <f>+tbl_Rendimiento7[[#This Row],[Valor de mercado 2016(mdd)]]-tbl_Rendimiento7[[#This Row],[Valor de mercado 2015 (mdd)]]</f>
        <v>44244137</v>
      </c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385</v>
      </c>
      <c r="C15" s="84">
        <v>4</v>
      </c>
      <c r="D15" s="84" t="s">
        <v>386</v>
      </c>
      <c r="E15" s="83" t="s">
        <v>387</v>
      </c>
      <c r="F15" s="85">
        <v>56100000</v>
      </c>
      <c r="G15" s="85">
        <v>85060949</v>
      </c>
      <c r="H15" s="85">
        <f>+tbl_Rendimiento7[[#This Row],[Valor de mercado 2016(mdd)]]-tbl_Rendimiento7[[#This Row],[Valor de mercado 2015 (mdd)]]</f>
        <v>28960949</v>
      </c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388</v>
      </c>
      <c r="C16" s="84">
        <v>5</v>
      </c>
      <c r="D16" s="84" t="s">
        <v>386</v>
      </c>
      <c r="E16" s="83" t="s">
        <v>389</v>
      </c>
      <c r="F16" s="85">
        <v>24000000</v>
      </c>
      <c r="G16" s="85">
        <v>-67885594</v>
      </c>
      <c r="H16" s="85">
        <f>+tbl_Rendimiento7[[#This Row],[Valor de mercado 2016(mdd)]]-tbl_Rendimiento7[[#This Row],[Valor de mercado 2015 (mdd)]]</f>
        <v>-91885594</v>
      </c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390</v>
      </c>
      <c r="C17" s="84">
        <v>6</v>
      </c>
      <c r="D17" s="84" t="s">
        <v>381</v>
      </c>
      <c r="E17" s="83" t="s">
        <v>382</v>
      </c>
      <c r="F17" s="85">
        <v>23000000</v>
      </c>
      <c r="G17" s="85">
        <v>31816071</v>
      </c>
      <c r="H17" s="85">
        <f>+tbl_Rendimiento7[[#This Row],[Valor de mercado 2016(mdd)]]-tbl_Rendimiento7[[#This Row],[Valor de mercado 2015 (mdd)]]</f>
        <v>8816071</v>
      </c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391</v>
      </c>
      <c r="C18" s="84">
        <v>7</v>
      </c>
      <c r="D18" s="84" t="s">
        <v>386</v>
      </c>
      <c r="E18" s="83" t="s">
        <v>382</v>
      </c>
      <c r="F18" s="85">
        <v>22000000</v>
      </c>
      <c r="G18" s="85">
        <v>15320259</v>
      </c>
      <c r="H18" s="85">
        <f>+tbl_Rendimiento7[[#This Row],[Valor de mercado 2016(mdd)]]-tbl_Rendimiento7[[#This Row],[Valor de mercado 2015 (mdd)]]</f>
        <v>-6679741</v>
      </c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392</v>
      </c>
      <c r="C19" s="84">
        <v>8</v>
      </c>
      <c r="D19" s="84" t="s">
        <v>386</v>
      </c>
      <c r="E19" s="83" t="s">
        <v>393</v>
      </c>
      <c r="F19" s="85">
        <v>22000000</v>
      </c>
      <c r="G19" s="85">
        <v>43952449</v>
      </c>
      <c r="H19" s="85">
        <f>+tbl_Rendimiento7[[#This Row],[Valor de mercado 2016(mdd)]]-tbl_Rendimiento7[[#This Row],[Valor de mercado 2015 (mdd)]]</f>
        <v>21952449</v>
      </c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394</v>
      </c>
      <c r="C20" s="84">
        <v>9</v>
      </c>
      <c r="D20" s="84" t="s">
        <v>386</v>
      </c>
      <c r="E20" s="83" t="s">
        <v>395</v>
      </c>
      <c r="F20" s="85">
        <v>21000000</v>
      </c>
      <c r="G20" s="85">
        <v>61894042</v>
      </c>
      <c r="H20" s="85">
        <f>+tbl_Rendimiento7[[#This Row],[Valor de mercado 2016(mdd)]]-tbl_Rendimiento7[[#This Row],[Valor de mercado 2015 (mdd)]]</f>
        <v>40894042</v>
      </c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396</v>
      </c>
      <c r="C21" s="84">
        <v>10</v>
      </c>
      <c r="D21" s="84" t="s">
        <v>397</v>
      </c>
      <c r="E21" s="83" t="s">
        <v>398</v>
      </c>
      <c r="F21" s="85">
        <v>21000000</v>
      </c>
      <c r="G21" s="85">
        <v>51254207</v>
      </c>
      <c r="H21" s="85">
        <f>+tbl_Rendimiento7[[#This Row],[Valor de mercado 2016(mdd)]]-tbl_Rendimiento7[[#This Row],[Valor de mercado 2015 (mdd)]]</f>
        <v>30254207</v>
      </c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399</v>
      </c>
      <c r="C22" s="84">
        <v>11</v>
      </c>
      <c r="D22" s="84" t="s">
        <v>386</v>
      </c>
      <c r="E22" s="83" t="s">
        <v>382</v>
      </c>
      <c r="F22" s="85">
        <v>21000000</v>
      </c>
      <c r="G22" s="85">
        <v>-51402883</v>
      </c>
      <c r="H22" s="85">
        <f>+tbl_Rendimiento7[[#This Row],[Valor de mercado 2016(mdd)]]-tbl_Rendimiento7[[#This Row],[Valor de mercado 2015 (mdd)]]</f>
        <v>-72402883</v>
      </c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400</v>
      </c>
      <c r="C23" s="84">
        <v>12</v>
      </c>
      <c r="D23" s="84" t="s">
        <v>386</v>
      </c>
      <c r="E23" s="83" t="s">
        <v>401</v>
      </c>
      <c r="F23" s="85">
        <v>20000000</v>
      </c>
      <c r="G23" s="85">
        <v>6998855</v>
      </c>
      <c r="H23" s="85">
        <f>+tbl_Rendimiento7[[#This Row],[Valor de mercado 2016(mdd)]]-tbl_Rendimiento7[[#This Row],[Valor de mercado 2015 (mdd)]]</f>
        <v>-13001145</v>
      </c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402</v>
      </c>
      <c r="C24" s="84">
        <v>13</v>
      </c>
      <c r="D24" s="84" t="s">
        <v>386</v>
      </c>
      <c r="E24" s="83" t="s">
        <v>403</v>
      </c>
      <c r="F24" s="85">
        <v>18000000</v>
      </c>
      <c r="G24" s="85">
        <v>-67569210</v>
      </c>
      <c r="H24" s="85">
        <f>+tbl_Rendimiento7[[#This Row],[Valor de mercado 2016(mdd)]]-tbl_Rendimiento7[[#This Row],[Valor de mercado 2015 (mdd)]]</f>
        <v>-85569210</v>
      </c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404</v>
      </c>
      <c r="C25" s="84">
        <v>14</v>
      </c>
      <c r="D25" s="84" t="s">
        <v>405</v>
      </c>
      <c r="E25" s="83" t="s">
        <v>382</v>
      </c>
      <c r="F25" s="85">
        <v>18000000</v>
      </c>
      <c r="G25" s="85">
        <v>15087630</v>
      </c>
      <c r="H25" s="85">
        <f>+tbl_Rendimiento7[[#This Row],[Valor de mercado 2016(mdd)]]-tbl_Rendimiento7[[#This Row],[Valor de mercado 2015 (mdd)]]</f>
        <v>-2912370</v>
      </c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406</v>
      </c>
      <c r="C26" s="84">
        <v>15</v>
      </c>
      <c r="D26" s="84" t="s">
        <v>386</v>
      </c>
      <c r="E26" s="83" t="s">
        <v>407</v>
      </c>
      <c r="F26" s="85">
        <v>17000000</v>
      </c>
      <c r="G26" s="85">
        <v>40238117</v>
      </c>
      <c r="H26" s="85">
        <f>+tbl_Rendimiento7[[#This Row],[Valor de mercado 2016(mdd)]]-tbl_Rendimiento7[[#This Row],[Valor de mercado 2015 (mdd)]]</f>
        <v>23238117</v>
      </c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  <row r="29" spans="2:21" ht="15" x14ac:dyDescent="0.25">
      <c r="B29" t="s">
        <v>449</v>
      </c>
      <c r="C29" t="s">
        <v>450</v>
      </c>
      <c r="D29"/>
    </row>
    <row r="30" spans="2:21" ht="15" x14ac:dyDescent="0.25">
      <c r="B30" s="141">
        <v>1153100000</v>
      </c>
      <c r="C30" s="141">
        <v>1115734017</v>
      </c>
      <c r="D30"/>
    </row>
    <row r="31" spans="2:21" ht="15" x14ac:dyDescent="0.25">
      <c r="B31"/>
      <c r="C31"/>
      <c r="D31"/>
    </row>
    <row r="32" spans="2:21" ht="15" x14ac:dyDescent="0.25">
      <c r="B32"/>
      <c r="C32"/>
      <c r="D32"/>
    </row>
    <row r="33" spans="2:4" ht="15" x14ac:dyDescent="0.25">
      <c r="B33"/>
      <c r="C33"/>
      <c r="D33"/>
    </row>
    <row r="34" spans="2:4" ht="15" x14ac:dyDescent="0.25">
      <c r="B34"/>
      <c r="C34"/>
      <c r="D34"/>
    </row>
    <row r="35" spans="2:4" ht="15" x14ac:dyDescent="0.25">
      <c r="B35"/>
      <c r="C35"/>
      <c r="D35"/>
    </row>
    <row r="36" spans="2:4" ht="15" x14ac:dyDescent="0.25">
      <c r="B36"/>
      <c r="C36"/>
      <c r="D36"/>
    </row>
    <row r="37" spans="2:4" ht="15" x14ac:dyDescent="0.25">
      <c r="B37"/>
      <c r="C37"/>
      <c r="D37"/>
    </row>
    <row r="38" spans="2:4" ht="15" x14ac:dyDescent="0.25">
      <c r="B38"/>
      <c r="C38"/>
      <c r="D38"/>
    </row>
    <row r="39" spans="2:4" ht="15" x14ac:dyDescent="0.25">
      <c r="B39"/>
      <c r="C39"/>
      <c r="D39"/>
    </row>
    <row r="40" spans="2:4" ht="15" x14ac:dyDescent="0.25">
      <c r="B40"/>
      <c r="C40"/>
      <c r="D40"/>
    </row>
    <row r="41" spans="2:4" ht="15" x14ac:dyDescent="0.25">
      <c r="B41"/>
      <c r="C41"/>
      <c r="D41"/>
    </row>
    <row r="42" spans="2:4" ht="15" x14ac:dyDescent="0.25">
      <c r="B42"/>
      <c r="C42"/>
      <c r="D42"/>
    </row>
    <row r="43" spans="2:4" ht="15" x14ac:dyDescent="0.25">
      <c r="B43"/>
      <c r="C43"/>
      <c r="D43"/>
    </row>
    <row r="44" spans="2:4" ht="15" x14ac:dyDescent="0.25">
      <c r="B44"/>
      <c r="C44"/>
      <c r="D44"/>
    </row>
    <row r="45" spans="2:4" ht="15" x14ac:dyDescent="0.25">
      <c r="B45"/>
      <c r="C45"/>
      <c r="D45"/>
    </row>
    <row r="46" spans="2:4" ht="15" x14ac:dyDescent="0.25">
      <c r="B46"/>
      <c r="C46"/>
      <c r="D46"/>
    </row>
  </sheetData>
  <mergeCells count="1">
    <mergeCell ref="B6:I6"/>
  </mergeCells>
  <conditionalFormatting sqref="T9:U10 U27:U65482">
    <cfRule type="cellIs" dxfId="17" priority="8" stopIfTrue="1" operator="equal">
      <formula>"VERDE"</formula>
    </cfRule>
    <cfRule type="cellIs" dxfId="16" priority="9" stopIfTrue="1" operator="equal">
      <formula>"AMARILLO"</formula>
    </cfRule>
    <cfRule type="cellIs" dxfId="15" priority="10" stopIfTrue="1" operator="equal">
      <formula>"ROJO"</formula>
    </cfRule>
  </conditionalFormatting>
  <conditionalFormatting sqref="U12:U26">
    <cfRule type="expression" dxfId="14" priority="3">
      <formula>$U12="NEGRO"</formula>
    </cfRule>
    <cfRule type="expression" dxfId="13" priority="4">
      <formula>$U12="VERDE"</formula>
    </cfRule>
    <cfRule type="expression" dxfId="12" priority="5">
      <formula>$U12="ROJO"</formula>
    </cfRule>
    <cfRule type="expression" dxfId="11" priority="6">
      <formula>$U12="NARANJA"</formula>
    </cfRule>
    <cfRule type="expression" dxfId="10" priority="7">
      <formula>$U12=""</formula>
    </cfRule>
  </conditionalFormatting>
  <conditionalFormatting sqref="J12:M26 R12:S26">
    <cfRule type="expression" dxfId="9" priority="2">
      <formula>J12&lt;0</formula>
    </cfRule>
  </conditionalFormatting>
  <conditionalFormatting sqref="H2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2"/>
  <headerFooter alignWithMargins="0"/>
  <drawing r:id="rId3"/>
  <legacyDrawing r:id="rId4"/>
  <tableParts count="1"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7C60B6B-F036-45A2-B553-C3880644A8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18" baseType="lpstr">
      <vt:lpstr>Lista de pedidos</vt:lpstr>
      <vt:lpstr>Clientes</vt:lpstr>
      <vt:lpstr>Proveedores</vt:lpstr>
      <vt:lpstr>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Datos</vt:lpstr>
      <vt:lpstr>Dasboard</vt:lpstr>
      <vt:lpstr>GrficaInventario</vt:lpstr>
      <vt:lpstr>Dasboard!Área_de_impresión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cp:lastPrinted>2021-06-27T17:04:05Z</cp:lastPrinted>
  <dcterms:created xsi:type="dcterms:W3CDTF">2021-06-24T20:15:17Z</dcterms:created>
  <dcterms:modified xsi:type="dcterms:W3CDTF">2021-06-28T18:38:34Z</dcterms:modified>
</cp:coreProperties>
</file>